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n\Desktop\Moved Attachments\"/>
    </mc:Choice>
  </mc:AlternateContent>
  <bookViews>
    <workbookView xWindow="0" yWindow="0" windowWidth="19200" windowHeight="6435"/>
  </bookViews>
  <sheets>
    <sheet name="Table 1" sheetId="3" r:id="rId1"/>
    <sheet name="Table 2" sheetId="2" r:id="rId2"/>
    <sheet name="Table 3" sheetId="4" r:id="rId3"/>
    <sheet name="Table 4" sheetId="6" r:id="rId4"/>
    <sheet name="Table 5" sheetId="7" r:id="rId5"/>
    <sheet name="Exhbit JAL-6" sheetId="11" r:id="rId6"/>
    <sheet name="Exhibit JAL-7" sheetId="10" r:id="rId7"/>
    <sheet name="ROR Impact WP" sheetId="1" r:id="rId8"/>
    <sheet name="Copy of Exh. ZLH-2" sheetId="5" r:id="rId9"/>
    <sheet name="WUTC DR 46 =&gt;" sheetId="12" r:id="rId10"/>
    <sheet name="MYRP Plant Update" sheetId="13" r:id="rId11"/>
    <sheet name="Variance Analysis" sheetId="14" r:id="rId12"/>
  </sheets>
  <externalReferences>
    <externalReference r:id="rId13"/>
  </externalReferences>
  <definedNames>
    <definedName name="\0" localSheetId="4">#REF!</definedName>
    <definedName name="\0">#REF!</definedName>
    <definedName name="\a" localSheetId="4">#REF!</definedName>
    <definedName name="\a">#REF!</definedName>
    <definedName name="\b" localSheetId="4">#REF!</definedName>
    <definedName name="\b">#REF!</definedName>
    <definedName name="\bb" localSheetId="4">#REF!</definedName>
    <definedName name="\bb">#REF!</definedName>
    <definedName name="\c" localSheetId="4">#REF!</definedName>
    <definedName name="\c">#REF!</definedName>
    <definedName name="\d" localSheetId="4">#REF!</definedName>
    <definedName name="\d">#REF!</definedName>
    <definedName name="\e" localSheetId="4">#REF!</definedName>
    <definedName name="\e">#REF!</definedName>
    <definedName name="\f" localSheetId="4">#REF!</definedName>
    <definedName name="\f">#REF!</definedName>
    <definedName name="\g" localSheetId="4">#REF!</definedName>
    <definedName name="\g">#REF!</definedName>
    <definedName name="\i" localSheetId="4">#REF!</definedName>
    <definedName name="\i">#REF!</definedName>
    <definedName name="\k" localSheetId="4">#REF!</definedName>
    <definedName name="\k">#REF!</definedName>
    <definedName name="\m" localSheetId="4">#REF!</definedName>
    <definedName name="\m">#REF!</definedName>
    <definedName name="\n" localSheetId="4">#REF!</definedName>
    <definedName name="\n">#REF!</definedName>
    <definedName name="\p" localSheetId="4">#REF!</definedName>
    <definedName name="\p">#REF!</definedName>
    <definedName name="\q" localSheetId="4">#REF!</definedName>
    <definedName name="\q">#REF!</definedName>
    <definedName name="\s" localSheetId="4">#REF!</definedName>
    <definedName name="\s">#REF!</definedName>
    <definedName name="\t" localSheetId="4">#REF!</definedName>
    <definedName name="\t">#REF!</definedName>
    <definedName name="\v" localSheetId="4">#REF!</definedName>
    <definedName name="\v">#REF!</definedName>
    <definedName name="\zzz" localSheetId="4">#REF!</definedName>
    <definedName name="\zzz">#REF!</definedName>
    <definedName name="___apr99" localSheetId="4">#REF!</definedName>
    <definedName name="___apr99">#REF!</definedName>
    <definedName name="___re22" localSheetId="4">#REF!</definedName>
    <definedName name="___re22">#REF!</definedName>
    <definedName name="___y1212" localSheetId="4">#REF!</definedName>
    <definedName name="___y1212">#REF!</definedName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F" hidden="1">#REF!</definedName>
    <definedName name="__apr98" localSheetId="4">#REF!</definedName>
    <definedName name="__apr98">#REF!</definedName>
    <definedName name="__aug98" localSheetId="4">#REF!</definedName>
    <definedName name="__aug98">#REF!</definedName>
    <definedName name="__Aug99" localSheetId="4">#REF!</definedName>
    <definedName name="__Aug99">#REF!</definedName>
    <definedName name="__dec98" localSheetId="4">#REF!</definedName>
    <definedName name="__dec98">#REF!</definedName>
    <definedName name="__dec99" localSheetId="4">#REF!</definedName>
    <definedName name="__dec99">#REF!</definedName>
    <definedName name="__feb98" localSheetId="4">#REF!</definedName>
    <definedName name="__feb98">#REF!</definedName>
    <definedName name="__FEB99" localSheetId="4">#REF!</definedName>
    <definedName name="__FEB99">#REF!</definedName>
    <definedName name="__IntlFixup" hidden="1">TRUE</definedName>
    <definedName name="__jan98" localSheetId="4">#REF!</definedName>
    <definedName name="__jan98">#REF!</definedName>
    <definedName name="__jan99" localSheetId="4">#REF!</definedName>
    <definedName name="__jan99">#REF!</definedName>
    <definedName name="__jul98" localSheetId="4">#REF!</definedName>
    <definedName name="__jul98">#REF!</definedName>
    <definedName name="__jul99" localSheetId="4">#REF!</definedName>
    <definedName name="__jul99">#REF!</definedName>
    <definedName name="__jun98" localSheetId="4">#REF!</definedName>
    <definedName name="__jun98">#REF!</definedName>
    <definedName name="__mar98" localSheetId="4">#REF!</definedName>
    <definedName name="__mar98">#REF!</definedName>
    <definedName name="__MAR99" localSheetId="4">#REF!</definedName>
    <definedName name="__MAR99">#REF!</definedName>
    <definedName name="__may98" localSheetId="4">#REF!</definedName>
    <definedName name="__may98">#REF!</definedName>
    <definedName name="__may99" localSheetId="4">#REF!</definedName>
    <definedName name="__may99">#REF!</definedName>
    <definedName name="__nov98" localSheetId="4">#REF!</definedName>
    <definedName name="__nov98">#REF!</definedName>
    <definedName name="__nov99" localSheetId="4">#REF!</definedName>
    <definedName name="__nov99">#REF!</definedName>
    <definedName name="__oct98" localSheetId="4">#REF!</definedName>
    <definedName name="__oct98">#REF!</definedName>
    <definedName name="__oct99" localSheetId="4">#REF!</definedName>
    <definedName name="__oct99">#REF!</definedName>
    <definedName name="__sep98" localSheetId="4">#REF!</definedName>
    <definedName name="__sep98">#REF!</definedName>
    <definedName name="__sep99" localSheetId="4">#REF!</definedName>
    <definedName name="__sep99">#REF!</definedName>
    <definedName name="_12_91" localSheetId="4">#REF!</definedName>
    <definedName name="_12_91">#REF!</definedName>
    <definedName name="_1994DD" localSheetId="4">#REF!</definedName>
    <definedName name="_1994DD">#REF!</definedName>
    <definedName name="_228" localSheetId="4">#REF!</definedName>
    <definedName name="_228">#REF!</definedName>
    <definedName name="_230" localSheetId="4">#REF!</definedName>
    <definedName name="_230">#REF!</definedName>
    <definedName name="_244" localSheetId="4">#REF!</definedName>
    <definedName name="_244">#REF!</definedName>
    <definedName name="_246" localSheetId="4">#REF!</definedName>
    <definedName name="_246">#REF!</definedName>
    <definedName name="_4000" localSheetId="4">#REF!</definedName>
    <definedName name="_4000">#REF!</definedName>
    <definedName name="_403" localSheetId="4">#REF!</definedName>
    <definedName name="_403">#REF!</definedName>
    <definedName name="_4030" localSheetId="4">#REF!</definedName>
    <definedName name="_4030">#REF!</definedName>
    <definedName name="_4085" localSheetId="4">#REF!</definedName>
    <definedName name="_4085">#REF!</definedName>
    <definedName name="_4091" localSheetId="4">#REF!</definedName>
    <definedName name="_4091">#REF!</definedName>
    <definedName name="_4150" localSheetId="4">#REF!</definedName>
    <definedName name="_4150">#REF!</definedName>
    <definedName name="_4170" localSheetId="4">#REF!</definedName>
    <definedName name="_4170">#REF!</definedName>
    <definedName name="_4181" localSheetId="4">#REF!</definedName>
    <definedName name="_4181">#REF!</definedName>
    <definedName name="_4190" localSheetId="4">#REF!</definedName>
    <definedName name="_4190">#REF!</definedName>
    <definedName name="_4270" localSheetId="4">#REF!</definedName>
    <definedName name="_4270">#REF!</definedName>
    <definedName name="_428" localSheetId="4">#REF!</definedName>
    <definedName name="_428">#REF!</definedName>
    <definedName name="_4281" localSheetId="4">#REF!</definedName>
    <definedName name="_4281">#REF!</definedName>
    <definedName name="_4310" localSheetId="4">#REF!</definedName>
    <definedName name="_4310">#REF!</definedName>
    <definedName name="_4311" localSheetId="4">#REF!</definedName>
    <definedName name="_4311">#REF!</definedName>
    <definedName name="_432" localSheetId="4">#REF!</definedName>
    <definedName name="_432">#REF!</definedName>
    <definedName name="_4320" localSheetId="4">#REF!</definedName>
    <definedName name="_4320">#REF!</definedName>
    <definedName name="_4800" localSheetId="4">#REF!</definedName>
    <definedName name="_4800">#REF!</definedName>
    <definedName name="_4930" localSheetId="4">#REF!</definedName>
    <definedName name="_4930">#REF!</definedName>
    <definedName name="_7120" localSheetId="4">#REF!</definedName>
    <definedName name="_7120">#REF!</definedName>
    <definedName name="_8040" localSheetId="4">#REF!</definedName>
    <definedName name="_8040">#REF!</definedName>
    <definedName name="_8120" localSheetId="4">#REF!</definedName>
    <definedName name="_8120">#REF!</definedName>
    <definedName name="_8700">#N/A</definedName>
    <definedName name="_8743" localSheetId="4">#REF!</definedName>
    <definedName name="_8743">#REF!</definedName>
    <definedName name="_8750" localSheetId="4">#REF!</definedName>
    <definedName name="_8750">#REF!</definedName>
    <definedName name="_8873" localSheetId="4">#REF!</definedName>
    <definedName name="_8873">#REF!</definedName>
    <definedName name="_8890" localSheetId="4">#REF!</definedName>
    <definedName name="_8890">#REF!</definedName>
    <definedName name="_89">#N/A</definedName>
    <definedName name="_9010" localSheetId="4">#REF!</definedName>
    <definedName name="_9010">#REF!</definedName>
    <definedName name="_9070" localSheetId="4">#REF!</definedName>
    <definedName name="_9070">#REF!</definedName>
    <definedName name="_9110" localSheetId="4">#REF!</definedName>
    <definedName name="_9110">#REF!</definedName>
    <definedName name="_9200" localSheetId="4">#REF!</definedName>
    <definedName name="_9200">#REF!</definedName>
    <definedName name="_9304" localSheetId="4">#REF!</definedName>
    <definedName name="_9304">#REF!</definedName>
    <definedName name="_9310" localSheetId="4">#REF!</definedName>
    <definedName name="_9310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92" localSheetId="4">#REF!</definedName>
    <definedName name="_AUG92">#REF!</definedName>
    <definedName name="_cd1" hidden="1">{"annual",#N/A,FALSE,"Pro Forma";#N/A,#N/A,FALSE,"Golf Operations"}</definedName>
    <definedName name="_DEC91" localSheetId="4">#REF!</definedName>
    <definedName name="_DEC91">#REF!</definedName>
    <definedName name="_Dist_Values" hidden="1">#REF!</definedName>
    <definedName name="_Fill" hidden="1">#REF!</definedName>
    <definedName name="_xlnm._FilterDatabase" localSheetId="10" hidden="1">'MYRP Plant Update'!$B$3:$H$245</definedName>
    <definedName name="_xlnm._FilterDatabase" localSheetId="11" hidden="1">'Variance Analysis'!$B$3:$AC$245</definedName>
    <definedName name="_xlnm._FilterDatabase" hidden="1">#REF!</definedName>
    <definedName name="_gr1" hidden="1">{"three",#N/A,FALSE,"Capital";"four",#N/A,FALSE,"Capital"}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JUL92" localSheetId="4">#REF!</definedName>
    <definedName name="_JUL92">#REF!</definedName>
    <definedName name="_JUN92" localSheetId="4">#REF!</definedName>
    <definedName name="_JUN92">#REF!</definedName>
    <definedName name="_JUN99" localSheetId="4">#REF!</definedName>
    <definedName name="_JUN99">#REF!</definedName>
    <definedName name="_Key1" hidden="1">#REF!</definedName>
    <definedName name="_Key2" hidden="1">#REF!</definedName>
    <definedName name="_MAY92" localSheetId="4">#REF!</definedName>
    <definedName name="_MAY92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321" localSheetId="4">#REF!</definedName>
    <definedName name="_OR321">#REF!</definedName>
    <definedName name="_OR324" localSheetId="4">#REF!</definedName>
    <definedName name="_OR324">#REF!</definedName>
    <definedName name="_OR325" localSheetId="4">#REF!</definedName>
    <definedName name="_OR325">#REF!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EP92" localSheetId="4">#REF!</definedName>
    <definedName name="_SEP92">#REF!</definedName>
    <definedName name="_Sort" hidden="1">#REF!</definedName>
    <definedName name="_Table2_Out" hidden="1">#REF!</definedName>
    <definedName name="_WA321" localSheetId="4">#REF!</definedName>
    <definedName name="_WA321">#REF!</definedName>
    <definedName name="_WA324" localSheetId="4">#REF!</definedName>
    <definedName name="_WA324">#REF!</definedName>
    <definedName name="_WA325" localSheetId="4">#REF!</definedName>
    <definedName name="_WA325">#REF!</definedName>
    <definedName name="_wr1" hidden="1">{"Output-3Column",#N/A,FALSE,"Output"}</definedName>
    <definedName name="_wrn1" hidden="1">{"Inflation-BaseYear",#N/A,FALSE,"Inputs"}</definedName>
    <definedName name="a" hidden="1">{"Print_Detail",#N/A,FALSE,"Redemption_Maturity Extract"}</definedName>
    <definedName name="Access_Button1" hidden="1">"Headcount_Workbook_Schedules_List"</definedName>
    <definedName name="AccessCode" hidden="1">""""</definedName>
    <definedName name="AccessDatabase" hidden="1">"C:\ncux\bud\rms_inv.mdb"</definedName>
    <definedName name="ACwvu.allocations." hidden="1">#REF!</definedName>
    <definedName name="ACwvu.annual._.hotel." hidden="1">#REF!</definedName>
    <definedName name="ACwvu.bottom._.line." hidden="1">#REF!</definedName>
    <definedName name="ACwvu.cash._.flow." hidden="1">#REF!</definedName>
    <definedName name="ACwvu.combo." hidden="1">#REF!</definedName>
    <definedName name="ACwvu.full." hidden="1">#REF!</definedName>
    <definedName name="ACwvu.offsite." hidden="1">#REF!</definedName>
    <definedName name="ACwvu.onsite." hidden="1">#REF!</definedName>
    <definedName name="AGREE" localSheetId="4">#REF!</definedName>
    <definedName name="AGREE">#REF!</definedName>
    <definedName name="alc" localSheetId="4">#REF!</definedName>
    <definedName name="alc">#REF!</definedName>
    <definedName name="ALCOA1" localSheetId="4">#REF!</definedName>
    <definedName name="ALCOA1">#REF!</definedName>
    <definedName name="ALCOA2" localSheetId="4">#REF!</definedName>
    <definedName name="ALCOA2">#REF!</definedName>
    <definedName name="Alloc_Factor_Name">'[1]Input-Ext Allocators'!$B$8:$B$63</definedName>
    <definedName name="anscount" hidden="1">2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b" hidden="1">{"One",#N/A,FALSE,"CClub";"Two",#N/A,FALSE,"CClub";"Three",#N/A,FALSE,"CClub";"Four",#N/A,FALSE,"CClub";"Five",#N/A,FALSE,"CClub"}</definedName>
    <definedName name="BalancesJuly" localSheetId="4">#REF!</definedName>
    <definedName name="BalancesJuly">#REF!</definedName>
    <definedName name="BEGINNING">#N/A</definedName>
    <definedName name="BELLINGHAM_24_H" localSheetId="4">#REF!</definedName>
    <definedName name="BELLINGHAM_24_H">#REF!</definedName>
    <definedName name="BELLINGHAM_MAX" localSheetId="4">#REF!</definedName>
    <definedName name="BELLINGHAM_MAX">#REF!</definedName>
    <definedName name="BELLINGHAM_MAX_" localSheetId="4">#REF!</definedName>
    <definedName name="BELLINGHAM_MAX_">#REF!</definedName>
    <definedName name="BELLINGHAM_MIN" localSheetId="4">#REF!</definedName>
    <definedName name="BELLINGHAM_MIN">#REF!</definedName>
    <definedName name="bi" hidden="1">{#N/A,#N/A,FALSE,"BidCo Assumptions";#N/A,#N/A,FALSE,"Credit Stats";#N/A,#N/A,FALSE,"Bidco Summary";#N/A,#N/A,FALSE,"BIDCO Consolidated"}</definedName>
    <definedName name="BNE_MESSAGES_HIDDEN" hidden="1">#REF!</definedName>
    <definedName name="BUYSELL" localSheetId="4">#REF!</definedName>
    <definedName name="BUYSELL">#REF!</definedName>
    <definedName name="C_" localSheetId="4">#REF!</definedName>
    <definedName name="C_">#REF!</definedName>
    <definedName name="canadian_toll_DataTable" localSheetId="4">#REF!</definedName>
    <definedName name="canadian_toll_DataTable">#REF!</definedName>
    <definedName name="Canadian_tolls_DataTable" localSheetId="4">#REF!</definedName>
    <definedName name="Canadian_tolls_DataTable">#REF!</definedName>
    <definedName name="CAP" localSheetId="4">#REF!</definedName>
    <definedName name="CAP">#REF!</definedName>
    <definedName name="cd" hidden="1">{"annual",#N/A,FALSE,"Pro Forma";#N/A,#N/A,FALSE,"Golf Operations"}</definedName>
    <definedName name="CENTRAL_STORES" localSheetId="4">#REF!</definedName>
    <definedName name="CENTRAL_STORES">#REF!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_Limit">'[1]General Inputs'!$D$32</definedName>
    <definedName name="Citygate_all_monts_DataTable" localSheetId="4">#REF!</definedName>
    <definedName name="Citygate_all_monts_DataTable">#REF!</definedName>
    <definedName name="Citygate_DataTable" localSheetId="4">#REF!</definedName>
    <definedName name="Citygate_DataTable">#REF!</definedName>
    <definedName name="Citygate_Delivery_DataTable" localSheetId="4">#REF!</definedName>
    <definedName name="Citygate_Delivery_DataTable">#REF!</definedName>
    <definedName name="Citygate_info_DataTable" localSheetId="4">#REF!</definedName>
    <definedName name="Citygate_info_DataTable">#REF!</definedName>
    <definedName name="Class_Factor_Names">'[1]Input-Func_Class'!$B$23:$B$28</definedName>
    <definedName name="CODINT22" localSheetId="4">#REF!</definedName>
    <definedName name="CODINT22">#REF!</definedName>
    <definedName name="CODINT23" localSheetId="4">#REF!</definedName>
    <definedName name="CODINT23">#REF!</definedName>
    <definedName name="CODINT24" localSheetId="4">#REF!</definedName>
    <definedName name="CODINT24">#REF!</definedName>
    <definedName name="combined1" hidden="1">{"YTD-Total",#N/A,TRUE,"Provision";"YTD-Utility",#N/A,TRUE,"Prov Utility";"YTD-NonUtility",#N/A,TRUE,"Prov NonUtility"}</definedName>
    <definedName name="COMBINTAX" localSheetId="4">#REF!</definedName>
    <definedName name="COMBINTAX">#REF!</definedName>
    <definedName name="Company">#REF!</definedName>
    <definedName name="CPRINT">#N/A</definedName>
    <definedName name="_xlnm.Criteria" localSheetId="4">#REF!</definedName>
    <definedName name="_xlnm.Criteria">#REF!</definedName>
    <definedName name="Criteria_MI" localSheetId="4">#REF!</definedName>
    <definedName name="Criteria_MI">#REF!</definedName>
    <definedName name="CUST" localSheetId="4">#REF!</definedName>
    <definedName name="CUST">#REF!</definedName>
    <definedName name="Cwvu.annual." hidden="1">#REF!,#REF!,#REF!,#REF!,#REF!,#REF!,#REF!,#REF!,#REF!,#REF!,#REF!,#REF!,#REF!,#REF!,#REF!,#REF!,#REF!,#REF!,#REF!,#REF!,#REF!,#REF!,#REF!,#REF!</definedName>
    <definedName name="Cwvu.annual._.hotel." hidden="1">#REF!,#REF!,#REF!,#REF!,#REF!,#REF!,#REF!,#REF!,#REF!,#REF!,#REF!,#REF!,#REF!,#REF!,#REF!,#REF!,#REF!,#REF!,#REF!</definedName>
    <definedName name="Cwvu.bottom._.line." hidden="1">#REF!,#REF!,#REF!,#REF!,#REF!,#REF!,#REF!,#REF!,#REF!,#REF!,#REF!,#REF!,#REF!,#REF!,#REF!,#REF!,#REF!,#REF!,#REF!,#REF!,#REF!,#REF!</definedName>
    <definedName name="Cwvu.cash._.flow." hidden="1">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wvu.combo." hidden="1">#REF!,#REF!,#REF!,#REF!,#REF!,#REF!,#REF!,#REF!,#REF!,#REF!,#REF!,#REF!,#REF!,#REF!,#REF!,#REF!,#REF!,#REF!,#REF!,#REF!,#REF!,#REF!</definedName>
    <definedName name="Cwvu.GREY_ALL." hidden="1">#REF!</definedName>
    <definedName name="Daily_Flow_DataTable" localSheetId="4">#REF!</definedName>
    <definedName name="Daily_Flow_DataTable">#REF!</definedName>
    <definedName name="Data" localSheetId="4">#REF!</definedName>
    <definedName name="Data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 localSheetId="4">#REF!</definedName>
    <definedName name="DATE">#REF!</definedName>
    <definedName name="DAY" localSheetId="4">#REF!</definedName>
    <definedName name="DAY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DUDE" hidden="1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stimatedBalances" localSheetId="4">#REF!</definedName>
    <definedName name="EstimatedBalances">#REF!</definedName>
    <definedName name="EV__ALLOWSTOPEXPAND__" hidden="1">1</definedName>
    <definedName name="EV__EVCOM_OPTIONS__" hidden="1">8</definedName>
    <definedName name="EV__EXPOPTIONS__" hidden="1">0</definedName>
    <definedName name="EV__LASTREFTIME__" hidden="1">40535.431400463</definedName>
    <definedName name="EV__MAXEXPCOLS__" hidden="1">100</definedName>
    <definedName name="EV__MAXEXPROWS__" hidden="1">2000</definedName>
    <definedName name="EV__MEMORYCVW__" hidden="1">0</definedName>
    <definedName name="EV__WBEVMODE__" hidden="1">0</definedName>
    <definedName name="EV__WBREFOPTIONS__" hidden="1">55</definedName>
    <definedName name="EV__WBVERSION__" hidden="1">0</definedName>
    <definedName name="EV__WSINFO__" hidden="1">"kab"</definedName>
    <definedName name="FERC" localSheetId="4">#REF!</definedName>
    <definedName name="FERC">#REF!</definedName>
    <definedName name="FERC320A" localSheetId="4">#REF!</definedName>
    <definedName name="FERC320A">#REF!</definedName>
    <definedName name="FERC321" localSheetId="4">#REF!</definedName>
    <definedName name="FERC321">#REF!</definedName>
    <definedName name="FERC324" localSheetId="4">#REF!</definedName>
    <definedName name="FERC324">#REF!</definedName>
    <definedName name="FERC325" localSheetId="4">#REF!</definedName>
    <definedName name="FERC325">#REF!</definedName>
    <definedName name="FERCINT05" localSheetId="4">#REF!</definedName>
    <definedName name="FERCINT05">#REF!</definedName>
    <definedName name="FERCINT06" localSheetId="4">#REF!</definedName>
    <definedName name="FERCINT06">#REF!</definedName>
    <definedName name="FERCINT07" localSheetId="4">#REF!</definedName>
    <definedName name="FERCINT07">#REF!</definedName>
    <definedName name="FERCINT08" localSheetId="4">#REF!</definedName>
    <definedName name="FERCINT08">#REF!</definedName>
    <definedName name="FERCINT09" localSheetId="4">#REF!</definedName>
    <definedName name="FERCINT09">#REF!</definedName>
    <definedName name="FERCINT10" localSheetId="4">#REF!</definedName>
    <definedName name="FERCINT10">#REF!</definedName>
    <definedName name="FERCINTRATE" localSheetId="4">#REF!</definedName>
    <definedName name="FERCINTRATE">#REF!</definedName>
    <definedName name="FERCINTRATE02" localSheetId="4">#REF!</definedName>
    <definedName name="FERCINTRATE02">#REF!</definedName>
    <definedName name="FERCINTRATE03" localSheetId="4">#REF!</definedName>
    <definedName name="FERCINTRATE03">#REF!</definedName>
    <definedName name="FERCOR" localSheetId="4">#REF!</definedName>
    <definedName name="FERCOR">#REF!</definedName>
    <definedName name="FERCWA" localSheetId="4">#REF!</definedName>
    <definedName name="FERCWA">#REF!</definedName>
    <definedName name="fffff" hidden="1">{"ALL",#N/A,FALSE,"A"}</definedName>
    <definedName name="FILE" localSheetId="4">#REF!</definedName>
    <definedName name="FILE">#REF!</definedName>
    <definedName name="FIT" localSheetId="4">#REF!</definedName>
    <definedName name="FIT">#REF!</definedName>
    <definedName name="FITRBADJ" localSheetId="4">#REF!</definedName>
    <definedName name="FITRBADJ">#REF!</definedName>
    <definedName name="FO3_4">#N/A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RM2259" localSheetId="4">#REF!</definedName>
    <definedName name="FORM2259">#REF!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dfsad" hidden="1">{"ALL",#N/A,FALSE,"A"}</definedName>
    <definedName name="Func_Factor_Name">'[1]Input-Func_Class'!$B$9:$B$20</definedName>
    <definedName name="Gas_Price_DataTable" localSheetId="4">#REF!</definedName>
    <definedName name="Gas_Price_DataTable">#REF!</definedName>
    <definedName name="gas_yr2009_10_DataTable" localSheetId="4">#REF!</definedName>
    <definedName name="gas_yr2009_10_DataTable">#REF!</definedName>
    <definedName name="GC" localSheetId="4">#REF!</definedName>
    <definedName name="GC">#REF!</definedName>
    <definedName name="gcnew" localSheetId="4">#REF!</definedName>
    <definedName name="gcnew">#REF!</definedName>
    <definedName name="GEN_OFFICE" localSheetId="4">#REF!</definedName>
    <definedName name="GEN_OFFICE">#REF!</definedName>
    <definedName name="gr" hidden="1">{"three",#N/A,FALSE,"Capital";"four",#N/A,FALSE,"Capital"}</definedName>
    <definedName name="help" hidden="1">{"ALL",#N/A,FALSE,"A"}</definedName>
    <definedName name="HOQUIAM_24_HR_A" localSheetId="4">#REF!</definedName>
    <definedName name="HOQUIAM_24_HR_A">#REF!</definedName>
    <definedName name="HOQUIAM_MAX" localSheetId="4">#REF!</definedName>
    <definedName name="HOQUIAM_MAX">#REF!</definedName>
    <definedName name="HOQUIAM_MAX_MIN" localSheetId="4">#REF!</definedName>
    <definedName name="HOQUIAM_MAX_MIN">#REF!</definedName>
    <definedName name="HOQUIAM_MIN" localSheetId="4">#REF!</definedName>
    <definedName name="HOQUIAM_MIN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HTML1_1" hidden="1">"'[MONET71.xls]Market Hubs by Condition'!$A$1:$F$44"</definedName>
    <definedName name="HTML1_10" hidden="1">"Dave_LeVee"</definedName>
    <definedName name="HTML1_11" hidden="1">1</definedName>
    <definedName name="HTML1_12" hidden="1">"G:\MONET\WEB\FORECAST\hub71.htm"</definedName>
    <definedName name="HTML1_2" hidden="1">1</definedName>
    <definedName name="HTML1_3" hidden="1">"MONET71"</definedName>
    <definedName name="HTML1_4" hidden="1">"Market Hubs by Condition"</definedName>
    <definedName name="HTML1_5" hidden="1">""</definedName>
    <definedName name="HTML1_6" hidden="1">1</definedName>
    <definedName name="HTML1_7" hidden="1">1</definedName>
    <definedName name="HTML1_8" hidden="1">"4/10/96"</definedName>
    <definedName name="HTML1_9" hidden="1">"Resource Forecasting Department"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5</definedName>
    <definedName name="I" localSheetId="4">#REF!</definedName>
    <definedName name="I">#REF!</definedName>
    <definedName name="ID" localSheetId="4">#REF!</definedName>
    <definedName name="ID">#REF!</definedName>
    <definedName name="IMPORT" localSheetId="4">#REF!</definedName>
    <definedName name="IMPORT">#REF!</definedName>
    <definedName name="INCOMETAX" localSheetId="4">#REF!</definedName>
    <definedName name="INCOMETAX">#REF!</definedName>
    <definedName name="INCTAX4092" localSheetId="4">#REF!</definedName>
    <definedName name="INCTAX4092">#REF!</definedName>
    <definedName name="INCTAXOP" localSheetId="4">#REF!</definedName>
    <definedName name="INCTAXOP">#REF!</definedName>
    <definedName name="Index_DataTable" localSheetId="4">#REF!</definedName>
    <definedName name="Index_DataTable">#REF!</definedName>
    <definedName name="INPUT" localSheetId="4">#REF!</definedName>
    <definedName name="INPUT">#REF!</definedName>
    <definedName name="INSTRUCTIONS" localSheetId="4">#REF!</definedName>
    <definedName name="INSTRUCTIONS">#REF!</definedName>
    <definedName name="INTCY08" localSheetId="4">#REF!</definedName>
    <definedName name="INTCY08">#REF!</definedName>
    <definedName name="IntCY09" localSheetId="4">#REF!</definedName>
    <definedName name="IntCY09">#REF!</definedName>
    <definedName name="intdate" localSheetId="4">#REF!</definedName>
    <definedName name="intdate">#REF!</definedName>
    <definedName name="InterestDuringAmort" localSheetId="4">#REF!</definedName>
    <definedName name="InterestDuringAmort">#REF!</definedName>
    <definedName name="INTERSTATE" localSheetId="4">#REF!</definedName>
    <definedName name="INTERSTATE">#REF!</definedName>
    <definedName name="INTFY05" localSheetId="4">#REF!</definedName>
    <definedName name="INTFY05">#REF!</definedName>
    <definedName name="INTFY06" localSheetId="4">#REF!</definedName>
    <definedName name="INTFY06">#REF!</definedName>
    <definedName name="INTFY07" localSheetId="4">#REF!</definedName>
    <definedName name="INTFY07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ANSEP">#N/A</definedName>
    <definedName name="JIM" hidden="1">{#N/A,#N/A,FALSE,"Sheet5"}</definedName>
    <definedName name="jjjj" localSheetId="4">#REF!</definedName>
    <definedName name="jjjj">#REF!</definedName>
    <definedName name="jjjjjjjjj" localSheetId="4">#REF!</definedName>
    <definedName name="jjjjjjjjj">#REF!</definedName>
    <definedName name="JRS" localSheetId="4">#REF!</definedName>
    <definedName name="JRS">#REF!</definedName>
    <definedName name="july_int_rate" localSheetId="4">#REF!</definedName>
    <definedName name="july_int_rate">#REF!</definedName>
    <definedName name="June" hidden="1">{"three",#N/A,FALSE,"Capital";"four",#N/A,FALSE,"Capital"}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2_WBEVMODE" hidden="1">0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kkkkkk" localSheetId="4">#REF!</definedName>
    <definedName name="kkkkkk">#REF!</definedName>
    <definedName name="LEGEND" localSheetId="4">#REF!</definedName>
    <definedName name="LEGEND">#REF!</definedName>
    <definedName name="limcount" hidden="1">3</definedName>
    <definedName name="llllll" localSheetId="4">#REF!</definedName>
    <definedName name="llllll">#REF!</definedName>
    <definedName name="M" localSheetId="4">#REF!</definedName>
    <definedName name="M">#REF!</definedName>
    <definedName name="M___R" localSheetId="4">#REF!</definedName>
    <definedName name="M___R">#REF!</definedName>
    <definedName name="MACRO">#N/A</definedName>
    <definedName name="MACROS" localSheetId="4">#REF!</definedName>
    <definedName name="MACROS">#REF!</definedName>
    <definedName name="MAIN_AB" localSheetId="4">#REF!</definedName>
    <definedName name="MAIN_AB">#REF!</definedName>
    <definedName name="MAIN_CR" localSheetId="4">#REF!</definedName>
    <definedName name="MAIN_CR">#REF!</definedName>
    <definedName name="MAIN_DB" localSheetId="4">#REF!</definedName>
    <definedName name="MAIN_DB">#REF!</definedName>
    <definedName name="MAIN_DF" localSheetId="4">#REF!</definedName>
    <definedName name="MAIN_DF">#REF!</definedName>
    <definedName name="MAIN_EN" localSheetId="4">#REF!</definedName>
    <definedName name="MAIN_EN">#REF!</definedName>
    <definedName name="MAIN_MA" localSheetId="4">#REF!</definedName>
    <definedName name="MAIN_MA">#REF!</definedName>
    <definedName name="MARDEMAND">#N/A</definedName>
    <definedName name="MARDEPREC" localSheetId="4">#REF!</definedName>
    <definedName name="MARDEPREC">#REF!</definedName>
    <definedName name="Master" hidden="1">{#N/A,#N/A,FALSE,"Actual";#N/A,#N/A,FALSE,"Normalized";#N/A,#N/A,FALSE,"Electric Actual";#N/A,#N/A,FALSE,"Electric Normalized"}</definedName>
    <definedName name="MENU" localSheetId="4">#REF!</definedName>
    <definedName name="MEN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 localSheetId="4">#REF!</definedName>
    <definedName name="MONTH">#REF!</definedName>
    <definedName name="Monthly_index_DataTable" localSheetId="4">#REF!</definedName>
    <definedName name="Monthly_index_DataTable">#REF!</definedName>
    <definedName name="Monthly_storage_DataTable" localSheetId="4">#REF!</definedName>
    <definedName name="Monthly_storage_DataTable">#REF!</definedName>
    <definedName name="Monthly_Volumes_DataTable" localSheetId="4">#REF!</definedName>
    <definedName name="Monthly_Volumes_DataTable">#REF!</definedName>
    <definedName name="N" localSheetId="4">#REF!</definedName>
    <definedName name="N">#REF!</definedName>
    <definedName name="NCT" localSheetId="4">#REF!</definedName>
    <definedName name="NCT">#REF!</definedName>
    <definedName name="new" localSheetId="4">#REF!</definedName>
    <definedName name="new">#REF!</definedName>
    <definedName name="new_int" localSheetId="4">#REF!</definedName>
    <definedName name="new_int">#REF!</definedName>
    <definedName name="njnjn" localSheetId="4">#REF!</definedName>
    <definedName name="njnjn">#REF!</definedName>
    <definedName name="NN" localSheetId="4">#REF!</definedName>
    <definedName name="NN">#REF!</definedName>
    <definedName name="nnnnn" localSheetId="4">#REF!</definedName>
    <definedName name="nnnnn">#REF!</definedName>
    <definedName name="Oct_07">"INTCY08"</definedName>
    <definedName name="OF" localSheetId="4">#REF!</definedName>
    <definedName name="OF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ld_int" localSheetId="4">#REF!</definedName>
    <definedName name="old_int">#REF!</definedName>
    <definedName name="om" hidden="1">{#N/A,#N/A,FALSE,"Summary";#N/A,#N/A,FALSE,"SmPlants";#N/A,#N/A,FALSE,"Utah";#N/A,#N/A,FALSE,"Idaho";#N/A,#N/A,FALSE,"Lewis River";#N/A,#N/A,FALSE,"NrthUmpq";#N/A,#N/A,FALSE,"KlamRog"}</definedName>
    <definedName name="OR" localSheetId="4">#REF!</definedName>
    <definedName name="OR">#REF!</definedName>
    <definedName name="OR_3_FACTOR" localSheetId="4">#REF!</definedName>
    <definedName name="OR_3_FACTOR">#REF!</definedName>
    <definedName name="OR_CUST" localSheetId="4">#REF!</definedName>
    <definedName name="OR_CUST">#REF!</definedName>
    <definedName name="OR_PEAK_DAY" localSheetId="4">#REF!</definedName>
    <definedName name="OR_PEAK_DAY">#REF!</definedName>
    <definedName name="OR_PLANT" localSheetId="4">#REF!</definedName>
    <definedName name="OR_PLANT">#REF!</definedName>
    <definedName name="OR320A" localSheetId="4">#REF!</definedName>
    <definedName name="OR320A">#REF!</definedName>
    <definedName name="OREGON_24_HR_AV" localSheetId="4">#REF!</definedName>
    <definedName name="OREGON_24_HR_AV">#REF!</definedName>
    <definedName name="OREGON_MAX" localSheetId="4">#REF!</definedName>
    <definedName name="OREGON_MAX">#REF!</definedName>
    <definedName name="OREGON_MAX_MIN" localSheetId="4">#REF!</definedName>
    <definedName name="OREGON_MAX_MIN">#REF!</definedName>
    <definedName name="OREGON_MIN" localSheetId="4">#REF!</definedName>
    <definedName name="OREGON_MIN">#REF!</definedName>
    <definedName name="ORTAXES" localSheetId="4">#REF!</definedName>
    <definedName name="ORTAXES">#REF!</definedName>
    <definedName name="ORTAXS" localSheetId="4">#REF!</definedName>
    <definedName name="ORTAXS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I" localSheetId="4">#REF!</definedName>
    <definedName name="OTI">#REF!</definedName>
    <definedName name="OVER" localSheetId="4">#REF!</definedName>
    <definedName name="OVER">#REF!</definedName>
    <definedName name="Page1" localSheetId="4">#REF!</definedName>
    <definedName name="Page1">#REF!</definedName>
    <definedName name="Page2" localSheetId="4">#REF!</definedName>
    <definedName name="Page2">#REF!</definedName>
    <definedName name="Page4" localSheetId="4">#REF!</definedName>
    <definedName name="Page4">#REF!</definedName>
    <definedName name="Page5" localSheetId="4">#REF!</definedName>
    <definedName name="Page5">#REF!</definedName>
    <definedName name="page6" localSheetId="4">#REF!</definedName>
    <definedName name="page6">#REF!</definedName>
    <definedName name="Pal_Workbook_GUID" hidden="1">"VX3CWJGNQX2CCGI81U4N2V76"</definedName>
    <definedName name="Penalty__DataTable" localSheetId="4">#REF!</definedName>
    <definedName name="Penalty__DataTable">#REF!</definedName>
    <definedName name="Penalty_cost_DataTable" localSheetId="4">#REF!</definedName>
    <definedName name="Penalty_cost_DataTable">#REF!</definedName>
    <definedName name="Penalty_DataTable" localSheetId="4">#REF!</definedName>
    <definedName name="Penalty_DataTable">#REF!</definedName>
    <definedName name="penalty_info_DataTable" localSheetId="4">#REF!</definedName>
    <definedName name="penalty_info_DataTable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FU" localSheetId="4">#REF!</definedName>
    <definedName name="PFU">#REF!</definedName>
    <definedName name="PGAPeriodVolumes" localSheetId="4">#REF!</definedName>
    <definedName name="PGAPeriodVolumes">#REF!</definedName>
    <definedName name="pint3">[0]!pint3</definedName>
    <definedName name="pint3r">[0]!pint3r</definedName>
    <definedName name="ppopo" localSheetId="4">#REF!</definedName>
    <definedName name="ppopo">#REF!</definedName>
    <definedName name="ppppp" localSheetId="4">#REF!</definedName>
    <definedName name="ppppp">#REF!</definedName>
    <definedName name="PPPPPPPPPPPPPPPP" hidden="1">{#N/A,#N/A,FALSE,"Sheet5"}</definedName>
    <definedName name="PricingInfo" hidden="1">#REF!</definedName>
    <definedName name="PRINT" localSheetId="4">#REF!</definedName>
    <definedName name="PRINT">#REF!</definedName>
    <definedName name="_xlnm.Print_Area" localSheetId="5">'Exhbit JAL-6'!$B$1:$L$54</definedName>
    <definedName name="_xlnm.Print_Area" localSheetId="6">'Exhibit JAL-7'!$B$1:$I$38</definedName>
    <definedName name="_xlnm.Print_Area" localSheetId="10">'MYRP Plant Update'!$A$1:$Q$331</definedName>
    <definedName name="_xlnm.Print_Area" localSheetId="2">'Table 3'!$A$1:$AE$22</definedName>
    <definedName name="Print_Area_MI" localSheetId="4">#REF!</definedName>
    <definedName name="Print_Area_MI">#REF!</definedName>
    <definedName name="_xlnm.Print_Titles" localSheetId="10">'MYRP Plant Update'!$1:$3</definedName>
    <definedName name="_xlnm.Print_Titles" localSheetId="11">'Variance Analysis'!$1:$3</definedName>
    <definedName name="print1" localSheetId="4">#REF!</definedName>
    <definedName name="print1">#REF!</definedName>
    <definedName name="print10">[0]!print10</definedName>
    <definedName name="print2" localSheetId="4">#REF!</definedName>
    <definedName name="print2">#REF!</definedName>
    <definedName name="print3" localSheetId="4">#REF!</definedName>
    <definedName name="print3">#REF!</definedName>
    <definedName name="pzint3">[0]!pzint3</definedName>
    <definedName name="qqqq" localSheetId="4">#REF!</definedName>
    <definedName name="qqqq">#REF!</definedName>
    <definedName name="QUIT" localSheetId="4">#REF!</definedName>
    <definedName name="QUIT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sens" localSheetId="4">#REF!</definedName>
    <definedName name="revsens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R_System">'[1]General Inputs'!$D$19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Rwvu.allocations." hidden="1">#REF!</definedName>
    <definedName name="Rwvu.annual._.hotel." hidden="1">#REF!</definedName>
    <definedName name="Rwvu.bottom._.line." hidden="1">#REF!</definedName>
    <definedName name="Rwvu.cash._.flow." hidden="1">#REF!</definedName>
    <definedName name="Rwvu.combo." hidden="1">#REF!</definedName>
    <definedName name="Rwvu.offsite." hidden="1">#REF!</definedName>
    <definedName name="Rwvu.onsite." hidden="1">#REF!</definedName>
    <definedName name="S" localSheetId="4">#REF!</definedName>
    <definedName name="S">#REF!</definedName>
    <definedName name="SAPBEXhrIndnt" hidden="1">"Wide"</definedName>
    <definedName name="SAPBEXrevision" hidden="1">1</definedName>
    <definedName name="SAPBEXsysID" hidden="1">"BWP"</definedName>
    <definedName name="SAPBEXwbID" hidden="1">"45FIHJWMI3GHFVKWLVCY66MTN"</definedName>
    <definedName name="SAPsysID" hidden="1">"708C5W7SBKP804JT78WJ0JNKI"</definedName>
    <definedName name="SAPwbID" hidden="1">"ARS"</definedName>
    <definedName name="SAVE" localSheetId="4">#REF!</definedName>
    <definedName name="SAVE">#REF!</definedName>
    <definedName name="scenario_2790_DataTable" localSheetId="4">#REF!</definedName>
    <definedName name="scenario_2790_DataTable">#REF!</definedName>
    <definedName name="Sheet1_DataTable" localSheetId="4">#REF!</definedName>
    <definedName name="Sheet1_DataTable">#REF!</definedName>
    <definedName name="Sheet3_DataTable" localSheetId="4">#REF!</definedName>
    <definedName name="Sheet3_DataTable">#REF!</definedName>
    <definedName name="Sheet5_DataTable" localSheetId="4">#REF!</definedName>
    <definedName name="Sheet5_DataTable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preadsheetBuilder_2" hidden="1">#REF!</definedName>
    <definedName name="SpreadsheetBuilder_3" hidden="1">#REF!</definedName>
    <definedName name="SSPBILL" localSheetId="4">#REF!</definedName>
    <definedName name="SSPBILL">#REF!</definedName>
    <definedName name="SSPREF" localSheetId="4">#REF!</definedName>
    <definedName name="SSPREF">#REF!</definedName>
    <definedName name="standard1" hidden="1">{"YTD-Total",#N/A,FALSE,"Provision"}</definedName>
    <definedName name="Storage_DataTable" localSheetId="4">#REF!</definedName>
    <definedName name="Storage_DataTable">#REF!</definedName>
    <definedName name="storage_info_DataTable" localSheetId="4">#REF!</definedName>
    <definedName name="storage_info_DataTable">#REF!</definedName>
    <definedName name="Storage_Inj_DataTable" localSheetId="4">#REF!</definedName>
    <definedName name="Storage_Inj_DataTable">#REF!</definedName>
    <definedName name="Storage_Monthly_DataTable" localSheetId="4">#REF!</definedName>
    <definedName name="Storage_Monthly_DataTable">#REF!</definedName>
    <definedName name="Supply_DataTable" localSheetId="4">#REF!</definedName>
    <definedName name="Supply_DataTable">#REF!</definedName>
    <definedName name="Supply_Info_all_years_DataTable" localSheetId="4">#REF!</definedName>
    <definedName name="Supply_Info_all_years_DataTable">#REF!</definedName>
    <definedName name="Supply_Info_DataTable" localSheetId="4">#REF!</definedName>
    <definedName name="Supply_Info_DataTable">#REF!</definedName>
    <definedName name="supply_pull_DataTable" localSheetId="4">#REF!</definedName>
    <definedName name="supply_pull_DataTable">#REF!</definedName>
    <definedName name="Swvu.allocations." hidden="1">#REF!</definedName>
    <definedName name="Swvu.annual._.hotel." hidden="1">#REF!</definedName>
    <definedName name="Swvu.bottom._.line." hidden="1">#REF!</definedName>
    <definedName name="Swvu.cash._.flow." hidden="1">#REF!</definedName>
    <definedName name="Swvu.combo." hidden="1">#REF!</definedName>
    <definedName name="Swvu.full." hidden="1">#REF!</definedName>
    <definedName name="Swvu.offsite." hidden="1">#REF!</definedName>
    <definedName name="Swvu.onsite." hidden="1">#REF!</definedName>
    <definedName name="T" localSheetId="4">#REF!</definedName>
    <definedName name="T">#REF!</definedName>
    <definedName name="TAXINT18" localSheetId="4">#REF!</definedName>
    <definedName name="TAXINT18">#REF!</definedName>
    <definedName name="TAXINT19" localSheetId="4">#REF!</definedName>
    <definedName name="TAXINT19">#REF!</definedName>
    <definedName name="TESTPERIOD" localSheetId="4">#REF!</definedName>
    <definedName name="TESTPERIOD">#REF!</definedName>
    <definedName name="TestPeriodVolumes" localSheetId="4">#REF!</definedName>
    <definedName name="TestPeriodVolumes">#REF!</definedName>
    <definedName name="Title1">#REF!</definedName>
    <definedName name="Title2">#REF!</definedName>
    <definedName name="Title3">#REF!</definedName>
    <definedName name="Title4">#REF!</definedName>
    <definedName name="Title5">#REF!</definedName>
    <definedName name="Title6">#REF!</definedName>
    <definedName name="Title7">#REF!</definedName>
    <definedName name="Title8">#REF!</definedName>
    <definedName name="TITLES" localSheetId="4">#REF!</definedName>
    <definedName name="TITLES">#REF!</definedName>
    <definedName name="TOTALCustomerSheets">OFFSET('[1]Required Sheets'!$I$24:$I$35,,,12-COUNTBLANK('[1]Required Sheets'!$I$24:$I$35))</definedName>
    <definedName name="TOTALDemandSheets">OFFSET('[1]Required Sheets'!$G$24:$G$35,,,12-COUNTBLANK('[1]Required Sheets'!$G$24:$G$35))</definedName>
    <definedName name="TOTALECSheets">OFFSET('[1]Required Sheets'!$H$24:$H$35,,,12-COUNTBLANK('[1]Required Sheets'!$H$24:$H$35))</definedName>
    <definedName name="TP_Footer_User" hidden="1">"Dylan Moser"</definedName>
    <definedName name="TP_Footer_Version" hidden="1">"v4.00"</definedName>
    <definedName name="TRANSPORT" localSheetId="4">#REF!</definedName>
    <definedName name="TRANSPORT">#REF!</definedName>
    <definedName name="Transport_DataTable" localSheetId="4">#REF!</definedName>
    <definedName name="Transport_DataTable">#REF!</definedName>
    <definedName name="Transport_Info_DataTable" localSheetId="4">#REF!</definedName>
    <definedName name="Transport_Info_DataTable">#REF!</definedName>
    <definedName name="TRNSPTREV" localSheetId="4">#REF!</definedName>
    <definedName name="TRNSPTREV">#REF!</definedName>
    <definedName name="trth" hidden="1">{"ALL",#N/A,FALSE,"A"}</definedName>
    <definedName name="VARIANCE" localSheetId="4">#REF!</definedName>
    <definedName name="VARIANCE">#REF!</definedName>
    <definedName name="VARIANCEREVENUE" localSheetId="4">#REF!</definedName>
    <definedName name="VARIANCEREVENUE">#REF!</definedName>
    <definedName name="vcdv" hidden="1">#REF!</definedName>
    <definedName name="w" hidden="1">#REF!</definedName>
    <definedName name="WA" localSheetId="4">#REF!</definedName>
    <definedName name="WA">#REF!</definedName>
    <definedName name="WA_3_FACTOR" localSheetId="4">#REF!</definedName>
    <definedName name="WA_3_FACTOR">#REF!</definedName>
    <definedName name="WA_CUST" localSheetId="4">#REF!</definedName>
    <definedName name="WA_CUST">#REF!</definedName>
    <definedName name="WA_PLANT" localSheetId="4">#REF!</definedName>
    <definedName name="WA_PLANT">#REF!</definedName>
    <definedName name="wa_revsens" localSheetId="4">#REF!</definedName>
    <definedName name="wa_revsens">#REF!</definedName>
    <definedName name="WA320A" localSheetId="4">#REF!</definedName>
    <definedName name="WA320A">#REF!</definedName>
    <definedName name="WACOG" localSheetId="4">#REF!</definedName>
    <definedName name="WACOG">#REF!</definedName>
    <definedName name="WALLA_WALLA_24_" localSheetId="4">#REF!</definedName>
    <definedName name="WALLA_WALLA_24_">#REF!</definedName>
    <definedName name="WALLA_WALLA_MAX" localSheetId="4">#REF!</definedName>
    <definedName name="WALLA_WALLA_MAX">#REF!</definedName>
    <definedName name="WALLA_WALLA_MIN" localSheetId="4">#REF!</definedName>
    <definedName name="WALLA_WALLA_MIN">#REF!</definedName>
    <definedName name="WATAXES" localSheetId="4">#REF!</definedName>
    <definedName name="WATAXES">#REF!</definedName>
    <definedName name="WATAXS" localSheetId="4">#REF!</definedName>
    <definedName name="WATAXS">#REF!</definedName>
    <definedName name="WCALL">#N/A</definedName>
    <definedName name="wr" hidden="1">{"Output-3Column",#N/A,FALSE,"Output"}</definedName>
    <definedName name="wrn" hidden="1">{"Inflation-BaseYear",#N/A,FALSE,"Inputs"}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{"ALL",#N/A,FALSE,"A"}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All._.Sheets." hidden="1">{"IncSt",#N/A,FALSE,"IS";"BalSht",#N/A,FALSE,"BS";"IntCash",#N/A,FALSE,"Int. Cash";"Stats",#N/A,FALSE,"Stats"}</definedName>
    <definedName name="wrn.annual." hidden="1">{"annual",#N/A,FALSE,"Pro Forma"}</definedName>
    <definedName name="wrn.Annual._.Detail." hidden="1">{"annualsum",#N/A,FALSE,"Cost Summary";"annual1",#N/A,FALSE,"Phase_1";"annual2",#N/A,FALSE,"Phase_2";"annual3",#N/A,FALSE,"Phase_3";"annual4",#N/A,FALSE,"Phase_4"}</definedName>
    <definedName name="wrn.Annual._.Golf." hidden="1">{"a_dev",#N/A,FALSE,"Golf Development";"a_memstats",#N/A,FALSE,"Golf Development";"a_opstats",#N/A,FALSE,"Golf Development";"a_rev",#N/A,FALSE,"Golf Development";"a_return",#N/A,FALSE,"Golf Development"}</definedName>
    <definedName name="wrn.Annual._.Hotel." hidden="1">{"annual hotel",#N/A,FALSE,"Hotel Development"}</definedName>
    <definedName name="wrn.Annual._.Land._.Sales." hidden="1">{"annual",#N/A,FALSE,"Land Sales"}</definedName>
    <definedName name="wrn.Annual._.Report." hidden="1">{"annual",#N/A,FALSE,"Pro Forma";#N/A,#N/A,FALSE,"Golf Operations"}</definedName>
    <definedName name="wrn.Annual._.Report._.no._.releases." hidden="1">{"a_sales",#N/A,FALSE,"Summary";"a_debt",#N/A,FALSE,"Summary";"a_cash",#N/A,FALSE,"Summary";"a_accrual",#N/A,FALSE,"Summary"}</definedName>
    <definedName name="wrn.Annual._.Report._.with._.releases." hidden="1">{"a_sales",#N/A,FALSE,"Summary";"a_debt",#N/A,FALSE,"Summary";"a_releases",#N/A,FALSE,"Summary";"a_cash",#N/A,FALSE,"Summary";"a_accrual",#N/A,FALSE,"Summary"}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idCo." hidden="1">{#N/A,#N/A,FALSE,"BidCo Assumptions";#N/A,#N/A,FALSE,"Credit Stats";#N/A,#N/A,FALSE,"Bidco Summary";#N/A,#N/A,FALSE,"BIDCO Consolidated"}</definedName>
    <definedName name="wrn.BS." hidden="1">{"BS",#N/A,FALSE,"A"}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SH." hidden="1">{#N/A,#N/A,FALSE,"Sheet5"}</definedName>
    <definedName name="wrn.Cash._.and._.Accrual." hidden="1">{"a_cash",#N/A,FALSE,"Summary";"a_accrual",#N/A,FALSE,"Summary"}</definedName>
    <definedName name="wrn.Combined._.YTD." hidden="1">{"YTD-Total",#N/A,TRUE,"Provision";"YTD-Utility",#N/A,TRUE,"Prov Utility";"YTD-NonUtility",#N/A,TRUE,"Prov NonUtility"}</definedName>
    <definedName name="wrn.Complete._.Report." hidden="1">{"Schedule A - Cost of Equity results",#N/A,TRUE,"Summary Results";"Schedule 1B - Cost of Capital Results",#N/A,TRUE,"Final Summary Sheet";"Schedule 2 A - Selected Cohort Financial Data",#N/A,TRUE,"COMPCO";"Schedule 2 B - EPS, etc. Cohort",#N/A,TRUE,"COMPCO";"Schedule 2 C - Cohort Group Growth Estimates",#N/A,TRUE,"COMPCO";"Schedule 2 D - OPUC-Selected Companies",#N/A,TRUE,"COMPCO";"Schedules 3A &amp; 3B - Single-stage DCF Analyses",#N/A,TRUE,"Single-Stage and 5-Year DCF"}</definedName>
    <definedName name="wrn.ConsolGrossGrp." hidden="1">{"Conol gross povision grouped",#N/A,FALSE,"Consol Gross";"Consol Gross Grouped",#N/A,FALSE,"Consol Gross"}</definedName>
    <definedName name="wrn.Current._.Estimate." hidden="1">{#N/A,#N/A,FALSE,"Title Page";#N/A,#N/A,FALSE,"Last Ce to Current Ce";#N/A,#N/A,FALSE,"CE to Plan";#N/A,#N/A,FALSE,"Last CE to Actual";#N/A,#N/A,FALSE,"Actual to Plan";#N/A,#N/A,FALSE,"Net Cash Flow Chg";#N/A,#N/A,FALSE,"Net Cash Flow Fix";#N/A,#N/A,FALSE,"Net Cash Flow";#N/A,#N/A,FALSE,"Balance Sheet";#N/A,#N/A,FALSE,"Cash Flow";#N/A,#N/A,FALSE,"III X Capital";#N/A,#N/A,FALSE,"Monthly Summary-Consolidated";#N/A,#N/A,FALSE,"Monthly Summary-Other";#N/A,#N/A,FALSE,"III X II LP Capital";#N/A,#N/A,FALSE,"Monthly Summary-IIIXIILP";#N/A,#N/A,FALSE,"Monthly Summary-SEI";#N/A,#N/A,FALSE,"Monthly Summary-Raton";#N/A,#N/A,FALSE,"Monthly Summary-Utah";#N/A,#N/A,FALSE,"Monthly Summary-Corp G&amp;A";#N/A,#N/A,FALSE,"Monthly Summary-Capital Plan";#N/A,#N/A,FALSE,"Income Tax Provision";#N/A,#N/A,FALSE,"IIIX Debt"}</definedName>
    <definedName name="wrn.DCF._.Valuation." hidden="1">{"value box",#N/A,TRUE,"DPL Inc. Fin Statements";"unlevered free cash flows",#N/A,TRUE,"DPL Inc. Fin Statements"}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CB." hidden="1">{"FCB_ALL",#N/A,FALSE,"FCB"}</definedName>
    <definedName name="wrn.fcb2" hidden="1">{"FCB_ALL",#N/A,FALSE,"FCB"}</definedName>
    <definedName name="wrn.Financials." hidden="1">{#N/A,#N/A,TRUE,"Income Statement";#N/A,#N/A,TRUE,"Balance Sheet";#N/A,#N/A,TRUE,"Cash Flow"}</definedName>
    <definedName name="wrn.Five._.Year._.Test." hidden="1">{"Five Year Plan",#N/A,TRUE,"Monthly Summary-IIIXIILP";"Five Year Plan",#N/A,TRUE,"Cash Flow"}</definedName>
    <definedName name="wrn.full._.report.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reg." hidden="1">{"three",#N/A,FALSE,"Capital";"four",#N/A,FALSE,"Capital"}</definedName>
    <definedName name="wrn.III._.X._.Co._.Five._.Year._.Plan." hidden="1">{#N/A,#N/A,TRUE,"Title Page-Financial Stmts IIIX";"Balance Sheet Five Year Plan",#N/A,TRUE,"Balance Sheet";"Cash Flow Five Year Plan",#N/A,TRUE,"Cash Flow";"III X Capital Five Year Plan",#N/A,TRUE,"III X Capital";"Consol Income Five Year Plan",#N/A,TRUE,"Monthly Summary-Consolidated";"Other Income Five Year Plan",#N/A,TRUE,"Monthly Summary-Other";"IIIXIILPCapital Five Year Plan",#N/A,TRUE,"III X II LP Capital";"IIIXIILP Income Five Year Plan",#N/A,TRUE,"Monthly Summary-IIIXIILP";"QEP Income Five Year Plan",#N/A,TRUE,"Monthly Summary-SEI";"Raton Income Five Year Plan",#N/A,TRUE,"Monthly Summary-Raton";"AC Income Five Year Plan",#N/A,TRUE,"Monthly Summary-Utah";"G&amp;A Five Year Plan",#N/A,TRUE,"Monthly Summary-Corp G&amp;A";"CAPEX Five Year Plan",#N/A,TRUE,"Monthly Summary-Capital Plan";"Drilling Prog Five Year Plan",#N/A,TRUE,"Drilling Prog Current";"Debt Five Year Plan",#N/A,TRUE,"IIIX Debt";"Income Tax Five Year Plan",#N/A,TRUE,"Income Tax Provision"}</definedName>
    <definedName name="wrn.IIIXCo._.Five._.Year._.Summary._.Reports." hidden="1">{#N/A,#N/A,TRUE,"Title Page-Financial Stmts IIIX";#N/A,#N/A,TRUE,"Sumry_Income IIIXCo";#N/A,#N/A,TRUE,"Sumry_Balance Sheet IIIXCo";#N/A,#N/A,TRUE,"Sumry_Cash Flow IIIXCo";#N/A,#N/A,TRUE,"Antelope Creek";#N/A,#N/A,TRUE,"QEP";#N/A,#N/A,TRUE,"Raton"}</definedName>
    <definedName name="wrn.IIIXCo._.FY._.2004._.Plan." hidden="1">{"IIIXCo FY 04 Plan",#N/A,FALSE,"Monthly Summary-IIIXIILP"}</definedName>
    <definedName name="wrn.Inputs." hidden="1">{"Inflation-BaseYear",#N/A,FALSE,"Inputs"}</definedName>
    <definedName name="wrn.Invested._.Capital." hidden="1">{#N/A,#N/A,FALSE,"Invested Capital-Total";#N/A,#N/A,FALSE,"Invested Capital-SEI";#N/A,#N/A,FALSE,"Invested Capital-Utah";#N/A,#N/A,FALSE,"Invested Capital-Raton"}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d." hidden="1">{"Pfd",#N/A,FALSE,"Pfd"}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ivot1." hidden="1">{"Pivot1",#N/A,FALSE,"Redemption_Maturity Extract"}</definedName>
    <definedName name="wrn.Pivot2." hidden="1">{"Pivot2",#N/A,FALSE,"Redemption_Maturity Extract"}</definedName>
    <definedName name="wrn.Plan._.2004." hidden="1">{#N/A,#N/A,TRUE,"Title Page";#N/A,#N/A,TRUE,"Net Cash Flow";#N/A,#N/A,TRUE,"Balance Sheet";#N/A,#N/A,TRUE,"Cash Flow";#N/A,#N/A,TRUE,"III X Capital";#N/A,#N/A,TRUE,"Monthly Summary-Consolidated";#N/A,#N/A,TRUE,"Monthly Summary-Other";#N/A,#N/A,TRUE,"Monthly Summary-IIIXIILP";#N/A,#N/A,TRUE,"Monthly Summary-SEI";#N/A,#N/A,TRUE,"Monthly Summary-Raton";#N/A,#N/A,TRUE,"Monthly Summary-Utah";#N/A,#N/A,TRUE,"Monthly Summary-Corp G&amp;A";#N/A,#N/A,TRUE,"Monthly Summary-Capital Plan";#N/A,#N/A,TRUE,"Drilling Prog Current";#N/A,#N/A,TRUE,"IIIX Debt";#N/A,#N/A,TRUE,"Income Tax Provision"}</definedName>
    <definedName name="wrn.PPMCoCodeView." hidden="1">{"PPM Co Code View",#N/A,FALSE,"Comp Codes"}</definedName>
    <definedName name="wrn.PPMreconview." hidden="1">{"PPM Recon View",#N/A,FALSE,"Hyperion Proof"}</definedName>
    <definedName name="wrn.PrintAll." hidden="1">{"PA1",#N/A,TRUE,"BORDMW";"pa2",#N/A,TRUE,"BORDMW";"PA3",#N/A,TRUE,"BORDMW";"PA4",#N/A,TRUE,"BORDMW"}</definedName>
    <definedName name="wrn.ProofElectricOnly." hidden="1">{"Electric Only",#N/A,FALSE,"Hyperion Proof"}</definedName>
    <definedName name="wrn.ProofTotal." hidden="1">{"Proof Total",#N/A,FALSE,"Hyperion Proof"}</definedName>
    <definedName name="wrn.quarterly." hidden="1">{"quarterly",#N/A,FALSE,"Pro Forma"}</definedName>
    <definedName name="wrn.Reformat._.only." hidden="1">{#N/A,#N/A,FALSE,"Dec 1999 mapping"}</definedName>
    <definedName name="wrn.Releases._.Cash._.Accrual." hidden="1">{"a_releases",#N/A,FALSE,"Summary";"a_cash",#N/A,FALSE,"Summary";"a_accrual",#N/A,FALSE,"Summary"}</definedName>
    <definedName name="wrn.rpt96." hidden="1">{"rmrev1",#N/A,FALSE,"Forecast96";"rmrev2",#N/A,FALSE,"Forecast96";"rmrev3",#N/A,FALSE,"Forecast96"}</definedName>
    <definedName name="wrn.sales." hidden="1">{"sales",#N/A,FALSE,"Sales";"sales existing",#N/A,FALSE,"Sales";"sales rd1",#N/A,FALSE,"Sales";"sales rd2",#N/A,FALSE,"Sales"}</definedName>
    <definedName name="wrn.Sales._.and._.Debt." hidden="1">{"a_sales",#N/A,FALSE,"Summary";"a_debt",#N/A,FALSE,"Summary"}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CHED._.BC." hidden="1">{"SCHED_B&amp;C",#N/A,FALSE,"A"}</definedName>
    <definedName name="wrn.SCHED._.DE." hidden="1">{"SCHED_D&amp;E",#N/A,FALSE,"A"}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hared._.Costs." hidden="1">{"cash flow",#N/A,FALSE,"Shared Costs";"allocations",#N/A,FALSE,"Shared Costs"}</definedName>
    <definedName name="wrn.SHEDA." hidden="1">{"SCHED_A",#N/A,FALSE,"A"}</definedName>
    <definedName name="wrn.STAND_ALONE_BOTH." hidden="1">{"FCB_ALL",#N/A,FALSE,"FCB";"GREY_ALL",#N/A,FALSE,"GREY"}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Tariff99." hidden="1">{"103Decup",#N/A,TRUE,"TRF103";"101Refund",#N/A,TRUE,"TRF101A";"101EEAAcct",#N/A,TRUE,"TRF101C";"107DSMRef",#N/A,TRUE,"TRF107";"107Amort",#N/A,TRUE,"DSM Amort";"102RPAInt",#N/A,TRUE,"TRF102B";"111Price1",#N/A,TRUE,"TRF111A";"111Price2",#N/A,TRUE,"TRF111B"}</definedName>
    <definedName name="wrn.UK._.Conversion._.Only." hidden="1">{#N/A,#N/A,FALSE,"Dec 1999 UK Continuing Ops"}</definedName>
    <definedName name="wrn.Wacc." hidden="1">{"Area1",#N/A,FALSE,"OREWACC";"Area2",#N/A,FALSE,"OREWACC"}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rng" hidden="1">{"Output-BaseYear",#N/A,FALSE,"Output"}</definedName>
    <definedName name="wrnh" hidden="1">{"Output-All",#N/A,FALSE,"Output"}</definedName>
    <definedName name="wvu.allocations." hidden="1">{TRUE,TRUE,-1.41610738255034,-14.9463087248322,497.718120805369,308.295302013423,FALSE,TRUE,TRUE,TRUE,0,1,1,1,40,3,2.68,4,TRUE,TRUE,3,TRUE,1,FALSE,100,"Swvu.allocations.","ACwvu.allocations.",#N/A,FALSE,FALSE,0.5,0.5,0.5,0.5,1,"","&amp;L&amp;F   &amp;A&amp;R&amp;D   &amp;T",TRUE,FALSE,FALSE,FALSE,1,100,#N/A,#N/A,"=R1C1:R118C10","=R1:R2","Rwvu.allocations.",#N/A,FALSE,FALSE,TRUE,1,4294967292,300,FALSE,FALSE,TRUE,TRUE,TRUE}</definedName>
    <definedName name="wvu.annual." hidden="1">{TRUE,TRUE,-1.41610738255034,-14.9463087248322,497.718120805369,308.295302013423,FALSE,TRUE,TRUE,TRUE,0,1,#N/A,1,1,9.97,4.21739130434783,3,FALSE,TRUE,3,TRUE,1,FALSE,100,"Swvu.annual.","ACwvu.annual.",#N/A,FALSE,FALSE,0.5,0.5,0.5,0.5,2,"","&amp;L&amp;""Palatino,Regular""&amp;9&amp;F&amp;C&amp;""Palatino,Regular""&amp;9LAND SALES DETAIL - Page &amp;P of &amp;N&amp;R&amp;""Palatino,Regular""&amp;9&amp;D   &amp;T",TRUE,FALSE,FALSE,FALSE,2,90,#N/A,#N/A,"=R1C1:R174C16","=R1:R3","Rwvu.annual.","Cwvu.annual.",FALSE,FALSE,FALSE,1,4294967292,300,FALSE,FALSE,TRUE,TRUE,TRUE}</definedName>
    <definedName name="wvu.annual._.hotel." hidden="1">{TRUE,TRUE,-1.41610738255034,-14.9463087248322,497.718120805369,308.295302013423,FALSE,TRUE,TRUE,TRUE,0,1,1,1,1,1,2.08695652173913,4,TRUE,TRUE,3,TRUE,1,FALSE,100,"Swvu.annual._.hotel.","ACwvu.annual._.hotel.",#N/A,FALSE,FALSE,0.5,0.5,0.5,0.5,2,"","&amp;L&amp;8&amp;F&amp;C&amp;8HOTEL DEVELOPMENT - Page &amp;P of &amp;N&amp;R&amp;8&amp;D   &amp;T",TRUE,FALSE,FALSE,FALSE,2,#N/A,1,#N/A,#DIV/0!,"=R1:R2","Rwvu.annual._.hotel.","Cwvu.annual._.hotel.",FALSE,FALSE,FALSE,1,4294967292,300,FALSE,FALSE,TRUE,TRUE,TRUE}</definedName>
    <definedName name="wvu.bottom._.line." hidden="1">{TRUE,TRUE,-1.41610738255034,-14.9463087248322,497.718120805369,308.295302013423,FALSE,TRUE,TRUE,TRUE,0,1,1,1,280,1,2.17391304347826,4,TRUE,TRUE,3,TRUE,1,FALSE,100,"Swvu.bottom._.line.","ACwvu.bottom._.line.",#N/A,FALSE,FALSE,0.5,0.5,0.5,0.5,2,"","&amp;L&amp;8&amp;F   &amp;A&amp;R&amp;8&amp;D   &amp;T",TRUE,FALSE,FALSE,FALSE,2,#N/A,1,#N/A,#DIV/0!,"=R1:R2","Rwvu.bottom._.line.","Cwvu.bottom._.line.",FALSE,FALSE,FALSE,1,4294967292,300,FALSE,FALSE,TRUE,TRUE,TRUE}</definedName>
    <definedName name="wvu.cash._.flow." hidden="1">{TRUE,TRUE,-1.41610738255034,-14.9463087248322,497.718120805369,308.295302013423,FALSE,TRUE,TRUE,TRUE,0,1,1,1,1,1,2.40816326530612,4,TRUE,TRUE,3,TRUE,1,FALSE,100,"Swvu.cash._.flow.","ACwvu.cash._.flow.",#N/A,FALSE,FALSE,0.5,0.5,0.5,0.5,2,"","&amp;L&amp;""Palatino,Regular""&amp;8&amp;F&amp;C&amp;""Palatino,Regular""&amp;8SHARED COSTS&amp;R&amp;""Palatino,Regular""&amp;8&amp;D   &amp;T",TRUE,FALSE,FALSE,FALSE,1,#N/A,1,1,"=R1C1:R120C22",FALSE,"Rwvu.cash._.flow.","Cwvu.cash._.flow.",FALSE,FALSE,FALSE,1,4294967292,300,FALSE,FALSE,TRUE,TRUE,TRUE}</definedName>
    <definedName name="wvu.combo." hidden="1">{TRUE,TRUE,-1.41610738255034,-14.9463087248322,497.718120805369,308.295302013423,FALSE,TRUE,TRUE,TRUE,0,1,3,1,170,1,1.07142857142857,3,TRUE,TRUE,3,TRUE,1,FALSE,100,"Swvu.combo.","ACwvu.combo.",#N/A,FALSE,FALSE,0.5,0.5,0.5,0.5,2,"","&amp;L&amp;8&amp;F   &amp;A&amp;R&amp;8&amp;D   &amp;T",TRUE,FALSE,FALSE,FALSE,2,#N/A,1,#N/A,#DIV/0!,"=R1:R2","Rwvu.combo.","Cwvu.combo.",FALSE,FALSE,FALSE,1,4294967292,300,FALSE,FALSE,TRUE,TRUE,TRUE}</definedName>
    <definedName name="wvu.full." hidden="1">{TRUE,TRUE,-1.41610738255034,-14.9463087248322,497.718120805369,308.295302013423,FALSE,TRUE,TRUE,TRUE,0,1,#N/A,1,1,8.41904761904762,2.4,3,FALSE,TRUE,3,TRUE,1,FALSE,100,"Swvu.full.","ACwvu.full.",#N/A,FALSE,FALSE,0.5,0.5,0.5,0.5,2,"","&amp;L&amp;F&amp;R&amp;D   &amp;T",TRUE,FALSE,FALSE,FALSE,1,#N/A,1,1,"=R1C1:R97C24",FALSE,#N/A,#N/A,FALSE,FALSE,FALSE,1,4294967292,300,FALSE,FALSE,TRUE,TRUE,TRUE}</definedName>
    <definedName name="wvu.offsite." hidden="1">{TRUE,TRUE,-1.41610738255034,-14.9463087248322,497.718120805369,308.295302013423,FALSE,TRUE,TRUE,TRUE,0,1,1,1,1,3,2.91836734693878,4,TRUE,TRUE,3,TRUE,1,FALSE,100,"Swvu.offsite.","ACwvu.offsite.",#N/A,FALSE,FALSE,0.5,0.5,0.5,0.5,1,"","&amp;L&amp;""Palatino,Regular""&amp;8&amp;F&amp;C&amp;""Palatino,Regular""&amp;8SHARED COSTS&amp;R&amp;""Palatino,Regular""&amp;8&amp;D   &amp;T",TRUE,FALSE,FALSE,FALSE,1,#N/A,1,1,#DIV/0!,"=R1:R2","Rwvu.offsite.",#N/A,FALSE,FALSE,FALSE,1,4294967292,300,FALSE,FALSE,TRUE,TRUE,TRUE}</definedName>
    <definedName name="wvu.onsite." hidden="1">{TRUE,TRUE,-1.41610738255034,-14.9463087248322,497.718120805369,308.295302013423,FALSE,TRUE,TRUE,TRUE,0,1,1,1,1,3,2.83673469387755,4,TRUE,TRUE,3,TRUE,1,FALSE,100,"Swvu.onsite.","ACwvu.onsite.",#N/A,FALSE,FALSE,0.5,0.5,0.5,0.5,1,"","&amp;L&amp;""Palatino,Regular""&amp;8&amp;F&amp;C&amp;""Palatino,Regular""&amp;8SHARED COSTS&amp;R&amp;""Palatino,Regular""&amp;8&amp;D   &amp;T",TRUE,FALSE,FALSE,FALSE,1,#N/A,1,1,#DIV/0!,"=R1:R2","Rwvu.onsite.",#N/A,FALSE,FALSE,FALSE,1,4294967292,300,FALSE,FALSE,TRUE,TRUE,TRUE}</definedName>
    <definedName name="wvu.quarterly." hidden="1">{TRUE,TRUE,-1.25,-15.5,484.5,270,FALSE,TRUE,TRUE,TRUE,0,1,2,2,1,3,1.93333333333333,4,TRUE,TRUE,3,TRUE,1,FALSE,75,"Swvu.quarterly.","ACwvu.quarterly.",#N/A,FALSE,FALSE,0.25,0.25,0.5,0.5,2,"","&amp;L&amp;10&amp;F   &amp;A&amp;C&amp;10Page &amp;P&amp;R&amp;10&amp;D   &amp;T",FALSE,FALSE,FALSE,FALSE,2,71,#N/A,#N/A,"=R1C1:R153C72","=C1:C4,R1:R3","Rwvu.quarterly.",#N/A,FALSE,FALSE,TRUE,1,65532,65532,FALSE,FALSE,TRUE,TRUE,TRUE}</definedName>
    <definedName name="xxx" hidden="1">#REF!</definedName>
    <definedName name="xyz5">[0]!xyz5</definedName>
    <definedName name="y" hidden="1">#REF!</definedName>
    <definedName name="YAKIMA_24_HR_AV" localSheetId="4">#REF!</definedName>
    <definedName name="YAKIMA_24_HR_AV">#REF!</definedName>
    <definedName name="YAKIMA_MAX" localSheetId="4">#REF!</definedName>
    <definedName name="YAKIMA_MAX">#REF!</definedName>
    <definedName name="YAKIMA_MAX_MIN_" localSheetId="4">#REF!</definedName>
    <definedName name="YAKIMA_MAX_MIN_">#REF!</definedName>
    <definedName name="YAKIMA_MIN" localSheetId="4">#REF!</definedName>
    <definedName name="YAKIMA_MIN">#REF!</definedName>
    <definedName name="YEAR" localSheetId="4">#REF!</definedName>
    <definedName name="YEAR">#REF!</definedName>
    <definedName name="YTD_Firm_therms_query" localSheetId="4">#REF!</definedName>
    <definedName name="YTD_Firm_therms_query">#REF!</definedName>
    <definedName name="Z" localSheetId="4">#REF!</definedName>
    <definedName name="Z">#REF!</definedName>
    <definedName name="Z_01844156_6462_4A28_9785_1A86F4D0C834_.wvu.PrintTitles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7" l="1"/>
  <c r="N23" i="7"/>
  <c r="N21" i="7"/>
  <c r="N24" i="11"/>
  <c r="N23" i="11"/>
  <c r="N41" i="11"/>
  <c r="N22" i="11"/>
  <c r="O19" i="1"/>
  <c r="N20" i="1"/>
  <c r="N19" i="1"/>
  <c r="N18" i="1"/>
  <c r="N16" i="1"/>
  <c r="N15" i="1"/>
  <c r="N14" i="1"/>
  <c r="L16" i="1"/>
  <c r="L15" i="1"/>
  <c r="I19" i="1"/>
  <c r="O15" i="1"/>
  <c r="I13" i="1"/>
  <c r="F18" i="1"/>
  <c r="F12" i="1"/>
  <c r="G18" i="1"/>
  <c r="G12" i="1"/>
  <c r="B4" i="1"/>
  <c r="B5" i="1" s="1"/>
  <c r="B3" i="1"/>
  <c r="G2" i="14"/>
  <c r="A4" i="14"/>
  <c r="U4" i="14"/>
  <c r="V4" i="14"/>
  <c r="A5" i="14"/>
  <c r="U5" i="14"/>
  <c r="V5" i="14" s="1"/>
  <c r="W5" i="14" s="1"/>
  <c r="X5" i="14"/>
  <c r="A6" i="14"/>
  <c r="U6" i="14"/>
  <c r="V6" i="14"/>
  <c r="W6" i="14"/>
  <c r="X6" i="14"/>
  <c r="A7" i="14"/>
  <c r="U7" i="14"/>
  <c r="V7" i="14"/>
  <c r="W7" i="14"/>
  <c r="A8" i="14"/>
  <c r="U8" i="14"/>
  <c r="V8" i="14"/>
  <c r="A9" i="14"/>
  <c r="U9" i="14"/>
  <c r="V9" i="14" s="1"/>
  <c r="W9" i="14" s="1"/>
  <c r="A10" i="14"/>
  <c r="U10" i="14"/>
  <c r="V10" i="14" s="1"/>
  <c r="A11" i="14"/>
  <c r="U11" i="14"/>
  <c r="V11" i="14"/>
  <c r="W11" i="14" s="1"/>
  <c r="A12" i="14"/>
  <c r="U12" i="14"/>
  <c r="V12" i="14" s="1"/>
  <c r="A13" i="14"/>
  <c r="U13" i="14"/>
  <c r="V13" i="14" s="1"/>
  <c r="W13" i="14" s="1"/>
  <c r="X13" i="14"/>
  <c r="A14" i="14"/>
  <c r="U14" i="14"/>
  <c r="V14" i="14" s="1"/>
  <c r="W14" i="14"/>
  <c r="X14" i="14"/>
  <c r="A15" i="14"/>
  <c r="U15" i="14"/>
  <c r="V15" i="14"/>
  <c r="W15" i="14"/>
  <c r="A16" i="14"/>
  <c r="U16" i="14"/>
  <c r="V16" i="14"/>
  <c r="A17" i="14"/>
  <c r="U17" i="14"/>
  <c r="V17" i="14" s="1"/>
  <c r="W17" i="14" s="1"/>
  <c r="A18" i="14"/>
  <c r="U18" i="14"/>
  <c r="V18" i="14" s="1"/>
  <c r="A19" i="14"/>
  <c r="U19" i="14"/>
  <c r="V19" i="14"/>
  <c r="W19" i="14" s="1"/>
  <c r="A20" i="14"/>
  <c r="U20" i="14"/>
  <c r="V20" i="14" s="1"/>
  <c r="A21" i="14"/>
  <c r="U21" i="14"/>
  <c r="V21" i="14" s="1"/>
  <c r="W21" i="14" s="1"/>
  <c r="X21" i="14"/>
  <c r="A22" i="14"/>
  <c r="U22" i="14"/>
  <c r="V22" i="14" s="1"/>
  <c r="W22" i="14"/>
  <c r="X22" i="14"/>
  <c r="A23" i="14"/>
  <c r="U23" i="14"/>
  <c r="V23" i="14"/>
  <c r="W23" i="14"/>
  <c r="A24" i="14"/>
  <c r="U24" i="14"/>
  <c r="V24" i="14"/>
  <c r="A25" i="14"/>
  <c r="U25" i="14"/>
  <c r="V25" i="14" s="1"/>
  <c r="W25" i="14" s="1"/>
  <c r="A26" i="14"/>
  <c r="U26" i="14"/>
  <c r="V26" i="14" s="1"/>
  <c r="A27" i="14"/>
  <c r="U27" i="14"/>
  <c r="V27" i="14"/>
  <c r="W27" i="14" s="1"/>
  <c r="A28" i="14"/>
  <c r="U28" i="14"/>
  <c r="V28" i="14" s="1"/>
  <c r="A29" i="14"/>
  <c r="U29" i="14"/>
  <c r="V29" i="14" s="1"/>
  <c r="W29" i="14" s="1"/>
  <c r="X29" i="14"/>
  <c r="A30" i="14"/>
  <c r="U30" i="14"/>
  <c r="V30" i="14" s="1"/>
  <c r="W30" i="14"/>
  <c r="X30" i="14"/>
  <c r="A31" i="14"/>
  <c r="U31" i="14"/>
  <c r="V31" i="14"/>
  <c r="W31" i="14"/>
  <c r="A32" i="14"/>
  <c r="U32" i="14"/>
  <c r="V32" i="14"/>
  <c r="A33" i="14"/>
  <c r="U33" i="14"/>
  <c r="V33" i="14" s="1"/>
  <c r="W33" i="14" s="1"/>
  <c r="A34" i="14"/>
  <c r="U34" i="14"/>
  <c r="V34" i="14" s="1"/>
  <c r="A35" i="14"/>
  <c r="U35" i="14"/>
  <c r="V35" i="14"/>
  <c r="W35" i="14" s="1"/>
  <c r="A36" i="14"/>
  <c r="U36" i="14"/>
  <c r="V36" i="14" s="1"/>
  <c r="A37" i="14"/>
  <c r="U37" i="14"/>
  <c r="V37" i="14" s="1"/>
  <c r="W37" i="14" s="1"/>
  <c r="X37" i="14"/>
  <c r="A38" i="14"/>
  <c r="U38" i="14"/>
  <c r="V38" i="14" s="1"/>
  <c r="W38" i="14"/>
  <c r="X38" i="14"/>
  <c r="A39" i="14"/>
  <c r="U39" i="14"/>
  <c r="V39" i="14"/>
  <c r="W39" i="14"/>
  <c r="A40" i="14"/>
  <c r="U40" i="14"/>
  <c r="V40" i="14"/>
  <c r="A41" i="14"/>
  <c r="U41" i="14"/>
  <c r="V41" i="14" s="1"/>
  <c r="W41" i="14" s="1"/>
  <c r="U42" i="14"/>
  <c r="V42" i="14" s="1"/>
  <c r="W42" i="14" s="1"/>
  <c r="X42" i="14"/>
  <c r="A43" i="14"/>
  <c r="U43" i="14"/>
  <c r="V43" i="14" s="1"/>
  <c r="W43" i="14"/>
  <c r="X43" i="14"/>
  <c r="A44" i="14"/>
  <c r="U44" i="14"/>
  <c r="V44" i="14"/>
  <c r="W44" i="14"/>
  <c r="A45" i="14"/>
  <c r="U45" i="14"/>
  <c r="V45" i="14"/>
  <c r="A46" i="14"/>
  <c r="U46" i="14"/>
  <c r="V46" i="14" s="1"/>
  <c r="W46" i="14" s="1"/>
  <c r="A47" i="14"/>
  <c r="U47" i="14"/>
  <c r="V47" i="14" s="1"/>
  <c r="A48" i="14"/>
  <c r="U48" i="14"/>
  <c r="V48" i="14"/>
  <c r="W48" i="14" s="1"/>
  <c r="A49" i="14"/>
  <c r="U49" i="14"/>
  <c r="V49" i="14" s="1"/>
  <c r="A50" i="14"/>
  <c r="U50" i="14"/>
  <c r="V50" i="14" s="1"/>
  <c r="W50" i="14" s="1"/>
  <c r="X50" i="14"/>
  <c r="A51" i="14"/>
  <c r="U51" i="14"/>
  <c r="V51" i="14" s="1"/>
  <c r="W51" i="14"/>
  <c r="X51" i="14"/>
  <c r="A52" i="14"/>
  <c r="U52" i="14"/>
  <c r="V52" i="14"/>
  <c r="W52" i="14"/>
  <c r="A53" i="14"/>
  <c r="U53" i="14"/>
  <c r="V53" i="14"/>
  <c r="A54" i="14"/>
  <c r="U54" i="14"/>
  <c r="V54" i="14" s="1"/>
  <c r="W54" i="14" s="1"/>
  <c r="A55" i="14"/>
  <c r="U55" i="14"/>
  <c r="V55" i="14" s="1"/>
  <c r="A56" i="14"/>
  <c r="U56" i="14"/>
  <c r="V56" i="14"/>
  <c r="W56" i="14" s="1"/>
  <c r="A57" i="14"/>
  <c r="U57" i="14"/>
  <c r="V57" i="14" s="1"/>
  <c r="A58" i="14"/>
  <c r="U58" i="14"/>
  <c r="V58" i="14" s="1"/>
  <c r="W58" i="14" s="1"/>
  <c r="X58" i="14"/>
  <c r="A59" i="14"/>
  <c r="U59" i="14"/>
  <c r="V59" i="14" s="1"/>
  <c r="W59" i="14"/>
  <c r="X59" i="14"/>
  <c r="A60" i="14"/>
  <c r="U60" i="14"/>
  <c r="V60" i="14"/>
  <c r="W60" i="14"/>
  <c r="A61" i="14"/>
  <c r="U61" i="14"/>
  <c r="V61" i="14"/>
  <c r="A62" i="14"/>
  <c r="U62" i="14"/>
  <c r="V62" i="14" s="1"/>
  <c r="W62" i="14" s="1"/>
  <c r="A63" i="14"/>
  <c r="U63" i="14"/>
  <c r="V63" i="14" s="1"/>
  <c r="A64" i="14"/>
  <c r="U64" i="14"/>
  <c r="V64" i="14"/>
  <c r="W64" i="14" s="1"/>
  <c r="A65" i="14"/>
  <c r="U65" i="14"/>
  <c r="V65" i="14" s="1"/>
  <c r="A66" i="14"/>
  <c r="U66" i="14"/>
  <c r="V66" i="14" s="1"/>
  <c r="W66" i="14" s="1"/>
  <c r="X66" i="14"/>
  <c r="A67" i="14"/>
  <c r="U67" i="14"/>
  <c r="V67" i="14" s="1"/>
  <c r="W67" i="14"/>
  <c r="X67" i="14"/>
  <c r="A68" i="14"/>
  <c r="U68" i="14"/>
  <c r="V68" i="14"/>
  <c r="W68" i="14"/>
  <c r="A69" i="14"/>
  <c r="U69" i="14"/>
  <c r="V69" i="14"/>
  <c r="A70" i="14"/>
  <c r="U70" i="14"/>
  <c r="V70" i="14" s="1"/>
  <c r="W70" i="14" s="1"/>
  <c r="A71" i="14"/>
  <c r="U71" i="14"/>
  <c r="V71" i="14" s="1"/>
  <c r="A72" i="14"/>
  <c r="U72" i="14"/>
  <c r="V72" i="14"/>
  <c r="W72" i="14" s="1"/>
  <c r="A73" i="14"/>
  <c r="U73" i="14"/>
  <c r="V73" i="14" s="1"/>
  <c r="A74" i="14"/>
  <c r="U74" i="14"/>
  <c r="V74" i="14" s="1"/>
  <c r="W74" i="14" s="1"/>
  <c r="X74" i="14"/>
  <c r="A75" i="14"/>
  <c r="U75" i="14"/>
  <c r="V75" i="14" s="1"/>
  <c r="W75" i="14"/>
  <c r="X75" i="14"/>
  <c r="A76" i="14"/>
  <c r="U76" i="14"/>
  <c r="V76" i="14"/>
  <c r="W76" i="14"/>
  <c r="A77" i="14"/>
  <c r="U77" i="14"/>
  <c r="V77" i="14"/>
  <c r="A78" i="14"/>
  <c r="U78" i="14"/>
  <c r="V78" i="14" s="1"/>
  <c r="W78" i="14" s="1"/>
  <c r="A79" i="14"/>
  <c r="U79" i="14"/>
  <c r="V79" i="14" s="1"/>
  <c r="A80" i="14"/>
  <c r="U80" i="14"/>
  <c r="V80" i="14"/>
  <c r="W80" i="14" s="1"/>
  <c r="A81" i="14"/>
  <c r="U81" i="14"/>
  <c r="V81" i="14" s="1"/>
  <c r="A82" i="14"/>
  <c r="U82" i="14"/>
  <c r="V82" i="14" s="1"/>
  <c r="W82" i="14" s="1"/>
  <c r="A83" i="14"/>
  <c r="U83" i="14"/>
  <c r="V83" i="14" s="1"/>
  <c r="W83" i="14"/>
  <c r="X83" i="14" s="1"/>
  <c r="A84" i="14"/>
  <c r="U84" i="14"/>
  <c r="V84" i="14"/>
  <c r="W84" i="14" s="1"/>
  <c r="A85" i="14"/>
  <c r="U85" i="14"/>
  <c r="V85" i="14"/>
  <c r="A86" i="14"/>
  <c r="U86" i="14"/>
  <c r="V86" i="14" s="1"/>
  <c r="W86" i="14" s="1"/>
  <c r="A87" i="14"/>
  <c r="U87" i="14"/>
  <c r="V87" i="14" s="1"/>
  <c r="A88" i="14"/>
  <c r="U88" i="14"/>
  <c r="V88" i="14"/>
  <c r="W88" i="14" s="1"/>
  <c r="A89" i="14"/>
  <c r="U89" i="14"/>
  <c r="V89" i="14" s="1"/>
  <c r="A90" i="14"/>
  <c r="U90" i="14"/>
  <c r="V90" i="14" s="1"/>
  <c r="A91" i="14"/>
  <c r="U91" i="14"/>
  <c r="V91" i="14" s="1"/>
  <c r="W91" i="14"/>
  <c r="X91" i="14" s="1"/>
  <c r="A92" i="14"/>
  <c r="U92" i="14"/>
  <c r="V92" i="14"/>
  <c r="A93" i="14"/>
  <c r="U93" i="14"/>
  <c r="V93" i="14"/>
  <c r="A94" i="14"/>
  <c r="U94" i="14"/>
  <c r="V94" i="14"/>
  <c r="A95" i="14"/>
  <c r="U95" i="14"/>
  <c r="V95" i="14" s="1"/>
  <c r="W95" i="14"/>
  <c r="X95" i="14" s="1"/>
  <c r="A96" i="14"/>
  <c r="U96" i="14"/>
  <c r="V96" i="14"/>
  <c r="A97" i="14"/>
  <c r="U97" i="14"/>
  <c r="V97" i="14" s="1"/>
  <c r="A98" i="14"/>
  <c r="U98" i="14"/>
  <c r="V98" i="14"/>
  <c r="A99" i="14"/>
  <c r="U99" i="14"/>
  <c r="V99" i="14" s="1"/>
  <c r="W99" i="14" s="1"/>
  <c r="A100" i="14"/>
  <c r="U100" i="14"/>
  <c r="V100" i="14"/>
  <c r="A101" i="14"/>
  <c r="U101" i="14"/>
  <c r="V101" i="14" s="1"/>
  <c r="A102" i="14"/>
  <c r="U102" i="14"/>
  <c r="V102" i="14" s="1"/>
  <c r="A103" i="14"/>
  <c r="U103" i="14"/>
  <c r="V103" i="14" s="1"/>
  <c r="A104" i="14"/>
  <c r="U104" i="14"/>
  <c r="V104" i="14"/>
  <c r="W104" i="14" s="1"/>
  <c r="X104" i="14"/>
  <c r="A105" i="14"/>
  <c r="U105" i="14"/>
  <c r="V105" i="14" s="1"/>
  <c r="W105" i="14" s="1"/>
  <c r="A106" i="14"/>
  <c r="U106" i="14"/>
  <c r="V106" i="14" s="1"/>
  <c r="A107" i="14"/>
  <c r="U107" i="14"/>
  <c r="V107" i="14" s="1"/>
  <c r="W107" i="14" s="1"/>
  <c r="X107" i="14"/>
  <c r="A108" i="14"/>
  <c r="U108" i="14"/>
  <c r="V108" i="14"/>
  <c r="W108" i="14"/>
  <c r="X108" i="14" s="1"/>
  <c r="A109" i="14"/>
  <c r="U109" i="14"/>
  <c r="V109" i="14"/>
  <c r="A110" i="14"/>
  <c r="U110" i="14"/>
  <c r="V110" i="14"/>
  <c r="A111" i="14"/>
  <c r="U111" i="14"/>
  <c r="V111" i="14" s="1"/>
  <c r="W111" i="14"/>
  <c r="X111" i="14" s="1"/>
  <c r="A112" i="14"/>
  <c r="U112" i="14"/>
  <c r="V112" i="14"/>
  <c r="A113" i="14"/>
  <c r="U113" i="14"/>
  <c r="V113" i="14" s="1"/>
  <c r="A114" i="14"/>
  <c r="U114" i="14"/>
  <c r="V114" i="14"/>
  <c r="A115" i="14"/>
  <c r="U115" i="14"/>
  <c r="V115" i="14" s="1"/>
  <c r="W115" i="14" s="1"/>
  <c r="A116" i="14"/>
  <c r="U116" i="14"/>
  <c r="V116" i="14" s="1"/>
  <c r="A117" i="14"/>
  <c r="U117" i="14"/>
  <c r="V117" i="14" s="1"/>
  <c r="W117" i="14" s="1"/>
  <c r="X117" i="14"/>
  <c r="A118" i="14"/>
  <c r="U118" i="14"/>
  <c r="V118" i="14" s="1"/>
  <c r="W118" i="14"/>
  <c r="X118" i="14"/>
  <c r="A119" i="14"/>
  <c r="U119" i="14"/>
  <c r="V119" i="14"/>
  <c r="W119" i="14"/>
  <c r="A120" i="14"/>
  <c r="U120" i="14"/>
  <c r="V120" i="14"/>
  <c r="A121" i="14"/>
  <c r="U121" i="14"/>
  <c r="V121" i="14" s="1"/>
  <c r="W121" i="14" s="1"/>
  <c r="A122" i="14"/>
  <c r="U122" i="14"/>
  <c r="V122" i="14" s="1"/>
  <c r="A123" i="14"/>
  <c r="U123" i="14"/>
  <c r="V123" i="14"/>
  <c r="W123" i="14" s="1"/>
  <c r="A124" i="14"/>
  <c r="U124" i="14"/>
  <c r="V124" i="14" s="1"/>
  <c r="A125" i="14"/>
  <c r="U125" i="14"/>
  <c r="V125" i="14" s="1"/>
  <c r="W125" i="14" s="1"/>
  <c r="X125" i="14"/>
  <c r="A126" i="14"/>
  <c r="U126" i="14"/>
  <c r="V126" i="14" s="1"/>
  <c r="W126" i="14"/>
  <c r="X126" i="14"/>
  <c r="A127" i="14"/>
  <c r="U127" i="14"/>
  <c r="V127" i="14"/>
  <c r="W127" i="14"/>
  <c r="A128" i="14"/>
  <c r="U128" i="14"/>
  <c r="V128" i="14" s="1"/>
  <c r="A129" i="14"/>
  <c r="U129" i="14"/>
  <c r="V129" i="14" s="1"/>
  <c r="A130" i="14"/>
  <c r="U130" i="14"/>
  <c r="V130" i="14" s="1"/>
  <c r="W130" i="14"/>
  <c r="A131" i="14"/>
  <c r="U131" i="14"/>
  <c r="V131" i="14"/>
  <c r="A132" i="14"/>
  <c r="U132" i="14"/>
  <c r="V132" i="14" s="1"/>
  <c r="A133" i="14"/>
  <c r="U133" i="14"/>
  <c r="V133" i="14" s="1"/>
  <c r="A134" i="14"/>
  <c r="U134" i="14"/>
  <c r="V134" i="14" s="1"/>
  <c r="A135" i="14"/>
  <c r="U135" i="14"/>
  <c r="V135" i="14"/>
  <c r="W135" i="14" s="1"/>
  <c r="X135" i="14" s="1"/>
  <c r="A136" i="14"/>
  <c r="U136" i="14"/>
  <c r="V136" i="14" s="1"/>
  <c r="W136" i="14"/>
  <c r="A137" i="14"/>
  <c r="U137" i="14"/>
  <c r="V137" i="14" s="1"/>
  <c r="W137" i="14" s="1"/>
  <c r="X137" i="14"/>
  <c r="A138" i="14"/>
  <c r="U138" i="14"/>
  <c r="V138" i="14" s="1"/>
  <c r="W138" i="14" s="1"/>
  <c r="X138" i="14" s="1"/>
  <c r="A139" i="14"/>
  <c r="U139" i="14"/>
  <c r="V139" i="14"/>
  <c r="W139" i="14"/>
  <c r="X139" i="14"/>
  <c r="A140" i="14"/>
  <c r="U140" i="14"/>
  <c r="V140" i="14"/>
  <c r="W140" i="14"/>
  <c r="A141" i="14"/>
  <c r="U141" i="14"/>
  <c r="V141" i="14"/>
  <c r="W141" i="14" s="1"/>
  <c r="X141" i="14"/>
  <c r="A142" i="14"/>
  <c r="U142" i="14"/>
  <c r="V142" i="14" s="1"/>
  <c r="W142" i="14"/>
  <c r="X142" i="14"/>
  <c r="A143" i="14"/>
  <c r="U143" i="14"/>
  <c r="V143" i="14"/>
  <c r="W143" i="14"/>
  <c r="A144" i="14"/>
  <c r="U144" i="14"/>
  <c r="V144" i="14" s="1"/>
  <c r="A145" i="14"/>
  <c r="U145" i="14"/>
  <c r="V145" i="14" s="1"/>
  <c r="A146" i="14"/>
  <c r="U146" i="14"/>
  <c r="V146" i="14" s="1"/>
  <c r="W146" i="14"/>
  <c r="A147" i="14"/>
  <c r="U147" i="14"/>
  <c r="V147" i="14"/>
  <c r="A148" i="14"/>
  <c r="U148" i="14"/>
  <c r="V148" i="14" s="1"/>
  <c r="A149" i="14"/>
  <c r="U149" i="14"/>
  <c r="V149" i="14" s="1"/>
  <c r="A150" i="14"/>
  <c r="U150" i="14"/>
  <c r="V150" i="14" s="1"/>
  <c r="A151" i="14"/>
  <c r="U151" i="14"/>
  <c r="V151" i="14"/>
  <c r="W151" i="14" s="1"/>
  <c r="X151" i="14" s="1"/>
  <c r="A152" i="14"/>
  <c r="U152" i="14"/>
  <c r="V152" i="14" s="1"/>
  <c r="W152" i="14"/>
  <c r="A153" i="14"/>
  <c r="U153" i="14"/>
  <c r="V153" i="14" s="1"/>
  <c r="W153" i="14" s="1"/>
  <c r="X153" i="14"/>
  <c r="A154" i="14"/>
  <c r="U154" i="14"/>
  <c r="V154" i="14" s="1"/>
  <c r="W154" i="14" s="1"/>
  <c r="X154" i="14" s="1"/>
  <c r="A155" i="14"/>
  <c r="U155" i="14"/>
  <c r="V155" i="14"/>
  <c r="W155" i="14"/>
  <c r="X155" i="14"/>
  <c r="A156" i="14"/>
  <c r="U156" i="14"/>
  <c r="V156" i="14"/>
  <c r="W156" i="14"/>
  <c r="A157" i="14"/>
  <c r="U157" i="14"/>
  <c r="V157" i="14"/>
  <c r="W157" i="14" s="1"/>
  <c r="X157" i="14"/>
  <c r="A158" i="14"/>
  <c r="U158" i="14"/>
  <c r="V158" i="14" s="1"/>
  <c r="W158" i="14"/>
  <c r="X158" i="14"/>
  <c r="A159" i="14"/>
  <c r="U159" i="14"/>
  <c r="V159" i="14"/>
  <c r="W159" i="14"/>
  <c r="A160" i="14"/>
  <c r="U160" i="14"/>
  <c r="V160" i="14" s="1"/>
  <c r="A161" i="14"/>
  <c r="U161" i="14"/>
  <c r="V161" i="14" s="1"/>
  <c r="A162" i="14"/>
  <c r="U162" i="14"/>
  <c r="V162" i="14" s="1"/>
  <c r="W162" i="14"/>
  <c r="A163" i="14"/>
  <c r="U163" i="14"/>
  <c r="V163" i="14"/>
  <c r="A164" i="14"/>
  <c r="U164" i="14"/>
  <c r="V164" i="14" s="1"/>
  <c r="A165" i="14"/>
  <c r="U165" i="14"/>
  <c r="V165" i="14" s="1"/>
  <c r="A166" i="14"/>
  <c r="U166" i="14"/>
  <c r="V166" i="14" s="1"/>
  <c r="A167" i="14"/>
  <c r="U167" i="14"/>
  <c r="V167" i="14"/>
  <c r="W167" i="14" s="1"/>
  <c r="X167" i="14" s="1"/>
  <c r="A168" i="14"/>
  <c r="U168" i="14"/>
  <c r="V168" i="14" s="1"/>
  <c r="W168" i="14"/>
  <c r="A169" i="14"/>
  <c r="U169" i="14"/>
  <c r="V169" i="14" s="1"/>
  <c r="W169" i="14" s="1"/>
  <c r="X169" i="14"/>
  <c r="A170" i="14"/>
  <c r="U170" i="14"/>
  <c r="V170" i="14" s="1"/>
  <c r="W170" i="14" s="1"/>
  <c r="X170" i="14" s="1"/>
  <c r="A171" i="14"/>
  <c r="U171" i="14"/>
  <c r="V171" i="14"/>
  <c r="W171" i="14"/>
  <c r="X171" i="14"/>
  <c r="A172" i="14"/>
  <c r="U172" i="14"/>
  <c r="V172" i="14"/>
  <c r="W172" i="14"/>
  <c r="U173" i="14"/>
  <c r="V173" i="14" s="1"/>
  <c r="U174" i="14"/>
  <c r="V174" i="14" s="1"/>
  <c r="U175" i="14"/>
  <c r="V175" i="14" s="1"/>
  <c r="U176" i="14"/>
  <c r="V176" i="14"/>
  <c r="W176" i="14"/>
  <c r="U177" i="14"/>
  <c r="V177" i="14"/>
  <c r="W177" i="14" s="1"/>
  <c r="U178" i="14"/>
  <c r="V178" i="14"/>
  <c r="U179" i="14"/>
  <c r="V179" i="14"/>
  <c r="W179" i="14"/>
  <c r="U180" i="14"/>
  <c r="V180" i="14"/>
  <c r="W180" i="14"/>
  <c r="U181" i="14"/>
  <c r="V181" i="14"/>
  <c r="W181" i="14" s="1"/>
  <c r="U182" i="14"/>
  <c r="V182" i="14"/>
  <c r="U183" i="14"/>
  <c r="V183" i="14"/>
  <c r="U184" i="14"/>
  <c r="V184" i="14"/>
  <c r="W184" i="14"/>
  <c r="U185" i="14"/>
  <c r="V185" i="14"/>
  <c r="W185" i="14" s="1"/>
  <c r="U186" i="14"/>
  <c r="V186" i="14"/>
  <c r="U187" i="14"/>
  <c r="V187" i="14"/>
  <c r="W187" i="14"/>
  <c r="U188" i="14"/>
  <c r="V188" i="14"/>
  <c r="W188" i="14"/>
  <c r="U189" i="14"/>
  <c r="V189" i="14"/>
  <c r="W189" i="14" s="1"/>
  <c r="U190" i="14"/>
  <c r="V190" i="14"/>
  <c r="U191" i="14"/>
  <c r="V191" i="14"/>
  <c r="U192" i="14"/>
  <c r="V192" i="14"/>
  <c r="W192" i="14"/>
  <c r="U193" i="14"/>
  <c r="V193" i="14"/>
  <c r="W193" i="14" s="1"/>
  <c r="U194" i="14"/>
  <c r="V194" i="14"/>
  <c r="U195" i="14"/>
  <c r="V195" i="14"/>
  <c r="W195" i="14"/>
  <c r="U196" i="14"/>
  <c r="V196" i="14"/>
  <c r="W196" i="14"/>
  <c r="U197" i="14"/>
  <c r="V197" i="14"/>
  <c r="W197" i="14" s="1"/>
  <c r="U198" i="14"/>
  <c r="V198" i="14"/>
  <c r="U199" i="14"/>
  <c r="V199" i="14"/>
  <c r="U200" i="14"/>
  <c r="V200" i="14"/>
  <c r="W200" i="14"/>
  <c r="U201" i="14"/>
  <c r="V201" i="14"/>
  <c r="W201" i="14" s="1"/>
  <c r="U202" i="14"/>
  <c r="V202" i="14"/>
  <c r="U203" i="14"/>
  <c r="V203" i="14"/>
  <c r="W203" i="14"/>
  <c r="U204" i="14"/>
  <c r="V204" i="14"/>
  <c r="W204" i="14"/>
  <c r="U205" i="14"/>
  <c r="V205" i="14"/>
  <c r="W205" i="14" s="1"/>
  <c r="U206" i="14"/>
  <c r="V206" i="14"/>
  <c r="U207" i="14"/>
  <c r="V207" i="14"/>
  <c r="U208" i="14"/>
  <c r="V208" i="14"/>
  <c r="W208" i="14"/>
  <c r="U209" i="14"/>
  <c r="V209" i="14"/>
  <c r="W209" i="14" s="1"/>
  <c r="U210" i="14"/>
  <c r="V210" i="14"/>
  <c r="A211" i="14"/>
  <c r="U211" i="14"/>
  <c r="V211" i="14"/>
  <c r="A212" i="14"/>
  <c r="U212" i="14"/>
  <c r="V212" i="14" s="1"/>
  <c r="W212" i="14" s="1"/>
  <c r="X212" i="14"/>
  <c r="A213" i="14"/>
  <c r="U213" i="14"/>
  <c r="V213" i="14" s="1"/>
  <c r="W213" i="14" s="1"/>
  <c r="A214" i="14"/>
  <c r="U214" i="14"/>
  <c r="V214" i="14"/>
  <c r="W214" i="14"/>
  <c r="A215" i="14"/>
  <c r="U215" i="14"/>
  <c r="V215" i="14" s="1"/>
  <c r="A216" i="14"/>
  <c r="U216" i="14"/>
  <c r="V216" i="14" s="1"/>
  <c r="W216" i="14" s="1"/>
  <c r="X216" i="14"/>
  <c r="A217" i="14"/>
  <c r="U217" i="14"/>
  <c r="V217" i="14" s="1"/>
  <c r="W217" i="14"/>
  <c r="X217" i="14"/>
  <c r="A218" i="14"/>
  <c r="U218" i="14"/>
  <c r="V218" i="14"/>
  <c r="W218" i="14"/>
  <c r="A219" i="14"/>
  <c r="U219" i="14"/>
  <c r="V219" i="14"/>
  <c r="A220" i="14"/>
  <c r="U220" i="14"/>
  <c r="V220" i="14" s="1"/>
  <c r="W220" i="14" s="1"/>
  <c r="X220" i="14"/>
  <c r="A221" i="14"/>
  <c r="U221" i="14"/>
  <c r="V221" i="14" s="1"/>
  <c r="W221" i="14" s="1"/>
  <c r="A222" i="14"/>
  <c r="U222" i="14"/>
  <c r="V222" i="14"/>
  <c r="W222" i="14"/>
  <c r="A223" i="14"/>
  <c r="U223" i="14"/>
  <c r="V223" i="14" s="1"/>
  <c r="A224" i="14"/>
  <c r="U224" i="14"/>
  <c r="V224" i="14" s="1"/>
  <c r="W224" i="14" s="1"/>
  <c r="X224" i="14"/>
  <c r="A225" i="14"/>
  <c r="U225" i="14"/>
  <c r="V225" i="14" s="1"/>
  <c r="W225" i="14"/>
  <c r="X225" i="14"/>
  <c r="A226" i="14"/>
  <c r="U226" i="14"/>
  <c r="V226" i="14"/>
  <c r="W226" i="14"/>
  <c r="A227" i="14"/>
  <c r="U227" i="14"/>
  <c r="V227" i="14"/>
  <c r="A228" i="14"/>
  <c r="U228" i="14"/>
  <c r="V228" i="14" s="1"/>
  <c r="W228" i="14" s="1"/>
  <c r="X228" i="14"/>
  <c r="A229" i="14"/>
  <c r="U229" i="14"/>
  <c r="V229" i="14" s="1"/>
  <c r="W229" i="14" s="1"/>
  <c r="A230" i="14"/>
  <c r="U230" i="14"/>
  <c r="V230" i="14"/>
  <c r="W230" i="14"/>
  <c r="A231" i="14"/>
  <c r="U231" i="14"/>
  <c r="V231" i="14" s="1"/>
  <c r="A232" i="14"/>
  <c r="U232" i="14"/>
  <c r="V232" i="14" s="1"/>
  <c r="W232" i="14" s="1"/>
  <c r="X232" i="14"/>
  <c r="A233" i="14"/>
  <c r="U233" i="14"/>
  <c r="V233" i="14" s="1"/>
  <c r="W233" i="14"/>
  <c r="X233" i="14"/>
  <c r="A234" i="14"/>
  <c r="U234" i="14"/>
  <c r="V234" i="14"/>
  <c r="W234" i="14"/>
  <c r="A235" i="14"/>
  <c r="U235" i="14"/>
  <c r="V235" i="14"/>
  <c r="A236" i="14"/>
  <c r="U236" i="14"/>
  <c r="V236" i="14" s="1"/>
  <c r="W236" i="14" s="1"/>
  <c r="X236" i="14"/>
  <c r="A237" i="14"/>
  <c r="U237" i="14"/>
  <c r="V237" i="14" s="1"/>
  <c r="W237" i="14" s="1"/>
  <c r="A238" i="14"/>
  <c r="U238" i="14"/>
  <c r="V238" i="14"/>
  <c r="W238" i="14"/>
  <c r="A239" i="14"/>
  <c r="U239" i="14"/>
  <c r="V239" i="14" s="1"/>
  <c r="A240" i="14"/>
  <c r="U240" i="14"/>
  <c r="V240" i="14" s="1"/>
  <c r="W240" i="14" s="1"/>
  <c r="X240" i="14"/>
  <c r="A241" i="14"/>
  <c r="U241" i="14"/>
  <c r="V241" i="14" s="1"/>
  <c r="W241" i="14"/>
  <c r="X241" i="14"/>
  <c r="A242" i="14"/>
  <c r="U242" i="14"/>
  <c r="V242" i="14"/>
  <c r="W242" i="14"/>
  <c r="A243" i="14"/>
  <c r="U243" i="14"/>
  <c r="V243" i="14"/>
  <c r="A244" i="14"/>
  <c r="U244" i="14"/>
  <c r="V244" i="14" s="1"/>
  <c r="W244" i="14" s="1"/>
  <c r="X244" i="14"/>
  <c r="A245" i="14"/>
  <c r="U245" i="14"/>
  <c r="V245" i="14" s="1"/>
  <c r="W245" i="14" s="1"/>
  <c r="G246" i="14"/>
  <c r="N246" i="14"/>
  <c r="O246" i="14"/>
  <c r="P246" i="14"/>
  <c r="Q246" i="14"/>
  <c r="R246" i="14"/>
  <c r="S246" i="14"/>
  <c r="U247" i="14"/>
  <c r="V247" i="14"/>
  <c r="A248" i="14"/>
  <c r="B248" i="14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B286" i="14" s="1"/>
  <c r="B287" i="14" s="1"/>
  <c r="B288" i="14" s="1"/>
  <c r="B289" i="14" s="1"/>
  <c r="B290" i="14" s="1"/>
  <c r="B291" i="14" s="1"/>
  <c r="B292" i="14" s="1"/>
  <c r="B293" i="14" s="1"/>
  <c r="B294" i="14" s="1"/>
  <c r="B295" i="14" s="1"/>
  <c r="B296" i="14" s="1"/>
  <c r="B297" i="14" s="1"/>
  <c r="B298" i="14" s="1"/>
  <c r="B299" i="14" s="1"/>
  <c r="B300" i="14" s="1"/>
  <c r="B301" i="14" s="1"/>
  <c r="B302" i="14" s="1"/>
  <c r="B303" i="14" s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U248" i="14"/>
  <c r="V248" i="14" s="1"/>
  <c r="W248" i="14" s="1"/>
  <c r="A249" i="14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U249" i="14"/>
  <c r="V249" i="14"/>
  <c r="U250" i="14"/>
  <c r="V250" i="14" s="1"/>
  <c r="W250" i="14" s="1"/>
  <c r="X250" i="14"/>
  <c r="U251" i="14"/>
  <c r="V251" i="14"/>
  <c r="W251" i="14"/>
  <c r="U252" i="14"/>
  <c r="V252" i="14" s="1"/>
  <c r="W252" i="14" s="1"/>
  <c r="X252" i="14"/>
  <c r="U253" i="14"/>
  <c r="V253" i="14"/>
  <c r="W253" i="14"/>
  <c r="U254" i="14"/>
  <c r="V254" i="14" s="1"/>
  <c r="W254" i="14" s="1"/>
  <c r="X254" i="14"/>
  <c r="U255" i="14"/>
  <c r="V255" i="14"/>
  <c r="W255" i="14"/>
  <c r="U256" i="14"/>
  <c r="V256" i="14" s="1"/>
  <c r="W256" i="14" s="1"/>
  <c r="U257" i="14"/>
  <c r="V257" i="14"/>
  <c r="U258" i="14"/>
  <c r="V258" i="14" s="1"/>
  <c r="W258" i="14" s="1"/>
  <c r="X258" i="14"/>
  <c r="U259" i="14"/>
  <c r="V259" i="14"/>
  <c r="W259" i="14"/>
  <c r="U260" i="14"/>
  <c r="V260" i="14" s="1"/>
  <c r="W260" i="14" s="1"/>
  <c r="X260" i="14"/>
  <c r="U261" i="14"/>
  <c r="V261" i="14"/>
  <c r="W261" i="14"/>
  <c r="U262" i="14"/>
  <c r="V262" i="14" s="1"/>
  <c r="W262" i="14" s="1"/>
  <c r="X262" i="14"/>
  <c r="U263" i="14"/>
  <c r="V263" i="14"/>
  <c r="W263" i="14"/>
  <c r="U264" i="14"/>
  <c r="V264" i="14" s="1"/>
  <c r="W264" i="14" s="1"/>
  <c r="U265" i="14"/>
  <c r="V265" i="14"/>
  <c r="U266" i="14"/>
  <c r="V266" i="14" s="1"/>
  <c r="W266" i="14" s="1"/>
  <c r="X266" i="14"/>
  <c r="U267" i="14"/>
  <c r="V267" i="14"/>
  <c r="W267" i="14"/>
  <c r="U268" i="14"/>
  <c r="V268" i="14" s="1"/>
  <c r="W268" i="14" s="1"/>
  <c r="X268" i="14"/>
  <c r="U269" i="14"/>
  <c r="V269" i="14"/>
  <c r="W269" i="14"/>
  <c r="U270" i="14"/>
  <c r="V270" i="14" s="1"/>
  <c r="W270" i="14" s="1"/>
  <c r="X270" i="14"/>
  <c r="U271" i="14"/>
  <c r="V271" i="14"/>
  <c r="W271" i="14"/>
  <c r="U272" i="14"/>
  <c r="V272" i="14" s="1"/>
  <c r="W272" i="14" s="1"/>
  <c r="U273" i="14"/>
  <c r="V273" i="14"/>
  <c r="U274" i="14"/>
  <c r="V274" i="14" s="1"/>
  <c r="W274" i="14" s="1"/>
  <c r="X274" i="14"/>
  <c r="U275" i="14"/>
  <c r="V275" i="14"/>
  <c r="W275" i="14"/>
  <c r="U276" i="14"/>
  <c r="V276" i="14" s="1"/>
  <c r="W276" i="14" s="1"/>
  <c r="X276" i="14"/>
  <c r="U277" i="14"/>
  <c r="V277" i="14"/>
  <c r="W277" i="14"/>
  <c r="U278" i="14"/>
  <c r="V278" i="14" s="1"/>
  <c r="W278" i="14" s="1"/>
  <c r="X278" i="14"/>
  <c r="U279" i="14"/>
  <c r="V279" i="14"/>
  <c r="W279" i="14"/>
  <c r="U280" i="14"/>
  <c r="V280" i="14" s="1"/>
  <c r="W280" i="14" s="1"/>
  <c r="U281" i="14"/>
  <c r="V281" i="14"/>
  <c r="U282" i="14"/>
  <c r="V282" i="14" s="1"/>
  <c r="W282" i="14" s="1"/>
  <c r="X282" i="14"/>
  <c r="U283" i="14"/>
  <c r="V283" i="14"/>
  <c r="W283" i="14"/>
  <c r="U284" i="14"/>
  <c r="V284" i="14" s="1"/>
  <c r="W284" i="14" s="1"/>
  <c r="X284" i="14"/>
  <c r="U285" i="14"/>
  <c r="V285" i="14"/>
  <c r="W285" i="14"/>
  <c r="U286" i="14"/>
  <c r="V286" i="14" s="1"/>
  <c r="W286" i="14" s="1"/>
  <c r="X286" i="14"/>
  <c r="U287" i="14"/>
  <c r="V287" i="14"/>
  <c r="W287" i="14"/>
  <c r="U288" i="14"/>
  <c r="V288" i="14" s="1"/>
  <c r="W288" i="14" s="1"/>
  <c r="U289" i="14"/>
  <c r="V289" i="14"/>
  <c r="U290" i="14"/>
  <c r="V290" i="14" s="1"/>
  <c r="W290" i="14" s="1"/>
  <c r="X290" i="14"/>
  <c r="U291" i="14"/>
  <c r="V291" i="14"/>
  <c r="W291" i="14"/>
  <c r="U292" i="14"/>
  <c r="V292" i="14" s="1"/>
  <c r="W292" i="14" s="1"/>
  <c r="X292" i="14"/>
  <c r="U293" i="14"/>
  <c r="V293" i="14"/>
  <c r="W293" i="14"/>
  <c r="U294" i="14"/>
  <c r="V294" i="14" s="1"/>
  <c r="W294" i="14" s="1"/>
  <c r="X294" i="14"/>
  <c r="U295" i="14"/>
  <c r="V295" i="14"/>
  <c r="W295" i="14"/>
  <c r="U296" i="14"/>
  <c r="V296" i="14" s="1"/>
  <c r="W296" i="14"/>
  <c r="X296" i="14"/>
  <c r="U297" i="14"/>
  <c r="V297" i="14"/>
  <c r="W297" i="14"/>
  <c r="U298" i="14"/>
  <c r="V298" i="14" s="1"/>
  <c r="W298" i="14"/>
  <c r="X298" i="14"/>
  <c r="U299" i="14"/>
  <c r="V299" i="14"/>
  <c r="W299" i="14"/>
  <c r="U300" i="14"/>
  <c r="V300" i="14" s="1"/>
  <c r="X300" i="14" s="1"/>
  <c r="W300" i="14"/>
  <c r="U301" i="14"/>
  <c r="V301" i="14"/>
  <c r="U302" i="14"/>
  <c r="V302" i="14" s="1"/>
  <c r="W302" i="14" s="1"/>
  <c r="U303" i="14"/>
  <c r="V303" i="14" s="1"/>
  <c r="U304" i="14"/>
  <c r="V304" i="14" s="1"/>
  <c r="W304" i="14"/>
  <c r="X304" i="14"/>
  <c r="U305" i="14"/>
  <c r="V305" i="14"/>
  <c r="W305" i="14"/>
  <c r="U306" i="14"/>
  <c r="V306" i="14" s="1"/>
  <c r="W306" i="14"/>
  <c r="X306" i="14"/>
  <c r="U307" i="14"/>
  <c r="V307" i="14"/>
  <c r="W307" i="14"/>
  <c r="U308" i="14"/>
  <c r="V308" i="14" s="1"/>
  <c r="X308" i="14" s="1"/>
  <c r="W308" i="14"/>
  <c r="U309" i="14"/>
  <c r="V309" i="14"/>
  <c r="U310" i="14"/>
  <c r="V310" i="14" s="1"/>
  <c r="W310" i="14" s="1"/>
  <c r="U311" i="14"/>
  <c r="V311" i="14" s="1"/>
  <c r="U312" i="14"/>
  <c r="V312" i="14" s="1"/>
  <c r="W312" i="14"/>
  <c r="X312" i="14"/>
  <c r="U313" i="14"/>
  <c r="V313" i="14"/>
  <c r="W313" i="14"/>
  <c r="U314" i="14"/>
  <c r="V314" i="14" s="1"/>
  <c r="W314" i="14"/>
  <c r="X314" i="14"/>
  <c r="U315" i="14"/>
  <c r="V315" i="14"/>
  <c r="W315" i="14"/>
  <c r="U316" i="14"/>
  <c r="V316" i="14" s="1"/>
  <c r="X316" i="14" s="1"/>
  <c r="W316" i="14"/>
  <c r="U317" i="14"/>
  <c r="V317" i="14"/>
  <c r="U318" i="14"/>
  <c r="V318" i="14" s="1"/>
  <c r="W318" i="14" s="1"/>
  <c r="U319" i="14"/>
  <c r="V319" i="14" s="1"/>
  <c r="U320" i="14"/>
  <c r="V320" i="14" s="1"/>
  <c r="W320" i="14"/>
  <c r="X320" i="14"/>
  <c r="U321" i="14"/>
  <c r="V321" i="14"/>
  <c r="W321" i="14"/>
  <c r="U322" i="14"/>
  <c r="V322" i="14" s="1"/>
  <c r="W322" i="14"/>
  <c r="X322" i="14"/>
  <c r="U323" i="14"/>
  <c r="V323" i="14"/>
  <c r="X323" i="14" s="1"/>
  <c r="W323" i="14"/>
  <c r="U324" i="14"/>
  <c r="V324" i="14" s="1"/>
  <c r="U325" i="14"/>
  <c r="V325" i="14"/>
  <c r="X325" i="14" s="1"/>
  <c r="W325" i="14"/>
  <c r="U326" i="14"/>
  <c r="V326" i="14" s="1"/>
  <c r="U327" i="14"/>
  <c r="V327" i="14"/>
  <c r="X327" i="14" s="1"/>
  <c r="W327" i="14"/>
  <c r="U328" i="14"/>
  <c r="V328" i="14" s="1"/>
  <c r="U329" i="14"/>
  <c r="V329" i="14"/>
  <c r="X329" i="14" s="1"/>
  <c r="W329" i="14"/>
  <c r="U330" i="14"/>
  <c r="V330" i="14" s="1"/>
  <c r="U331" i="14"/>
  <c r="V331" i="14"/>
  <c r="X331" i="14" s="1"/>
  <c r="W331" i="14"/>
  <c r="G2" i="13"/>
  <c r="G1" i="13" s="1"/>
  <c r="H2" i="13"/>
  <c r="H1" i="13" s="1"/>
  <c r="I2" i="13"/>
  <c r="L2" i="13"/>
  <c r="L1" i="13" s="1"/>
  <c r="M2" i="13"/>
  <c r="M1" i="13" s="1"/>
  <c r="A4" i="13"/>
  <c r="K4" i="13"/>
  <c r="K2" i="13" s="1"/>
  <c r="K1" i="13" s="1"/>
  <c r="O4" i="13"/>
  <c r="O2" i="13" s="1"/>
  <c r="P4" i="13"/>
  <c r="P2" i="13" s="1"/>
  <c r="A5" i="13"/>
  <c r="K5" i="13"/>
  <c r="N5" i="13"/>
  <c r="O5" i="13"/>
  <c r="P5" i="13"/>
  <c r="A6" i="13"/>
  <c r="K6" i="13"/>
  <c r="N6" i="13" s="1"/>
  <c r="O6" i="13"/>
  <c r="P6" i="13"/>
  <c r="A7" i="13"/>
  <c r="K7" i="13"/>
  <c r="N7" i="13"/>
  <c r="O7" i="13"/>
  <c r="P7" i="13"/>
  <c r="A8" i="13"/>
  <c r="K8" i="13"/>
  <c r="N8" i="13" s="1"/>
  <c r="O8" i="13"/>
  <c r="P8" i="13"/>
  <c r="A9" i="13"/>
  <c r="N9" i="13"/>
  <c r="O9" i="13"/>
  <c r="I31" i="11" s="1"/>
  <c r="P9" i="13"/>
  <c r="A10" i="13"/>
  <c r="K10" i="13"/>
  <c r="N10" i="13"/>
  <c r="O10" i="13"/>
  <c r="P10" i="13"/>
  <c r="A11" i="13"/>
  <c r="K11" i="13"/>
  <c r="N11" i="13"/>
  <c r="O11" i="13"/>
  <c r="P11" i="13"/>
  <c r="A12" i="13"/>
  <c r="K12" i="13"/>
  <c r="N12" i="13"/>
  <c r="O12" i="13"/>
  <c r="P12" i="13"/>
  <c r="A13" i="13"/>
  <c r="K13" i="13"/>
  <c r="N13" i="13"/>
  <c r="O13" i="13"/>
  <c r="P13" i="13"/>
  <c r="A14" i="13"/>
  <c r="K14" i="13"/>
  <c r="N14" i="13"/>
  <c r="O14" i="13"/>
  <c r="P14" i="13"/>
  <c r="A15" i="13"/>
  <c r="K15" i="13"/>
  <c r="N15" i="13"/>
  <c r="O15" i="13"/>
  <c r="P15" i="13"/>
  <c r="A16" i="13"/>
  <c r="K16" i="13"/>
  <c r="N16" i="13"/>
  <c r="O16" i="13"/>
  <c r="P16" i="13"/>
  <c r="A17" i="13"/>
  <c r="K17" i="13"/>
  <c r="N17" i="13"/>
  <c r="O17" i="13"/>
  <c r="P17" i="13"/>
  <c r="A18" i="13"/>
  <c r="K18" i="13"/>
  <c r="N18" i="13"/>
  <c r="O18" i="13"/>
  <c r="P18" i="13"/>
  <c r="A19" i="13"/>
  <c r="K19" i="13"/>
  <c r="N19" i="13"/>
  <c r="O19" i="13"/>
  <c r="P19" i="13"/>
  <c r="A20" i="13"/>
  <c r="K20" i="13"/>
  <c r="N20" i="13"/>
  <c r="O20" i="13"/>
  <c r="P20" i="13"/>
  <c r="A21" i="13"/>
  <c r="K21" i="13"/>
  <c r="N21" i="13"/>
  <c r="O21" i="13"/>
  <c r="P21" i="13"/>
  <c r="A22" i="13"/>
  <c r="K22" i="13"/>
  <c r="N22" i="13"/>
  <c r="O22" i="13"/>
  <c r="P22" i="13"/>
  <c r="A23" i="13"/>
  <c r="K23" i="13"/>
  <c r="N23" i="13"/>
  <c r="O23" i="13"/>
  <c r="P23" i="13"/>
  <c r="A24" i="13"/>
  <c r="K24" i="13"/>
  <c r="N24" i="13"/>
  <c r="O24" i="13"/>
  <c r="P24" i="13"/>
  <c r="A25" i="13"/>
  <c r="K25" i="13"/>
  <c r="N25" i="13"/>
  <c r="O25" i="13"/>
  <c r="P25" i="13"/>
  <c r="A26" i="13"/>
  <c r="K26" i="13"/>
  <c r="N26" i="13"/>
  <c r="O26" i="13"/>
  <c r="P26" i="13"/>
  <c r="A27" i="13"/>
  <c r="K27" i="13"/>
  <c r="N27" i="13"/>
  <c r="O27" i="13"/>
  <c r="P27" i="13"/>
  <c r="A28" i="13"/>
  <c r="K28" i="13"/>
  <c r="N28" i="13"/>
  <c r="O28" i="13"/>
  <c r="P28" i="13"/>
  <c r="A29" i="13"/>
  <c r="K29" i="13"/>
  <c r="N29" i="13"/>
  <c r="O29" i="13"/>
  <c r="P29" i="13"/>
  <c r="A30" i="13"/>
  <c r="K30" i="13"/>
  <c r="N30" i="13"/>
  <c r="O30" i="13"/>
  <c r="P30" i="13"/>
  <c r="A31" i="13"/>
  <c r="K31" i="13"/>
  <c r="N31" i="13"/>
  <c r="O31" i="13"/>
  <c r="P31" i="13"/>
  <c r="A32" i="13"/>
  <c r="K32" i="13"/>
  <c r="N32" i="13"/>
  <c r="O32" i="13"/>
  <c r="P32" i="13"/>
  <c r="A33" i="13"/>
  <c r="K33" i="13"/>
  <c r="N33" i="13"/>
  <c r="O33" i="13"/>
  <c r="P33" i="13"/>
  <c r="A34" i="13"/>
  <c r="K34" i="13"/>
  <c r="N34" i="13"/>
  <c r="O34" i="13"/>
  <c r="P34" i="13"/>
  <c r="A35" i="13"/>
  <c r="K35" i="13"/>
  <c r="N35" i="13"/>
  <c r="O35" i="13"/>
  <c r="P35" i="13"/>
  <c r="A36" i="13"/>
  <c r="K36" i="13"/>
  <c r="N36" i="13"/>
  <c r="O36" i="13"/>
  <c r="P36" i="13"/>
  <c r="A37" i="13"/>
  <c r="K37" i="13"/>
  <c r="N37" i="13"/>
  <c r="O37" i="13"/>
  <c r="P37" i="13"/>
  <c r="A38" i="13"/>
  <c r="K38" i="13"/>
  <c r="N38" i="13"/>
  <c r="O38" i="13"/>
  <c r="P38" i="13"/>
  <c r="A39" i="13"/>
  <c r="K39" i="13"/>
  <c r="N39" i="13"/>
  <c r="O39" i="13"/>
  <c r="P39" i="13"/>
  <c r="A40" i="13"/>
  <c r="K40" i="13"/>
  <c r="N40" i="13"/>
  <c r="O40" i="13"/>
  <c r="P40" i="13"/>
  <c r="A41" i="13"/>
  <c r="K41" i="13"/>
  <c r="N41" i="13"/>
  <c r="O41" i="13"/>
  <c r="P41" i="13"/>
  <c r="K42" i="13"/>
  <c r="N42" i="13"/>
  <c r="O42" i="13"/>
  <c r="P42" i="13"/>
  <c r="A43" i="13"/>
  <c r="K43" i="13"/>
  <c r="N43" i="13" s="1"/>
  <c r="O43" i="13"/>
  <c r="P43" i="13"/>
  <c r="A44" i="13"/>
  <c r="K44" i="13"/>
  <c r="N44" i="13"/>
  <c r="O44" i="13"/>
  <c r="P44" i="13"/>
  <c r="A45" i="13"/>
  <c r="K45" i="13"/>
  <c r="N45" i="13" s="1"/>
  <c r="O45" i="13"/>
  <c r="P45" i="13"/>
  <c r="A46" i="13"/>
  <c r="K46" i="13"/>
  <c r="N46" i="13"/>
  <c r="O46" i="13"/>
  <c r="P46" i="13"/>
  <c r="A47" i="13"/>
  <c r="K47" i="13"/>
  <c r="N47" i="13" s="1"/>
  <c r="O47" i="13"/>
  <c r="P47" i="13"/>
  <c r="A48" i="13"/>
  <c r="K48" i="13"/>
  <c r="N48" i="13"/>
  <c r="O48" i="13"/>
  <c r="P48" i="13"/>
  <c r="A49" i="13"/>
  <c r="K49" i="13"/>
  <c r="N49" i="13" s="1"/>
  <c r="O49" i="13"/>
  <c r="P49" i="13"/>
  <c r="A50" i="13"/>
  <c r="K50" i="13"/>
  <c r="N50" i="13"/>
  <c r="O50" i="13"/>
  <c r="P50" i="13"/>
  <c r="A51" i="13"/>
  <c r="K51" i="13"/>
  <c r="N51" i="13" s="1"/>
  <c r="O51" i="13"/>
  <c r="P51" i="13"/>
  <c r="A52" i="13"/>
  <c r="K52" i="13"/>
  <c r="N52" i="13"/>
  <c r="O52" i="13"/>
  <c r="P52" i="13"/>
  <c r="A53" i="13"/>
  <c r="K53" i="13"/>
  <c r="N53" i="13" s="1"/>
  <c r="O53" i="13"/>
  <c r="P53" i="13"/>
  <c r="A54" i="13"/>
  <c r="K54" i="13"/>
  <c r="N54" i="13"/>
  <c r="O54" i="13"/>
  <c r="P54" i="13"/>
  <c r="A55" i="13"/>
  <c r="K55" i="13"/>
  <c r="N55" i="13" s="1"/>
  <c r="O55" i="13"/>
  <c r="P55" i="13"/>
  <c r="A56" i="13"/>
  <c r="K56" i="13"/>
  <c r="N56" i="13"/>
  <c r="O56" i="13"/>
  <c r="P56" i="13"/>
  <c r="A57" i="13"/>
  <c r="K57" i="13"/>
  <c r="N57" i="13" s="1"/>
  <c r="O57" i="13"/>
  <c r="P57" i="13"/>
  <c r="A58" i="13"/>
  <c r="K58" i="13"/>
  <c r="N58" i="13"/>
  <c r="O58" i="13"/>
  <c r="P58" i="13"/>
  <c r="A59" i="13"/>
  <c r="K59" i="13"/>
  <c r="N59" i="13" s="1"/>
  <c r="O59" i="13"/>
  <c r="P59" i="13"/>
  <c r="A60" i="13"/>
  <c r="K60" i="13"/>
  <c r="N60" i="13"/>
  <c r="O60" i="13"/>
  <c r="P60" i="13"/>
  <c r="A61" i="13"/>
  <c r="K61" i="13"/>
  <c r="N61" i="13" s="1"/>
  <c r="O61" i="13"/>
  <c r="P61" i="13"/>
  <c r="A62" i="13"/>
  <c r="K62" i="13"/>
  <c r="N62" i="13"/>
  <c r="O62" i="13"/>
  <c r="P62" i="13"/>
  <c r="A63" i="13"/>
  <c r="K63" i="13"/>
  <c r="N63" i="13" s="1"/>
  <c r="O63" i="13"/>
  <c r="P63" i="13"/>
  <c r="A64" i="13"/>
  <c r="K64" i="13"/>
  <c r="N64" i="13"/>
  <c r="O64" i="13"/>
  <c r="P64" i="13"/>
  <c r="A65" i="13"/>
  <c r="K65" i="13"/>
  <c r="N65" i="13" s="1"/>
  <c r="O65" i="13"/>
  <c r="P65" i="13"/>
  <c r="A66" i="13"/>
  <c r="K66" i="13"/>
  <c r="N66" i="13"/>
  <c r="O66" i="13"/>
  <c r="P66" i="13"/>
  <c r="A67" i="13"/>
  <c r="K67" i="13"/>
  <c r="N67" i="13" s="1"/>
  <c r="O67" i="13"/>
  <c r="P67" i="13"/>
  <c r="A68" i="13"/>
  <c r="K68" i="13"/>
  <c r="N68" i="13"/>
  <c r="O68" i="13"/>
  <c r="P68" i="13"/>
  <c r="A69" i="13"/>
  <c r="K69" i="13"/>
  <c r="N69" i="13" s="1"/>
  <c r="O69" i="13"/>
  <c r="P69" i="13"/>
  <c r="A70" i="13"/>
  <c r="K70" i="13"/>
  <c r="N70" i="13"/>
  <c r="O70" i="13"/>
  <c r="P70" i="13"/>
  <c r="A71" i="13"/>
  <c r="K71" i="13"/>
  <c r="N71" i="13" s="1"/>
  <c r="O71" i="13"/>
  <c r="P71" i="13"/>
  <c r="A72" i="13"/>
  <c r="K72" i="13"/>
  <c r="N72" i="13"/>
  <c r="O72" i="13"/>
  <c r="P72" i="13"/>
  <c r="A73" i="13"/>
  <c r="K73" i="13"/>
  <c r="N73" i="13" s="1"/>
  <c r="O73" i="13"/>
  <c r="P73" i="13"/>
  <c r="A74" i="13"/>
  <c r="K74" i="13"/>
  <c r="N74" i="13"/>
  <c r="O74" i="13"/>
  <c r="P74" i="13"/>
  <c r="A75" i="13"/>
  <c r="K75" i="13"/>
  <c r="N75" i="13" s="1"/>
  <c r="O75" i="13"/>
  <c r="P75" i="13"/>
  <c r="A76" i="13"/>
  <c r="K76" i="13"/>
  <c r="N76" i="13"/>
  <c r="O76" i="13"/>
  <c r="P76" i="13"/>
  <c r="A77" i="13"/>
  <c r="K77" i="13"/>
  <c r="N77" i="13" s="1"/>
  <c r="O77" i="13"/>
  <c r="P77" i="13"/>
  <c r="A78" i="13"/>
  <c r="K78" i="13"/>
  <c r="N78" i="13"/>
  <c r="O78" i="13"/>
  <c r="P78" i="13"/>
  <c r="A79" i="13"/>
  <c r="K79" i="13"/>
  <c r="N79" i="13" s="1"/>
  <c r="O79" i="13"/>
  <c r="P79" i="13"/>
  <c r="A80" i="13"/>
  <c r="K80" i="13"/>
  <c r="N80" i="13"/>
  <c r="O80" i="13"/>
  <c r="P80" i="13"/>
  <c r="A81" i="13"/>
  <c r="K81" i="13"/>
  <c r="N81" i="13" s="1"/>
  <c r="O81" i="13"/>
  <c r="P81" i="13"/>
  <c r="A82" i="13"/>
  <c r="K82" i="13"/>
  <c r="N82" i="13"/>
  <c r="O82" i="13"/>
  <c r="P82" i="13"/>
  <c r="A83" i="13"/>
  <c r="K83" i="13"/>
  <c r="N83" i="13" s="1"/>
  <c r="O83" i="13"/>
  <c r="P83" i="13"/>
  <c r="A84" i="13"/>
  <c r="K84" i="13"/>
  <c r="N84" i="13"/>
  <c r="O84" i="13"/>
  <c r="P84" i="13"/>
  <c r="A85" i="13"/>
  <c r="K85" i="13"/>
  <c r="N85" i="13" s="1"/>
  <c r="O85" i="13"/>
  <c r="P85" i="13"/>
  <c r="A86" i="13"/>
  <c r="K86" i="13"/>
  <c r="N86" i="13"/>
  <c r="O86" i="13"/>
  <c r="P86" i="13"/>
  <c r="A87" i="13"/>
  <c r="K87" i="13"/>
  <c r="N87" i="13" s="1"/>
  <c r="O87" i="13"/>
  <c r="P87" i="13"/>
  <c r="A88" i="13"/>
  <c r="K88" i="13"/>
  <c r="N88" i="13"/>
  <c r="O88" i="13"/>
  <c r="P88" i="13"/>
  <c r="A89" i="13"/>
  <c r="K89" i="13"/>
  <c r="N89" i="13" s="1"/>
  <c r="O89" i="13"/>
  <c r="P89" i="13"/>
  <c r="A90" i="13"/>
  <c r="K90" i="13"/>
  <c r="N90" i="13"/>
  <c r="O90" i="13"/>
  <c r="P90" i="13"/>
  <c r="A91" i="13"/>
  <c r="K91" i="13"/>
  <c r="N91" i="13" s="1"/>
  <c r="O91" i="13"/>
  <c r="P91" i="13"/>
  <c r="A92" i="13"/>
  <c r="K92" i="13"/>
  <c r="N92" i="13"/>
  <c r="O92" i="13"/>
  <c r="P92" i="13"/>
  <c r="A93" i="13"/>
  <c r="K93" i="13"/>
  <c r="N93" i="13" s="1"/>
  <c r="O93" i="13"/>
  <c r="P93" i="13"/>
  <c r="A94" i="13"/>
  <c r="K94" i="13"/>
  <c r="N94" i="13"/>
  <c r="O94" i="13"/>
  <c r="P94" i="13"/>
  <c r="A95" i="13"/>
  <c r="K95" i="13"/>
  <c r="N95" i="13" s="1"/>
  <c r="O95" i="13"/>
  <c r="P95" i="13"/>
  <c r="A96" i="13"/>
  <c r="K96" i="13"/>
  <c r="N96" i="13"/>
  <c r="O96" i="13"/>
  <c r="P96" i="13"/>
  <c r="A97" i="13"/>
  <c r="K97" i="13"/>
  <c r="N97" i="13" s="1"/>
  <c r="O97" i="13"/>
  <c r="P97" i="13"/>
  <c r="A98" i="13"/>
  <c r="N98" i="13"/>
  <c r="O98" i="13"/>
  <c r="P98" i="13"/>
  <c r="A99" i="13"/>
  <c r="K99" i="13"/>
  <c r="N99" i="13"/>
  <c r="O99" i="13"/>
  <c r="P99" i="13"/>
  <c r="A100" i="13"/>
  <c r="K100" i="13"/>
  <c r="N100" i="13"/>
  <c r="O100" i="13"/>
  <c r="P100" i="13"/>
  <c r="A101" i="13"/>
  <c r="K101" i="13"/>
  <c r="N101" i="13"/>
  <c r="O101" i="13"/>
  <c r="P101" i="13"/>
  <c r="A102" i="13"/>
  <c r="K102" i="13"/>
  <c r="N102" i="13"/>
  <c r="O102" i="13"/>
  <c r="P102" i="13"/>
  <c r="A103" i="13"/>
  <c r="K103" i="13"/>
  <c r="N103" i="13"/>
  <c r="O103" i="13"/>
  <c r="P103" i="13"/>
  <c r="A104" i="13"/>
  <c r="K104" i="13"/>
  <c r="N104" i="13"/>
  <c r="O104" i="13"/>
  <c r="P104" i="13"/>
  <c r="A105" i="13"/>
  <c r="K105" i="13"/>
  <c r="N105" i="13"/>
  <c r="O105" i="13"/>
  <c r="P105" i="13"/>
  <c r="A106" i="13"/>
  <c r="K106" i="13"/>
  <c r="N106" i="13"/>
  <c r="O106" i="13"/>
  <c r="P106" i="13"/>
  <c r="A107" i="13"/>
  <c r="K107" i="13"/>
  <c r="N107" i="13"/>
  <c r="O107" i="13"/>
  <c r="P107" i="13"/>
  <c r="A108" i="13"/>
  <c r="K108" i="13"/>
  <c r="N108" i="13"/>
  <c r="O108" i="13"/>
  <c r="P108" i="13"/>
  <c r="A109" i="13"/>
  <c r="K109" i="13"/>
  <c r="N109" i="13"/>
  <c r="O109" i="13"/>
  <c r="P109" i="13"/>
  <c r="A110" i="13"/>
  <c r="K110" i="13"/>
  <c r="N110" i="13"/>
  <c r="O110" i="13"/>
  <c r="P110" i="13"/>
  <c r="A111" i="13"/>
  <c r="K111" i="13"/>
  <c r="N111" i="13"/>
  <c r="O111" i="13"/>
  <c r="P111" i="13"/>
  <c r="A112" i="13"/>
  <c r="K112" i="13"/>
  <c r="N112" i="13"/>
  <c r="O112" i="13"/>
  <c r="P112" i="13"/>
  <c r="A113" i="13"/>
  <c r="K113" i="13"/>
  <c r="N113" i="13"/>
  <c r="O113" i="13"/>
  <c r="P113" i="13"/>
  <c r="A114" i="13"/>
  <c r="K114" i="13"/>
  <c r="N114" i="13"/>
  <c r="O114" i="13"/>
  <c r="P114" i="13"/>
  <c r="A115" i="13"/>
  <c r="K115" i="13"/>
  <c r="N115" i="13"/>
  <c r="O115" i="13"/>
  <c r="P115" i="13"/>
  <c r="A116" i="13"/>
  <c r="K116" i="13"/>
  <c r="N116" i="13"/>
  <c r="O116" i="13"/>
  <c r="P116" i="13"/>
  <c r="A117" i="13"/>
  <c r="K117" i="13"/>
  <c r="N117" i="13"/>
  <c r="O117" i="13"/>
  <c r="P117" i="13"/>
  <c r="A118" i="13"/>
  <c r="K118" i="13"/>
  <c r="N118" i="13"/>
  <c r="O118" i="13"/>
  <c r="P118" i="13"/>
  <c r="A119" i="13"/>
  <c r="K119" i="13"/>
  <c r="N119" i="13"/>
  <c r="O119" i="13"/>
  <c r="P119" i="13"/>
  <c r="A120" i="13"/>
  <c r="K120" i="13"/>
  <c r="N120" i="13"/>
  <c r="O120" i="13"/>
  <c r="P120" i="13"/>
  <c r="A121" i="13"/>
  <c r="K121" i="13"/>
  <c r="N121" i="13"/>
  <c r="O121" i="13"/>
  <c r="P121" i="13"/>
  <c r="A122" i="13"/>
  <c r="K122" i="13"/>
  <c r="N122" i="13"/>
  <c r="O122" i="13"/>
  <c r="P122" i="13"/>
  <c r="A123" i="13"/>
  <c r="K123" i="13"/>
  <c r="N123" i="13"/>
  <c r="O123" i="13"/>
  <c r="P123" i="13"/>
  <c r="A124" i="13"/>
  <c r="K124" i="13"/>
  <c r="N124" i="13"/>
  <c r="O124" i="13"/>
  <c r="P124" i="13"/>
  <c r="A125" i="13"/>
  <c r="K125" i="13"/>
  <c r="N125" i="13"/>
  <c r="O125" i="13"/>
  <c r="P125" i="13"/>
  <c r="A126" i="13"/>
  <c r="K126" i="13"/>
  <c r="N126" i="13"/>
  <c r="O126" i="13"/>
  <c r="P126" i="13"/>
  <c r="A127" i="13"/>
  <c r="K127" i="13"/>
  <c r="N127" i="13"/>
  <c r="O127" i="13"/>
  <c r="P127" i="13"/>
  <c r="A128" i="13"/>
  <c r="K128" i="13"/>
  <c r="N128" i="13"/>
  <c r="O128" i="13"/>
  <c r="P128" i="13"/>
  <c r="A129" i="13"/>
  <c r="K129" i="13"/>
  <c r="N129" i="13"/>
  <c r="O129" i="13"/>
  <c r="P129" i="13"/>
  <c r="A130" i="13"/>
  <c r="K130" i="13"/>
  <c r="N130" i="13"/>
  <c r="O130" i="13"/>
  <c r="P130" i="13"/>
  <c r="A131" i="13"/>
  <c r="K131" i="13"/>
  <c r="N131" i="13"/>
  <c r="O131" i="13"/>
  <c r="P131" i="13"/>
  <c r="A132" i="13"/>
  <c r="K132" i="13"/>
  <c r="N132" i="13"/>
  <c r="O132" i="13"/>
  <c r="P132" i="13"/>
  <c r="A133" i="13"/>
  <c r="K133" i="13"/>
  <c r="N133" i="13"/>
  <c r="O133" i="13"/>
  <c r="P133" i="13"/>
  <c r="A134" i="13"/>
  <c r="K134" i="13"/>
  <c r="N134" i="13"/>
  <c r="O134" i="13"/>
  <c r="P134" i="13"/>
  <c r="A135" i="13"/>
  <c r="K135" i="13"/>
  <c r="N135" i="13"/>
  <c r="O135" i="13"/>
  <c r="P135" i="13"/>
  <c r="A136" i="13"/>
  <c r="K136" i="13"/>
  <c r="N136" i="13"/>
  <c r="O136" i="13"/>
  <c r="P136" i="13"/>
  <c r="A137" i="13"/>
  <c r="K137" i="13"/>
  <c r="N137" i="13"/>
  <c r="O137" i="13"/>
  <c r="P137" i="13"/>
  <c r="A138" i="13"/>
  <c r="K138" i="13"/>
  <c r="N138" i="13"/>
  <c r="O138" i="13"/>
  <c r="P138" i="13"/>
  <c r="A139" i="13"/>
  <c r="K139" i="13"/>
  <c r="N139" i="13"/>
  <c r="O139" i="13"/>
  <c r="P139" i="13"/>
  <c r="A140" i="13"/>
  <c r="K140" i="13"/>
  <c r="N140" i="13"/>
  <c r="O140" i="13"/>
  <c r="P140" i="13"/>
  <c r="A141" i="13"/>
  <c r="K141" i="13"/>
  <c r="N141" i="13"/>
  <c r="O141" i="13"/>
  <c r="P141" i="13"/>
  <c r="A142" i="13"/>
  <c r="K142" i="13"/>
  <c r="N142" i="13"/>
  <c r="O142" i="13"/>
  <c r="P142" i="13"/>
  <c r="A143" i="13"/>
  <c r="K143" i="13"/>
  <c r="N143" i="13"/>
  <c r="O143" i="13"/>
  <c r="P143" i="13"/>
  <c r="A144" i="13"/>
  <c r="K144" i="13"/>
  <c r="N144" i="13"/>
  <c r="O144" i="13"/>
  <c r="P144" i="13"/>
  <c r="A145" i="13"/>
  <c r="K145" i="13"/>
  <c r="N145" i="13"/>
  <c r="O145" i="13"/>
  <c r="P145" i="13"/>
  <c r="A146" i="13"/>
  <c r="K146" i="13"/>
  <c r="N146" i="13"/>
  <c r="O146" i="13"/>
  <c r="P146" i="13"/>
  <c r="A147" i="13"/>
  <c r="K147" i="13"/>
  <c r="N147" i="13"/>
  <c r="O147" i="13"/>
  <c r="P147" i="13"/>
  <c r="A148" i="13"/>
  <c r="K148" i="13"/>
  <c r="N148" i="13"/>
  <c r="O148" i="13"/>
  <c r="P148" i="13"/>
  <c r="A149" i="13"/>
  <c r="K149" i="13"/>
  <c r="N149" i="13"/>
  <c r="O149" i="13"/>
  <c r="P149" i="13"/>
  <c r="A150" i="13"/>
  <c r="K150" i="13"/>
  <c r="N150" i="13"/>
  <c r="O150" i="13"/>
  <c r="P150" i="13"/>
  <c r="A151" i="13"/>
  <c r="K151" i="13"/>
  <c r="N151" i="13"/>
  <c r="O151" i="13"/>
  <c r="P151" i="13"/>
  <c r="A152" i="13"/>
  <c r="K152" i="13"/>
  <c r="N152" i="13"/>
  <c r="O152" i="13"/>
  <c r="P152" i="13"/>
  <c r="A153" i="13"/>
  <c r="K153" i="13"/>
  <c r="N153" i="13"/>
  <c r="O153" i="13"/>
  <c r="P153" i="13"/>
  <c r="A154" i="13"/>
  <c r="K154" i="13"/>
  <c r="N154" i="13"/>
  <c r="O154" i="13"/>
  <c r="P154" i="13"/>
  <c r="A155" i="13"/>
  <c r="K155" i="13"/>
  <c r="N155" i="13"/>
  <c r="O155" i="13"/>
  <c r="P155" i="13"/>
  <c r="A156" i="13"/>
  <c r="K156" i="13"/>
  <c r="N156" i="13"/>
  <c r="O156" i="13"/>
  <c r="P156" i="13"/>
  <c r="A157" i="13"/>
  <c r="K157" i="13"/>
  <c r="N157" i="13"/>
  <c r="O157" i="13"/>
  <c r="P157" i="13"/>
  <c r="A158" i="13"/>
  <c r="K158" i="13"/>
  <c r="N158" i="13"/>
  <c r="O158" i="13"/>
  <c r="P158" i="13"/>
  <c r="A159" i="13"/>
  <c r="K159" i="13"/>
  <c r="N159" i="13"/>
  <c r="O159" i="13"/>
  <c r="P159" i="13"/>
  <c r="A160" i="13"/>
  <c r="K160" i="13"/>
  <c r="N160" i="13"/>
  <c r="O160" i="13"/>
  <c r="P160" i="13"/>
  <c r="A161" i="13"/>
  <c r="K161" i="13"/>
  <c r="N161" i="13"/>
  <c r="O161" i="13"/>
  <c r="P161" i="13"/>
  <c r="A162" i="13"/>
  <c r="K162" i="13"/>
  <c r="N162" i="13"/>
  <c r="O162" i="13"/>
  <c r="P162" i="13"/>
  <c r="A163" i="13"/>
  <c r="K163" i="13"/>
  <c r="N163" i="13"/>
  <c r="O163" i="13"/>
  <c r="P163" i="13"/>
  <c r="A164" i="13"/>
  <c r="K164" i="13"/>
  <c r="N164" i="13"/>
  <c r="O164" i="13"/>
  <c r="P164" i="13"/>
  <c r="A165" i="13"/>
  <c r="K165" i="13"/>
  <c r="N165" i="13"/>
  <c r="O165" i="13"/>
  <c r="P165" i="13"/>
  <c r="A166" i="13"/>
  <c r="K166" i="13"/>
  <c r="N166" i="13"/>
  <c r="O166" i="13"/>
  <c r="P166" i="13"/>
  <c r="A167" i="13"/>
  <c r="K167" i="13"/>
  <c r="N167" i="13"/>
  <c r="O167" i="13"/>
  <c r="P167" i="13"/>
  <c r="A168" i="13"/>
  <c r="K168" i="13"/>
  <c r="N168" i="13"/>
  <c r="O168" i="13"/>
  <c r="P168" i="13"/>
  <c r="A169" i="13"/>
  <c r="K169" i="13"/>
  <c r="N169" i="13"/>
  <c r="O169" i="13"/>
  <c r="P169" i="13"/>
  <c r="A170" i="13"/>
  <c r="K170" i="13"/>
  <c r="N170" i="13"/>
  <c r="O170" i="13"/>
  <c r="P170" i="13"/>
  <c r="A171" i="13"/>
  <c r="K171" i="13"/>
  <c r="N171" i="13"/>
  <c r="O171" i="13"/>
  <c r="P171" i="13"/>
  <c r="A172" i="13"/>
  <c r="K172" i="13"/>
  <c r="N172" i="13"/>
  <c r="O172" i="13"/>
  <c r="P172" i="13"/>
  <c r="K173" i="13"/>
  <c r="N173" i="13"/>
  <c r="O173" i="13"/>
  <c r="P173" i="13"/>
  <c r="K174" i="13"/>
  <c r="N174" i="13"/>
  <c r="O174" i="13"/>
  <c r="P174" i="13"/>
  <c r="K175" i="13"/>
  <c r="N175" i="13" s="1"/>
  <c r="O175" i="13"/>
  <c r="P175" i="13"/>
  <c r="K176" i="13"/>
  <c r="N176" i="13"/>
  <c r="O176" i="13"/>
  <c r="P176" i="13"/>
  <c r="K177" i="13"/>
  <c r="N177" i="13"/>
  <c r="O177" i="13"/>
  <c r="P177" i="13"/>
  <c r="K178" i="13"/>
  <c r="N178" i="13"/>
  <c r="O178" i="13"/>
  <c r="P178" i="13"/>
  <c r="K179" i="13"/>
  <c r="N179" i="13" s="1"/>
  <c r="O179" i="13"/>
  <c r="P179" i="13"/>
  <c r="K180" i="13"/>
  <c r="N180" i="13"/>
  <c r="O180" i="13"/>
  <c r="P180" i="13"/>
  <c r="K181" i="13"/>
  <c r="N181" i="13"/>
  <c r="O181" i="13"/>
  <c r="P181" i="13"/>
  <c r="K182" i="13"/>
  <c r="N182" i="13"/>
  <c r="O182" i="13"/>
  <c r="P182" i="13"/>
  <c r="K183" i="13"/>
  <c r="N183" i="13" s="1"/>
  <c r="O183" i="13"/>
  <c r="P183" i="13"/>
  <c r="K184" i="13"/>
  <c r="N184" i="13"/>
  <c r="O184" i="13"/>
  <c r="P184" i="13"/>
  <c r="K185" i="13"/>
  <c r="N185" i="13"/>
  <c r="O185" i="13"/>
  <c r="P185" i="13"/>
  <c r="K186" i="13"/>
  <c r="N186" i="13"/>
  <c r="O186" i="13"/>
  <c r="P186" i="13"/>
  <c r="K187" i="13"/>
  <c r="N187" i="13" s="1"/>
  <c r="O187" i="13"/>
  <c r="P187" i="13"/>
  <c r="K188" i="13"/>
  <c r="N188" i="13"/>
  <c r="O188" i="13"/>
  <c r="P188" i="13"/>
  <c r="K189" i="13"/>
  <c r="N189" i="13"/>
  <c r="O189" i="13"/>
  <c r="P189" i="13"/>
  <c r="K190" i="13"/>
  <c r="N190" i="13"/>
  <c r="O190" i="13"/>
  <c r="P190" i="13"/>
  <c r="K191" i="13"/>
  <c r="N191" i="13" s="1"/>
  <c r="O191" i="13"/>
  <c r="P191" i="13"/>
  <c r="K192" i="13"/>
  <c r="N192" i="13"/>
  <c r="O192" i="13"/>
  <c r="P192" i="13"/>
  <c r="K193" i="13"/>
  <c r="N193" i="13"/>
  <c r="O193" i="13"/>
  <c r="P193" i="13"/>
  <c r="K194" i="13"/>
  <c r="N194" i="13"/>
  <c r="O194" i="13"/>
  <c r="P194" i="13"/>
  <c r="K195" i="13"/>
  <c r="N195" i="13" s="1"/>
  <c r="O195" i="13"/>
  <c r="P195" i="13"/>
  <c r="K196" i="13"/>
  <c r="N196" i="13"/>
  <c r="O196" i="13"/>
  <c r="P196" i="13"/>
  <c r="K197" i="13"/>
  <c r="N197" i="13"/>
  <c r="O197" i="13"/>
  <c r="P197" i="13"/>
  <c r="K198" i="13"/>
  <c r="N198" i="13"/>
  <c r="O198" i="13"/>
  <c r="P198" i="13"/>
  <c r="K199" i="13"/>
  <c r="N199" i="13" s="1"/>
  <c r="O199" i="13"/>
  <c r="P199" i="13"/>
  <c r="K200" i="13"/>
  <c r="N200" i="13"/>
  <c r="O200" i="13"/>
  <c r="P200" i="13"/>
  <c r="K201" i="13"/>
  <c r="N201" i="13"/>
  <c r="O201" i="13"/>
  <c r="P201" i="13"/>
  <c r="K202" i="13"/>
  <c r="N202" i="13"/>
  <c r="O202" i="13"/>
  <c r="P202" i="13"/>
  <c r="K203" i="13"/>
  <c r="N203" i="13" s="1"/>
  <c r="O203" i="13"/>
  <c r="P203" i="13"/>
  <c r="K204" i="13"/>
  <c r="N204" i="13"/>
  <c r="O204" i="13"/>
  <c r="P204" i="13"/>
  <c r="K205" i="13"/>
  <c r="N205" i="13"/>
  <c r="O205" i="13"/>
  <c r="P205" i="13"/>
  <c r="K206" i="13"/>
  <c r="N206" i="13"/>
  <c r="O206" i="13"/>
  <c r="P206" i="13"/>
  <c r="K207" i="13"/>
  <c r="N207" i="13" s="1"/>
  <c r="O207" i="13"/>
  <c r="P207" i="13"/>
  <c r="K208" i="13"/>
  <c r="N208" i="13"/>
  <c r="O208" i="13"/>
  <c r="P208" i="13"/>
  <c r="K209" i="13"/>
  <c r="N209" i="13"/>
  <c r="O209" i="13"/>
  <c r="P209" i="13"/>
  <c r="K210" i="13"/>
  <c r="N210" i="13"/>
  <c r="O210" i="13"/>
  <c r="P210" i="13"/>
  <c r="A211" i="13"/>
  <c r="K211" i="13"/>
  <c r="N211" i="13"/>
  <c r="O211" i="13"/>
  <c r="P211" i="13"/>
  <c r="A212" i="13"/>
  <c r="K212" i="13"/>
  <c r="N212" i="13"/>
  <c r="O212" i="13"/>
  <c r="P212" i="13"/>
  <c r="A213" i="13"/>
  <c r="K213" i="13"/>
  <c r="N213" i="13"/>
  <c r="O213" i="13"/>
  <c r="P213" i="13"/>
  <c r="A214" i="13"/>
  <c r="K214" i="13"/>
  <c r="N214" i="13"/>
  <c r="O214" i="13"/>
  <c r="P214" i="13"/>
  <c r="A215" i="13"/>
  <c r="K215" i="13"/>
  <c r="N215" i="13"/>
  <c r="O215" i="13"/>
  <c r="P215" i="13"/>
  <c r="A216" i="13"/>
  <c r="K216" i="13"/>
  <c r="N216" i="13"/>
  <c r="O216" i="13"/>
  <c r="P216" i="13"/>
  <c r="A217" i="13"/>
  <c r="K217" i="13"/>
  <c r="N217" i="13"/>
  <c r="O217" i="13"/>
  <c r="P217" i="13"/>
  <c r="A218" i="13"/>
  <c r="K218" i="13"/>
  <c r="N218" i="13"/>
  <c r="O218" i="13"/>
  <c r="P218" i="13"/>
  <c r="A219" i="13"/>
  <c r="K219" i="13"/>
  <c r="N219" i="13"/>
  <c r="O219" i="13"/>
  <c r="P219" i="13"/>
  <c r="A220" i="13"/>
  <c r="K220" i="13"/>
  <c r="N220" i="13"/>
  <c r="O220" i="13"/>
  <c r="P220" i="13"/>
  <c r="A221" i="13"/>
  <c r="K221" i="13"/>
  <c r="N221" i="13"/>
  <c r="O221" i="13"/>
  <c r="P221" i="13"/>
  <c r="A222" i="13"/>
  <c r="K222" i="13"/>
  <c r="N222" i="13"/>
  <c r="O222" i="13"/>
  <c r="P222" i="13"/>
  <c r="A223" i="13"/>
  <c r="K223" i="13"/>
  <c r="N223" i="13"/>
  <c r="O223" i="13"/>
  <c r="P223" i="13"/>
  <c r="A224" i="13"/>
  <c r="K224" i="13"/>
  <c r="N224" i="13"/>
  <c r="O224" i="13"/>
  <c r="P224" i="13"/>
  <c r="A225" i="13"/>
  <c r="K225" i="13"/>
  <c r="N225" i="13"/>
  <c r="O225" i="13"/>
  <c r="P225" i="13"/>
  <c r="A226" i="13"/>
  <c r="K226" i="13"/>
  <c r="N226" i="13"/>
  <c r="O226" i="13"/>
  <c r="P226" i="13"/>
  <c r="A227" i="13"/>
  <c r="K227" i="13"/>
  <c r="N227" i="13"/>
  <c r="O227" i="13"/>
  <c r="P227" i="13"/>
  <c r="A228" i="13"/>
  <c r="K228" i="13"/>
  <c r="N228" i="13"/>
  <c r="O228" i="13"/>
  <c r="P228" i="13"/>
  <c r="A229" i="13"/>
  <c r="K229" i="13"/>
  <c r="N229" i="13"/>
  <c r="O229" i="13"/>
  <c r="P229" i="13"/>
  <c r="A230" i="13"/>
  <c r="K230" i="13"/>
  <c r="N230" i="13"/>
  <c r="O230" i="13"/>
  <c r="P230" i="13"/>
  <c r="A231" i="13"/>
  <c r="K231" i="13"/>
  <c r="N231" i="13"/>
  <c r="O231" i="13"/>
  <c r="P231" i="13"/>
  <c r="A232" i="13"/>
  <c r="K232" i="13"/>
  <c r="N232" i="13"/>
  <c r="O232" i="13"/>
  <c r="P232" i="13"/>
  <c r="A233" i="13"/>
  <c r="K233" i="13"/>
  <c r="N233" i="13"/>
  <c r="O233" i="13"/>
  <c r="P233" i="13"/>
  <c r="A234" i="13"/>
  <c r="K234" i="13"/>
  <c r="N234" i="13"/>
  <c r="O234" i="13"/>
  <c r="P234" i="13"/>
  <c r="A235" i="13"/>
  <c r="K235" i="13"/>
  <c r="N235" i="13"/>
  <c r="O235" i="13"/>
  <c r="P235" i="13"/>
  <c r="A236" i="13"/>
  <c r="K236" i="13"/>
  <c r="N236" i="13"/>
  <c r="O236" i="13"/>
  <c r="P236" i="13"/>
  <c r="A237" i="13"/>
  <c r="K237" i="13"/>
  <c r="N237" i="13"/>
  <c r="O237" i="13"/>
  <c r="P237" i="13"/>
  <c r="A238" i="13"/>
  <c r="K238" i="13"/>
  <c r="N238" i="13"/>
  <c r="O238" i="13"/>
  <c r="P238" i="13"/>
  <c r="A239" i="13"/>
  <c r="K239" i="13"/>
  <c r="N239" i="13"/>
  <c r="O239" i="13"/>
  <c r="P239" i="13"/>
  <c r="A240" i="13"/>
  <c r="K240" i="13"/>
  <c r="N240" i="13"/>
  <c r="O240" i="13"/>
  <c r="P240" i="13"/>
  <c r="A241" i="13"/>
  <c r="K241" i="13"/>
  <c r="N241" i="13"/>
  <c r="O241" i="13"/>
  <c r="P241" i="13"/>
  <c r="A242" i="13"/>
  <c r="K242" i="13"/>
  <c r="N242" i="13"/>
  <c r="O242" i="13"/>
  <c r="P242" i="13"/>
  <c r="A243" i="13"/>
  <c r="K243" i="13"/>
  <c r="N243" i="13"/>
  <c r="O243" i="13"/>
  <c r="P243" i="13"/>
  <c r="A244" i="13"/>
  <c r="K244" i="13"/>
  <c r="N244" i="13"/>
  <c r="O244" i="13"/>
  <c r="P244" i="13"/>
  <c r="A245" i="13"/>
  <c r="K245" i="13"/>
  <c r="N245" i="13"/>
  <c r="O245" i="13"/>
  <c r="P245" i="13"/>
  <c r="G246" i="13"/>
  <c r="H246" i="13"/>
  <c r="I246" i="13"/>
  <c r="K246" i="13"/>
  <c r="L246" i="13"/>
  <c r="M246" i="13"/>
  <c r="N247" i="13"/>
  <c r="O247" i="13"/>
  <c r="P247" i="13"/>
  <c r="A248" i="13"/>
  <c r="B248" i="13"/>
  <c r="N248" i="13"/>
  <c r="O248" i="13"/>
  <c r="P248" i="13"/>
  <c r="A249" i="13"/>
  <c r="B249" i="13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N249" i="13"/>
  <c r="O249" i="13"/>
  <c r="P249" i="13"/>
  <c r="A250" i="13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N250" i="13"/>
  <c r="O250" i="13"/>
  <c r="P250" i="13"/>
  <c r="N251" i="13"/>
  <c r="O251" i="13"/>
  <c r="P251" i="13"/>
  <c r="N252" i="13"/>
  <c r="O252" i="13"/>
  <c r="P252" i="13"/>
  <c r="N253" i="13"/>
  <c r="O253" i="13"/>
  <c r="P253" i="13"/>
  <c r="N254" i="13"/>
  <c r="O254" i="13"/>
  <c r="P254" i="13"/>
  <c r="N255" i="13"/>
  <c r="O255" i="13"/>
  <c r="P255" i="13"/>
  <c r="N256" i="13"/>
  <c r="O256" i="13"/>
  <c r="P256" i="13"/>
  <c r="N257" i="13"/>
  <c r="O257" i="13"/>
  <c r="P257" i="13"/>
  <c r="N258" i="13"/>
  <c r="O258" i="13"/>
  <c r="P258" i="13"/>
  <c r="N259" i="13"/>
  <c r="O259" i="13"/>
  <c r="P259" i="13"/>
  <c r="N260" i="13"/>
  <c r="O260" i="13"/>
  <c r="P260" i="13"/>
  <c r="N261" i="13"/>
  <c r="O261" i="13"/>
  <c r="P261" i="13"/>
  <c r="N262" i="13"/>
  <c r="O262" i="13"/>
  <c r="P262" i="13"/>
  <c r="N263" i="13"/>
  <c r="O263" i="13"/>
  <c r="P263" i="13"/>
  <c r="N264" i="13"/>
  <c r="O264" i="13"/>
  <c r="P264" i="13"/>
  <c r="N265" i="13"/>
  <c r="O265" i="13"/>
  <c r="P265" i="13"/>
  <c r="N266" i="13"/>
  <c r="O266" i="13"/>
  <c r="P266" i="13"/>
  <c r="N267" i="13"/>
  <c r="O267" i="13"/>
  <c r="P267" i="13"/>
  <c r="N268" i="13"/>
  <c r="O268" i="13"/>
  <c r="P268" i="13"/>
  <c r="N269" i="13"/>
  <c r="O269" i="13"/>
  <c r="P269" i="13"/>
  <c r="N270" i="13"/>
  <c r="O270" i="13"/>
  <c r="P270" i="13"/>
  <c r="N271" i="13"/>
  <c r="O271" i="13"/>
  <c r="P271" i="13"/>
  <c r="N272" i="13"/>
  <c r="O272" i="13"/>
  <c r="P272" i="13"/>
  <c r="N273" i="13"/>
  <c r="O273" i="13"/>
  <c r="P273" i="13"/>
  <c r="N274" i="13"/>
  <c r="O274" i="13"/>
  <c r="P274" i="13"/>
  <c r="N275" i="13"/>
  <c r="O275" i="13"/>
  <c r="P275" i="13"/>
  <c r="N276" i="13"/>
  <c r="O276" i="13"/>
  <c r="P276" i="13"/>
  <c r="N277" i="13"/>
  <c r="O277" i="13"/>
  <c r="P277" i="13"/>
  <c r="N278" i="13"/>
  <c r="O278" i="13"/>
  <c r="P278" i="13"/>
  <c r="N279" i="13"/>
  <c r="O279" i="13"/>
  <c r="P279" i="13"/>
  <c r="N280" i="13"/>
  <c r="O280" i="13"/>
  <c r="P280" i="13"/>
  <c r="N281" i="13"/>
  <c r="O281" i="13"/>
  <c r="P281" i="13"/>
  <c r="N282" i="13"/>
  <c r="O282" i="13"/>
  <c r="P282" i="13"/>
  <c r="N283" i="13"/>
  <c r="O283" i="13"/>
  <c r="P283" i="13"/>
  <c r="N284" i="13"/>
  <c r="O284" i="13"/>
  <c r="P284" i="13"/>
  <c r="N285" i="13"/>
  <c r="O285" i="13"/>
  <c r="P285" i="13"/>
  <c r="N286" i="13"/>
  <c r="O286" i="13"/>
  <c r="P286" i="13"/>
  <c r="N287" i="13"/>
  <c r="O287" i="13"/>
  <c r="P287" i="13"/>
  <c r="N288" i="13"/>
  <c r="O288" i="13"/>
  <c r="P288" i="13"/>
  <c r="N289" i="13"/>
  <c r="O289" i="13"/>
  <c r="P289" i="13"/>
  <c r="N290" i="13"/>
  <c r="O290" i="13"/>
  <c r="P290" i="13"/>
  <c r="N291" i="13"/>
  <c r="O291" i="13"/>
  <c r="P291" i="13"/>
  <c r="N292" i="13"/>
  <c r="O292" i="13"/>
  <c r="P292" i="13"/>
  <c r="B293" i="13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N293" i="13"/>
  <c r="O293" i="13"/>
  <c r="P293" i="13"/>
  <c r="A294" i="13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N294" i="13"/>
  <c r="O294" i="13"/>
  <c r="P294" i="13"/>
  <c r="N295" i="13"/>
  <c r="O295" i="13"/>
  <c r="P295" i="13"/>
  <c r="N296" i="13"/>
  <c r="O296" i="13"/>
  <c r="P296" i="13"/>
  <c r="N297" i="13"/>
  <c r="O297" i="13"/>
  <c r="P297" i="13"/>
  <c r="N298" i="13"/>
  <c r="O298" i="13"/>
  <c r="P298" i="13"/>
  <c r="N299" i="13"/>
  <c r="O299" i="13"/>
  <c r="P299" i="13"/>
  <c r="N300" i="13"/>
  <c r="O300" i="13"/>
  <c r="P300" i="13"/>
  <c r="N301" i="13"/>
  <c r="O301" i="13"/>
  <c r="P301" i="13"/>
  <c r="N302" i="13"/>
  <c r="O302" i="13"/>
  <c r="P302" i="13"/>
  <c r="N303" i="13"/>
  <c r="O303" i="13"/>
  <c r="P303" i="13"/>
  <c r="N304" i="13"/>
  <c r="O304" i="13"/>
  <c r="P304" i="13"/>
  <c r="N305" i="13"/>
  <c r="O305" i="13"/>
  <c r="P305" i="13"/>
  <c r="N306" i="13"/>
  <c r="O306" i="13"/>
  <c r="P306" i="13"/>
  <c r="N307" i="13"/>
  <c r="O307" i="13"/>
  <c r="P307" i="13"/>
  <c r="N308" i="13"/>
  <c r="O308" i="13"/>
  <c r="P308" i="13"/>
  <c r="N309" i="13"/>
  <c r="O309" i="13"/>
  <c r="P309" i="13"/>
  <c r="N310" i="13"/>
  <c r="O310" i="13"/>
  <c r="P310" i="13"/>
  <c r="N311" i="13"/>
  <c r="O311" i="13"/>
  <c r="P311" i="13"/>
  <c r="N312" i="13"/>
  <c r="O312" i="13"/>
  <c r="P312" i="13"/>
  <c r="N313" i="13"/>
  <c r="O313" i="13"/>
  <c r="P313" i="13"/>
  <c r="N314" i="13"/>
  <c r="O314" i="13"/>
  <c r="P314" i="13"/>
  <c r="N315" i="13"/>
  <c r="O315" i="13"/>
  <c r="P315" i="13"/>
  <c r="N316" i="13"/>
  <c r="O316" i="13"/>
  <c r="P316" i="13"/>
  <c r="N317" i="13"/>
  <c r="O317" i="13"/>
  <c r="P317" i="13"/>
  <c r="N318" i="13"/>
  <c r="O318" i="13"/>
  <c r="P318" i="13"/>
  <c r="N319" i="13"/>
  <c r="O319" i="13"/>
  <c r="P319" i="13"/>
  <c r="N320" i="13"/>
  <c r="O320" i="13"/>
  <c r="P320" i="13"/>
  <c r="N321" i="13"/>
  <c r="O321" i="13"/>
  <c r="P321" i="13"/>
  <c r="N322" i="13"/>
  <c r="O322" i="13"/>
  <c r="P322" i="13"/>
  <c r="N323" i="13"/>
  <c r="O323" i="13"/>
  <c r="P323" i="13"/>
  <c r="N324" i="13"/>
  <c r="O324" i="13"/>
  <c r="P324" i="13"/>
  <c r="N325" i="13"/>
  <c r="O325" i="13"/>
  <c r="P325" i="13"/>
  <c r="N326" i="13"/>
  <c r="O326" i="13"/>
  <c r="P326" i="13"/>
  <c r="N327" i="13"/>
  <c r="O327" i="13"/>
  <c r="P327" i="13"/>
  <c r="N328" i="13"/>
  <c r="O328" i="13"/>
  <c r="P328" i="13"/>
  <c r="N329" i="13"/>
  <c r="O329" i="13"/>
  <c r="P329" i="13"/>
  <c r="N330" i="13"/>
  <c r="O330" i="13"/>
  <c r="P330" i="13"/>
  <c r="N331" i="13"/>
  <c r="O331" i="13"/>
  <c r="P331" i="13"/>
  <c r="B12" i="11"/>
  <c r="B13" i="11"/>
  <c r="B14" i="11" s="1"/>
  <c r="G13" i="11"/>
  <c r="G26" i="11" s="1"/>
  <c r="G27" i="11" s="1"/>
  <c r="G16" i="11" s="1"/>
  <c r="K18" i="11"/>
  <c r="I18" i="11" s="1"/>
  <c r="G32" i="11"/>
  <c r="G45" i="11" s="1"/>
  <c r="G46" i="11" s="1"/>
  <c r="G35" i="11" s="1"/>
  <c r="K37" i="11"/>
  <c r="I37" i="11" s="1"/>
  <c r="B9" i="1" l="1"/>
  <c r="B7" i="1"/>
  <c r="B6" i="1"/>
  <c r="P246" i="13"/>
  <c r="K31" i="11"/>
  <c r="W311" i="14"/>
  <c r="X311" i="14" s="1"/>
  <c r="W231" i="14"/>
  <c r="X231" i="14"/>
  <c r="P1" i="13"/>
  <c r="W330" i="14"/>
  <c r="X330" i="14" s="1"/>
  <c r="W328" i="14"/>
  <c r="X328" i="14" s="1"/>
  <c r="W326" i="14"/>
  <c r="X326" i="14" s="1"/>
  <c r="W324" i="14"/>
  <c r="X324" i="14" s="1"/>
  <c r="W223" i="14"/>
  <c r="X223" i="14" s="1"/>
  <c r="W239" i="14"/>
  <c r="X239" i="14"/>
  <c r="W175" i="14"/>
  <c r="X175" i="14" s="1"/>
  <c r="N246" i="13"/>
  <c r="O246" i="13"/>
  <c r="O1" i="13"/>
  <c r="N31" i="11" s="1"/>
  <c r="X319" i="14"/>
  <c r="W319" i="14"/>
  <c r="W303" i="14"/>
  <c r="X303" i="14" s="1"/>
  <c r="W215" i="14"/>
  <c r="X215" i="14" s="1"/>
  <c r="V246" i="14"/>
  <c r="X247" i="14"/>
  <c r="W210" i="14"/>
  <c r="X210" i="14" s="1"/>
  <c r="W186" i="14"/>
  <c r="X186" i="14" s="1"/>
  <c r="X113" i="14"/>
  <c r="W113" i="14"/>
  <c r="W73" i="14"/>
  <c r="X73" i="14"/>
  <c r="W63" i="14"/>
  <c r="X63" i="14" s="1"/>
  <c r="W34" i="14"/>
  <c r="X34" i="14"/>
  <c r="W12" i="14"/>
  <c r="X12" i="14" s="1"/>
  <c r="X291" i="14"/>
  <c r="X283" i="14"/>
  <c r="X267" i="14"/>
  <c r="X242" i="14"/>
  <c r="W235" i="14"/>
  <c r="X235" i="14"/>
  <c r="X234" i="14"/>
  <c r="X226" i="14"/>
  <c r="W219" i="14"/>
  <c r="X219" i="14"/>
  <c r="W211" i="14"/>
  <c r="X211" i="14" s="1"/>
  <c r="I44" i="11"/>
  <c r="G36" i="11"/>
  <c r="G38" i="11" s="1"/>
  <c r="G42" i="11" s="1"/>
  <c r="G33" i="11"/>
  <c r="X321" i="14"/>
  <c r="X318" i="14"/>
  <c r="X313" i="14"/>
  <c r="X310" i="14"/>
  <c r="X305" i="14"/>
  <c r="X302" i="14"/>
  <c r="X297" i="14"/>
  <c r="X293" i="14"/>
  <c r="X285" i="14"/>
  <c r="X277" i="14"/>
  <c r="X269" i="14"/>
  <c r="X261" i="14"/>
  <c r="X253" i="14"/>
  <c r="U246" i="14"/>
  <c r="X245" i="14"/>
  <c r="X237" i="14"/>
  <c r="X229" i="14"/>
  <c r="X221" i="14"/>
  <c r="X213" i="14"/>
  <c r="X206" i="14"/>
  <c r="W206" i="14"/>
  <c r="X203" i="14"/>
  <c r="W198" i="14"/>
  <c r="X198" i="14" s="1"/>
  <c r="X195" i="14"/>
  <c r="W190" i="14"/>
  <c r="X190" i="14" s="1"/>
  <c r="X187" i="14"/>
  <c r="W182" i="14"/>
  <c r="X182" i="14" s="1"/>
  <c r="X179" i="14"/>
  <c r="X173" i="14"/>
  <c r="W173" i="14"/>
  <c r="X168" i="14"/>
  <c r="W124" i="14"/>
  <c r="X124" i="14"/>
  <c r="X309" i="14"/>
  <c r="X273" i="14"/>
  <c r="X207" i="14"/>
  <c r="X202" i="14"/>
  <c r="W202" i="14"/>
  <c r="W194" i="14"/>
  <c r="X194" i="14" s="1"/>
  <c r="W178" i="14"/>
  <c r="X178" i="14" s="1"/>
  <c r="V2" i="14"/>
  <c r="V1" i="14" s="1"/>
  <c r="W4" i="14"/>
  <c r="X4" i="14"/>
  <c r="G17" i="11"/>
  <c r="G19" i="11" s="1"/>
  <c r="G23" i="11" s="1"/>
  <c r="G14" i="11"/>
  <c r="X315" i="14"/>
  <c r="X307" i="14"/>
  <c r="X299" i="14"/>
  <c r="X275" i="14"/>
  <c r="X259" i="14"/>
  <c r="X251" i="14"/>
  <c r="W243" i="14"/>
  <c r="X243" i="14"/>
  <c r="W227" i="14"/>
  <c r="X227" i="14"/>
  <c r="X218" i="14"/>
  <c r="W165" i="14"/>
  <c r="X165" i="14" s="1"/>
  <c r="W163" i="14"/>
  <c r="X163" i="14"/>
  <c r="X162" i="14"/>
  <c r="W160" i="14"/>
  <c r="X160" i="14" s="1"/>
  <c r="W144" i="14"/>
  <c r="X144" i="14" s="1"/>
  <c r="W128" i="14"/>
  <c r="X128" i="14" s="1"/>
  <c r="W106" i="14"/>
  <c r="X106" i="14"/>
  <c r="W103" i="14"/>
  <c r="X103" i="14"/>
  <c r="W101" i="14"/>
  <c r="X101" i="14" s="1"/>
  <c r="B16" i="11"/>
  <c r="B17" i="11" s="1"/>
  <c r="N4" i="13"/>
  <c r="N2" i="13" s="1"/>
  <c r="N1" i="13" s="1"/>
  <c r="W317" i="14"/>
  <c r="X317" i="14" s="1"/>
  <c r="W309" i="14"/>
  <c r="W301" i="14"/>
  <c r="X301" i="14" s="1"/>
  <c r="X295" i="14"/>
  <c r="W289" i="14"/>
  <c r="X289" i="14" s="1"/>
  <c r="X288" i="14"/>
  <c r="X287" i="14"/>
  <c r="W281" i="14"/>
  <c r="X281" i="14" s="1"/>
  <c r="X280" i="14"/>
  <c r="X279" i="14"/>
  <c r="W273" i="14"/>
  <c r="X272" i="14"/>
  <c r="X271" i="14"/>
  <c r="W265" i="14"/>
  <c r="X265" i="14" s="1"/>
  <c r="X264" i="14"/>
  <c r="X263" i="14"/>
  <c r="W257" i="14"/>
  <c r="X257" i="14" s="1"/>
  <c r="X256" i="14"/>
  <c r="X255" i="14"/>
  <c r="W249" i="14"/>
  <c r="X249" i="14" s="1"/>
  <c r="X248" i="14"/>
  <c r="W247" i="14"/>
  <c r="X238" i="14"/>
  <c r="X230" i="14"/>
  <c r="X222" i="14"/>
  <c r="X214" i="14"/>
  <c r="W207" i="14"/>
  <c r="W199" i="14"/>
  <c r="X199" i="14" s="1"/>
  <c r="W191" i="14"/>
  <c r="X191" i="14" s="1"/>
  <c r="W183" i="14"/>
  <c r="X183" i="14" s="1"/>
  <c r="W161" i="14"/>
  <c r="X161" i="14"/>
  <c r="W145" i="14"/>
  <c r="X145" i="14" s="1"/>
  <c r="W129" i="14"/>
  <c r="X129" i="14"/>
  <c r="X97" i="14"/>
  <c r="W97" i="14"/>
  <c r="X152" i="14"/>
  <c r="W149" i="14"/>
  <c r="X149" i="14"/>
  <c r="W147" i="14"/>
  <c r="X147" i="14"/>
  <c r="X146" i="14"/>
  <c r="X136" i="14"/>
  <c r="W133" i="14"/>
  <c r="X133" i="14"/>
  <c r="W131" i="14"/>
  <c r="X131" i="14"/>
  <c r="X130" i="14"/>
  <c r="W122" i="14"/>
  <c r="X122" i="14"/>
  <c r="W120" i="14"/>
  <c r="X120" i="14" s="1"/>
  <c r="X119" i="14"/>
  <c r="W112" i="14"/>
  <c r="X112" i="14" s="1"/>
  <c r="W96" i="14"/>
  <c r="X96" i="14" s="1"/>
  <c r="W92" i="14"/>
  <c r="X92" i="14" s="1"/>
  <c r="W81" i="14"/>
  <c r="X81" i="14"/>
  <c r="W71" i="14"/>
  <c r="X71" i="14"/>
  <c r="W49" i="14"/>
  <c r="X49" i="14"/>
  <c r="W20" i="14"/>
  <c r="X20" i="14"/>
  <c r="W10" i="14"/>
  <c r="X10" i="14"/>
  <c r="X208" i="14"/>
  <c r="X204" i="14"/>
  <c r="X200" i="14"/>
  <c r="X196" i="14"/>
  <c r="X192" i="14"/>
  <c r="X188" i="14"/>
  <c r="X184" i="14"/>
  <c r="X180" i="14"/>
  <c r="X176" i="14"/>
  <c r="X174" i="14"/>
  <c r="W174" i="14"/>
  <c r="X172" i="14"/>
  <c r="X159" i="14"/>
  <c r="X156" i="14"/>
  <c r="X143" i="14"/>
  <c r="X140" i="14"/>
  <c r="X127" i="14"/>
  <c r="X109" i="14"/>
  <c r="W109" i="14"/>
  <c r="W93" i="14"/>
  <c r="X93" i="14" s="1"/>
  <c r="X209" i="14"/>
  <c r="X205" i="14"/>
  <c r="X201" i="14"/>
  <c r="X197" i="14"/>
  <c r="X193" i="14"/>
  <c r="X189" i="14"/>
  <c r="X185" i="14"/>
  <c r="X181" i="14"/>
  <c r="X177" i="14"/>
  <c r="W166" i="14"/>
  <c r="X166" i="14"/>
  <c r="W164" i="14"/>
  <c r="X164" i="14" s="1"/>
  <c r="W150" i="14"/>
  <c r="X150" i="14"/>
  <c r="W148" i="14"/>
  <c r="X148" i="14" s="1"/>
  <c r="W134" i="14"/>
  <c r="X134" i="14"/>
  <c r="W132" i="14"/>
  <c r="X132" i="14" s="1"/>
  <c r="W116" i="14"/>
  <c r="X116" i="14"/>
  <c r="W114" i="14"/>
  <c r="X114" i="14"/>
  <c r="W110" i="14"/>
  <c r="X110" i="14"/>
  <c r="W98" i="14"/>
  <c r="X98" i="14"/>
  <c r="W94" i="14"/>
  <c r="X94" i="14"/>
  <c r="W90" i="14"/>
  <c r="X90" i="14"/>
  <c r="X121" i="14"/>
  <c r="W89" i="14"/>
  <c r="X89" i="14"/>
  <c r="X82" i="14"/>
  <c r="W79" i="14"/>
  <c r="X79" i="14"/>
  <c r="W77" i="14"/>
  <c r="X77" i="14"/>
  <c r="W57" i="14"/>
  <c r="X57" i="14"/>
  <c r="W47" i="14"/>
  <c r="X47" i="14"/>
  <c r="W28" i="14"/>
  <c r="X28" i="14"/>
  <c r="W18" i="14"/>
  <c r="X18" i="14"/>
  <c r="X123" i="14"/>
  <c r="X115" i="14"/>
  <c r="X105" i="14"/>
  <c r="W102" i="14"/>
  <c r="X102" i="14" s="1"/>
  <c r="W100" i="14"/>
  <c r="X100" i="14"/>
  <c r="X99" i="14"/>
  <c r="W87" i="14"/>
  <c r="X87" i="14"/>
  <c r="W85" i="14"/>
  <c r="X85" i="14"/>
  <c r="X84" i="14"/>
  <c r="W65" i="14"/>
  <c r="X65" i="14"/>
  <c r="W55" i="14"/>
  <c r="X55" i="14" s="1"/>
  <c r="W36" i="14"/>
  <c r="X36" i="14"/>
  <c r="W26" i="14"/>
  <c r="X26" i="14" s="1"/>
  <c r="X76" i="14"/>
  <c r="W69" i="14"/>
  <c r="X69" i="14"/>
  <c r="X68" i="14"/>
  <c r="W61" i="14"/>
  <c r="X61" i="14"/>
  <c r="X60" i="14"/>
  <c r="W53" i="14"/>
  <c r="X53" i="14"/>
  <c r="X52" i="14"/>
  <c r="W45" i="14"/>
  <c r="X45" i="14" s="1"/>
  <c r="X44" i="14"/>
  <c r="W40" i="14"/>
  <c r="X40" i="14"/>
  <c r="X39" i="14"/>
  <c r="W32" i="14"/>
  <c r="X32" i="14"/>
  <c r="X31" i="14"/>
  <c r="W24" i="14"/>
  <c r="X24" i="14"/>
  <c r="X23" i="14"/>
  <c r="W16" i="14"/>
  <c r="X16" i="14" s="1"/>
  <c r="X15" i="14"/>
  <c r="W8" i="14"/>
  <c r="X8" i="14"/>
  <c r="X7" i="14"/>
  <c r="U2" i="14"/>
  <c r="U1" i="14" s="1"/>
  <c r="X86" i="14"/>
  <c r="X78" i="14"/>
  <c r="X70" i="14"/>
  <c r="X62" i="14"/>
  <c r="X54" i="14"/>
  <c r="X46" i="14"/>
  <c r="X41" i="14"/>
  <c r="X33" i="14"/>
  <c r="X25" i="14"/>
  <c r="X17" i="14"/>
  <c r="X9" i="14"/>
  <c r="X88" i="14"/>
  <c r="X80" i="14"/>
  <c r="X72" i="14"/>
  <c r="X64" i="14"/>
  <c r="X56" i="14"/>
  <c r="X48" i="14"/>
  <c r="X35" i="14"/>
  <c r="X27" i="14"/>
  <c r="X19" i="14"/>
  <c r="X11" i="14"/>
  <c r="G1" i="14"/>
  <c r="E10" i="1"/>
  <c r="F3" i="1"/>
  <c r="H3" i="1"/>
  <c r="B10" i="1" l="1"/>
  <c r="B11" i="1" s="1"/>
  <c r="K32" i="11"/>
  <c r="K33" i="11"/>
  <c r="K40" i="11" s="1"/>
  <c r="B18" i="11"/>
  <c r="K44" i="11"/>
  <c r="B19" i="11"/>
  <c r="I12" i="11"/>
  <c r="I25" i="11"/>
  <c r="K25" i="11" s="1"/>
  <c r="B11" i="10"/>
  <c r="B12" i="10" s="1"/>
  <c r="B10" i="10"/>
  <c r="I17" i="10"/>
  <c r="I18" i="10"/>
  <c r="G25" i="10"/>
  <c r="G27" i="10"/>
  <c r="I23" i="10"/>
  <c r="I19" i="10"/>
  <c r="I25" i="10" s="1"/>
  <c r="I27" i="10" s="1"/>
  <c r="I31" i="10" s="1"/>
  <c r="I32" i="10" s="1"/>
  <c r="I14" i="10"/>
  <c r="I26" i="10"/>
  <c r="I22" i="10"/>
  <c r="I21" i="10"/>
  <c r="I13" i="10"/>
  <c r="I12" i="10"/>
  <c r="I11" i="10"/>
  <c r="I10" i="10"/>
  <c r="C26" i="5"/>
  <c r="G26" i="10"/>
  <c r="G23" i="10"/>
  <c r="G22" i="10"/>
  <c r="G21" i="10"/>
  <c r="G19" i="10"/>
  <c r="G18" i="10"/>
  <c r="G17" i="10"/>
  <c r="G16" i="10"/>
  <c r="G14" i="10"/>
  <c r="G13" i="10"/>
  <c r="G12" i="10"/>
  <c r="G11" i="10"/>
  <c r="G10" i="10"/>
  <c r="C25" i="5"/>
  <c r="Q16" i="3"/>
  <c r="B12" i="1" l="1"/>
  <c r="B13" i="1" s="1"/>
  <c r="I40" i="11"/>
  <c r="B23" i="11"/>
  <c r="B21" i="11"/>
  <c r="I32" i="11"/>
  <c r="I33" i="11" s="1"/>
  <c r="K45" i="11"/>
  <c r="I45" i="11" s="1"/>
  <c r="I46" i="11" s="1"/>
  <c r="K36" i="11"/>
  <c r="I36" i="11" s="1"/>
  <c r="N12" i="11"/>
  <c r="K12" i="11"/>
  <c r="B13" i="10"/>
  <c r="G31" i="10"/>
  <c r="G32" i="10" s="1"/>
  <c r="I34" i="10" s="1"/>
  <c r="B15" i="1" l="1"/>
  <c r="B16" i="1" s="1"/>
  <c r="B17" i="1" s="1"/>
  <c r="B18" i="1" s="1"/>
  <c r="B19" i="1" s="1"/>
  <c r="K13" i="11"/>
  <c r="K14" i="11"/>
  <c r="K21" i="11" s="1"/>
  <c r="B25" i="11"/>
  <c r="K46" i="11"/>
  <c r="B14" i="10"/>
  <c r="B26" i="11" l="1"/>
  <c r="I21" i="11"/>
  <c r="K17" i="11"/>
  <c r="I17" i="11" s="1"/>
  <c r="K26" i="11"/>
  <c r="I13" i="11"/>
  <c r="I14" i="11" s="1"/>
  <c r="B27" i="11" l="1"/>
  <c r="B31" i="11" s="1"/>
  <c r="B32" i="11" s="1"/>
  <c r="B33" i="11" s="1"/>
  <c r="B35" i="11" s="1"/>
  <c r="B36" i="11" s="1"/>
  <c r="B37" i="11" s="1"/>
  <c r="I26" i="11"/>
  <c r="K27" i="11"/>
  <c r="B16" i="10"/>
  <c r="B17" i="10" s="1"/>
  <c r="Q27" i="2"/>
  <c r="Q25" i="2"/>
  <c r="K16" i="11" l="1"/>
  <c r="I27" i="11"/>
  <c r="K35" i="11"/>
  <c r="B38" i="11"/>
  <c r="B40" i="11" s="1"/>
  <c r="B42" i="11" s="1"/>
  <c r="B44" i="11" s="1"/>
  <c r="B45" i="11" s="1"/>
  <c r="B46" i="11" s="1"/>
  <c r="B18" i="10"/>
  <c r="B19" i="10"/>
  <c r="M15" i="3"/>
  <c r="Q15" i="3" s="1"/>
  <c r="H21" i="7"/>
  <c r="N19" i="7"/>
  <c r="P19" i="7" s="1"/>
  <c r="J19" i="7"/>
  <c r="L19" i="7" s="1"/>
  <c r="N18" i="7"/>
  <c r="P18" i="7" s="1"/>
  <c r="L18" i="7"/>
  <c r="J18" i="7"/>
  <c r="N17" i="7"/>
  <c r="P17" i="7" s="1"/>
  <c r="L17" i="7"/>
  <c r="J17" i="7"/>
  <c r="N16" i="7"/>
  <c r="P16" i="7" s="1"/>
  <c r="L16" i="7"/>
  <c r="J16" i="7"/>
  <c r="N15" i="7"/>
  <c r="P15" i="7" s="1"/>
  <c r="L15" i="7"/>
  <c r="J15" i="7"/>
  <c r="P14" i="7"/>
  <c r="L14" i="7"/>
  <c r="J14" i="7"/>
  <c r="I35" i="11" l="1"/>
  <c r="I38" i="11" s="1"/>
  <c r="I42" i="11" s="1"/>
  <c r="N42" i="11" s="1"/>
  <c r="N43" i="11" s="1"/>
  <c r="U26" i="2" s="1"/>
  <c r="K38" i="11"/>
  <c r="K42" i="11" s="1"/>
  <c r="K19" i="11"/>
  <c r="K23" i="11" s="1"/>
  <c r="I16" i="11"/>
  <c r="I19" i="11" s="1"/>
  <c r="I23" i="11" s="1"/>
  <c r="M26" i="2" s="1"/>
  <c r="B21" i="10"/>
  <c r="B22" i="10" s="1"/>
  <c r="B23" i="10" s="1"/>
  <c r="J14" i="6"/>
  <c r="L14" i="6" s="1"/>
  <c r="N14" i="6"/>
  <c r="P14" i="6" s="1"/>
  <c r="J15" i="6"/>
  <c r="L15" i="6"/>
  <c r="N15" i="6"/>
  <c r="P15" i="6" s="1"/>
  <c r="J16" i="6"/>
  <c r="L16" i="6" s="1"/>
  <c r="N16" i="6"/>
  <c r="P16" i="6" s="1"/>
  <c r="J17" i="6"/>
  <c r="L17" i="6"/>
  <c r="N17" i="6"/>
  <c r="P17" i="6"/>
  <c r="J18" i="6"/>
  <c r="L18" i="6"/>
  <c r="N18" i="6"/>
  <c r="P18" i="6"/>
  <c r="J19" i="6"/>
  <c r="L19" i="6"/>
  <c r="N19" i="6"/>
  <c r="P19" i="6"/>
  <c r="H21" i="6"/>
  <c r="N23" i="6"/>
  <c r="C10" i="5"/>
  <c r="C14" i="5" s="1"/>
  <c r="C21" i="5" s="1"/>
  <c r="C23" i="5" s="1"/>
  <c r="C12" i="5"/>
  <c r="C13" i="5"/>
  <c r="C18" i="5"/>
  <c r="D43" i="5"/>
  <c r="C43" i="5"/>
  <c r="H16" i="4"/>
  <c r="L16" i="4"/>
  <c r="P16" i="4"/>
  <c r="T16" i="4"/>
  <c r="X16" i="4"/>
  <c r="AB16" i="4"/>
  <c r="B25" i="10" l="1"/>
  <c r="B26" i="10" s="1"/>
  <c r="B27" i="10" s="1"/>
  <c r="B29" i="10" s="1"/>
  <c r="B31" i="10" s="1"/>
  <c r="B32" i="10" s="1"/>
  <c r="B34" i="10" s="1"/>
  <c r="E31" i="5"/>
  <c r="E39" i="5"/>
  <c r="G39" i="5" s="1"/>
  <c r="E37" i="5"/>
  <c r="G37" i="5" s="1"/>
  <c r="E33" i="5"/>
  <c r="G33" i="5" s="1"/>
  <c r="E35" i="5"/>
  <c r="G35" i="5" s="1"/>
  <c r="E41" i="5"/>
  <c r="G41" i="5" s="1"/>
  <c r="D18" i="1"/>
  <c r="E12" i="1"/>
  <c r="G31" i="5" l="1"/>
  <c r="E43" i="5"/>
  <c r="E46" i="5" s="1"/>
  <c r="C15" i="2"/>
  <c r="I17" i="2"/>
  <c r="Q16" i="2"/>
  <c r="Q15" i="2"/>
  <c r="U17" i="2"/>
  <c r="M17" i="2"/>
  <c r="E11" i="1"/>
  <c r="E17" i="1" s="1"/>
  <c r="E9" i="1"/>
  <c r="E15" i="1" s="1"/>
  <c r="D11" i="1"/>
  <c r="F11" i="1" s="1"/>
  <c r="H11" i="1" s="1"/>
  <c r="D10" i="1"/>
  <c r="D16" i="1" s="1"/>
  <c r="F16" i="1" s="1"/>
  <c r="H16" i="1" s="1"/>
  <c r="F6" i="1"/>
  <c r="H6" i="1" s="1"/>
  <c r="F5" i="1"/>
  <c r="H5" i="1" s="1"/>
  <c r="F4" i="1"/>
  <c r="H4" i="1" s="1"/>
  <c r="D7" i="1"/>
  <c r="H7" i="1" l="1"/>
  <c r="F7" i="1"/>
  <c r="D17" i="1"/>
  <c r="F17" i="1" s="1"/>
  <c r="H17" i="1" s="1"/>
  <c r="D9" i="1"/>
  <c r="F10" i="1"/>
  <c r="H10" i="1" s="1"/>
  <c r="H12" i="1"/>
  <c r="C17" i="2"/>
  <c r="I17" i="3"/>
  <c r="H18" i="1"/>
  <c r="Q17" i="2"/>
  <c r="D15" i="1" l="1"/>
  <c r="D13" i="1"/>
  <c r="F9" i="1"/>
  <c r="H9" i="1" l="1"/>
  <c r="H13" i="1" s="1"/>
  <c r="F13" i="1"/>
  <c r="F15" i="1"/>
  <c r="D19" i="1"/>
  <c r="C21" i="2"/>
  <c r="H15" i="1" l="1"/>
  <c r="H19" i="1" s="1"/>
  <c r="F19" i="1"/>
  <c r="U21" i="2"/>
  <c r="M21" i="2"/>
  <c r="C22" i="2"/>
  <c r="C23" i="2"/>
  <c r="I21" i="2" l="1"/>
  <c r="M22" i="2"/>
  <c r="M23" i="2" s="1"/>
  <c r="U22" i="2"/>
  <c r="U23" i="2" s="1"/>
  <c r="Q21" i="2" l="1"/>
  <c r="I22" i="2"/>
  <c r="Q22" i="2" s="1"/>
  <c r="Q23" i="2" s="1"/>
  <c r="C25" i="2"/>
  <c r="I23" i="2" l="1"/>
  <c r="I29" i="2" s="1"/>
  <c r="I31" i="2" s="1"/>
  <c r="I32" i="2" s="1"/>
  <c r="C26" i="2"/>
  <c r="C27" i="2" s="1"/>
  <c r="C29" i="2" s="1"/>
  <c r="C31" i="2" s="1"/>
  <c r="C32" i="2" s="1"/>
  <c r="U29" i="2" l="1"/>
  <c r="U31" i="2" s="1"/>
  <c r="U32" i="2" s="1"/>
  <c r="Q26" i="2" l="1"/>
  <c r="Q29" i="2" s="1"/>
  <c r="M29" i="2"/>
  <c r="M31" i="2" l="1"/>
  <c r="M32" i="2" s="1"/>
  <c r="Q31" i="2"/>
  <c r="Q32" i="2" s="1"/>
  <c r="M14" i="3"/>
  <c r="M17" i="3" l="1"/>
  <c r="Q14" i="3"/>
  <c r="Q17" i="3" s="1"/>
</calcChain>
</file>

<file path=xl/sharedStrings.xml><?xml version="1.0" encoding="utf-8"?>
<sst xmlns="http://schemas.openxmlformats.org/spreadsheetml/2006/main" count="4256" uniqueCount="869">
  <si>
    <t xml:space="preserve">Long-Term Debt     </t>
  </si>
  <si>
    <t>Short-Term Debt</t>
  </si>
  <si>
    <t xml:space="preserve">Preferred Stock      </t>
  </si>
  <si>
    <t xml:space="preserve">Common Equity     </t>
  </si>
  <si>
    <t xml:space="preserve">Total          </t>
  </si>
  <si>
    <t>TABLE 1</t>
  </si>
  <si>
    <t>Line</t>
  </si>
  <si>
    <t>Description</t>
  </si>
  <si>
    <t>Test Year</t>
  </si>
  <si>
    <t>Rate Year 1</t>
  </si>
  <si>
    <t>Total</t>
  </si>
  <si>
    <t>Claimed Revenue Deficiency</t>
  </si>
  <si>
    <t>Total For Rates</t>
  </si>
  <si>
    <t>Effective</t>
  </si>
  <si>
    <t>March 1, 2025</t>
  </si>
  <si>
    <t>March 1, 2026</t>
  </si>
  <si>
    <t xml:space="preserve">  Percent Increase</t>
  </si>
  <si>
    <t>Adjustments</t>
  </si>
  <si>
    <t xml:space="preserve">   Return on Equity</t>
  </si>
  <si>
    <t xml:space="preserve">   Capital Structure</t>
  </si>
  <si>
    <t>Rate of Return</t>
  </si>
  <si>
    <t>EOP Rate Base</t>
  </si>
  <si>
    <t>Total Adjustments</t>
  </si>
  <si>
    <t>($000)</t>
  </si>
  <si>
    <t>Revenue Requirement Adjustments</t>
  </si>
  <si>
    <t>Adjusted Revenue Deficiency</t>
  </si>
  <si>
    <t>UTC</t>
  </si>
  <si>
    <t>Revenue Change</t>
  </si>
  <si>
    <t>Overall</t>
  </si>
  <si>
    <t>Revised</t>
  </si>
  <si>
    <t>Base Rates</t>
  </si>
  <si>
    <t>COVID-19</t>
  </si>
  <si>
    <t>Cascade Natural Gas Corporation</t>
  </si>
  <si>
    <r>
      <rPr>
        <i/>
        <sz val="10"/>
        <color theme="1"/>
        <rFont val="Times New Roman"/>
        <family val="1"/>
      </rPr>
      <t xml:space="preserve">Blue Chip Financial Forecasts, </t>
    </r>
    <r>
      <rPr>
        <sz val="10"/>
        <color theme="1"/>
        <rFont val="Times New Roman"/>
        <family val="1"/>
      </rPr>
      <t>January 1, 2022, July 1, 2022, June 30, 2023, and August 1, 2024.</t>
    </r>
  </si>
  <si>
    <t>Sources:</t>
  </si>
  <si>
    <t>Average</t>
  </si>
  <si>
    <t>Q4</t>
  </si>
  <si>
    <t>Q3</t>
  </si>
  <si>
    <t>Q2</t>
  </si>
  <si>
    <t>Q1</t>
  </si>
  <si>
    <t xml:space="preserve">Quarter </t>
  </si>
  <si>
    <t>Consumer Price Index</t>
  </si>
  <si>
    <t>TABLE 2</t>
  </si>
  <si>
    <t>Overall Revenue Increase</t>
  </si>
  <si>
    <t>Unadjusted Revenues</t>
  </si>
  <si>
    <t xml:space="preserve">Total </t>
  </si>
  <si>
    <t>Schedule 556 Rate</t>
  </si>
  <si>
    <t>Allocated Amount</t>
  </si>
  <si>
    <t>Revenue Allocation</t>
  </si>
  <si>
    <t>Volumes</t>
  </si>
  <si>
    <t>Rate Class</t>
  </si>
  <si>
    <t>Schedule 556, COVID-19 Adjustment Rate</t>
  </si>
  <si>
    <t xml:space="preserve">Grossed up for Revenue Sensitive </t>
  </si>
  <si>
    <t>Two Year Amortization</t>
  </si>
  <si>
    <t>Total to be Amortized</t>
  </si>
  <si>
    <t>Estimated Additional Costs Through February 2025</t>
  </si>
  <si>
    <t>Total Ending Balance 1.31.2024</t>
  </si>
  <si>
    <t>Total 253</t>
  </si>
  <si>
    <t xml:space="preserve">CARES Act Tax Benefit </t>
  </si>
  <si>
    <t>Other Direct Benefits</t>
  </si>
  <si>
    <t>Total Adjusted 186</t>
  </si>
  <si>
    <t>Remove Credit &amp; Collections</t>
  </si>
  <si>
    <t>Remove Past Due Interest</t>
  </si>
  <si>
    <t>Add Reconnect Fees/Late Payment Fees</t>
  </si>
  <si>
    <t>Total 186</t>
  </si>
  <si>
    <t>Credit &amp; Collections</t>
  </si>
  <si>
    <t>Other Direct Costs</t>
  </si>
  <si>
    <t>Past Due Interest</t>
  </si>
  <si>
    <t>Bad Debt Expense</t>
  </si>
  <si>
    <t>Deferral Type</t>
  </si>
  <si>
    <t xml:space="preserve">2 Year Amortization </t>
  </si>
  <si>
    <t>COVID-19 Adjustments as of January 2024</t>
  </si>
  <si>
    <t>Cascade Natural Gas Corp</t>
  </si>
  <si>
    <t>Exh. ZLH-2.</t>
  </si>
  <si>
    <t>Source:</t>
  </si>
  <si>
    <t>Difference</t>
  </si>
  <si>
    <t>Rate</t>
  </si>
  <si>
    <t>4-Years</t>
  </si>
  <si>
    <t>2-Years</t>
  </si>
  <si>
    <t>Allocation</t>
  </si>
  <si>
    <t>Adjusted</t>
  </si>
  <si>
    <t>Company Proposal</t>
  </si>
  <si>
    <t>Revenue</t>
  </si>
  <si>
    <t>COVID-19 Deferral Rate Impact</t>
  </si>
  <si>
    <t>TABLE 3</t>
  </si>
  <si>
    <t>TABLE 4</t>
  </si>
  <si>
    <t>Public Counsel Proposed COVID-19 Deferral Rate Impact</t>
  </si>
  <si>
    <t>Exhibit JAL-5.</t>
  </si>
  <si>
    <t>Plant Additions Adjustment</t>
  </si>
  <si>
    <t>Misc. O&amp;M Adjustment</t>
  </si>
  <si>
    <t>Provisional Plant Additions</t>
  </si>
  <si>
    <t>Less Estimated Retirements</t>
  </si>
  <si>
    <t xml:space="preserve">Provisional Net Plant Additions </t>
  </si>
  <si>
    <t>Estimated Increase to Accumulated Depreciation</t>
  </si>
  <si>
    <t>Less Estimated Removal Costs</t>
  </si>
  <si>
    <t>Net Estimated Increase to Accumulated Depreciation</t>
  </si>
  <si>
    <t>Estimated Increase to Accumulated Deferred Income Taxes</t>
  </si>
  <si>
    <t>Estimated Depreciation Expense Increase</t>
  </si>
  <si>
    <t>Less Depreciation Impact of Estimated Retirements</t>
  </si>
  <si>
    <t>Net Estimated Depreciation Expense Increase</t>
  </si>
  <si>
    <t>TABLE 5</t>
  </si>
  <si>
    <t>Base Rates Revenue Requirement Impact</t>
  </si>
  <si>
    <t>Revised Overall Revenue Change</t>
  </si>
  <si>
    <t>Total Ending Balance (January 31, 2024)</t>
  </si>
  <si>
    <t>Amortization Period (Years)</t>
  </si>
  <si>
    <t>Amortization Expense</t>
  </si>
  <si>
    <t xml:space="preserve">Grossed Up for Revenue Sensitive </t>
  </si>
  <si>
    <t>Company</t>
  </si>
  <si>
    <t>Proposed</t>
  </si>
  <si>
    <t>COVID-19 Rate Deferral Adjustment</t>
  </si>
  <si>
    <t>Harris Exh. ZLH-2.</t>
  </si>
  <si>
    <r>
      <rPr>
        <vertAlign val="superscript"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 xml:space="preserve"> Depreciation expense impact of the updated forecast calculated using the rates in Darrington's workpapers.</t>
    </r>
  </si>
  <si>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 Darrington's workpapers show no removal costs associated with the delayed projects.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</si>
  <si>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Rate changed to 8.0% per Cascade's response to WUTC data request 86. Provided as Exhibit JAL-5.</t>
    </r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</si>
  <si>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Cascade's response to WUTC data request 46, Attachment A. Provided as Exhibit JAL-3.</t>
    </r>
  </si>
  <si>
    <t>Darrington Exh. JAD-2 to Exh. JAD-8 Workpapers.</t>
  </si>
  <si>
    <t>Sources and Notes:</t>
  </si>
  <si>
    <t>4</t>
  </si>
  <si>
    <t>Rev. Req. Impact</t>
  </si>
  <si>
    <t>Rate Base Impact</t>
  </si>
  <si>
    <t>Rate Base Adjustment</t>
  </si>
  <si>
    <t>Pre-Tax ROR</t>
  </si>
  <si>
    <t>3</t>
  </si>
  <si>
    <t>2</t>
  </si>
  <si>
    <t>1</t>
  </si>
  <si>
    <t>Rate Year 2 (2025)</t>
  </si>
  <si>
    <t>Rate Year 1 (2024)</t>
  </si>
  <si>
    <t>Forecast</t>
  </si>
  <si>
    <t>Adjustment</t>
  </si>
  <si>
    <t>Updated</t>
  </si>
  <si>
    <t>394</t>
  </si>
  <si>
    <t>Purchase RD8200 Bellingham</t>
  </si>
  <si>
    <t>FP-325484</t>
  </si>
  <si>
    <t>Martuscelli</t>
  </si>
  <si>
    <t>376</t>
  </si>
  <si>
    <t>RL;6'' PE;TOPP;1000' 580 Fort Rd</t>
  </si>
  <si>
    <t>FP-325356</t>
  </si>
  <si>
    <t>PURCH FOOTAGE SQEEZE TOOL YAKIMA</t>
  </si>
  <si>
    <t>FP-325028</t>
  </si>
  <si>
    <t>RP; 4" ST; LONG; 50' LAUREL RD &amp; P</t>
  </si>
  <si>
    <t>FP-323837</t>
  </si>
  <si>
    <t>RP; 2" PE; LONG; 550' 1291 INDUSTRI</t>
  </si>
  <si>
    <t>FP-323833</t>
  </si>
  <si>
    <t xml:space="preserve">FRL; 2" PE; LONG; 2,000' 46TH AVE.	</t>
  </si>
  <si>
    <t>FP-322385</t>
  </si>
  <si>
    <t>MAIN-GROWTH-WASHINGTON</t>
  </si>
  <si>
    <t>FP-101190</t>
  </si>
  <si>
    <t>Purch Sensit Gold G3 Longview</t>
  </si>
  <si>
    <t>FP-325405</t>
  </si>
  <si>
    <t>PURCH NEW RMLD-MOSES LAKE</t>
  </si>
  <si>
    <t>FP-325382</t>
  </si>
  <si>
    <t>Purch Heath Detecto Pak Bellingham</t>
  </si>
  <si>
    <t>FP-325381</t>
  </si>
  <si>
    <t>PURCH RD8000 YAKIMA</t>
  </si>
  <si>
    <t>FP-325358</t>
  </si>
  <si>
    <t>Purchase Saddle Machine Mt Vernon</t>
  </si>
  <si>
    <t>FP-325341</t>
  </si>
  <si>
    <t>GR; 2" PE; WOOD; 1,400' WOODLAND CR</t>
  </si>
  <si>
    <t>FP-325310</t>
  </si>
  <si>
    <t>Replace 2LC Machine Bellingham</t>
  </si>
  <si>
    <t>FP-325304</t>
  </si>
  <si>
    <t>PURCH TWO METROTECH LOCATORS YAKIMA</t>
  </si>
  <si>
    <t>FP-325300</t>
  </si>
  <si>
    <t>Purchase Locator Walla Walla</t>
  </si>
  <si>
    <t>FP-325287</t>
  </si>
  <si>
    <t>Replace Locator Longview</t>
  </si>
  <si>
    <t>FP-325273</t>
  </si>
  <si>
    <t>PURCH (2)  MET FIT TOOLS-WENATCHEE</t>
  </si>
  <si>
    <t>FP-325257</t>
  </si>
  <si>
    <t>397</t>
  </si>
  <si>
    <t>PUR - 2 HANDHELD RADIOS - BREMERTON</t>
  </si>
  <si>
    <t>FP-325250</t>
  </si>
  <si>
    <t>PURCHASE SENIT GOLD G2-MOSES LAKE</t>
  </si>
  <si>
    <t>FP-325044</t>
  </si>
  <si>
    <t>PURCHASE RMLD-CS WENATCHEE</t>
  </si>
  <si>
    <t>FP-324975</t>
  </si>
  <si>
    <t>Purchase Odorator 2's Mt. Vernon</t>
  </si>
  <si>
    <t>FP-324973</t>
  </si>
  <si>
    <t>Purchase Sensit Gold Kennewick</t>
  </si>
  <si>
    <t>FP-324963</t>
  </si>
  <si>
    <t>PURCHASE 2 - ODORATOR's ELMA</t>
  </si>
  <si>
    <t>FP-324959</t>
  </si>
  <si>
    <t>Purchase two Odorator 2s Bremerton</t>
  </si>
  <si>
    <t>FP-324958</t>
  </si>
  <si>
    <t>PURCH 3 EA ODORATOR 2'S-WENATCHEE</t>
  </si>
  <si>
    <t>FP-324955</t>
  </si>
  <si>
    <t>Purchase (2) Odorators Bellingham</t>
  </si>
  <si>
    <t>FP-324953</t>
  </si>
  <si>
    <t>Purchase (2) Odorators Walla Walla</t>
  </si>
  <si>
    <t>FP-324950</t>
  </si>
  <si>
    <t>383</t>
  </si>
  <si>
    <t>Camano Island HPSS Replacements</t>
  </si>
  <si>
    <t>FP-324927</t>
  </si>
  <si>
    <t>378</t>
  </si>
  <si>
    <t>C/M; R-200(R-60) OAKH;</t>
  </si>
  <si>
    <t>FP-324897</t>
  </si>
  <si>
    <t>Darras</t>
  </si>
  <si>
    <t>RF; 2" PE; LYND; 1290'; W FRONT</t>
  </si>
  <si>
    <t>FP-324853</t>
  </si>
  <si>
    <t>375</t>
  </si>
  <si>
    <t>Instl Warning Sign Oak Harbor</t>
  </si>
  <si>
    <t>FP-324808</t>
  </si>
  <si>
    <t>377</t>
  </si>
  <si>
    <t>Fredonia CAT Crankshaft upgrade</t>
  </si>
  <si>
    <t>FP-324801</t>
  </si>
  <si>
    <t>RP; 2" ST; LONG; 75' 58 E. PORT WAY</t>
  </si>
  <si>
    <t>FP-323836</t>
  </si>
  <si>
    <t>303</t>
  </si>
  <si>
    <t>CC&amp;B Enhancement for CNGC</t>
  </si>
  <si>
    <t>FP-323826</t>
  </si>
  <si>
    <t>Link</t>
  </si>
  <si>
    <t>GR; 6" PE; PLYM;1700 GHI</t>
  </si>
  <si>
    <t>FP-323779</t>
  </si>
  <si>
    <t>RL-2" HP-900' Burbank</t>
  </si>
  <si>
    <t>FP-323756</t>
  </si>
  <si>
    <t>MAOP; R-100(R-52) SIDE;</t>
  </si>
  <si>
    <t>FP-323746</t>
  </si>
  <si>
    <t>UG-Fixed Network Server APPUpgd CNG</t>
  </si>
  <si>
    <t>FP-323698</t>
  </si>
  <si>
    <t>RP-BURBANK R-6 (R-142) MAIN</t>
  </si>
  <si>
    <t>FP-323630</t>
  </si>
  <si>
    <t>Fredonia CS LEL detector upgrade</t>
  </si>
  <si>
    <t>FP-323628</t>
  </si>
  <si>
    <t>Fredonia CS Piston Rod Upgrade</t>
  </si>
  <si>
    <t>FP-323627</t>
  </si>
  <si>
    <t>RF; 6" PE; 5,350'; Everson</t>
  </si>
  <si>
    <t>FP-323596</t>
  </si>
  <si>
    <t>RNG; Lamb Weston Richland 4" Steel</t>
  </si>
  <si>
    <t>FP-323470</t>
  </si>
  <si>
    <t>RNG- Horn Rapids Pipeline 6"PE</t>
  </si>
  <si>
    <t>FP-323447</t>
  </si>
  <si>
    <t>Fredonia CS camera upgrade</t>
  </si>
  <si>
    <t>FP-323429</t>
  </si>
  <si>
    <t>RF; 2" PE; ABER; 600'</t>
  </si>
  <si>
    <t>FP-323292</t>
  </si>
  <si>
    <t>RF; 2" PE; ABER; 100'</t>
  </si>
  <si>
    <t>FP-323291</t>
  </si>
  <si>
    <t>RF; 2"PE; ABER; 825'</t>
  </si>
  <si>
    <t>FP-323290</t>
  </si>
  <si>
    <t>RF-2" PE-ABER-400'</t>
  </si>
  <si>
    <t>FP-323272</t>
  </si>
  <si>
    <t>PUR SMARTCAL 360 STATION MT VERNON</t>
  </si>
  <si>
    <t>FP-323186</t>
  </si>
  <si>
    <t>RP-8" STL-WALL-CLINTON 400'</t>
  </si>
  <si>
    <t>FP-323040</t>
  </si>
  <si>
    <t>UG PUR AR/VR Trainng Dvlpmnt CNG GO</t>
  </si>
  <si>
    <t>FP-322912</t>
  </si>
  <si>
    <t>Gilchrist</t>
  </si>
  <si>
    <t>Pur (3) Motor Drives CS Yakima</t>
  </si>
  <si>
    <t>FP-322790</t>
  </si>
  <si>
    <t>Pur (3) Roll-Out Wheels CS Yakima</t>
  </si>
  <si>
    <t>FP-322789</t>
  </si>
  <si>
    <t>PUR Tool set FOR BRLINGTN COMP STA</t>
  </si>
  <si>
    <t>FP-322766</t>
  </si>
  <si>
    <t>GR-6" PE-ABER-5000' FRONT ST</t>
  </si>
  <si>
    <t>FP-322683</t>
  </si>
  <si>
    <t>Purchase Pavement Breaker Kelso</t>
  </si>
  <si>
    <t>FP-322634</t>
  </si>
  <si>
    <t>390</t>
  </si>
  <si>
    <t>Replace Office Roof Walla Walla</t>
  </si>
  <si>
    <t>FP-322499</t>
  </si>
  <si>
    <t>Welding Air purifng respratrs - WA</t>
  </si>
  <si>
    <t>FP-322388</t>
  </si>
  <si>
    <t>MAOP; R-59 OAKH; BLDG</t>
  </si>
  <si>
    <t>FP-322305</t>
  </si>
  <si>
    <t>RP; 6" ST; MOSE; 200'</t>
  </si>
  <si>
    <t>FP-322219</t>
  </si>
  <si>
    <t>RP; 2" HP; FERN; 40' R-93</t>
  </si>
  <si>
    <t>FP-322205</t>
  </si>
  <si>
    <t>GR; 4" PE; PASC; 1500 HYW12</t>
  </si>
  <si>
    <t>FP-322053</t>
  </si>
  <si>
    <t>RL-8" HP-4,500' PASCO-DARIGOLD</t>
  </si>
  <si>
    <t>FP-321753</t>
  </si>
  <si>
    <t>Gass SCADA cellular modems CNGC</t>
  </si>
  <si>
    <t>FP-321557</t>
  </si>
  <si>
    <t>Pur OPS 307 Tooling Kennewick Dist</t>
  </si>
  <si>
    <t>FP-321428</t>
  </si>
  <si>
    <t>C/M RPL; 8" HP; WALLA WALLA; 4,595'</t>
  </si>
  <si>
    <t>FP-321243</t>
  </si>
  <si>
    <t>RF; 6" PE, GRANDVIEW, 2,500'</t>
  </si>
  <si>
    <t>FP-321089</t>
  </si>
  <si>
    <t>C/M; 12" HP; LONG; 1,220' WESTROCK</t>
  </si>
  <si>
    <t>FP-320486</t>
  </si>
  <si>
    <t>RF-RICH R-133</t>
  </si>
  <si>
    <t>FP-320161</t>
  </si>
  <si>
    <t>367</t>
  </si>
  <si>
    <t>MAOP; 16" TM; MARCH POINT; 20'</t>
  </si>
  <si>
    <t>FP-320007</t>
  </si>
  <si>
    <t>Dischrge Coalescnt Filtr-BURL COMP</t>
  </si>
  <si>
    <t>FP-319839</t>
  </si>
  <si>
    <t>RF; 12" &amp; 6" HP; RICH; 3.3 mi</t>
  </si>
  <si>
    <t>FP-319055</t>
  </si>
  <si>
    <t>385</t>
  </si>
  <si>
    <t>RP-MTVE-MTR-N TEXAS RD</t>
  </si>
  <si>
    <t>FP-319029</t>
  </si>
  <si>
    <t>379</t>
  </si>
  <si>
    <t>Longview S. Gate Upgrade - CNG Side</t>
  </si>
  <si>
    <t>FP-318800</t>
  </si>
  <si>
    <t>RF-Walla-8800ft 6"PE Cottonwood Rd</t>
  </si>
  <si>
    <t>FP-318740</t>
  </si>
  <si>
    <t>RP-Brem-R-Werener&amp;Twin View R-21</t>
  </si>
  <si>
    <t>FP-318566</t>
  </si>
  <si>
    <t>GR; R-81 ABER; BASICH BLV</t>
  </si>
  <si>
    <t>FP-317609</t>
  </si>
  <si>
    <t>RP; 6" HP; BELL; 2500'; Meador Ave</t>
  </si>
  <si>
    <t>FP-317065</t>
  </si>
  <si>
    <t>RF; 6" PE; BELL; 6,700' Fraser St</t>
  </si>
  <si>
    <t>FP-317064</t>
  </si>
  <si>
    <t>UPGRADE YAKIMA GATE STATION</t>
  </si>
  <si>
    <t>FP-316980</t>
  </si>
  <si>
    <t>RP; 8" HP ST; BREMRTN, 500' EXPOSD</t>
  </si>
  <si>
    <t>FP-316406</t>
  </si>
  <si>
    <t>C/M RPL; 8" HP; BREMERTON; 4,510'</t>
  </si>
  <si>
    <t>FP-316044</t>
  </si>
  <si>
    <t>C/M RPL; 3" HP; S TOPPENISH; 6,161'</t>
  </si>
  <si>
    <t>FP-316031</t>
  </si>
  <si>
    <t>2023 Closed 2024</t>
  </si>
  <si>
    <t>2023 Projects Closed in 2024</t>
  </si>
  <si>
    <t/>
  </si>
  <si>
    <t>UG-Interactive Voice Assist CNG</t>
  </si>
  <si>
    <t>FP-322873</t>
  </si>
  <si>
    <t>Tillis</t>
  </si>
  <si>
    <t>UG-Customer Self Service Web/IVRCNG</t>
  </si>
  <si>
    <t>FP-200064</t>
  </si>
  <si>
    <t>UG-Tungsten Autovoucher - CNG</t>
  </si>
  <si>
    <t>FP-324014</t>
  </si>
  <si>
    <t>Nygard</t>
  </si>
  <si>
    <t>UG - UIPlanner Upgrade - CNGC</t>
  </si>
  <si>
    <t>FP-322685</t>
  </si>
  <si>
    <t>UG-Powerplan Upgrade 2024 CNGC</t>
  </si>
  <si>
    <t>FP-321574</t>
  </si>
  <si>
    <t>UG - CC&amp;B Upgrade&amp;Betterments CNGC</t>
  </si>
  <si>
    <t>FP-321327</t>
  </si>
  <si>
    <t>PUR Sensit LZ-30s - Washington</t>
  </si>
  <si>
    <t>FP-325214</t>
  </si>
  <si>
    <t>FRL;2'' ST;WAPA;1,000' S.Naches A</t>
  </si>
  <si>
    <t>FP-325206</t>
  </si>
  <si>
    <t>RP; 6" ST; BELL; 2400'; NORTHWEST</t>
  </si>
  <si>
    <t>FP-325196</t>
  </si>
  <si>
    <t>FRL;2'';VIEW'800' OIE HWY</t>
  </si>
  <si>
    <t>FP-325187</t>
  </si>
  <si>
    <t>REPLACE SHOP TUBE HEATER BREMERTON</t>
  </si>
  <si>
    <t>FP-325055</t>
  </si>
  <si>
    <t>CNG UPS Replacements</t>
  </si>
  <si>
    <t>FP-324982</t>
  </si>
  <si>
    <t>PUR CONTROL RADIOS AVTEC SYS - WA</t>
  </si>
  <si>
    <t>FP-324946</t>
  </si>
  <si>
    <t>Instl Back Up Generator Walla Walla</t>
  </si>
  <si>
    <t>FP-324847</t>
  </si>
  <si>
    <t>Instl Shop Lighting Wentachee</t>
  </si>
  <si>
    <t>FP-324790</t>
  </si>
  <si>
    <t>Crack Seal Parking Lot Walla Walla</t>
  </si>
  <si>
    <t>FP-324761</t>
  </si>
  <si>
    <t>UG - Trellis Energy Software CNGC</t>
  </si>
  <si>
    <t>FP-324409</t>
  </si>
  <si>
    <t>Rpl Main Nelson Rd/Ctr Vly Brmrtn</t>
  </si>
  <si>
    <t>FP-324375</t>
  </si>
  <si>
    <t>RP; 2" ST; BELL; 360'; FLORA/UNITY</t>
  </si>
  <si>
    <t>FP-324342</t>
  </si>
  <si>
    <t>Pur Emr TrlrCellCommWiFi Hdwr CNGC</t>
  </si>
  <si>
    <t>FP-324267</t>
  </si>
  <si>
    <t>Replace Office Servers CNG</t>
  </si>
  <si>
    <t>FP-324263</t>
  </si>
  <si>
    <t>Repl SAN &amp; FC Switches CNGC GO</t>
  </si>
  <si>
    <t>FP-324259</t>
  </si>
  <si>
    <t>Instl PE Main McCormick N Pt Orchrd</t>
  </si>
  <si>
    <t>FP-323530</t>
  </si>
  <si>
    <t>Install Generator -Bremerton Office</t>
  </si>
  <si>
    <t>FP-322598</t>
  </si>
  <si>
    <t>GR; 2" PE; VIEW; 6,000'</t>
  </si>
  <si>
    <t>FP-321983</t>
  </si>
  <si>
    <t>RF; 6" PE; KENN; 2000' OLYMPIA</t>
  </si>
  <si>
    <t>FP-321861</t>
  </si>
  <si>
    <t>RP; 3" ST; BELL; 2549 ALLEY PROJ</t>
  </si>
  <si>
    <t>FP-321795</t>
  </si>
  <si>
    <t>UG ThoughtSpot Betterment CNG</t>
  </si>
  <si>
    <t>FP-320999</t>
  </si>
  <si>
    <t>Communications Equipment CNG</t>
  </si>
  <si>
    <t>FP-318211</t>
  </si>
  <si>
    <t>Office Structure &amp; Eq-Kennewick GO</t>
  </si>
  <si>
    <t>FP-316832</t>
  </si>
  <si>
    <t>Toughbook Replacements-CNG</t>
  </si>
  <si>
    <t>FP-316445</t>
  </si>
  <si>
    <t>Personal Computers&amp;Peripherals CNGC</t>
  </si>
  <si>
    <t>FP-200662</t>
  </si>
  <si>
    <t>Gas Regulators-Total Company CNGC</t>
  </si>
  <si>
    <t>FP-101259</t>
  </si>
  <si>
    <t>Gas Meters-Total Company CNGC</t>
  </si>
  <si>
    <t>FP-101210</t>
  </si>
  <si>
    <t>IT Network Equipment-CNG</t>
  </si>
  <si>
    <t>FP-101164</t>
  </si>
  <si>
    <t>Gas Vehicles-CNGC</t>
  </si>
  <si>
    <t>FP-101215</t>
  </si>
  <si>
    <t>2024-2025 Vehicles and Work Equipment</t>
  </si>
  <si>
    <t>Gas Work Equipment-CNGC</t>
  </si>
  <si>
    <t>FP-101163</t>
  </si>
  <si>
    <t>SERV-REPLACE-KENNEWICK DISTRICT</t>
  </si>
  <si>
    <t>FP-317753</t>
  </si>
  <si>
    <t>2024-2025 Service Replace</t>
  </si>
  <si>
    <t>SERV-REPLACE-MT VERNON DISTRICT</t>
  </si>
  <si>
    <t>FP-317659</t>
  </si>
  <si>
    <t>SERV-REPLACE-LONGVIEW DISTRICT</t>
  </si>
  <si>
    <t>FP-317655</t>
  </si>
  <si>
    <t>SERV-REPLACE-BREMERTON DISTRICT</t>
  </si>
  <si>
    <t>FP-317651</t>
  </si>
  <si>
    <t>SERV-REPLACE-BELLINGHAM DISTRICT</t>
  </si>
  <si>
    <t>FP-317647</t>
  </si>
  <si>
    <t>SERV-REPLACE-ABERDEEN DISTRICT</t>
  </si>
  <si>
    <t>FP-317643</t>
  </si>
  <si>
    <t>SERV-REPLACE-YAKIMA DISTRICT</t>
  </si>
  <si>
    <t>FP-317639</t>
  </si>
  <si>
    <t>SERV-REPLACE-WENATCHEE DISTRICT</t>
  </si>
  <si>
    <t>FP-317635</t>
  </si>
  <si>
    <t>SERV-REPLACE-WALLA WALLA DISTRICT</t>
  </si>
  <si>
    <t>FP-317631</t>
  </si>
  <si>
    <t>MAIN-REPLACE-KENNEWICK DISTRICT</t>
  </si>
  <si>
    <t>FP-317751</t>
  </si>
  <si>
    <t>2024-2025 Main Replace</t>
  </si>
  <si>
    <t>MAIN-REPLACE-MT VERNON DISTRICT</t>
  </si>
  <si>
    <t>FP-317657</t>
  </si>
  <si>
    <t>MAIN-REPLACE-LONGVIEW DISTRICT</t>
  </si>
  <si>
    <t>FP-317653</t>
  </si>
  <si>
    <t>MAIN-REPLACE-BREMERTON DISTRICT</t>
  </si>
  <si>
    <t>FP-317649</t>
  </si>
  <si>
    <t>MAIN-REPLACE-BELLINGHAM DISTRICT</t>
  </si>
  <si>
    <t>FP-317645</t>
  </si>
  <si>
    <t>MAIN-REPLACE-ABERDEEN DISTRICT</t>
  </si>
  <si>
    <t>FP-317641</t>
  </si>
  <si>
    <t>MAIN-REPLACE-YAKIMA DISTRICT</t>
  </si>
  <si>
    <t>FP-317637</t>
  </si>
  <si>
    <t>MAIN-REPLACE-WENATCHEE DISTRICT</t>
  </si>
  <si>
    <t>FP-317633</t>
  </si>
  <si>
    <t>MAIN-REPLACE-WALLA WALLA DISTRICT</t>
  </si>
  <si>
    <t>FP-317629</t>
  </si>
  <si>
    <t>SERV-GROWTH-KENNEWICK DISTRICT</t>
  </si>
  <si>
    <t>FP-317752</t>
  </si>
  <si>
    <t>2024-2025 Growth Service</t>
  </si>
  <si>
    <t>SERV-GROWTH-MT VERNON DISTRICT</t>
  </si>
  <si>
    <t>FP-317658</t>
  </si>
  <si>
    <t>SERV-GROWTH-LONGVIEW DISTRICT</t>
  </si>
  <si>
    <t>FP-317654</t>
  </si>
  <si>
    <t>SERV-GROWTH-BREMERTON DISTRICT</t>
  </si>
  <si>
    <t>FP-317650</t>
  </si>
  <si>
    <t>SERV-GROWTH-BELLINGHAM DISTRICT</t>
  </si>
  <si>
    <t>FP-317646</t>
  </si>
  <si>
    <t>SERV-GROWTH-ABERDEEN DISTRICT</t>
  </si>
  <si>
    <t>FP-317642</t>
  </si>
  <si>
    <t>SERV-GROWTH-YAKIMA DISTRICT</t>
  </si>
  <si>
    <t>FP-317638</t>
  </si>
  <si>
    <t>SERV-GROWTH-WENATCHEE DISTRICT</t>
  </si>
  <si>
    <t>FP-317634</t>
  </si>
  <si>
    <t>SERV-GROWTH-WALLA WALLA DISTRICT</t>
  </si>
  <si>
    <t>FP-317630</t>
  </si>
  <si>
    <t>MAIN-GROWTH-KENNEWICK DISTRICT</t>
  </si>
  <si>
    <t>FP-317750</t>
  </si>
  <si>
    <t>2024-2025 Growth Mains</t>
  </si>
  <si>
    <t>MAIN-GROWTH-MT VERNON DISTRICT</t>
  </si>
  <si>
    <t>FP-317656</t>
  </si>
  <si>
    <t>MAIN-GROWTH-LONGVIEW DISTRICT</t>
  </si>
  <si>
    <t>FP-317652</t>
  </si>
  <si>
    <t>MAIN-GROWTH-BREMERTON DISTRICT</t>
  </si>
  <si>
    <t>FP-317648</t>
  </si>
  <si>
    <t>MAIN-GROWTH-BELLINGHAM DISTRICT</t>
  </si>
  <si>
    <t>FP-317644</t>
  </si>
  <si>
    <t>MAIN-GROWTH-ABERDEEN DISTRICT</t>
  </si>
  <si>
    <t>FP-317640</t>
  </si>
  <si>
    <t>MAIN-GROWTH-YAKIMA DISTRICT</t>
  </si>
  <si>
    <t>FP-317636</t>
  </si>
  <si>
    <t>MAIN-GROWTH-WENATCHEE DISTRICT</t>
  </si>
  <si>
    <t>FP-317632</t>
  </si>
  <si>
    <t>MAIN-GROWTH-WALLA WALLA DISTRICT</t>
  </si>
  <si>
    <t>FP-317628</t>
  </si>
  <si>
    <t>Purch Leak Survey Equip Kennewick</t>
  </si>
  <si>
    <t>FP-324711</t>
  </si>
  <si>
    <t>Purchase Odorator Walla Walla</t>
  </si>
  <si>
    <t>FP-324500</t>
  </si>
  <si>
    <t>Purchase LMM Walla Walla</t>
  </si>
  <si>
    <t>FP-324378</t>
  </si>
  <si>
    <t>PURCHASE ICE MACHINE BELLINGHAM</t>
  </si>
  <si>
    <t>FP-324128</t>
  </si>
  <si>
    <t>PURCHASE LEAK DETECTOR MT VERNON</t>
  </si>
  <si>
    <t>FP-323956</t>
  </si>
  <si>
    <t>Purch Gas Detection Equip Kennewick</t>
  </si>
  <si>
    <t>FP-323953</t>
  </si>
  <si>
    <t>PUR MUELLER GATE VALVES MT VERNON</t>
  </si>
  <si>
    <t>FP-323914</t>
  </si>
  <si>
    <t>PUR 1 Rivet Buster, Bellingham</t>
  </si>
  <si>
    <t>FP-325218</t>
  </si>
  <si>
    <t>PUR VIVAX METROTECH LOCATOR-YAKIMA</t>
  </si>
  <si>
    <t>FP-325186</t>
  </si>
  <si>
    <t>Purchase  Sensit Gold Kennewick</t>
  </si>
  <si>
    <t>FP-325059</t>
  </si>
  <si>
    <t>FP-324695</t>
  </si>
  <si>
    <t>Purch Steel Road Plates Kelso</t>
  </si>
  <si>
    <t>FP-324690</t>
  </si>
  <si>
    <t>Purchase Shop Welder Bremerton</t>
  </si>
  <si>
    <t>FP-324559</t>
  </si>
  <si>
    <t>Purchase Mueller Gate Valves Kelso</t>
  </si>
  <si>
    <t>FP-324530</t>
  </si>
  <si>
    <t>Purch Fork Lift Spreader Bar Elma</t>
  </si>
  <si>
    <t>FP-324527</t>
  </si>
  <si>
    <t>Purch Fork Lift Spreader Bar Kelso</t>
  </si>
  <si>
    <t>FP-324524</t>
  </si>
  <si>
    <t>Purchase Traffic Plates Walla Walla</t>
  </si>
  <si>
    <t>FP-324503</t>
  </si>
  <si>
    <t>Pur Shop Air Compressor Walla Walla</t>
  </si>
  <si>
    <t>FP-324146</t>
  </si>
  <si>
    <t>PURCH SPREADER BAR BELLINGHAM</t>
  </si>
  <si>
    <t>FP-324134</t>
  </si>
  <si>
    <t>Purchase Steel Squeezer Elma</t>
  </si>
  <si>
    <t>FP-324018</t>
  </si>
  <si>
    <t>PUR FORKLIFT SPREADER BAR MT VERNON</t>
  </si>
  <si>
    <t>FP-324015</t>
  </si>
  <si>
    <t>FP-323951</t>
  </si>
  <si>
    <t>Purchase Fresh Air Paks Mt Vernon</t>
  </si>
  <si>
    <t>FP-323918</t>
  </si>
  <si>
    <t>PURCHASE BEVELING MACHINE MT VERNON</t>
  </si>
  <si>
    <t>FP-323917</t>
  </si>
  <si>
    <t>Purchase Mueller Tools - Bellingham</t>
  </si>
  <si>
    <t>FP-323791</t>
  </si>
  <si>
    <t>Purch (2) RD8100 Locators Mt Vernon</t>
  </si>
  <si>
    <t>FP-322655</t>
  </si>
  <si>
    <t>Purchase MBW Air Rammer Kelso</t>
  </si>
  <si>
    <t>FP-322580</t>
  </si>
  <si>
    <t>PUR (2) STOP MACHINES MT VERNON</t>
  </si>
  <si>
    <t>FP-322488</t>
  </si>
  <si>
    <t>PURCHASE RMLD MT VERNON</t>
  </si>
  <si>
    <t>FP-322468</t>
  </si>
  <si>
    <t>Purch PAPR's for Washington 2024</t>
  </si>
  <si>
    <t>FP-324253</t>
  </si>
  <si>
    <t>Purch AED for Bellingham WA</t>
  </si>
  <si>
    <t>FP-324251</t>
  </si>
  <si>
    <t>CONST Training Yard Elma D Off</t>
  </si>
  <si>
    <t>FP-324053</t>
  </si>
  <si>
    <t>UG-PCAD Annual Enhancements-CNG</t>
  </si>
  <si>
    <t>FP-316451</t>
  </si>
  <si>
    <t>UG-GIS ESRI System Upgrade CNGC</t>
  </si>
  <si>
    <t>FP-316019</t>
  </si>
  <si>
    <t>Locus View Lease</t>
  </si>
  <si>
    <t>Capital Lease</t>
  </si>
  <si>
    <t>PUR Trng Props Kennewick Wa Trlr</t>
  </si>
  <si>
    <t>FP-320935</t>
  </si>
  <si>
    <t>PUR Trng Props Bremerton WA Trl.</t>
  </si>
  <si>
    <t>FP-320934</t>
  </si>
  <si>
    <t>UG-IQ Geo Enhancements CNGC</t>
  </si>
  <si>
    <t>FP-324035</t>
  </si>
  <si>
    <t>UG-Maximo Enhancmnt/Upgrd/Sftw CNGC</t>
  </si>
  <si>
    <t>FP-324029</t>
  </si>
  <si>
    <t>UG-Locusview Software - CNGC</t>
  </si>
  <si>
    <t>FP-324020</t>
  </si>
  <si>
    <t>Impl Work Asset Mgmt Hardware-CNG</t>
  </si>
  <si>
    <t>FP-317565</t>
  </si>
  <si>
    <t>UG-Work Asset Management</t>
  </si>
  <si>
    <t>FP-101480</t>
  </si>
  <si>
    <t>UG-CNG PUR AR/VR I-Leak Upg/Enhance</t>
  </si>
  <si>
    <t>FP-323968</t>
  </si>
  <si>
    <t>UG-CNG PUR AR/VR Gas Emrgncy Rspns</t>
  </si>
  <si>
    <t>FP-323967</t>
  </si>
  <si>
    <t>RP; 8" PE CLINTON; HDD 400'</t>
  </si>
  <si>
    <t>FP-325037</t>
  </si>
  <si>
    <t>C/M; R-199(R-7) MTVE;</t>
  </si>
  <si>
    <t>FP-324995</t>
  </si>
  <si>
    <t>Inst Reinf main for R99, Yakima</t>
  </si>
  <si>
    <t>FP-324988</t>
  </si>
  <si>
    <t>RP; 6" HP; OAKH; 3000'</t>
  </si>
  <si>
    <t>FP-324932</t>
  </si>
  <si>
    <t>FRL-MTV-HWY 9-6" HP-400FT</t>
  </si>
  <si>
    <t>FP-324799</t>
  </si>
  <si>
    <t>RP-8" HP- ELMA 1100' WILD CAT CREEK</t>
  </si>
  <si>
    <t>FP-324689</t>
  </si>
  <si>
    <t>RF-OAKH-4"PE-1000'</t>
  </si>
  <si>
    <t>FP-324581</t>
  </si>
  <si>
    <t>CNGC-Picarro Leak Survey Equipment</t>
  </si>
  <si>
    <t>FP-324560</t>
  </si>
  <si>
    <t>FP-324556</t>
  </si>
  <si>
    <t>Add HEPA Vacuum at the CNG meter sh</t>
  </si>
  <si>
    <t>FP-324281</t>
  </si>
  <si>
    <t>Replace Vacuum Pump Yak MS</t>
  </si>
  <si>
    <t>FP-324276</t>
  </si>
  <si>
    <t>Bremerton Replace R-36</t>
  </si>
  <si>
    <t>FP-324150</t>
  </si>
  <si>
    <t>C/M RPL; 8" TM; ANACORTES; 3,000'</t>
  </si>
  <si>
    <t>FP-324101</t>
  </si>
  <si>
    <t>FRL; R-195 (R-170) ANAC</t>
  </si>
  <si>
    <t>FP-324021</t>
  </si>
  <si>
    <t>RF; 2" PE; OAKH; 2000'</t>
  </si>
  <si>
    <t>FP-324007</t>
  </si>
  <si>
    <t>RP; 4" PE &amp; 6" STL; ANAC; 1200'</t>
  </si>
  <si>
    <t>FP-324005</t>
  </si>
  <si>
    <t>Repl Mueller Equip CS WA</t>
  </si>
  <si>
    <t>FP-323926</t>
  </si>
  <si>
    <t>Yakima Enclose Canopy CS Fab</t>
  </si>
  <si>
    <t>FP-323909</t>
  </si>
  <si>
    <t>RP; R-81 WHEE; RPL (R-53 &amp; R-54)</t>
  </si>
  <si>
    <t>FP-323823</t>
  </si>
  <si>
    <t>RF; 4" PE; 10,000'; Lynden</t>
  </si>
  <si>
    <t>FP-323595</t>
  </si>
  <si>
    <t>RPL MN - SHORTED CASING - WA</t>
  </si>
  <si>
    <t>FP-323236</t>
  </si>
  <si>
    <t>RP Bremerton R-023</t>
  </si>
  <si>
    <t>FP-323166</t>
  </si>
  <si>
    <t>RP; R-099 (R-054); SUNNYSIDE</t>
  </si>
  <si>
    <t>FP-322765</t>
  </si>
  <si>
    <t>UG - Verve Metretek Software CNGC</t>
  </si>
  <si>
    <t>FP-322752</t>
  </si>
  <si>
    <t>Deschutes Landfill-Design and Const</t>
  </si>
  <si>
    <t>FP-322677</t>
  </si>
  <si>
    <t>C/M RPL; 4" HP; E FINLEY; 2,498'</t>
  </si>
  <si>
    <t>FP-322639</t>
  </si>
  <si>
    <t>RP-4" HP MN-PASCO-160'</t>
  </si>
  <si>
    <t>FP-322504</t>
  </si>
  <si>
    <t>RPL MN CAMANO ISLAND EXPOSRE</t>
  </si>
  <si>
    <t>FP-322391</t>
  </si>
  <si>
    <t>Instl Main Gibralter Rd Anacortes</t>
  </si>
  <si>
    <t>FP-322144</t>
  </si>
  <si>
    <t>RL; 6" HP; MTVE; 100'</t>
  </si>
  <si>
    <t>FP-322143</t>
  </si>
  <si>
    <t>Easement delays and project cost update</t>
  </si>
  <si>
    <t>RF-8" HP-ABER 1.7mi-WISHKAH RD</t>
  </si>
  <si>
    <t>FP-321879</t>
  </si>
  <si>
    <t>2024 to 2025</t>
  </si>
  <si>
    <t>RF-PASCO-6" HP-5-mi</t>
  </si>
  <si>
    <t>FP-321511</t>
  </si>
  <si>
    <t>C/M RPL; 6" HP TOPP-ZILLAH; 2,400'</t>
  </si>
  <si>
    <t>FP-321468</t>
  </si>
  <si>
    <t>RP; 4" HP, WAPATO, 31,000'</t>
  </si>
  <si>
    <t>FP-321116</t>
  </si>
  <si>
    <t>R-21 Replacement - Castle Rock</t>
  </si>
  <si>
    <t>FP-320114</t>
  </si>
  <si>
    <t>GR-BurlingtonSouthFeed-6"PE-DP</t>
  </si>
  <si>
    <t>FP-320106</t>
  </si>
  <si>
    <t>C/M RPL; 3" HP; BURLINGTON; 410'</t>
  </si>
  <si>
    <t>FP-320006</t>
  </si>
  <si>
    <t>C/M RPL; 3" HP; PROSSER; 1,500'</t>
  </si>
  <si>
    <t>FP-320004</t>
  </si>
  <si>
    <t>MAOP RPL; 8" HP; BREMERTON; 2,863'</t>
  </si>
  <si>
    <t>FP-319992</t>
  </si>
  <si>
    <t>RP-Topp-TM-Canal Crossings</t>
  </si>
  <si>
    <t>FP-319027</t>
  </si>
  <si>
    <t>RP-Ferndale-V-retire V-43 8"</t>
  </si>
  <si>
    <t>FP-319021</t>
  </si>
  <si>
    <t>RF-OAKH-4"PE-2.1MI</t>
  </si>
  <si>
    <t>FP-318656</t>
  </si>
  <si>
    <t>Gas SCADA Equipment-CNG</t>
  </si>
  <si>
    <t>FP-318197</t>
  </si>
  <si>
    <t>Fixed Network Equipment-CNG</t>
  </si>
  <si>
    <t>FP-318192</t>
  </si>
  <si>
    <t>HPSS Replacements CNG WA</t>
  </si>
  <si>
    <t>FP-318092</t>
  </si>
  <si>
    <t>Tools &amp; Minor Work Equip CNG WA</t>
  </si>
  <si>
    <t>FP-317744</t>
  </si>
  <si>
    <t>RF; 8" HP; ABER; 12,500' BASICH BLV</t>
  </si>
  <si>
    <t>FP-316429</t>
  </si>
  <si>
    <t>C/M RPL; 8" HP; YAKIMA; PH1</t>
  </si>
  <si>
    <t>FP-316046</t>
  </si>
  <si>
    <t>C/M RPL; 4" HP; MONTESANO; 1,645'</t>
  </si>
  <si>
    <t>FP-316041</t>
  </si>
  <si>
    <t>C/M RPL; 2/3" HP; SUNNYSIDE; 8,612'</t>
  </si>
  <si>
    <t>FP-316032</t>
  </si>
  <si>
    <t>C/M RPL; 2/4" HP; WHEELER; 7,500'</t>
  </si>
  <si>
    <t>FP-316018</t>
  </si>
  <si>
    <t>Requested 2024 Capital Reductions</t>
  </si>
  <si>
    <t>KITSAP PH V REINFORCEMENT</t>
  </si>
  <si>
    <t>FP-302595</t>
  </si>
  <si>
    <t>2025 to 2026</t>
  </si>
  <si>
    <t>Gas Cathodic Protection - WA</t>
  </si>
  <si>
    <t>FP-302369</t>
  </si>
  <si>
    <t>Dist Reg Station Replace Washington</t>
  </si>
  <si>
    <t>FP-101196</t>
  </si>
  <si>
    <t>Dist Reg Station Growth Washington</t>
  </si>
  <si>
    <t>FP-101194</t>
  </si>
  <si>
    <t>MAOP; R-097 YAKIMA</t>
  </si>
  <si>
    <t>FP-322173</t>
  </si>
  <si>
    <t>MAOP; R-096 (R-001) YAKIMA</t>
  </si>
  <si>
    <t>FP-322165</t>
  </si>
  <si>
    <t>MODEL 5 PROVER UPGRADE - BELLINGHAM</t>
  </si>
  <si>
    <t>FP-324806</t>
  </si>
  <si>
    <t>UPGRADE MODEL 5 PROVER - YAKIMA</t>
  </si>
  <si>
    <t>FP-324804</t>
  </si>
  <si>
    <t>Sys Safety &amp; Integrity Srvcs Rpl-WA</t>
  </si>
  <si>
    <t>FP-318187</t>
  </si>
  <si>
    <t>Sys Safety &amp; Integrity Mains Rpl-WA</t>
  </si>
  <si>
    <t>FP-318186</t>
  </si>
  <si>
    <t>RF; S. KENN GATE-WILLIAMS</t>
  </si>
  <si>
    <t>FP-320034</t>
  </si>
  <si>
    <t>RF-8" PE-KENN-2,500'</t>
  </si>
  <si>
    <t>FP-319061</t>
  </si>
  <si>
    <t>RF-S. KENN TBS-CNGC</t>
  </si>
  <si>
    <t>FP-319057</t>
  </si>
  <si>
    <t>CONST SVCS - TOOL SHED &amp; REMODEL</t>
  </si>
  <si>
    <t>FP-324778</t>
  </si>
  <si>
    <t>Pur Elec Fume Extractor Mt Ver CS</t>
  </si>
  <si>
    <t>FP-324475</t>
  </si>
  <si>
    <t>RP-SHEL R-17 (R-84)</t>
  </si>
  <si>
    <t>FP-323730</t>
  </si>
  <si>
    <t>RP-SHEL R-17 (R-84) MAIN</t>
  </si>
  <si>
    <t>FP-323636</t>
  </si>
  <si>
    <t>R-38 Longview RTU Replacement</t>
  </si>
  <si>
    <t>FP-325163</t>
  </si>
  <si>
    <t>Selah TBS RTU Replacement</t>
  </si>
  <si>
    <t>FP-325162</t>
  </si>
  <si>
    <t>Kelso RTU replacement</t>
  </si>
  <si>
    <t>FP-325161</t>
  </si>
  <si>
    <t>RTU Replacement Kalama TBS</t>
  </si>
  <si>
    <t>FP-325160</t>
  </si>
  <si>
    <t>South Bend TBS RTU Replacement</t>
  </si>
  <si>
    <t>FP-324836</t>
  </si>
  <si>
    <t>Shelton TBS RTU replacement</t>
  </si>
  <si>
    <t>FP-324835</t>
  </si>
  <si>
    <t>Redmond TBS RTU Replacement</t>
  </si>
  <si>
    <t>FP-324834</t>
  </si>
  <si>
    <t>Othello TBS RTU Replacement.</t>
  </si>
  <si>
    <t>FP-324833</t>
  </si>
  <si>
    <t>Nyssa TBS RTU Replacement</t>
  </si>
  <si>
    <t>FP-324832</t>
  </si>
  <si>
    <t>Mt Vernon TBS RTU replacement</t>
  </si>
  <si>
    <t>FP-324831</t>
  </si>
  <si>
    <t>Stanwood TBS RTU replacment</t>
  </si>
  <si>
    <t>FP-324830</t>
  </si>
  <si>
    <t>Hermiston TBS RTU Replacement</t>
  </si>
  <si>
    <t>FP-324829</t>
  </si>
  <si>
    <t>Bend TBS RTU Replacement</t>
  </si>
  <si>
    <t>FP-324828</t>
  </si>
  <si>
    <t>Sumas TBS RTU Replacement</t>
  </si>
  <si>
    <t>FP-324827</t>
  </si>
  <si>
    <t>Bellingham 1 TBS RTU Replacement</t>
  </si>
  <si>
    <t>FP-324823</t>
  </si>
  <si>
    <t>RF-RICH 12" HP-3.75 miles-Ph.2</t>
  </si>
  <si>
    <t>FP-320159</t>
  </si>
  <si>
    <t>RF-RICHLAND Y TBS-WILLIAMS</t>
  </si>
  <si>
    <t>FP-320155</t>
  </si>
  <si>
    <t>RF-RICHLAND Y TBS-CNGC</t>
  </si>
  <si>
    <t>FP-320144</t>
  </si>
  <si>
    <t>Pasco PWRF Regs and Relief</t>
  </si>
  <si>
    <t>FP-323841</t>
  </si>
  <si>
    <t>Pasco PWRF RNG Chro, Odor, GQ</t>
  </si>
  <si>
    <t>FP-323840</t>
  </si>
  <si>
    <t>RNG-2.5-mi 4" HP-PASCO-PWRF</t>
  </si>
  <si>
    <t>FP-323824</t>
  </si>
  <si>
    <t>RNG-METER-PASCO-PWRF</t>
  </si>
  <si>
    <t>FP-323775</t>
  </si>
  <si>
    <t>MAOP SERV RPL CNG WA</t>
  </si>
  <si>
    <t>FP-319112</t>
  </si>
  <si>
    <t>MAOP MAIN RPL CNG WA</t>
  </si>
  <si>
    <t>FP-319111</t>
  </si>
  <si>
    <t>UG - LIGHTHOUSE TIMP SOFTWARE-CNGC</t>
  </si>
  <si>
    <t>FP-324624</t>
  </si>
  <si>
    <t>UG - LIGHTHOUSE DIMP SOFTWARE-CNGC</t>
  </si>
  <si>
    <t>FP-324619</t>
  </si>
  <si>
    <t>RNG; LAMB WESTON RICHLAND R-141</t>
  </si>
  <si>
    <t>FP-323472</t>
  </si>
  <si>
    <t>RNG; 0-19 &amp; CHROM, LAMB WESTON RICH</t>
  </si>
  <si>
    <t>FP-323469</t>
  </si>
  <si>
    <t>RNG; LAMB WESTON METER SET RICHLAND</t>
  </si>
  <si>
    <t>FP-323467</t>
  </si>
  <si>
    <t>Indust Reg Stations-Replace-CNGC WA</t>
  </si>
  <si>
    <t>FP-320224</t>
  </si>
  <si>
    <t>Indust Reg Stations-Growth-CNGC WA</t>
  </si>
  <si>
    <t>FP-320223</t>
  </si>
  <si>
    <t>MAOP; R-TBD; ELMA (RHD)</t>
  </si>
  <si>
    <t>FP-319107</t>
  </si>
  <si>
    <t>MAOP; 2" HP; ELMA (RHD)</t>
  </si>
  <si>
    <t>FP-319104</t>
  </si>
  <si>
    <t>RNG-Horn Rapids Meter Set</t>
  </si>
  <si>
    <t>FP-323452</t>
  </si>
  <si>
    <t>RNG- Horn Rapids Reg Station R-139</t>
  </si>
  <si>
    <t>FP-323446</t>
  </si>
  <si>
    <t>RNG;O-18 &amp; CHROM, HORN RAPIDS</t>
  </si>
  <si>
    <t>FP-323443</t>
  </si>
  <si>
    <t>Purch Electric Grease Gun Kennewick</t>
  </si>
  <si>
    <t>FP-324274</t>
  </si>
  <si>
    <t>Purch Electric Grease Gun Longview</t>
  </si>
  <si>
    <t>FP-324273</t>
  </si>
  <si>
    <t>Purch Electric Grease Gun Mt Vernon</t>
  </si>
  <si>
    <t>FP-324239</t>
  </si>
  <si>
    <t>Fredonia CS New Relief 1910K</t>
  </si>
  <si>
    <t>FP-325057</t>
  </si>
  <si>
    <t>Fredonia CS Security Install</t>
  </si>
  <si>
    <t>FP-324704</t>
  </si>
  <si>
    <t>Fredonia CS Update facility Lights</t>
  </si>
  <si>
    <t>FP-324502</t>
  </si>
  <si>
    <t>Fredonia CS Storage Shed</t>
  </si>
  <si>
    <t>FP-324495</t>
  </si>
  <si>
    <t>Fredonia CS Flame / PLC spare parts</t>
  </si>
  <si>
    <t>FP-323795</t>
  </si>
  <si>
    <t>Fredonia CS Scrubber Replacement</t>
  </si>
  <si>
    <t>FP-323731</t>
  </si>
  <si>
    <t>INST RNG MTR SET, DIVERT INC, LVIEW</t>
  </si>
  <si>
    <t>FP-323435</t>
  </si>
  <si>
    <t>INST RNG ODRIZR, DIVERT INC, L'VIEW</t>
  </si>
  <si>
    <t>FP-323434</t>
  </si>
  <si>
    <t>INST RNG RS, DIVERT INC, Longview</t>
  </si>
  <si>
    <t>FP-323432</t>
  </si>
  <si>
    <t>GR L'view -2" HP MN, Divert INC RNG</t>
  </si>
  <si>
    <t>FP-323431</t>
  </si>
  <si>
    <t>RF; R-197 PULVER RD, BURLING</t>
  </si>
  <si>
    <t>FP-322784</t>
  </si>
  <si>
    <t>RF; LAND FOR 6 MILE 20IN BURLINGTON</t>
  </si>
  <si>
    <t>FP-322783</t>
  </si>
  <si>
    <t>Easement and permit delays</t>
  </si>
  <si>
    <t>RF; BURLINGTON; 6 MILES OF 20 INCH</t>
  </si>
  <si>
    <t>FP-322776</t>
  </si>
  <si>
    <t>C/M;R-198(R-66) ARL</t>
  </si>
  <si>
    <t>FP-324824</t>
  </si>
  <si>
    <t>MAOP;4' ST;ARLI;5,610'</t>
  </si>
  <si>
    <t>FP-324820</t>
  </si>
  <si>
    <t>Pur 2 Custom Pallets Mt Vernon CS</t>
  </si>
  <si>
    <t>FP-324480</t>
  </si>
  <si>
    <t>Pur 12in Shell Cutter Mt Vernon CS</t>
  </si>
  <si>
    <t>FP-324315</t>
  </si>
  <si>
    <t>Pur Completion Machine Mt Vern CS</t>
  </si>
  <si>
    <t>FP-324301</t>
  </si>
  <si>
    <t>Reason</t>
  </si>
  <si>
    <r>
      <t xml:space="preserve">2026 Change - </t>
    </r>
    <r>
      <rPr>
        <b/>
        <sz val="11"/>
        <color rgb="FFFF0000"/>
        <rFont val="Calibri"/>
        <family val="2"/>
        <scheme val="minor"/>
      </rPr>
      <t>moved out of MYRP</t>
    </r>
  </si>
  <si>
    <t>2025 Change -  (decrease) increase</t>
  </si>
  <si>
    <t>2024 Change -  (decrease) increase</t>
  </si>
  <si>
    <r>
      <t xml:space="preserve">WA 2026 Plant - </t>
    </r>
    <r>
      <rPr>
        <b/>
        <sz val="11"/>
        <color rgb="FFFF0000"/>
        <rFont val="Calibri"/>
        <family val="2"/>
        <scheme val="minor"/>
      </rPr>
      <t>moved out of MYRP</t>
    </r>
  </si>
  <si>
    <t>WA 2025 Plant - Provisional w/Changes</t>
  </si>
  <si>
    <t>WA 2024 Plant - Provisional w/Changes</t>
  </si>
  <si>
    <t>WA 2026  Provisional NA</t>
  </si>
  <si>
    <t>WA 2025  Provisional As-Filed</t>
  </si>
  <si>
    <t>WA 2024  Provisional As-Filed</t>
  </si>
  <si>
    <t xml:space="preserve">FERC Account No. </t>
  </si>
  <si>
    <t xml:space="preserve"> Description      </t>
  </si>
  <si>
    <t>Funding Project</t>
  </si>
  <si>
    <t>Witness</t>
  </si>
  <si>
    <t>Change:</t>
  </si>
  <si>
    <t>2024/2025/2026 Plant - Provisional</t>
  </si>
  <si>
    <t>MYRP Plant - 2024/2025 Provisional + 2023 Closed in 2024</t>
  </si>
  <si>
    <t>GRW</t>
  </si>
  <si>
    <t>RE</t>
  </si>
  <si>
    <t>Minor</t>
  </si>
  <si>
    <t>Specific</t>
  </si>
  <si>
    <t>Exh-DLT-13-3-29-24</t>
  </si>
  <si>
    <t>Exh-TJN-3-3-29-24</t>
  </si>
  <si>
    <t>Exh-EPM-4-3-29-24</t>
  </si>
  <si>
    <t>Programmatic</t>
  </si>
  <si>
    <t>Major</t>
  </si>
  <si>
    <t>Exh-EPM-1T-3-29-24</t>
  </si>
  <si>
    <t>Exh-HG-3-3-29-24</t>
  </si>
  <si>
    <t>Exh-HG-1T-3-29-24</t>
  </si>
  <si>
    <t>Exh-PCD-5-3-29-24</t>
  </si>
  <si>
    <t>PCD-1T-3-29-24</t>
  </si>
  <si>
    <t>Growth/ Reinforce</t>
  </si>
  <si>
    <t>Major/Minor</t>
  </si>
  <si>
    <t>Specific / Programmatic</t>
  </si>
  <si>
    <t>Page</t>
  </si>
  <si>
    <t>Testimony/Exhibit</t>
  </si>
  <si>
    <t>$500k / 10% Threshold</t>
  </si>
  <si>
    <t>% Variance</t>
  </si>
  <si>
    <t>2024 YTD Act $ Variance</t>
  </si>
  <si>
    <t>Actual 2024-Total YTD</t>
  </si>
  <si>
    <t>Actual 2024-12</t>
  </si>
  <si>
    <t>Actual 2024-11</t>
  </si>
  <si>
    <t>Actual 2024-10</t>
  </si>
  <si>
    <t>Actual 2024-09</t>
  </si>
  <si>
    <t>Actual 2024-08</t>
  </si>
  <si>
    <t>Actual 2024-07</t>
  </si>
  <si>
    <t>Actual 2024-06</t>
  </si>
  <si>
    <t>Actual 2024-04</t>
  </si>
  <si>
    <t>Actual 2024-03</t>
  </si>
  <si>
    <t>Actual 2024-02</t>
  </si>
  <si>
    <t>Actual 2024-01</t>
  </si>
  <si>
    <t>Changes to 2024</t>
  </si>
  <si>
    <t>Total 2024 Plant - filed vs closed</t>
  </si>
  <si>
    <t>Total 2024 Plant (Provisional vs Actual)</t>
  </si>
  <si>
    <t>Rate Base</t>
  </si>
  <si>
    <t>Impact</t>
  </si>
  <si>
    <t>Note: Copies of the Blue Chip Financial Forecasts are provided as part of Mr. Gorman's Confidential Workpapers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</si>
</sst>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_(* #,##0_);_(* \(#,##0\);_(* &quot;-&quot;??_);_(@_)"/>
    <numFmt numFmtId="167" formatCode="0_);\(0\)"/>
    <numFmt numFmtId="168" formatCode="0.0%"/>
    <numFmt numFmtId="169" formatCode="&quot;$&quot;#,##0.00000"/>
    <numFmt numFmtId="170" formatCode="&quot;$&quot;#,##0.00"/>
    <numFmt numFmtId="171" formatCode="&quot;$&quot;#,##0.00000_);[Red]\(&quot;$&quot;#,##0.00000\)"/>
    <numFmt numFmtId="172" formatCode="&quot;$&quot;#,##0.00000_);\(&quot;$&quot;#,##0.00000\)"/>
    <numFmt numFmtId="173" formatCode="_(* #,##0.00000_);_(* \(#,##0.00000\);_(* &quot;-&quot;??_);_(@_)"/>
    <numFmt numFmtId="174" formatCode="_(&quot;$&quot;* #,##0.00000_);_(&quot;$&quot;* \(#,##0.00000\);_(&quot;$&quot;* &quot;-&quot;??_);_(@_)"/>
    <numFmt numFmtId="175" formatCode="_(* #,##0.0_);_(* \(#,##0.0\);_(* &quot;-&quot;??_);_(@_)"/>
    <numFmt numFmtId="176" formatCode="0.00000"/>
  </numFmts>
  <fonts count="3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color theme="0" tint="-4.9989318521683403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4" tint="0.59999389629810485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</cellStyleXfs>
  <cellXfs count="28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4" applyFont="1" applyAlignment="1">
      <alignment horizontal="left"/>
    </xf>
    <xf numFmtId="164" fontId="4" fillId="0" borderId="0" xfId="5" applyNumberFormat="1" applyFont="1" applyFill="1" applyBorder="1" applyAlignment="1">
      <alignment horizontal="center"/>
    </xf>
    <xf numFmtId="0" fontId="4" fillId="0" borderId="0" xfId="4" applyFont="1" applyAlignment="1">
      <alignment horizontal="left" indent="1"/>
    </xf>
    <xf numFmtId="10" fontId="4" fillId="0" borderId="1" xfId="5" applyNumberFormat="1" applyFont="1" applyFill="1" applyBorder="1" applyAlignment="1">
      <alignment horizontal="center"/>
    </xf>
    <xf numFmtId="164" fontId="5" fillId="0" borderId="2" xfId="5" applyNumberFormat="1" applyFont="1" applyFill="1" applyBorder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4" fontId="4" fillId="2" borderId="0" xfId="5" applyNumberFormat="1" applyFont="1" applyFill="1" applyBorder="1" applyAlignment="1">
      <alignment horizontal="center"/>
    </xf>
    <xf numFmtId="7" fontId="2" fillId="0" borderId="0" xfId="0" applyNumberFormat="1" applyFont="1"/>
    <xf numFmtId="0" fontId="6" fillId="0" borderId="0" xfId="0" applyFont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8" fillId="3" borderId="0" xfId="0" applyFont="1" applyFill="1" applyBorder="1" applyAlignment="1">
      <alignment horizontal="center"/>
    </xf>
    <xf numFmtId="0" fontId="6" fillId="3" borderId="8" xfId="0" applyFont="1" applyFill="1" applyBorder="1"/>
    <xf numFmtId="0" fontId="6" fillId="3" borderId="0" xfId="0" applyFont="1" applyFill="1" applyBorder="1"/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/>
    <xf numFmtId="0" fontId="8" fillId="3" borderId="3" xfId="0" applyFont="1" applyFill="1" applyBorder="1" applyAlignment="1">
      <alignment horizontal="center"/>
    </xf>
    <xf numFmtId="167" fontId="8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65" fontId="6" fillId="3" borderId="0" xfId="2" applyNumberFormat="1" applyFont="1" applyFill="1" applyBorder="1"/>
    <xf numFmtId="10" fontId="6" fillId="3" borderId="0" xfId="3" applyNumberFormat="1" applyFont="1" applyFill="1" applyBorder="1"/>
    <xf numFmtId="0" fontId="9" fillId="3" borderId="0" xfId="0" applyFont="1" applyFill="1" applyBorder="1"/>
    <xf numFmtId="166" fontId="7" fillId="3" borderId="0" xfId="1" applyNumberFormat="1" applyFont="1" applyFill="1" applyBorder="1"/>
    <xf numFmtId="165" fontId="6" fillId="3" borderId="0" xfId="0" applyNumberFormat="1" applyFont="1" applyFill="1" applyBorder="1"/>
    <xf numFmtId="0" fontId="6" fillId="3" borderId="9" xfId="0" applyFont="1" applyFill="1" applyBorder="1"/>
    <xf numFmtId="0" fontId="6" fillId="3" borderId="3" xfId="0" applyFont="1" applyFill="1" applyBorder="1"/>
    <xf numFmtId="0" fontId="6" fillId="3" borderId="10" xfId="0" applyFont="1" applyFill="1" applyBorder="1"/>
    <xf numFmtId="0" fontId="6" fillId="0" borderId="0" xfId="0" applyFont="1" applyFill="1" applyBorder="1"/>
    <xf numFmtId="0" fontId="11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3" borderId="10" xfId="0" applyFont="1" applyFill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11" fillId="3" borderId="8" xfId="0" applyFont="1" applyFill="1" applyBorder="1" applyAlignment="1">
      <alignment vertical="top" wrapText="1"/>
    </xf>
    <xf numFmtId="0" fontId="11" fillId="3" borderId="0" xfId="0" applyFont="1" applyFill="1" applyBorder="1" applyAlignment="1">
      <alignment vertical="top" wrapText="1"/>
    </xf>
    <xf numFmtId="168" fontId="6" fillId="0" borderId="0" xfId="3" applyNumberFormat="1" applyFont="1" applyFill="1" applyBorder="1"/>
    <xf numFmtId="168" fontId="6" fillId="3" borderId="8" xfId="3" applyNumberFormat="1" applyFont="1" applyFill="1" applyBorder="1"/>
    <xf numFmtId="168" fontId="6" fillId="3" borderId="0" xfId="3" applyNumberFormat="1" applyFont="1" applyFill="1" applyBorder="1"/>
    <xf numFmtId="0" fontId="11" fillId="3" borderId="0" xfId="0" applyFont="1" applyFill="1" applyBorder="1"/>
    <xf numFmtId="168" fontId="6" fillId="3" borderId="0" xfId="0" applyNumberFormat="1" applyFont="1" applyFill="1" applyBorder="1"/>
    <xf numFmtId="168" fontId="6" fillId="3" borderId="3" xfId="3" applyNumberFormat="1" applyFont="1" applyFill="1" applyBorder="1"/>
    <xf numFmtId="0" fontId="8" fillId="0" borderId="0" xfId="0" applyFont="1" applyFill="1" applyBorder="1" applyAlignment="1"/>
    <xf numFmtId="0" fontId="8" fillId="3" borderId="8" xfId="0" applyFont="1" applyFill="1" applyBorder="1" applyAlignment="1"/>
    <xf numFmtId="0" fontId="8" fillId="3" borderId="0" xfId="0" applyFont="1" applyFill="1" applyBorder="1" applyAlignment="1"/>
    <xf numFmtId="0" fontId="9" fillId="0" borderId="0" xfId="0" applyFont="1" applyFill="1" applyBorder="1" applyAlignment="1"/>
    <xf numFmtId="0" fontId="9" fillId="3" borderId="8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2" fillId="0" borderId="0" xfId="6"/>
    <xf numFmtId="0" fontId="2" fillId="0" borderId="0" xfId="6" applyAlignment="1">
      <alignment horizontal="center"/>
    </xf>
    <xf numFmtId="0" fontId="2" fillId="0" borderId="0" xfId="6" applyAlignment="1">
      <alignment horizontal="right"/>
    </xf>
    <xf numFmtId="0" fontId="13" fillId="0" borderId="0" xfId="6" applyFont="1"/>
    <xf numFmtId="10" fontId="0" fillId="0" borderId="0" xfId="7" applyNumberFormat="1" applyFont="1"/>
    <xf numFmtId="169" fontId="2" fillId="0" borderId="0" xfId="6" applyNumberFormat="1"/>
    <xf numFmtId="166" fontId="0" fillId="0" borderId="0" xfId="8" applyNumberFormat="1" applyFont="1"/>
    <xf numFmtId="170" fontId="2" fillId="0" borderId="0" xfId="6" applyNumberFormat="1" applyAlignment="1">
      <alignment horizontal="center"/>
    </xf>
    <xf numFmtId="170" fontId="14" fillId="0" borderId="0" xfId="6" applyNumberFormat="1" applyFont="1" applyAlignment="1">
      <alignment horizontal="center"/>
    </xf>
    <xf numFmtId="9" fontId="2" fillId="0" borderId="0" xfId="6" applyNumberFormat="1"/>
    <xf numFmtId="166" fontId="2" fillId="0" borderId="0" xfId="6" applyNumberFormat="1"/>
    <xf numFmtId="8" fontId="2" fillId="0" borderId="0" xfId="6" applyNumberFormat="1"/>
    <xf numFmtId="171" fontId="14" fillId="0" borderId="11" xfId="6" applyNumberFormat="1" applyFont="1" applyBorder="1"/>
    <xf numFmtId="10" fontId="0" fillId="0" borderId="0" xfId="7" applyNumberFormat="1" applyFont="1" applyFill="1"/>
    <xf numFmtId="3" fontId="0" fillId="0" borderId="12" xfId="8" applyNumberFormat="1" applyFont="1" applyFill="1" applyBorder="1" applyAlignment="1">
      <alignment horizontal="center"/>
    </xf>
    <xf numFmtId="172" fontId="14" fillId="0" borderId="13" xfId="6" applyNumberFormat="1" applyFont="1" applyBorder="1"/>
    <xf numFmtId="9" fontId="0" fillId="0" borderId="0" xfId="7" applyFont="1" applyFill="1"/>
    <xf numFmtId="3" fontId="0" fillId="0" borderId="0" xfId="8" applyNumberFormat="1" applyFont="1" applyFill="1" applyAlignment="1">
      <alignment horizontal="center"/>
    </xf>
    <xf numFmtId="171" fontId="14" fillId="0" borderId="13" xfId="6" applyNumberFormat="1" applyFont="1" applyBorder="1"/>
    <xf numFmtId="8" fontId="2" fillId="0" borderId="0" xfId="6" applyNumberFormat="1" applyAlignment="1">
      <alignment horizontal="center"/>
    </xf>
    <xf numFmtId="8" fontId="0" fillId="0" borderId="0" xfId="8" applyNumberFormat="1" applyFont="1" applyFill="1" applyAlignment="1">
      <alignment horizontal="center"/>
    </xf>
    <xf numFmtId="38" fontId="0" fillId="0" borderId="0" xfId="8" applyNumberFormat="1" applyFont="1" applyFill="1" applyAlignment="1">
      <alignment horizontal="center"/>
    </xf>
    <xf numFmtId="8" fontId="14" fillId="0" borderId="14" xfId="6" applyNumberFormat="1" applyFont="1" applyBorder="1" applyAlignment="1">
      <alignment horizontal="center"/>
    </xf>
    <xf numFmtId="8" fontId="2" fillId="0" borderId="15" xfId="6" applyNumberFormat="1" applyBorder="1" applyAlignment="1">
      <alignment horizontal="center"/>
    </xf>
    <xf numFmtId="0" fontId="2" fillId="0" borderId="15" xfId="6" applyBorder="1" applyAlignment="1">
      <alignment horizontal="center"/>
    </xf>
    <xf numFmtId="8" fontId="15" fillId="0" borderId="0" xfId="6" applyNumberFormat="1" applyFont="1"/>
    <xf numFmtId="8" fontId="14" fillId="0" borderId="0" xfId="9" applyNumberFormat="1" applyFont="1"/>
    <xf numFmtId="8" fontId="0" fillId="0" borderId="0" xfId="9" applyNumberFormat="1" applyFont="1"/>
    <xf numFmtId="8" fontId="0" fillId="0" borderId="3" xfId="9" applyNumberFormat="1" applyFont="1" applyFill="1" applyBorder="1" applyAlignment="1">
      <alignment horizontal="right"/>
    </xf>
    <xf numFmtId="0" fontId="15" fillId="0" borderId="0" xfId="6" applyFont="1"/>
    <xf numFmtId="8" fontId="0" fillId="0" borderId="0" xfId="8" applyNumberFormat="1" applyFont="1"/>
    <xf numFmtId="8" fontId="16" fillId="0" borderId="0" xfId="8" applyNumberFormat="1" applyFont="1" applyBorder="1"/>
    <xf numFmtId="8" fontId="16" fillId="0" borderId="0" xfId="8" applyNumberFormat="1" applyFont="1" applyBorder="1" applyAlignment="1">
      <alignment horizontal="left" indent="2"/>
    </xf>
    <xf numFmtId="8" fontId="2" fillId="0" borderId="0" xfId="6" applyNumberFormat="1" applyFill="1"/>
    <xf numFmtId="0" fontId="14" fillId="0" borderId="0" xfId="6" applyFont="1" applyAlignment="1">
      <alignment horizontal="right"/>
    </xf>
    <xf numFmtId="44" fontId="2" fillId="0" borderId="0" xfId="6" applyNumberFormat="1" applyFill="1"/>
    <xf numFmtId="8" fontId="0" fillId="0" borderId="0" xfId="9" applyNumberFormat="1" applyFont="1" applyFill="1"/>
    <xf numFmtId="8" fontId="15" fillId="0" borderId="0" xfId="6" applyNumberFormat="1" applyFont="1" applyFill="1"/>
    <xf numFmtId="0" fontId="17" fillId="0" borderId="0" xfId="6" applyFont="1" applyAlignment="1">
      <alignment horizontal="right"/>
    </xf>
    <xf numFmtId="43" fontId="2" fillId="0" borderId="0" xfId="6" applyNumberFormat="1"/>
    <xf numFmtId="43" fontId="15" fillId="0" borderId="3" xfId="6" applyNumberFormat="1" applyFont="1" applyFill="1" applyBorder="1"/>
    <xf numFmtId="43" fontId="15" fillId="0" borderId="0" xfId="6" applyNumberFormat="1" applyFont="1" applyFill="1"/>
    <xf numFmtId="8" fontId="2" fillId="0" borderId="0" xfId="6" applyNumberFormat="1" applyBorder="1"/>
    <xf numFmtId="8" fontId="4" fillId="0" borderId="0" xfId="6" applyNumberFormat="1" applyFont="1" applyBorder="1"/>
    <xf numFmtId="8" fontId="14" fillId="0" borderId="0" xfId="6" applyNumberFormat="1" applyFont="1" applyBorder="1" applyAlignment="1">
      <alignment horizontal="right"/>
    </xf>
    <xf numFmtId="8" fontId="0" fillId="0" borderId="3" xfId="9" applyNumberFormat="1" applyFont="1" applyFill="1" applyBorder="1"/>
    <xf numFmtId="0" fontId="2" fillId="0" borderId="0" xfId="6" applyBorder="1"/>
    <xf numFmtId="0" fontId="4" fillId="0" borderId="0" xfId="6" applyFont="1" applyBorder="1"/>
    <xf numFmtId="43" fontId="0" fillId="0" borderId="0" xfId="8" applyFont="1" applyFill="1" applyBorder="1"/>
    <xf numFmtId="43" fontId="4" fillId="0" borderId="0" xfId="8" applyFont="1" applyFill="1" applyBorder="1"/>
    <xf numFmtId="8" fontId="15" fillId="0" borderId="0" xfId="6" applyNumberFormat="1" applyFont="1" applyBorder="1"/>
    <xf numFmtId="0" fontId="2" fillId="0" borderId="0" xfId="6" applyBorder="1" applyAlignment="1">
      <alignment horizontal="center"/>
    </xf>
    <xf numFmtId="8" fontId="17" fillId="0" borderId="0" xfId="6" applyNumberFormat="1" applyFont="1" applyBorder="1" applyAlignment="1">
      <alignment horizontal="right"/>
    </xf>
    <xf numFmtId="44" fontId="15" fillId="0" borderId="3" xfId="9" applyFont="1" applyFill="1" applyBorder="1"/>
    <xf numFmtId="44" fontId="15" fillId="0" borderId="0" xfId="9" applyFont="1" applyFill="1"/>
    <xf numFmtId="165" fontId="0" fillId="0" borderId="0" xfId="9" applyNumberFormat="1" applyFont="1" applyBorder="1"/>
    <xf numFmtId="165" fontId="0" fillId="0" borderId="0" xfId="9" applyNumberFormat="1" applyFont="1" applyBorder="1" applyAlignment="1">
      <alignment horizontal="center"/>
    </xf>
    <xf numFmtId="43" fontId="0" fillId="0" borderId="0" xfId="8" applyFont="1" applyBorder="1"/>
    <xf numFmtId="40" fontId="0" fillId="0" borderId="0" xfId="8" applyNumberFormat="1" applyFont="1" applyBorder="1"/>
    <xf numFmtId="14" fontId="14" fillId="0" borderId="0" xfId="6" applyNumberFormat="1" applyFont="1" applyBorder="1" applyAlignment="1">
      <alignment horizontal="center"/>
    </xf>
    <xf numFmtId="0" fontId="14" fillId="0" borderId="0" xfId="6" applyFont="1" applyBorder="1" applyAlignment="1">
      <alignment horizontal="center"/>
    </xf>
    <xf numFmtId="0" fontId="18" fillId="0" borderId="0" xfId="6" applyFont="1" applyAlignment="1">
      <alignment horizontal="center"/>
    </xf>
    <xf numFmtId="0" fontId="6" fillId="0" borderId="0" xfId="6" applyFont="1"/>
    <xf numFmtId="0" fontId="6" fillId="3" borderId="10" xfId="6" applyFont="1" applyFill="1" applyBorder="1"/>
    <xf numFmtId="0" fontId="6" fillId="3" borderId="3" xfId="6" applyFont="1" applyFill="1" applyBorder="1"/>
    <xf numFmtId="0" fontId="6" fillId="3" borderId="9" xfId="6" applyFont="1" applyFill="1" applyBorder="1"/>
    <xf numFmtId="0" fontId="6" fillId="3" borderId="8" xfId="6" applyFont="1" applyFill="1" applyBorder="1"/>
    <xf numFmtId="0" fontId="6" fillId="3" borderId="0" xfId="6" applyFont="1" applyFill="1" applyBorder="1"/>
    <xf numFmtId="0" fontId="11" fillId="3" borderId="0" xfId="6" applyFont="1" applyFill="1" applyBorder="1"/>
    <xf numFmtId="0" fontId="6" fillId="3" borderId="7" xfId="6" applyFont="1" applyFill="1" applyBorder="1"/>
    <xf numFmtId="0" fontId="6" fillId="3" borderId="0" xfId="6" applyFont="1" applyFill="1" applyBorder="1" applyAlignment="1">
      <alignment vertical="center"/>
    </xf>
    <xf numFmtId="165" fontId="8" fillId="3" borderId="0" xfId="9" applyNumberFormat="1" applyFont="1" applyFill="1" applyBorder="1" applyAlignment="1">
      <alignment vertical="center"/>
    </xf>
    <xf numFmtId="0" fontId="8" fillId="3" borderId="0" xfId="6" applyFont="1" applyFill="1" applyBorder="1" applyAlignment="1">
      <alignment vertical="center"/>
    </xf>
    <xf numFmtId="0" fontId="6" fillId="3" borderId="0" xfId="6" applyFont="1" applyFill="1" applyBorder="1" applyAlignment="1">
      <alignment horizontal="center" vertical="center"/>
    </xf>
    <xf numFmtId="165" fontId="6" fillId="3" borderId="0" xfId="9" applyNumberFormat="1" applyFont="1" applyFill="1" applyBorder="1" applyAlignment="1">
      <alignment vertical="center"/>
    </xf>
    <xf numFmtId="168" fontId="6" fillId="3" borderId="0" xfId="7" applyNumberFormat="1" applyFont="1" applyFill="1" applyBorder="1" applyAlignment="1">
      <alignment horizontal="center" vertical="center"/>
    </xf>
    <xf numFmtId="166" fontId="6" fillId="3" borderId="0" xfId="8" applyNumberFormat="1" applyFont="1" applyFill="1" applyBorder="1" applyAlignment="1">
      <alignment vertical="center"/>
    </xf>
    <xf numFmtId="173" fontId="6" fillId="3" borderId="0" xfId="8" applyNumberFormat="1" applyFont="1" applyFill="1" applyBorder="1" applyAlignment="1">
      <alignment vertical="center"/>
    </xf>
    <xf numFmtId="166" fontId="7" fillId="3" borderId="0" xfId="8" applyNumberFormat="1" applyFont="1" applyFill="1" applyBorder="1" applyAlignment="1">
      <alignment vertical="center"/>
    </xf>
    <xf numFmtId="168" fontId="19" fillId="3" borderId="0" xfId="7" applyNumberFormat="1" applyFont="1" applyFill="1" applyBorder="1" applyAlignment="1">
      <alignment horizontal="center" vertical="center"/>
    </xf>
    <xf numFmtId="0" fontId="6" fillId="3" borderId="0" xfId="6" applyFont="1" applyFill="1" applyBorder="1" applyAlignment="1">
      <alignment horizontal="left" vertical="center"/>
    </xf>
    <xf numFmtId="174" fontId="6" fillId="3" borderId="0" xfId="9" applyNumberFormat="1" applyFont="1" applyFill="1" applyBorder="1" applyAlignment="1">
      <alignment vertical="center"/>
    </xf>
    <xf numFmtId="0" fontId="6" fillId="3" borderId="0" xfId="6" applyFont="1" applyFill="1" applyBorder="1" applyAlignment="1">
      <alignment horizontal="center"/>
    </xf>
    <xf numFmtId="167" fontId="8" fillId="3" borderId="0" xfId="6" applyNumberFormat="1" applyFont="1" applyFill="1" applyBorder="1" applyAlignment="1">
      <alignment horizontal="center"/>
    </xf>
    <xf numFmtId="0" fontId="8" fillId="3" borderId="3" xfId="6" applyFont="1" applyFill="1" applyBorder="1" applyAlignment="1">
      <alignment horizontal="center"/>
    </xf>
    <xf numFmtId="0" fontId="8" fillId="3" borderId="0" xfId="6" applyFont="1" applyFill="1" applyBorder="1" applyAlignment="1">
      <alignment horizontal="center"/>
    </xf>
    <xf numFmtId="0" fontId="6" fillId="3" borderId="6" xfId="6" applyFont="1" applyFill="1" applyBorder="1"/>
    <xf numFmtId="0" fontId="6" fillId="3" borderId="5" xfId="6" applyFont="1" applyFill="1" applyBorder="1"/>
    <xf numFmtId="0" fontId="6" fillId="3" borderId="4" xfId="6" applyFont="1" applyFill="1" applyBorder="1"/>
    <xf numFmtId="0" fontId="8" fillId="3" borderId="3" xfId="6" applyFont="1" applyFill="1" applyBorder="1" applyAlignment="1">
      <alignment horizontal="center"/>
    </xf>
    <xf numFmtId="0" fontId="8" fillId="3" borderId="0" xfId="6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166" fontId="6" fillId="3" borderId="0" xfId="1" applyNumberFormat="1" applyFont="1" applyFill="1" applyBorder="1"/>
    <xf numFmtId="0" fontId="19" fillId="3" borderId="0" xfId="0" applyFont="1" applyFill="1" applyBorder="1" applyAlignment="1">
      <alignment horizontal="center"/>
    </xf>
    <xf numFmtId="0" fontId="19" fillId="3" borderId="0" xfId="0" applyFont="1" applyFill="1" applyBorder="1"/>
    <xf numFmtId="0" fontId="6" fillId="3" borderId="0" xfId="0" applyFont="1" applyFill="1" applyBorder="1" applyAlignment="1">
      <alignment vertical="center"/>
    </xf>
    <xf numFmtId="165" fontId="6" fillId="3" borderId="0" xfId="2" applyNumberFormat="1" applyFont="1" applyFill="1" applyBorder="1" applyAlignment="1">
      <alignment vertical="center"/>
    </xf>
    <xf numFmtId="166" fontId="6" fillId="3" borderId="0" xfId="1" applyNumberFormat="1" applyFont="1" applyFill="1" applyBorder="1" applyAlignment="1">
      <alignment vertical="center"/>
    </xf>
    <xf numFmtId="166" fontId="7" fillId="3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6" fontId="0" fillId="0" borderId="0" xfId="1" applyNumberFormat="1" applyFont="1" applyAlignment="1">
      <alignment vertical="center"/>
    </xf>
    <xf numFmtId="166" fontId="21" fillId="0" borderId="0" xfId="1" applyNumberFormat="1" applyFont="1" applyAlignment="1">
      <alignment vertical="center"/>
    </xf>
    <xf numFmtId="165" fontId="0" fillId="0" borderId="0" xfId="2" applyNumberFormat="1" applyFont="1" applyAlignment="1">
      <alignment vertical="center"/>
    </xf>
    <xf numFmtId="0" fontId="20" fillId="0" borderId="0" xfId="0" applyFont="1" applyAlignment="1">
      <alignment vertical="center"/>
    </xf>
    <xf numFmtId="165" fontId="20" fillId="0" borderId="0" xfId="2" applyNumberFormat="1" applyFont="1" applyAlignment="1">
      <alignment vertical="center"/>
    </xf>
    <xf numFmtId="165" fontId="0" fillId="0" borderId="0" xfId="0" applyNumberFormat="1"/>
    <xf numFmtId="165" fontId="20" fillId="0" borderId="0" xfId="0" applyNumberFormat="1" applyFont="1"/>
    <xf numFmtId="0" fontId="0" fillId="0" borderId="0" xfId="0" applyAlignment="1">
      <alignment horizontal="center"/>
    </xf>
    <xf numFmtId="167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1" fillId="0" borderId="0" xfId="6" applyFont="1"/>
    <xf numFmtId="0" fontId="1" fillId="0" borderId="3" xfId="6" applyFont="1" applyBorder="1"/>
    <xf numFmtId="166" fontId="20" fillId="0" borderId="0" xfId="8" applyNumberFormat="1" applyFont="1" applyAlignment="1">
      <alignment vertical="center"/>
    </xf>
    <xf numFmtId="0" fontId="20" fillId="0" borderId="0" xfId="6" applyFont="1" applyAlignment="1">
      <alignment vertical="center"/>
    </xf>
    <xf numFmtId="166" fontId="20" fillId="0" borderId="0" xfId="6" applyNumberFormat="1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Font="1" applyAlignment="1">
      <alignment horizontal="center"/>
    </xf>
    <xf numFmtId="166" fontId="21" fillId="0" borderId="0" xfId="8" applyNumberFormat="1" applyFont="1" applyFill="1" applyAlignment="1">
      <alignment vertical="center"/>
    </xf>
    <xf numFmtId="0" fontId="1" fillId="0" borderId="0" xfId="6" applyFont="1" applyFill="1" applyAlignment="1">
      <alignment vertical="center"/>
    </xf>
    <xf numFmtId="166" fontId="21" fillId="0" borderId="0" xfId="6" applyNumberFormat="1" applyFont="1" applyFill="1" applyAlignment="1">
      <alignment vertical="center"/>
    </xf>
    <xf numFmtId="166" fontId="21" fillId="0" borderId="0" xfId="8" applyNumberFormat="1" applyFont="1" applyAlignment="1">
      <alignment vertical="center"/>
    </xf>
    <xf numFmtId="166" fontId="1" fillId="0" borderId="0" xfId="8" applyNumberFormat="1" applyFont="1" applyFill="1" applyAlignment="1">
      <alignment vertical="center"/>
    </xf>
    <xf numFmtId="0" fontId="24" fillId="0" borderId="0" xfId="6" quotePrefix="1" applyFont="1" applyFill="1" applyAlignment="1">
      <alignment vertical="center"/>
    </xf>
    <xf numFmtId="166" fontId="1" fillId="0" borderId="0" xfId="6" applyNumberFormat="1" applyFont="1" applyFill="1" applyAlignment="1">
      <alignment vertical="center"/>
    </xf>
    <xf numFmtId="166" fontId="1" fillId="0" borderId="0" xfId="8" applyNumberFormat="1" applyFont="1" applyAlignment="1">
      <alignment vertical="center"/>
    </xf>
    <xf numFmtId="166" fontId="1" fillId="0" borderId="0" xfId="6" applyNumberFormat="1" applyFont="1"/>
    <xf numFmtId="166" fontId="20" fillId="0" borderId="0" xfId="8" applyNumberFormat="1" applyFont="1" applyFill="1" applyAlignment="1">
      <alignment vertical="center"/>
    </xf>
    <xf numFmtId="0" fontId="20" fillId="0" borderId="0" xfId="6" applyFont="1" applyFill="1" applyAlignment="1">
      <alignment vertical="center"/>
    </xf>
    <xf numFmtId="0" fontId="24" fillId="0" borderId="0" xfId="6" quotePrefix="1" applyFont="1" applyAlignment="1">
      <alignment vertical="center"/>
    </xf>
    <xf numFmtId="166" fontId="1" fillId="2" borderId="0" xfId="6" applyNumberFormat="1" applyFont="1" applyFill="1"/>
    <xf numFmtId="43" fontId="1" fillId="0" borderId="0" xfId="8" applyFont="1" applyAlignment="1">
      <alignment vertical="center"/>
    </xf>
    <xf numFmtId="0" fontId="20" fillId="0" borderId="3" xfId="6" applyFont="1" applyBorder="1" applyAlignment="1">
      <alignment vertical="center"/>
    </xf>
    <xf numFmtId="166" fontId="20" fillId="0" borderId="0" xfId="6" applyNumberFormat="1" applyFont="1" applyFill="1" applyAlignment="1">
      <alignment vertical="center"/>
    </xf>
    <xf numFmtId="43" fontId="1" fillId="0" borderId="0" xfId="6" applyNumberFormat="1" applyFont="1"/>
    <xf numFmtId="167" fontId="20" fillId="0" borderId="0" xfId="6" applyNumberFormat="1" applyFont="1" applyAlignment="1">
      <alignment horizontal="center"/>
    </xf>
    <xf numFmtId="0" fontId="20" fillId="0" borderId="3" xfId="6" applyFont="1" applyBorder="1" applyAlignment="1">
      <alignment horizontal="center"/>
    </xf>
    <xf numFmtId="0" fontId="20" fillId="0" borderId="0" xfId="6" applyFont="1" applyAlignment="1">
      <alignment horizontal="center"/>
    </xf>
    <xf numFmtId="10" fontId="1" fillId="0" borderId="0" xfId="6" applyNumberFormat="1" applyFont="1"/>
    <xf numFmtId="0" fontId="2" fillId="0" borderId="16" xfId="6" applyBorder="1"/>
    <xf numFmtId="0" fontId="2" fillId="0" borderId="8" xfId="6" applyBorder="1"/>
    <xf numFmtId="0" fontId="2" fillId="0" borderId="8" xfId="6" applyBorder="1" applyAlignment="1">
      <alignment horizontal="center"/>
    </xf>
    <xf numFmtId="165" fontId="2" fillId="0" borderId="16" xfId="6" applyNumberFormat="1" applyBorder="1"/>
    <xf numFmtId="165" fontId="0" fillId="0" borderId="16" xfId="9" applyNumberFormat="1" applyFont="1" applyBorder="1"/>
    <xf numFmtId="165" fontId="0" fillId="0" borderId="8" xfId="9" applyNumberFormat="1" applyFont="1" applyBorder="1"/>
    <xf numFmtId="0" fontId="2" fillId="0" borderId="16" xfId="6" applyBorder="1" applyAlignment="1">
      <alignment horizontal="center"/>
    </xf>
    <xf numFmtId="43" fontId="0" fillId="0" borderId="0" xfId="8" applyFont="1"/>
    <xf numFmtId="165" fontId="14" fillId="4" borderId="17" xfId="9" applyNumberFormat="1" applyFont="1" applyFill="1" applyBorder="1" applyAlignment="1">
      <alignment horizontal="center"/>
    </xf>
    <xf numFmtId="165" fontId="14" fillId="4" borderId="1" xfId="9" applyNumberFormat="1" applyFont="1" applyFill="1" applyBorder="1" applyAlignment="1">
      <alignment horizontal="center"/>
    </xf>
    <xf numFmtId="0" fontId="2" fillId="4" borderId="1" xfId="6" applyFill="1" applyBorder="1" applyAlignment="1">
      <alignment horizontal="center"/>
    </xf>
    <xf numFmtId="0" fontId="2" fillId="4" borderId="1" xfId="6" applyFill="1" applyBorder="1"/>
    <xf numFmtId="0" fontId="14" fillId="5" borderId="18" xfId="6" applyFont="1" applyFill="1" applyBorder="1"/>
    <xf numFmtId="165" fontId="0" fillId="6" borderId="8" xfId="9" applyNumberFormat="1" applyFont="1" applyFill="1" applyBorder="1" applyAlignment="1">
      <alignment horizontal="center"/>
    </xf>
    <xf numFmtId="165" fontId="0" fillId="6" borderId="16" xfId="9" applyNumberFormat="1" applyFont="1" applyFill="1" applyBorder="1" applyAlignment="1">
      <alignment horizontal="center"/>
    </xf>
    <xf numFmtId="0" fontId="25" fillId="0" borderId="0" xfId="6" applyFont="1"/>
    <xf numFmtId="165" fontId="2" fillId="7" borderId="16" xfId="6" applyNumberFormat="1" applyFill="1" applyBorder="1"/>
    <xf numFmtId="165" fontId="2" fillId="8" borderId="16" xfId="6" applyNumberFormat="1" applyFill="1" applyBorder="1"/>
    <xf numFmtId="165" fontId="0" fillId="9" borderId="8" xfId="9" applyNumberFormat="1" applyFont="1" applyFill="1" applyBorder="1" applyAlignment="1">
      <alignment horizontal="center"/>
    </xf>
    <xf numFmtId="0" fontId="2" fillId="9" borderId="8" xfId="6" applyFill="1" applyBorder="1" applyAlignment="1">
      <alignment horizontal="center"/>
    </xf>
    <xf numFmtId="0" fontId="2" fillId="9" borderId="0" xfId="6" applyFill="1"/>
    <xf numFmtId="0" fontId="25" fillId="0" borderId="0" xfId="6" applyFont="1" applyAlignment="1">
      <alignment horizontal="left"/>
    </xf>
    <xf numFmtId="43" fontId="5" fillId="10" borderId="19" xfId="8" applyFont="1" applyFill="1" applyBorder="1" applyAlignment="1">
      <alignment horizontal="center" vertical="center" wrapText="1"/>
    </xf>
    <xf numFmtId="43" fontId="5" fillId="11" borderId="16" xfId="8" applyFont="1" applyFill="1" applyBorder="1" applyAlignment="1">
      <alignment horizontal="center" vertical="center" wrapText="1"/>
    </xf>
    <xf numFmtId="43" fontId="5" fillId="8" borderId="8" xfId="8" applyFont="1" applyFill="1" applyBorder="1" applyAlignment="1">
      <alignment horizontal="center" vertical="center" wrapText="1"/>
    </xf>
    <xf numFmtId="43" fontId="27" fillId="12" borderId="8" xfId="8" applyFont="1" applyFill="1" applyBorder="1" applyAlignment="1">
      <alignment horizontal="center" vertical="center" wrapText="1"/>
    </xf>
    <xf numFmtId="43" fontId="27" fillId="12" borderId="20" xfId="8" applyFont="1" applyFill="1" applyBorder="1" applyAlignment="1">
      <alignment horizontal="center" vertical="center" wrapText="1"/>
    </xf>
    <xf numFmtId="43" fontId="5" fillId="12" borderId="10" xfId="8" applyFont="1" applyFill="1" applyBorder="1" applyAlignment="1">
      <alignment horizontal="center" vertical="center" wrapText="1"/>
    </xf>
    <xf numFmtId="43" fontId="5" fillId="12" borderId="20" xfId="8" applyFont="1" applyFill="1" applyBorder="1" applyAlignment="1">
      <alignment horizontal="center" vertical="center" wrapText="1"/>
    </xf>
    <xf numFmtId="0" fontId="5" fillId="12" borderId="20" xfId="10" applyFont="1" applyFill="1" applyBorder="1" applyAlignment="1">
      <alignment horizontal="center" vertical="center" wrapText="1"/>
    </xf>
    <xf numFmtId="0" fontId="5" fillId="12" borderId="20" xfId="6" applyFont="1" applyFill="1" applyBorder="1" applyAlignment="1">
      <alignment horizontal="center" vertical="center" wrapText="1"/>
    </xf>
    <xf numFmtId="0" fontId="14" fillId="11" borderId="20" xfId="6" applyFont="1" applyFill="1" applyBorder="1" applyAlignment="1">
      <alignment horizontal="center" vertical="center"/>
    </xf>
    <xf numFmtId="0" fontId="2" fillId="0" borderId="17" xfId="6" applyBorder="1"/>
    <xf numFmtId="165" fontId="14" fillId="9" borderId="19" xfId="9" applyNumberFormat="1" applyFont="1" applyFill="1" applyBorder="1"/>
    <xf numFmtId="165" fontId="14" fillId="7" borderId="17" xfId="9" applyNumberFormat="1" applyFont="1" applyFill="1" applyBorder="1"/>
    <xf numFmtId="165" fontId="2" fillId="13" borderId="17" xfId="6" applyNumberFormat="1" applyFill="1" applyBorder="1"/>
    <xf numFmtId="165" fontId="2" fillId="13" borderId="19" xfId="6" applyNumberFormat="1" applyFill="1" applyBorder="1"/>
    <xf numFmtId="165" fontId="14" fillId="13" borderId="17" xfId="9" applyNumberFormat="1" applyFont="1" applyFill="1" applyBorder="1"/>
    <xf numFmtId="0" fontId="2" fillId="13" borderId="17" xfId="6" applyFill="1" applyBorder="1" applyAlignment="1">
      <alignment horizontal="center"/>
    </xf>
    <xf numFmtId="0" fontId="2" fillId="13" borderId="1" xfId="6" applyFill="1" applyBorder="1"/>
    <xf numFmtId="0" fontId="14" fillId="13" borderId="18" xfId="6" applyFont="1" applyFill="1" applyBorder="1"/>
    <xf numFmtId="165" fontId="14" fillId="0" borderId="0" xfId="9" applyNumberFormat="1" applyFont="1" applyBorder="1"/>
    <xf numFmtId="165" fontId="14" fillId="0" borderId="8" xfId="9" applyNumberFormat="1" applyFont="1" applyBorder="1"/>
    <xf numFmtId="0" fontId="14" fillId="0" borderId="0" xfId="6" applyFont="1"/>
    <xf numFmtId="0" fontId="3" fillId="11" borderId="16" xfId="6" applyFont="1" applyFill="1" applyBorder="1" applyAlignment="1">
      <alignment horizontal="center"/>
    </xf>
    <xf numFmtId="9" fontId="0" fillId="11" borderId="16" xfId="7" applyFont="1" applyFill="1" applyBorder="1" applyAlignment="1">
      <alignment horizontal="center"/>
    </xf>
    <xf numFmtId="165" fontId="2" fillId="11" borderId="16" xfId="6" applyNumberFormat="1" applyFill="1" applyBorder="1"/>
    <xf numFmtId="165" fontId="2" fillId="9" borderId="8" xfId="6" applyNumberFormat="1" applyFill="1" applyBorder="1"/>
    <xf numFmtId="0" fontId="2" fillId="4" borderId="17" xfId="6" applyFill="1" applyBorder="1"/>
    <xf numFmtId="0" fontId="28" fillId="0" borderId="16" xfId="6" applyFont="1" applyBorder="1"/>
    <xf numFmtId="0" fontId="28" fillId="0" borderId="16" xfId="6" applyFont="1" applyBorder="1" applyAlignment="1">
      <alignment horizontal="center"/>
    </xf>
    <xf numFmtId="165" fontId="0" fillId="0" borderId="0" xfId="9" applyNumberFormat="1" applyFont="1"/>
    <xf numFmtId="165" fontId="0" fillId="9" borderId="16" xfId="9" applyNumberFormat="1" applyFont="1" applyFill="1" applyBorder="1" applyAlignment="1">
      <alignment horizontal="center"/>
    </xf>
    <xf numFmtId="0" fontId="2" fillId="9" borderId="16" xfId="6" applyFill="1" applyBorder="1" applyAlignment="1">
      <alignment horizontal="center"/>
    </xf>
    <xf numFmtId="0" fontId="2" fillId="9" borderId="16" xfId="6" applyFill="1" applyBorder="1"/>
    <xf numFmtId="0" fontId="2" fillId="14" borderId="8" xfId="6" applyFill="1" applyBorder="1" applyAlignment="1">
      <alignment horizontal="center"/>
    </xf>
    <xf numFmtId="43" fontId="5" fillId="15" borderId="19" xfId="8" applyFont="1" applyFill="1" applyBorder="1" applyAlignment="1">
      <alignment horizontal="center" vertical="center" wrapText="1"/>
    </xf>
    <xf numFmtId="0" fontId="5" fillId="15" borderId="19" xfId="10" applyFont="1" applyFill="1" applyBorder="1" applyAlignment="1">
      <alignment horizontal="center" vertical="center" wrapText="1"/>
    </xf>
    <xf numFmtId="43" fontId="5" fillId="15" borderId="17" xfId="8" applyFont="1" applyFill="1" applyBorder="1" applyAlignment="1">
      <alignment horizontal="center" vertical="center" wrapText="1"/>
    </xf>
    <xf numFmtId="43" fontId="5" fillId="12" borderId="19" xfId="8" applyFont="1" applyFill="1" applyBorder="1" applyAlignment="1">
      <alignment horizontal="center" vertical="center" wrapText="1"/>
    </xf>
    <xf numFmtId="0" fontId="5" fillId="12" borderId="19" xfId="10" applyFont="1" applyFill="1" applyBorder="1" applyAlignment="1">
      <alignment horizontal="center" vertical="center" wrapText="1"/>
    </xf>
    <xf numFmtId="0" fontId="5" fillId="12" borderId="19" xfId="6" applyFont="1" applyFill="1" applyBorder="1" applyAlignment="1">
      <alignment horizontal="center" vertical="center" wrapText="1"/>
    </xf>
    <xf numFmtId="0" fontId="14" fillId="11" borderId="19" xfId="6" applyFont="1" applyFill="1" applyBorder="1" applyAlignment="1">
      <alignment horizontal="center" vertical="center"/>
    </xf>
    <xf numFmtId="0" fontId="2" fillId="13" borderId="17" xfId="6" applyFill="1" applyBorder="1"/>
    <xf numFmtId="0" fontId="2" fillId="13" borderId="1" xfId="6" applyFill="1" applyBorder="1" applyAlignment="1">
      <alignment horizontal="center"/>
    </xf>
    <xf numFmtId="165" fontId="14" fillId="13" borderId="1" xfId="9" applyNumberFormat="1" applyFont="1" applyFill="1" applyBorder="1" applyAlignment="1">
      <alignment horizontal="center"/>
    </xf>
    <xf numFmtId="0" fontId="29" fillId="13" borderId="1" xfId="6" applyFont="1" applyFill="1" applyBorder="1" applyAlignment="1">
      <alignment horizontal="center"/>
    </xf>
    <xf numFmtId="0" fontId="30" fillId="13" borderId="1" xfId="6" applyFont="1" applyFill="1" applyBorder="1" applyAlignment="1">
      <alignment horizontal="center"/>
    </xf>
    <xf numFmtId="165" fontId="14" fillId="0" borderId="0" xfId="6" applyNumberFormat="1" applyFont="1"/>
    <xf numFmtId="0" fontId="29" fillId="0" borderId="0" xfId="6" applyFont="1"/>
    <xf numFmtId="165" fontId="29" fillId="0" borderId="0" xfId="6" applyNumberFormat="1" applyFont="1"/>
    <xf numFmtId="166" fontId="2" fillId="0" borderId="0" xfId="1" applyNumberFormat="1" applyFont="1"/>
    <xf numFmtId="176" fontId="1" fillId="0" borderId="0" xfId="6" applyNumberFormat="1" applyFont="1"/>
    <xf numFmtId="0" fontId="10" fillId="0" borderId="0" xfId="0" applyFont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8" fillId="3" borderId="0" xfId="0" quotePrefix="1" applyFont="1" applyFill="1" applyBorder="1" applyAlignment="1">
      <alignment horizontal="center"/>
    </xf>
    <xf numFmtId="0" fontId="11" fillId="3" borderId="0" xfId="0" applyFont="1" applyFill="1" applyBorder="1" applyAlignment="1">
      <alignment horizontal="left" vertical="top"/>
    </xf>
    <xf numFmtId="0" fontId="11" fillId="3" borderId="3" xfId="0" applyFont="1" applyFill="1" applyBorder="1" applyAlignment="1">
      <alignment horizontal="left" vertical="top"/>
    </xf>
    <xf numFmtId="0" fontId="8" fillId="3" borderId="3" xfId="6" applyFont="1" applyFill="1" applyBorder="1" applyAlignment="1">
      <alignment horizontal="center"/>
    </xf>
    <xf numFmtId="0" fontId="8" fillId="3" borderId="0" xfId="6" applyFont="1" applyFill="1" applyBorder="1" applyAlignment="1">
      <alignment horizontal="center"/>
    </xf>
    <xf numFmtId="175" fontId="8" fillId="3" borderId="3" xfId="8" applyNumberFormat="1" applyFont="1" applyFill="1" applyBorder="1" applyAlignment="1">
      <alignment horizontal="center"/>
    </xf>
    <xf numFmtId="0" fontId="9" fillId="3" borderId="0" xfId="6" applyFont="1" applyFill="1" applyBorder="1" applyAlignment="1">
      <alignment horizontal="center"/>
    </xf>
    <xf numFmtId="0" fontId="20" fillId="0" borderId="3" xfId="6" applyFont="1" applyBorder="1" applyAlignment="1">
      <alignment horizontal="center"/>
    </xf>
    <xf numFmtId="0" fontId="22" fillId="0" borderId="0" xfId="6" applyFont="1" applyAlignment="1">
      <alignment horizontal="center"/>
    </xf>
    <xf numFmtId="0" fontId="23" fillId="0" borderId="0" xfId="6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1">
    <cellStyle name="Comma" xfId="1" builtinId="3"/>
    <cellStyle name="Comma 2" xfId="8"/>
    <cellStyle name="Currency" xfId="2" builtinId="4"/>
    <cellStyle name="Currency 2" xfId="9"/>
    <cellStyle name="Normal" xfId="0" builtinId="0"/>
    <cellStyle name="Normal 2" xfId="6"/>
    <cellStyle name="Normal 2 11" xfId="10"/>
    <cellStyle name="Normal 94" xfId="4"/>
    <cellStyle name="Percent" xfId="3" builtinId="5"/>
    <cellStyle name="Percent 2" xfId="7"/>
    <cellStyle name="Percent 49" xfId="5"/>
  </cellStyles>
  <dxfs count="4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achary.Harris\Washington\2024%20MYRP\UTC%20Fees%20and%20COVID%2019\Cascade%20WA%20COSA%202024_DRAFT_03_25_Delivered%20for%20UTC%20and%20COVID%20Allo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General Inputs"/>
      <sheetName val="Input-Func_Class"/>
      <sheetName val="Input-Ext Allocators"/>
      <sheetName val="Input-Accounts"/>
      <sheetName val="Functionalization"/>
      <sheetName val="Classification"/>
      <sheetName val="GasSupply_Dem"/>
      <sheetName val="GasSupply_Comm"/>
      <sheetName val="Trans_Dem"/>
      <sheetName val="Trans_Comm"/>
      <sheetName val="Dist_Dem"/>
      <sheetName val="Dist_Comm"/>
      <sheetName val="Dist_Cust"/>
      <sheetName val="Template"/>
      <sheetName val="DemandTotal"/>
      <sheetName val="CommodityTotal"/>
      <sheetName val="CustomerTotal"/>
      <sheetName val="GrandTotal"/>
      <sheetName val="Summary"/>
      <sheetName val="Rate Spread"/>
      <sheetName val="Internal Alloc"/>
      <sheetName val="UnitCost"/>
      <sheetName val="Tables for Testimony"/>
      <sheetName val="ErrorCheck"/>
      <sheetName val="Required Sheets"/>
      <sheetName val="Macros"/>
      <sheetName val="Change Log"/>
    </sheetNames>
    <sheetDataSet>
      <sheetData sheetId="0"/>
      <sheetData sheetId="1">
        <row r="17">
          <cell r="D17" t="str">
            <v>Res
503</v>
          </cell>
        </row>
        <row r="19">
          <cell r="D19">
            <v>7.8940000164946539E-2</v>
          </cell>
        </row>
        <row r="32">
          <cell r="D32">
            <v>1</v>
          </cell>
        </row>
      </sheetData>
      <sheetData sheetId="2">
        <row r="9">
          <cell r="B9" t="str">
            <v>GAS SUPPLY</v>
          </cell>
        </row>
        <row r="10">
          <cell r="B10" t="str">
            <v>STORAGE</v>
          </cell>
        </row>
        <row r="11">
          <cell r="B11" t="str">
            <v>TRANSMISSION</v>
          </cell>
        </row>
        <row r="12">
          <cell r="B12" t="str">
            <v>DISTRIBUTION</v>
          </cell>
        </row>
        <row r="13">
          <cell r="B13" t="str">
            <v>FUNCTION 5</v>
          </cell>
        </row>
        <row r="14">
          <cell r="B14" t="str">
            <v>FUNCTION 6</v>
          </cell>
        </row>
        <row r="15">
          <cell r="B15" t="str">
            <v>FUNCTION 7</v>
          </cell>
        </row>
        <row r="16">
          <cell r="B16" t="str">
            <v>FUNCTION 8</v>
          </cell>
        </row>
        <row r="17">
          <cell r="B17" t="str">
            <v>FUNCTION 9</v>
          </cell>
        </row>
        <row r="18">
          <cell r="B18" t="str">
            <v>FUNCTION 10</v>
          </cell>
        </row>
        <row r="19">
          <cell r="B19" t="str">
            <v>FUNCTION 11</v>
          </cell>
        </row>
        <row r="20">
          <cell r="B20" t="str">
            <v>FUNCTION 12</v>
          </cell>
        </row>
        <row r="23">
          <cell r="B23" t="str">
            <v>DEMAND</v>
          </cell>
        </row>
        <row r="24">
          <cell r="B24" t="str">
            <v>COMMODITY</v>
          </cell>
        </row>
        <row r="25">
          <cell r="B25" t="str">
            <v>CUSTOMER</v>
          </cell>
        </row>
        <row r="26">
          <cell r="B26" t="str">
            <v>PEAK_AVG</v>
          </cell>
        </row>
        <row r="27">
          <cell r="B27" t="str">
            <v>ACCT_813</v>
          </cell>
        </row>
        <row r="28">
          <cell r="B28"/>
        </row>
      </sheetData>
      <sheetData sheetId="3">
        <row r="8">
          <cell r="B8"/>
        </row>
        <row r="9">
          <cell r="B9" t="str">
            <v>*DEMAND ALLOCATION FACTORS</v>
          </cell>
        </row>
        <row r="10">
          <cell r="B10" t="str">
            <v>DESIGN_DAY</v>
          </cell>
        </row>
        <row r="11">
          <cell r="B11" t="str">
            <v>DesignDay_ST&gt;6"</v>
          </cell>
        </row>
        <row r="12">
          <cell r="B12" t="str">
            <v>DesignDay_ST&gt;4-6"</v>
          </cell>
        </row>
        <row r="13">
          <cell r="B13" t="str">
            <v>DesignDay_ST2-4"</v>
          </cell>
        </row>
        <row r="14">
          <cell r="B14" t="str">
            <v>DesignDay_ST&lt;=2"</v>
          </cell>
        </row>
        <row r="15">
          <cell r="B15" t="str">
            <v>DesignDay_PL6"</v>
          </cell>
        </row>
        <row r="16">
          <cell r="B16" t="str">
            <v>DesignDay_PL4"</v>
          </cell>
        </row>
        <row r="17">
          <cell r="B17" t="str">
            <v>DesignDay_PL&lt;=2"</v>
          </cell>
        </row>
        <row r="18">
          <cell r="B18" t="str">
            <v>DesignDay_xSPL</v>
          </cell>
        </row>
        <row r="19">
          <cell r="B19" t="str">
            <v>Peak&amp;Average</v>
          </cell>
        </row>
        <row r="20">
          <cell r="B20" t="str">
            <v>Peak&amp;Avg_ST&gt;6"</v>
          </cell>
        </row>
        <row r="21">
          <cell r="B21" t="str">
            <v>Peak&amp;Avg_ST&gt;4-6"</v>
          </cell>
        </row>
        <row r="22">
          <cell r="B22" t="str">
            <v>Peak&amp;Avg_ST2-4"</v>
          </cell>
        </row>
        <row r="23">
          <cell r="B23" t="str">
            <v>Peak&amp;Avg_ST&lt;=2"</v>
          </cell>
        </row>
        <row r="24">
          <cell r="B24" t="str">
            <v>Peak&amp;Avg_PL6"</v>
          </cell>
        </row>
        <row r="25">
          <cell r="B25" t="str">
            <v>Peak&amp;Avg_PL4"</v>
          </cell>
        </row>
        <row r="26">
          <cell r="B26" t="str">
            <v>Peak&amp;Avg_PL&lt;=2"</v>
          </cell>
        </row>
        <row r="27">
          <cell r="B27" t="str">
            <v>Peak&amp;Avg_xSPL</v>
          </cell>
        </row>
        <row r="28">
          <cell r="B28" t="str">
            <v>*CUSTOMER ALLOCATORS</v>
          </cell>
        </row>
        <row r="29">
          <cell r="B29" t="str">
            <v>CUSTOMERS</v>
          </cell>
        </row>
        <row r="30">
          <cell r="B30" t="str">
            <v>Large_CUST</v>
          </cell>
        </row>
        <row r="31">
          <cell r="B31" t="str">
            <v>METERS</v>
          </cell>
        </row>
        <row r="32">
          <cell r="B32" t="str">
            <v>REGULATORS</v>
          </cell>
        </row>
        <row r="33">
          <cell r="B33" t="str">
            <v>SERVICES</v>
          </cell>
        </row>
        <row r="34">
          <cell r="B34" t="str">
            <v>ACCT_385</v>
          </cell>
        </row>
        <row r="35">
          <cell r="B35" t="str">
            <v>Write-offs</v>
          </cell>
        </row>
        <row r="36">
          <cell r="B36" t="str">
            <v>METER_READ</v>
          </cell>
        </row>
        <row r="37">
          <cell r="B37" t="str">
            <v>ACCT_813_DEM</v>
          </cell>
        </row>
        <row r="38">
          <cell r="B38" t="str">
            <v>ACCT_813_COMM</v>
          </cell>
        </row>
        <row r="39">
          <cell r="B39" t="str">
            <v>ACCT_871</v>
          </cell>
        </row>
        <row r="40">
          <cell r="B40" t="str">
            <v>*COMMODITY and REVENUE ALLOCATORS</v>
          </cell>
        </row>
        <row r="41">
          <cell r="B41" t="str">
            <v>Thruput</v>
          </cell>
        </row>
        <row r="42">
          <cell r="B42" t="str">
            <v>Thruput_ST&gt;6"</v>
          </cell>
        </row>
        <row r="43">
          <cell r="B43" t="str">
            <v>Thruput_ST&gt;4-6"</v>
          </cell>
        </row>
        <row r="44">
          <cell r="B44" t="str">
            <v>Thruput_ST2-4"</v>
          </cell>
        </row>
        <row r="45">
          <cell r="B45" t="str">
            <v>Thruput_ST&lt;=2"</v>
          </cell>
        </row>
        <row r="46">
          <cell r="B46" t="str">
            <v>Thruput_PL6"</v>
          </cell>
        </row>
        <row r="47">
          <cell r="B47" t="str">
            <v>Thruput_PL4"</v>
          </cell>
        </row>
        <row r="48">
          <cell r="B48" t="str">
            <v>Thruput_PL&lt;=2"</v>
          </cell>
        </row>
        <row r="49">
          <cell r="B49" t="str">
            <v>Thruput_xSPL</v>
          </cell>
        </row>
        <row r="50">
          <cell r="B50" t="str">
            <v>REVENUE</v>
          </cell>
        </row>
        <row r="51">
          <cell r="B51" t="str">
            <v>SALES_MARGIN</v>
          </cell>
        </row>
        <row r="52">
          <cell r="B52" t="str">
            <v>TRANSPORT_MARGIN</v>
          </cell>
        </row>
        <row r="53">
          <cell r="B53" t="str">
            <v>SALES_Non-Margin</v>
          </cell>
        </row>
        <row r="54">
          <cell r="B54" t="str">
            <v>TRANSPORT_Non-Margin</v>
          </cell>
        </row>
        <row r="55">
          <cell r="B55" t="str">
            <v>*Direct Assignments</v>
          </cell>
        </row>
        <row r="56">
          <cell r="B56" t="str">
            <v>MAINS-DIRECT</v>
          </cell>
        </row>
        <row r="57">
          <cell r="B57" t="str">
            <v>SERVICE-DIRECT</v>
          </cell>
        </row>
        <row r="58">
          <cell r="B58"/>
        </row>
        <row r="59">
          <cell r="B59"/>
        </row>
        <row r="60">
          <cell r="B60"/>
        </row>
        <row r="61">
          <cell r="B61"/>
        </row>
        <row r="62">
          <cell r="B62"/>
        </row>
        <row r="63">
          <cell r="B63"/>
        </row>
      </sheetData>
      <sheetData sheetId="4">
        <row r="153">
          <cell r="A153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4">
          <cell r="G24" t="str">
            <v>GasSupply_Dem</v>
          </cell>
          <cell r="H24" t="str">
            <v>GasSupply_Comm</v>
          </cell>
          <cell r="I24" t="str">
            <v>Dist_Cust</v>
          </cell>
        </row>
        <row r="25">
          <cell r="G25" t="str">
            <v>Trans_Dem</v>
          </cell>
          <cell r="H25" t="str">
            <v>Trans_Comm</v>
          </cell>
          <cell r="I25" t="str">
            <v/>
          </cell>
        </row>
        <row r="26">
          <cell r="G26" t="str">
            <v>Dist_Dem</v>
          </cell>
          <cell r="H26" t="str">
            <v>Dist_Comm</v>
          </cell>
          <cell r="I26" t="str">
            <v/>
          </cell>
        </row>
        <row r="27">
          <cell r="G27" t="str">
            <v/>
          </cell>
          <cell r="H27" t="str">
            <v/>
          </cell>
          <cell r="I27" t="str">
            <v/>
          </cell>
        </row>
        <row r="28">
          <cell r="G28" t="str">
            <v/>
          </cell>
          <cell r="H28" t="str">
            <v/>
          </cell>
          <cell r="I28" t="str">
            <v/>
          </cell>
        </row>
        <row r="29">
          <cell r="G29" t="str">
            <v/>
          </cell>
          <cell r="H29" t="str">
            <v/>
          </cell>
          <cell r="I29" t="str">
            <v/>
          </cell>
        </row>
        <row r="30">
          <cell r="G30" t="str">
            <v/>
          </cell>
          <cell r="H30" t="str">
            <v/>
          </cell>
          <cell r="I30" t="str">
            <v/>
          </cell>
        </row>
        <row r="31">
          <cell r="G31" t="str">
            <v/>
          </cell>
          <cell r="H31" t="str">
            <v/>
          </cell>
          <cell r="I31" t="str">
            <v/>
          </cell>
        </row>
        <row r="32">
          <cell r="G32" t="str">
            <v/>
          </cell>
          <cell r="H32" t="str">
            <v/>
          </cell>
          <cell r="I32" t="str">
            <v/>
          </cell>
        </row>
        <row r="33">
          <cell r="G33" t="str">
            <v/>
          </cell>
          <cell r="H33" t="str">
            <v/>
          </cell>
          <cell r="I33" t="str">
            <v/>
          </cell>
        </row>
        <row r="34">
          <cell r="G34" t="str">
            <v/>
          </cell>
          <cell r="H34" t="str">
            <v/>
          </cell>
          <cell r="I34" t="str">
            <v/>
          </cell>
        </row>
        <row r="35">
          <cell r="G35" t="str">
            <v/>
          </cell>
          <cell r="H35" t="str">
            <v/>
          </cell>
          <cell r="I35" t="str">
            <v/>
          </cell>
        </row>
      </sheetData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T18"/>
  <sheetViews>
    <sheetView tabSelected="1" zoomScaleNormal="100" workbookViewId="0">
      <selection activeCell="A2" sqref="A2"/>
    </sheetView>
  </sheetViews>
  <sheetFormatPr defaultColWidth="8.625" defaultRowHeight="15" x14ac:dyDescent="0.25"/>
  <cols>
    <col min="1" max="1" width="8.625" style="11"/>
    <col min="2" max="2" width="1.625" style="11" customWidth="1"/>
    <col min="3" max="3" width="4.375" style="11" customWidth="1"/>
    <col min="4" max="4" width="1.625" style="11" customWidth="1"/>
    <col min="5" max="5" width="7.75" style="11" customWidth="1"/>
    <col min="6" max="6" width="4.625" style="11" customWidth="1"/>
    <col min="7" max="7" width="1.625" style="11" customWidth="1"/>
    <col min="8" max="8" width="2.5" style="11" customWidth="1"/>
    <col min="9" max="9" width="11.5" style="11" customWidth="1"/>
    <col min="10" max="10" width="2.5" style="11" customWidth="1"/>
    <col min="11" max="11" width="1.625" style="11" customWidth="1"/>
    <col min="12" max="12" width="2.5" style="11" customWidth="1"/>
    <col min="13" max="13" width="11.5" style="11" customWidth="1"/>
    <col min="14" max="14" width="2.5" style="11" customWidth="1"/>
    <col min="15" max="15" width="1.625" style="11" customWidth="1"/>
    <col min="16" max="16" width="2.5" style="11" customWidth="1"/>
    <col min="17" max="17" width="11.5" style="11" customWidth="1"/>
    <col min="18" max="18" width="2.5" style="11" customWidth="1"/>
    <col min="19" max="19" width="1.625" style="11" customWidth="1"/>
    <col min="20" max="16384" width="8.625" style="11"/>
  </cols>
  <sheetData>
    <row r="1" spans="1:20" ht="18.75" x14ac:dyDescent="0.3">
      <c r="A1" s="267" t="s">
        <v>32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</row>
    <row r="4" spans="1:20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20" x14ac:dyDescent="0.25">
      <c r="B5" s="15"/>
      <c r="C5" s="268" t="s">
        <v>5</v>
      </c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17"/>
    </row>
    <row r="6" spans="1:20" x14ac:dyDescent="0.25">
      <c r="B6" s="15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7"/>
    </row>
    <row r="7" spans="1:20" x14ac:dyDescent="0.25">
      <c r="B7" s="15"/>
      <c r="C7" s="270" t="s">
        <v>102</v>
      </c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17"/>
    </row>
    <row r="8" spans="1:20" x14ac:dyDescent="0.25">
      <c r="B8" s="15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7"/>
    </row>
    <row r="9" spans="1:20" x14ac:dyDescent="0.25">
      <c r="B9" s="15"/>
      <c r="C9" s="18"/>
      <c r="D9" s="18"/>
      <c r="E9" s="18"/>
      <c r="F9" s="18"/>
      <c r="G9" s="18"/>
      <c r="H9" s="268" t="s">
        <v>28</v>
      </c>
      <c r="I9" s="268"/>
      <c r="J9" s="268"/>
      <c r="K9" s="20"/>
      <c r="L9" s="268"/>
      <c r="M9" s="268"/>
      <c r="N9" s="268"/>
      <c r="O9" s="20"/>
      <c r="P9" s="268" t="s">
        <v>29</v>
      </c>
      <c r="Q9" s="268"/>
      <c r="R9" s="268"/>
      <c r="S9" s="17"/>
    </row>
    <row r="10" spans="1:20" x14ac:dyDescent="0.25">
      <c r="B10" s="15"/>
      <c r="C10" s="18"/>
      <c r="D10" s="18"/>
      <c r="E10" s="18"/>
      <c r="F10" s="18"/>
      <c r="G10" s="18"/>
      <c r="H10" s="268" t="s">
        <v>27</v>
      </c>
      <c r="I10" s="268"/>
      <c r="J10" s="268"/>
      <c r="K10" s="20"/>
      <c r="L10" s="268"/>
      <c r="M10" s="268"/>
      <c r="N10" s="268"/>
      <c r="O10" s="20"/>
      <c r="P10" s="268" t="s">
        <v>27</v>
      </c>
      <c r="Q10" s="268"/>
      <c r="R10" s="268"/>
      <c r="S10" s="17"/>
    </row>
    <row r="11" spans="1:20" x14ac:dyDescent="0.25">
      <c r="B11" s="15"/>
      <c r="C11" s="144" t="s">
        <v>6</v>
      </c>
      <c r="D11" s="18"/>
      <c r="E11" s="269" t="s">
        <v>7</v>
      </c>
      <c r="F11" s="269"/>
      <c r="G11" s="18"/>
      <c r="H11" s="269" t="s">
        <v>14</v>
      </c>
      <c r="I11" s="269"/>
      <c r="J11" s="269"/>
      <c r="K11" s="20"/>
      <c r="L11" s="269" t="s">
        <v>17</v>
      </c>
      <c r="M11" s="269"/>
      <c r="N11" s="269"/>
      <c r="O11" s="20"/>
      <c r="P11" s="269" t="s">
        <v>14</v>
      </c>
      <c r="Q11" s="269"/>
      <c r="R11" s="269"/>
      <c r="S11" s="17"/>
    </row>
    <row r="12" spans="1:20" x14ac:dyDescent="0.25">
      <c r="B12" s="15"/>
      <c r="C12" s="18"/>
      <c r="D12" s="18"/>
      <c r="E12" s="18"/>
      <c r="F12" s="18"/>
      <c r="G12" s="18"/>
      <c r="H12" s="18"/>
      <c r="I12" s="22">
        <v>-1</v>
      </c>
      <c r="J12" s="146"/>
      <c r="K12" s="18"/>
      <c r="L12" s="18"/>
      <c r="M12" s="22">
        <v>-2</v>
      </c>
      <c r="N12" s="146"/>
      <c r="O12" s="18"/>
      <c r="P12" s="18"/>
      <c r="Q12" s="22">
        <v>-3</v>
      </c>
      <c r="R12" s="146"/>
      <c r="S12" s="17"/>
    </row>
    <row r="13" spans="1:20" x14ac:dyDescent="0.25">
      <c r="B13" s="15"/>
      <c r="C13" s="18"/>
      <c r="D13" s="18"/>
      <c r="E13" s="18"/>
      <c r="F13" s="18"/>
      <c r="G13" s="18"/>
      <c r="H13" s="18"/>
      <c r="I13" s="147"/>
      <c r="J13" s="147"/>
      <c r="K13" s="18"/>
      <c r="L13" s="18"/>
      <c r="M13" s="147"/>
      <c r="N13" s="147"/>
      <c r="O13" s="18"/>
      <c r="P13" s="18"/>
      <c r="Q13" s="147"/>
      <c r="R13" s="147"/>
      <c r="S13" s="17"/>
    </row>
    <row r="14" spans="1:20" x14ac:dyDescent="0.25">
      <c r="B14" s="15"/>
      <c r="C14" s="23">
        <v>1</v>
      </c>
      <c r="D14" s="18"/>
      <c r="E14" s="148" t="s">
        <v>30</v>
      </c>
      <c r="F14" s="148"/>
      <c r="G14" s="18"/>
      <c r="H14" s="148"/>
      <c r="I14" s="149">
        <v>43829673</v>
      </c>
      <c r="J14" s="150"/>
      <c r="K14" s="18"/>
      <c r="L14" s="148"/>
      <c r="M14" s="149">
        <f>'Table 2'!Q29*1000</f>
        <v>-15529344.803328114</v>
      </c>
      <c r="N14" s="150"/>
      <c r="O14" s="18"/>
      <c r="P14" s="148"/>
      <c r="Q14" s="149">
        <f>I14+M14</f>
        <v>28300328.196671888</v>
      </c>
      <c r="R14" s="150"/>
      <c r="S14" s="17"/>
    </row>
    <row r="15" spans="1:20" x14ac:dyDescent="0.25">
      <c r="B15" s="15"/>
      <c r="C15" s="23">
        <v>2</v>
      </c>
      <c r="D15" s="18"/>
      <c r="E15" s="148" t="s">
        <v>31</v>
      </c>
      <c r="F15" s="148"/>
      <c r="G15" s="18"/>
      <c r="H15" s="148"/>
      <c r="I15" s="150">
        <v>4167572.17</v>
      </c>
      <c r="J15" s="150"/>
      <c r="K15" s="18"/>
      <c r="L15" s="148"/>
      <c r="M15" s="150">
        <f>'Table 5'!N23</f>
        <v>-3631077.7378097526</v>
      </c>
      <c r="N15" s="150"/>
      <c r="O15" s="18"/>
      <c r="P15" s="148"/>
      <c r="Q15" s="150">
        <f>I15+M15</f>
        <v>536494.43219024735</v>
      </c>
      <c r="R15" s="150"/>
      <c r="S15" s="17"/>
    </row>
    <row r="16" spans="1:20" ht="17.25" x14ac:dyDescent="0.25">
      <c r="B16" s="15"/>
      <c r="C16" s="23">
        <v>3</v>
      </c>
      <c r="D16" s="18"/>
      <c r="E16" s="148" t="s">
        <v>26</v>
      </c>
      <c r="F16" s="148"/>
      <c r="G16" s="18"/>
      <c r="H16" s="148"/>
      <c r="I16" s="151">
        <v>867005.48</v>
      </c>
      <c r="J16" s="151"/>
      <c r="K16" s="18"/>
      <c r="L16" s="148"/>
      <c r="M16" s="151">
        <v>0</v>
      </c>
      <c r="N16" s="151"/>
      <c r="O16" s="18"/>
      <c r="P16" s="148"/>
      <c r="Q16" s="151">
        <f>I16+M16</f>
        <v>867005.48</v>
      </c>
      <c r="R16" s="151"/>
      <c r="S16" s="17"/>
    </row>
    <row r="17" spans="2:19" x14ac:dyDescent="0.25">
      <c r="B17" s="15"/>
      <c r="C17" s="23">
        <v>4</v>
      </c>
      <c r="D17" s="18"/>
      <c r="E17" s="148" t="s">
        <v>10</v>
      </c>
      <c r="F17" s="148"/>
      <c r="G17" s="18"/>
      <c r="H17" s="148"/>
      <c r="I17" s="149">
        <f>SUM(I14:I16)</f>
        <v>48864250.649999999</v>
      </c>
      <c r="J17" s="150"/>
      <c r="K17" s="18"/>
      <c r="L17" s="148"/>
      <c r="M17" s="149">
        <f>SUM(M14:M16)</f>
        <v>-19160422.541137867</v>
      </c>
      <c r="N17" s="150"/>
      <c r="O17" s="18"/>
      <c r="P17" s="148"/>
      <c r="Q17" s="149">
        <f>SUM(Q14:Q16)</f>
        <v>29703828.108862136</v>
      </c>
      <c r="R17" s="150"/>
      <c r="S17" s="17"/>
    </row>
    <row r="18" spans="2:19" x14ac:dyDescent="0.25"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1"/>
    </row>
  </sheetData>
  <mergeCells count="13">
    <mergeCell ref="A1:T1"/>
    <mergeCell ref="P9:R9"/>
    <mergeCell ref="P10:R10"/>
    <mergeCell ref="P11:R11"/>
    <mergeCell ref="E11:F11"/>
    <mergeCell ref="C7:R7"/>
    <mergeCell ref="C5:R5"/>
    <mergeCell ref="H9:J9"/>
    <mergeCell ref="H10:J10"/>
    <mergeCell ref="H11:J11"/>
    <mergeCell ref="L11:N11"/>
    <mergeCell ref="L9:N9"/>
    <mergeCell ref="L10:N10"/>
  </mergeCells>
  <printOptions horizontalCentered="1"/>
  <pageMargins left="0.7" right="0.7" top="1.25" bottom="0.75" header="0.5" footer="0.3"/>
  <pageSetup scale="88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25" defaultRowHeight="15" x14ac:dyDescent="0.25"/>
  <cols>
    <col min="1" max="16384" width="8.625" style="53"/>
  </cols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331"/>
  <sheetViews>
    <sheetView view="pageBreakPreview" zoomScale="60" zoomScaleNormal="90" workbookViewId="0">
      <pane ySplit="4" topLeftCell="A5" activePane="bottomLeft" state="frozen"/>
      <selection pane="bottomLeft" activeCell="E1" sqref="E1"/>
    </sheetView>
  </sheetViews>
  <sheetFormatPr defaultColWidth="8.625" defaultRowHeight="15" x14ac:dyDescent="0.25"/>
  <cols>
    <col min="1" max="1" width="0.75" style="53" customWidth="1"/>
    <col min="2" max="2" width="16.25" style="53" customWidth="1"/>
    <col min="3" max="3" width="11.5" style="53" bestFit="1" customWidth="1"/>
    <col min="4" max="4" width="11" style="53" bestFit="1" customWidth="1"/>
    <col min="5" max="5" width="35.375" style="53" bestFit="1" customWidth="1"/>
    <col min="6" max="6" width="9.625" style="196" customWidth="1"/>
    <col min="7" max="8" width="17.625" style="195" customWidth="1"/>
    <col min="9" max="9" width="0.375" style="194" customWidth="1"/>
    <col min="10" max="10" width="0.375" style="195" customWidth="1"/>
    <col min="11" max="11" width="18.125" style="195" customWidth="1"/>
    <col min="12" max="13" width="18.125" style="194" customWidth="1"/>
    <col min="14" max="16" width="17.125" style="194" customWidth="1"/>
    <col min="17" max="17" width="32.875" style="53" bestFit="1" customWidth="1"/>
    <col min="18" max="18" width="20" style="53" customWidth="1"/>
    <col min="19" max="16384" width="8.625" style="53"/>
  </cols>
  <sheetData>
    <row r="1" spans="1:18" x14ac:dyDescent="0.25">
      <c r="B1" s="237" t="s">
        <v>828</v>
      </c>
      <c r="F1" s="53"/>
      <c r="G1" s="236">
        <f>G2+G246</f>
        <v>140193437.60296884</v>
      </c>
      <c r="H1" s="236">
        <f>H2+H246</f>
        <v>107258633.44378908</v>
      </c>
      <c r="I1" s="53"/>
      <c r="J1" s="53"/>
      <c r="K1" s="235">
        <f t="shared" ref="K1:P1" si="0">K2+K246</f>
        <v>108355955.76296882</v>
      </c>
      <c r="L1" s="235">
        <f t="shared" si="0"/>
        <v>137591597.71378908</v>
      </c>
      <c r="M1" s="235">
        <f t="shared" si="0"/>
        <v>5827349.1699999999</v>
      </c>
      <c r="N1" s="235">
        <f t="shared" si="0"/>
        <v>-31837481.84</v>
      </c>
      <c r="O1" s="235">
        <f t="shared" si="0"/>
        <v>30332964.270000003</v>
      </c>
      <c r="P1" s="235">
        <f t="shared" si="0"/>
        <v>5827349.1699999999</v>
      </c>
    </row>
    <row r="2" spans="1:18" x14ac:dyDescent="0.25">
      <c r="B2" s="234" t="s">
        <v>827</v>
      </c>
      <c r="C2" s="233"/>
      <c r="D2" s="233"/>
      <c r="E2" s="233"/>
      <c r="F2" s="232"/>
      <c r="G2" s="231">
        <f>SUBTOTAL(9,G4:G245)</f>
        <v>140193437.60296884</v>
      </c>
      <c r="H2" s="231">
        <f>SUBTOTAL(9,H4:H245)</f>
        <v>107258633.44378908</v>
      </c>
      <c r="I2" s="230">
        <f>SUM(I4:I245)</f>
        <v>0</v>
      </c>
      <c r="J2" s="229"/>
      <c r="K2" s="228">
        <f t="shared" ref="K2:P2" si="1">SUBTOTAL(9,K4:K245)</f>
        <v>107179240.89296882</v>
      </c>
      <c r="L2" s="228">
        <f t="shared" si="1"/>
        <v>137591597.71378908</v>
      </c>
      <c r="M2" s="228">
        <f t="shared" si="1"/>
        <v>5827349.1699999999</v>
      </c>
      <c r="N2" s="227">
        <f t="shared" si="1"/>
        <v>-33014196.710000001</v>
      </c>
      <c r="O2" s="227">
        <f t="shared" si="1"/>
        <v>30332964.270000003</v>
      </c>
      <c r="P2" s="227">
        <f t="shared" si="1"/>
        <v>5827349.1699999999</v>
      </c>
      <c r="Q2" s="226"/>
    </row>
    <row r="3" spans="1:18" ht="76.5" customHeight="1" x14ac:dyDescent="0.25">
      <c r="B3" s="225" t="s">
        <v>826</v>
      </c>
      <c r="C3" s="224" t="s">
        <v>825</v>
      </c>
      <c r="D3" s="223" t="s">
        <v>824</v>
      </c>
      <c r="E3" s="223" t="s">
        <v>823</v>
      </c>
      <c r="F3" s="222" t="s">
        <v>822</v>
      </c>
      <c r="G3" s="221" t="s">
        <v>821</v>
      </c>
      <c r="H3" s="221" t="s">
        <v>820</v>
      </c>
      <c r="I3" s="220" t="s">
        <v>819</v>
      </c>
      <c r="J3" s="219"/>
      <c r="K3" s="218" t="s">
        <v>818</v>
      </c>
      <c r="L3" s="218" t="s">
        <v>817</v>
      </c>
      <c r="M3" s="218" t="s">
        <v>816</v>
      </c>
      <c r="N3" s="217" t="s">
        <v>815</v>
      </c>
      <c r="O3" s="217" t="s">
        <v>814</v>
      </c>
      <c r="P3" s="217" t="s">
        <v>813</v>
      </c>
      <c r="Q3" s="216" t="s">
        <v>812</v>
      </c>
    </row>
    <row r="4" spans="1:18" x14ac:dyDescent="0.25">
      <c r="A4" s="209" t="str">
        <f t="shared" ref="A4:A41" si="2">RIGHT(D4,LEN(D4)-3)</f>
        <v>324301</v>
      </c>
      <c r="B4" s="54" t="s">
        <v>318</v>
      </c>
      <c r="C4" s="53" t="s">
        <v>196</v>
      </c>
      <c r="D4" s="53" t="s">
        <v>811</v>
      </c>
      <c r="E4" s="53" t="s">
        <v>810</v>
      </c>
      <c r="F4" s="196">
        <v>394.1</v>
      </c>
      <c r="G4" s="207">
        <v>2638.7480350000001</v>
      </c>
      <c r="H4" s="207">
        <v>0</v>
      </c>
      <c r="I4" s="208">
        <v>0</v>
      </c>
      <c r="J4" s="207"/>
      <c r="K4" s="199">
        <f>IF(B4="",G4,0)</f>
        <v>2638.7480350000001</v>
      </c>
      <c r="L4" s="197">
        <v>0</v>
      </c>
      <c r="M4" s="197">
        <v>0</v>
      </c>
      <c r="N4" s="197">
        <f t="shared" ref="N4:N67" si="3">K4-G4</f>
        <v>0</v>
      </c>
      <c r="O4" s="197">
        <f t="shared" ref="O4:O67" si="4">L4-H4</f>
        <v>0</v>
      </c>
      <c r="P4" s="197">
        <f t="shared" ref="P4:P67" si="5">M4-I4</f>
        <v>0</v>
      </c>
      <c r="Q4" s="53" t="s">
        <v>318</v>
      </c>
      <c r="R4" s="201"/>
    </row>
    <row r="5" spans="1:18" x14ac:dyDescent="0.25">
      <c r="A5" s="209" t="str">
        <f t="shared" si="2"/>
        <v>324315</v>
      </c>
      <c r="B5" s="54" t="s">
        <v>318</v>
      </c>
      <c r="C5" s="53" t="s">
        <v>196</v>
      </c>
      <c r="D5" s="53" t="s">
        <v>809</v>
      </c>
      <c r="E5" s="53" t="s">
        <v>808</v>
      </c>
      <c r="F5" s="196">
        <v>394.1</v>
      </c>
      <c r="G5" s="207">
        <v>10554.99214</v>
      </c>
      <c r="H5" s="207">
        <v>0</v>
      </c>
      <c r="I5" s="208">
        <v>0</v>
      </c>
      <c r="J5" s="207"/>
      <c r="K5" s="199">
        <f>IF(B5="",G5,0)</f>
        <v>10554.99214</v>
      </c>
      <c r="L5" s="197">
        <v>0</v>
      </c>
      <c r="M5" s="197">
        <v>0</v>
      </c>
      <c r="N5" s="197">
        <f t="shared" si="3"/>
        <v>0</v>
      </c>
      <c r="O5" s="197">
        <f t="shared" si="4"/>
        <v>0</v>
      </c>
      <c r="P5" s="197">
        <f t="shared" si="5"/>
        <v>0</v>
      </c>
      <c r="Q5" s="53" t="s">
        <v>318</v>
      </c>
      <c r="R5" s="201"/>
    </row>
    <row r="6" spans="1:18" x14ac:dyDescent="0.25">
      <c r="A6" s="209" t="str">
        <f t="shared" si="2"/>
        <v>324480</v>
      </c>
      <c r="B6" s="54" t="s">
        <v>318</v>
      </c>
      <c r="C6" s="53" t="s">
        <v>196</v>
      </c>
      <c r="D6" s="53" t="s">
        <v>807</v>
      </c>
      <c r="E6" s="53" t="s">
        <v>806</v>
      </c>
      <c r="F6" s="196">
        <v>394.1</v>
      </c>
      <c r="G6" s="207">
        <v>8293.2081100000014</v>
      </c>
      <c r="H6" s="207">
        <v>0</v>
      </c>
      <c r="I6" s="208">
        <v>0</v>
      </c>
      <c r="J6" s="207"/>
      <c r="K6" s="199">
        <f>IF(B6="",G6,0)</f>
        <v>8293.2081100000014</v>
      </c>
      <c r="L6" s="197">
        <v>0</v>
      </c>
      <c r="M6" s="197">
        <v>0</v>
      </c>
      <c r="N6" s="197">
        <f t="shared" si="3"/>
        <v>0</v>
      </c>
      <c r="O6" s="197">
        <f t="shared" si="4"/>
        <v>0</v>
      </c>
      <c r="P6" s="197">
        <f t="shared" si="5"/>
        <v>0</v>
      </c>
      <c r="Q6" s="53" t="s">
        <v>318</v>
      </c>
      <c r="R6" s="201"/>
    </row>
    <row r="7" spans="1:18" x14ac:dyDescent="0.25">
      <c r="A7" s="209" t="str">
        <f t="shared" si="2"/>
        <v>324820</v>
      </c>
      <c r="B7" s="54" t="s">
        <v>318</v>
      </c>
      <c r="C7" s="53" t="s">
        <v>196</v>
      </c>
      <c r="D7" s="53" t="s">
        <v>805</v>
      </c>
      <c r="E7" s="53" t="s">
        <v>804</v>
      </c>
      <c r="F7" s="196">
        <v>376.2</v>
      </c>
      <c r="G7" s="207">
        <v>76795.741768000007</v>
      </c>
      <c r="H7" s="207">
        <v>0</v>
      </c>
      <c r="I7" s="208">
        <v>0</v>
      </c>
      <c r="J7" s="207"/>
      <c r="K7" s="199">
        <f>IF(B7="",G7,0)</f>
        <v>76795.741768000007</v>
      </c>
      <c r="L7" s="197">
        <v>0</v>
      </c>
      <c r="M7" s="197">
        <v>0</v>
      </c>
      <c r="N7" s="197">
        <f t="shared" si="3"/>
        <v>0</v>
      </c>
      <c r="O7" s="197">
        <f t="shared" si="4"/>
        <v>0</v>
      </c>
      <c r="P7" s="197">
        <f t="shared" si="5"/>
        <v>0</v>
      </c>
      <c r="Q7" s="53" t="s">
        <v>318</v>
      </c>
      <c r="R7" s="201"/>
    </row>
    <row r="8" spans="1:18" x14ac:dyDescent="0.25">
      <c r="A8" s="209" t="str">
        <f t="shared" si="2"/>
        <v>324824</v>
      </c>
      <c r="B8" s="54" t="s">
        <v>318</v>
      </c>
      <c r="C8" s="53" t="s">
        <v>196</v>
      </c>
      <c r="D8" s="53" t="s">
        <v>803</v>
      </c>
      <c r="E8" s="53" t="s">
        <v>802</v>
      </c>
      <c r="F8" s="196">
        <v>378</v>
      </c>
      <c r="G8" s="207">
        <v>53708.996095999995</v>
      </c>
      <c r="H8" s="207">
        <v>0</v>
      </c>
      <c r="I8" s="208">
        <v>0</v>
      </c>
      <c r="J8" s="207"/>
      <c r="K8" s="199">
        <f>IF(B8="",G8,0)</f>
        <v>53708.996095999995</v>
      </c>
      <c r="L8" s="197">
        <v>0</v>
      </c>
      <c r="M8" s="197">
        <v>0</v>
      </c>
      <c r="N8" s="197">
        <f t="shared" si="3"/>
        <v>0</v>
      </c>
      <c r="O8" s="197">
        <f t="shared" si="4"/>
        <v>0</v>
      </c>
      <c r="P8" s="197">
        <f t="shared" si="5"/>
        <v>0</v>
      </c>
      <c r="Q8" s="53" t="s">
        <v>318</v>
      </c>
      <c r="R8" s="201"/>
    </row>
    <row r="9" spans="1:18" x14ac:dyDescent="0.25">
      <c r="A9" s="209" t="str">
        <f t="shared" si="2"/>
        <v>322776</v>
      </c>
      <c r="B9" s="54" t="s">
        <v>620</v>
      </c>
      <c r="C9" s="214" t="s">
        <v>196</v>
      </c>
      <c r="D9" s="214" t="s">
        <v>801</v>
      </c>
      <c r="E9" s="214" t="s">
        <v>800</v>
      </c>
      <c r="F9" s="213">
        <v>376.2</v>
      </c>
      <c r="G9" s="212">
        <v>29040773.440000001</v>
      </c>
      <c r="H9" s="212">
        <v>0</v>
      </c>
      <c r="I9" s="208">
        <v>0</v>
      </c>
      <c r="J9" s="208"/>
      <c r="K9" s="211">
        <v>0</v>
      </c>
      <c r="L9" s="210">
        <v>29040773.440000001</v>
      </c>
      <c r="M9" s="197">
        <v>0</v>
      </c>
      <c r="N9" s="197">
        <f t="shared" si="3"/>
        <v>-29040773.440000001</v>
      </c>
      <c r="O9" s="197">
        <f t="shared" si="4"/>
        <v>29040773.440000001</v>
      </c>
      <c r="P9" s="197">
        <f t="shared" si="5"/>
        <v>0</v>
      </c>
      <c r="Q9" s="53" t="s">
        <v>799</v>
      </c>
      <c r="R9" s="201"/>
    </row>
    <row r="10" spans="1:18" x14ac:dyDescent="0.25">
      <c r="A10" s="209" t="str">
        <f t="shared" si="2"/>
        <v>322783</v>
      </c>
      <c r="B10" s="54" t="s">
        <v>318</v>
      </c>
      <c r="C10" s="53" t="s">
        <v>196</v>
      </c>
      <c r="D10" s="53" t="s">
        <v>798</v>
      </c>
      <c r="E10" s="53" t="s">
        <v>797</v>
      </c>
      <c r="F10" s="196">
        <v>374.1</v>
      </c>
      <c r="G10" s="207">
        <v>119146.94</v>
      </c>
      <c r="H10" s="207">
        <v>0</v>
      </c>
      <c r="I10" s="208">
        <v>0</v>
      </c>
      <c r="J10" s="207"/>
      <c r="K10" s="199">
        <f t="shared" ref="K10:K41" si="6">IF(B10="",G10,0)</f>
        <v>119146.94</v>
      </c>
      <c r="L10" s="197">
        <v>0</v>
      </c>
      <c r="M10" s="197">
        <v>0</v>
      </c>
      <c r="N10" s="197">
        <f t="shared" si="3"/>
        <v>0</v>
      </c>
      <c r="O10" s="197">
        <f t="shared" si="4"/>
        <v>0</v>
      </c>
      <c r="P10" s="197">
        <f t="shared" si="5"/>
        <v>0</v>
      </c>
      <c r="Q10" s="53" t="s">
        <v>318</v>
      </c>
      <c r="R10" s="201"/>
    </row>
    <row r="11" spans="1:18" x14ac:dyDescent="0.25">
      <c r="A11" s="209" t="str">
        <f t="shared" si="2"/>
        <v>322784</v>
      </c>
      <c r="B11" s="54" t="s">
        <v>318</v>
      </c>
      <c r="C11" s="53" t="s">
        <v>196</v>
      </c>
      <c r="D11" s="53" t="s">
        <v>796</v>
      </c>
      <c r="E11" s="53" t="s">
        <v>795</v>
      </c>
      <c r="F11" s="196">
        <v>378</v>
      </c>
      <c r="G11" s="207">
        <v>498151.91000000003</v>
      </c>
      <c r="H11" s="207">
        <v>0</v>
      </c>
      <c r="I11" s="208">
        <v>0</v>
      </c>
      <c r="J11" s="207"/>
      <c r="K11" s="199">
        <f t="shared" si="6"/>
        <v>498151.91000000003</v>
      </c>
      <c r="L11" s="197">
        <v>0</v>
      </c>
      <c r="M11" s="197">
        <v>0</v>
      </c>
      <c r="N11" s="197">
        <f t="shared" si="3"/>
        <v>0</v>
      </c>
      <c r="O11" s="197">
        <f t="shared" si="4"/>
        <v>0</v>
      </c>
      <c r="P11" s="197">
        <f t="shared" si="5"/>
        <v>0</v>
      </c>
      <c r="Q11" s="53" t="s">
        <v>318</v>
      </c>
      <c r="R11" s="201"/>
    </row>
    <row r="12" spans="1:18" x14ac:dyDescent="0.25">
      <c r="A12" s="209" t="str">
        <f t="shared" si="2"/>
        <v>323431</v>
      </c>
      <c r="B12" s="54" t="s">
        <v>318</v>
      </c>
      <c r="C12" s="53" t="s">
        <v>196</v>
      </c>
      <c r="D12" s="53" t="s">
        <v>794</v>
      </c>
      <c r="E12" s="53" t="s">
        <v>793</v>
      </c>
      <c r="F12" s="196">
        <v>376.2</v>
      </c>
      <c r="G12" s="207">
        <v>237521.69</v>
      </c>
      <c r="H12" s="207">
        <v>0</v>
      </c>
      <c r="I12" s="208">
        <v>0</v>
      </c>
      <c r="J12" s="207"/>
      <c r="K12" s="199">
        <f t="shared" si="6"/>
        <v>237521.69</v>
      </c>
      <c r="L12" s="197">
        <v>0</v>
      </c>
      <c r="M12" s="197">
        <v>0</v>
      </c>
      <c r="N12" s="197">
        <f t="shared" si="3"/>
        <v>0</v>
      </c>
      <c r="O12" s="197">
        <f t="shared" si="4"/>
        <v>0</v>
      </c>
      <c r="P12" s="197">
        <f t="shared" si="5"/>
        <v>0</v>
      </c>
      <c r="Q12" s="53" t="s">
        <v>318</v>
      </c>
      <c r="R12" s="201"/>
    </row>
    <row r="13" spans="1:18" x14ac:dyDescent="0.25">
      <c r="A13" s="209" t="str">
        <f t="shared" si="2"/>
        <v>323432</v>
      </c>
      <c r="B13" s="54" t="s">
        <v>318</v>
      </c>
      <c r="C13" s="53" t="s">
        <v>196</v>
      </c>
      <c r="D13" s="53" t="s">
        <v>792</v>
      </c>
      <c r="E13" s="53" t="s">
        <v>791</v>
      </c>
      <c r="F13" s="196">
        <v>378</v>
      </c>
      <c r="G13" s="207">
        <v>582324.92000000004</v>
      </c>
      <c r="H13" s="207">
        <v>0</v>
      </c>
      <c r="I13" s="208">
        <v>0</v>
      </c>
      <c r="J13" s="207"/>
      <c r="K13" s="199">
        <f t="shared" si="6"/>
        <v>582324.92000000004</v>
      </c>
      <c r="L13" s="197">
        <v>0</v>
      </c>
      <c r="M13" s="197">
        <v>0</v>
      </c>
      <c r="N13" s="197">
        <f t="shared" si="3"/>
        <v>0</v>
      </c>
      <c r="O13" s="197">
        <f t="shared" si="4"/>
        <v>0</v>
      </c>
      <c r="P13" s="197">
        <f t="shared" si="5"/>
        <v>0</v>
      </c>
      <c r="Q13" s="53" t="s">
        <v>318</v>
      </c>
      <c r="R13" s="201"/>
    </row>
    <row r="14" spans="1:18" x14ac:dyDescent="0.25">
      <c r="A14" s="209" t="str">
        <f t="shared" si="2"/>
        <v>323434</v>
      </c>
      <c r="B14" s="54" t="s">
        <v>318</v>
      </c>
      <c r="C14" s="53" t="s">
        <v>196</v>
      </c>
      <c r="D14" s="53" t="s">
        <v>790</v>
      </c>
      <c r="E14" s="53" t="s">
        <v>789</v>
      </c>
      <c r="F14" s="196">
        <v>378</v>
      </c>
      <c r="G14" s="207">
        <v>1181773.33</v>
      </c>
      <c r="H14" s="207">
        <v>0</v>
      </c>
      <c r="I14" s="208">
        <v>0</v>
      </c>
      <c r="J14" s="207"/>
      <c r="K14" s="199">
        <f t="shared" si="6"/>
        <v>1181773.33</v>
      </c>
      <c r="L14" s="197">
        <v>0</v>
      </c>
      <c r="M14" s="197">
        <v>0</v>
      </c>
      <c r="N14" s="197">
        <f t="shared" si="3"/>
        <v>0</v>
      </c>
      <c r="O14" s="197">
        <f t="shared" si="4"/>
        <v>0</v>
      </c>
      <c r="P14" s="197">
        <f t="shared" si="5"/>
        <v>0</v>
      </c>
      <c r="Q14" s="53" t="s">
        <v>318</v>
      </c>
      <c r="R14" s="201"/>
    </row>
    <row r="15" spans="1:18" x14ac:dyDescent="0.25">
      <c r="A15" s="209" t="str">
        <f t="shared" si="2"/>
        <v>323435</v>
      </c>
      <c r="B15" s="54" t="s">
        <v>318</v>
      </c>
      <c r="C15" s="53" t="s">
        <v>196</v>
      </c>
      <c r="D15" s="53" t="s">
        <v>788</v>
      </c>
      <c r="E15" s="53" t="s">
        <v>787</v>
      </c>
      <c r="F15" s="196">
        <v>385</v>
      </c>
      <c r="G15" s="207">
        <v>97718.88</v>
      </c>
      <c r="H15" s="207">
        <v>0</v>
      </c>
      <c r="I15" s="208">
        <v>0</v>
      </c>
      <c r="J15" s="207"/>
      <c r="K15" s="199">
        <f t="shared" si="6"/>
        <v>97718.88</v>
      </c>
      <c r="L15" s="197">
        <v>0</v>
      </c>
      <c r="M15" s="197">
        <v>0</v>
      </c>
      <c r="N15" s="197">
        <f t="shared" si="3"/>
        <v>0</v>
      </c>
      <c r="O15" s="197">
        <f t="shared" si="4"/>
        <v>0</v>
      </c>
      <c r="P15" s="197">
        <f t="shared" si="5"/>
        <v>0</v>
      </c>
      <c r="Q15" s="53" t="s">
        <v>318</v>
      </c>
      <c r="R15" s="201"/>
    </row>
    <row r="16" spans="1:18" x14ac:dyDescent="0.25">
      <c r="A16" s="209" t="str">
        <f t="shared" si="2"/>
        <v>323731</v>
      </c>
      <c r="B16" s="54" t="s">
        <v>318</v>
      </c>
      <c r="C16" s="53" t="s">
        <v>196</v>
      </c>
      <c r="D16" s="53" t="s">
        <v>786</v>
      </c>
      <c r="E16" s="53" t="s">
        <v>785</v>
      </c>
      <c r="F16" s="196">
        <v>377</v>
      </c>
      <c r="G16" s="207">
        <v>147143.05276300001</v>
      </c>
      <c r="H16" s="207">
        <v>0</v>
      </c>
      <c r="I16" s="208">
        <v>0</v>
      </c>
      <c r="J16" s="207"/>
      <c r="K16" s="199">
        <f t="shared" si="6"/>
        <v>147143.05276300001</v>
      </c>
      <c r="L16" s="197">
        <v>0</v>
      </c>
      <c r="M16" s="197">
        <v>0</v>
      </c>
      <c r="N16" s="197">
        <f t="shared" si="3"/>
        <v>0</v>
      </c>
      <c r="O16" s="197">
        <f t="shared" si="4"/>
        <v>0</v>
      </c>
      <c r="P16" s="197">
        <f t="shared" si="5"/>
        <v>0</v>
      </c>
      <c r="Q16" s="53" t="s">
        <v>318</v>
      </c>
      <c r="R16" s="201"/>
    </row>
    <row r="17" spans="1:18" x14ac:dyDescent="0.25">
      <c r="A17" s="209" t="str">
        <f t="shared" si="2"/>
        <v>323795</v>
      </c>
      <c r="B17" s="54" t="s">
        <v>318</v>
      </c>
      <c r="C17" s="53" t="s">
        <v>196</v>
      </c>
      <c r="D17" s="53" t="s">
        <v>784</v>
      </c>
      <c r="E17" s="53" t="s">
        <v>783</v>
      </c>
      <c r="F17" s="196">
        <v>377</v>
      </c>
      <c r="G17" s="207">
        <v>18881.810000000001</v>
      </c>
      <c r="H17" s="207">
        <v>0</v>
      </c>
      <c r="I17" s="208">
        <v>0</v>
      </c>
      <c r="J17" s="207"/>
      <c r="K17" s="199">
        <f t="shared" si="6"/>
        <v>18881.810000000001</v>
      </c>
      <c r="L17" s="197">
        <v>0</v>
      </c>
      <c r="M17" s="197">
        <v>0</v>
      </c>
      <c r="N17" s="197">
        <f t="shared" si="3"/>
        <v>0</v>
      </c>
      <c r="O17" s="197">
        <f t="shared" si="4"/>
        <v>0</v>
      </c>
      <c r="P17" s="197">
        <f t="shared" si="5"/>
        <v>0</v>
      </c>
      <c r="Q17" s="53" t="s">
        <v>318</v>
      </c>
      <c r="R17" s="201"/>
    </row>
    <row r="18" spans="1:18" x14ac:dyDescent="0.25">
      <c r="A18" s="209" t="str">
        <f t="shared" si="2"/>
        <v>324495</v>
      </c>
      <c r="B18" s="54" t="s">
        <v>318</v>
      </c>
      <c r="C18" s="53" t="s">
        <v>196</v>
      </c>
      <c r="D18" s="53" t="s">
        <v>782</v>
      </c>
      <c r="E18" s="53" t="s">
        <v>781</v>
      </c>
      <c r="F18" s="196">
        <v>377</v>
      </c>
      <c r="G18" s="207">
        <v>18174</v>
      </c>
      <c r="H18" s="207">
        <v>0</v>
      </c>
      <c r="I18" s="208">
        <v>0</v>
      </c>
      <c r="J18" s="207"/>
      <c r="K18" s="199">
        <f t="shared" si="6"/>
        <v>18174</v>
      </c>
      <c r="L18" s="197">
        <v>0</v>
      </c>
      <c r="M18" s="197">
        <v>0</v>
      </c>
      <c r="N18" s="197">
        <f t="shared" si="3"/>
        <v>0</v>
      </c>
      <c r="O18" s="197">
        <f t="shared" si="4"/>
        <v>0</v>
      </c>
      <c r="P18" s="197">
        <f t="shared" si="5"/>
        <v>0</v>
      </c>
      <c r="Q18" s="53" t="s">
        <v>318</v>
      </c>
      <c r="R18" s="201"/>
    </row>
    <row r="19" spans="1:18" x14ac:dyDescent="0.25">
      <c r="A19" s="209" t="str">
        <f t="shared" si="2"/>
        <v>324502</v>
      </c>
      <c r="B19" s="54" t="s">
        <v>318</v>
      </c>
      <c r="C19" s="53" t="s">
        <v>196</v>
      </c>
      <c r="D19" s="53" t="s">
        <v>780</v>
      </c>
      <c r="E19" s="53" t="s">
        <v>779</v>
      </c>
      <c r="F19" s="196">
        <v>377</v>
      </c>
      <c r="G19" s="207">
        <v>21808.799999999999</v>
      </c>
      <c r="H19" s="207">
        <v>0</v>
      </c>
      <c r="I19" s="208">
        <v>0</v>
      </c>
      <c r="J19" s="207"/>
      <c r="K19" s="199">
        <f t="shared" si="6"/>
        <v>21808.799999999999</v>
      </c>
      <c r="L19" s="197">
        <v>0</v>
      </c>
      <c r="M19" s="197">
        <v>0</v>
      </c>
      <c r="N19" s="197">
        <f t="shared" si="3"/>
        <v>0</v>
      </c>
      <c r="O19" s="197">
        <f t="shared" si="4"/>
        <v>0</v>
      </c>
      <c r="P19" s="197">
        <f t="shared" si="5"/>
        <v>0</v>
      </c>
      <c r="Q19" s="53" t="s">
        <v>318</v>
      </c>
      <c r="R19" s="201"/>
    </row>
    <row r="20" spans="1:18" x14ac:dyDescent="0.25">
      <c r="A20" s="209" t="str">
        <f t="shared" si="2"/>
        <v>324704</v>
      </c>
      <c r="B20" s="54" t="s">
        <v>318</v>
      </c>
      <c r="C20" s="53" t="s">
        <v>196</v>
      </c>
      <c r="D20" s="53" t="s">
        <v>778</v>
      </c>
      <c r="E20" s="53" t="s">
        <v>777</v>
      </c>
      <c r="F20" s="196">
        <v>377</v>
      </c>
      <c r="G20" s="207">
        <v>30290</v>
      </c>
      <c r="H20" s="207">
        <v>0</v>
      </c>
      <c r="I20" s="208">
        <v>0</v>
      </c>
      <c r="J20" s="207"/>
      <c r="K20" s="199">
        <f t="shared" si="6"/>
        <v>30290</v>
      </c>
      <c r="L20" s="197">
        <v>0</v>
      </c>
      <c r="M20" s="197">
        <v>0</v>
      </c>
      <c r="N20" s="197">
        <f t="shared" si="3"/>
        <v>0</v>
      </c>
      <c r="O20" s="197">
        <f t="shared" si="4"/>
        <v>0</v>
      </c>
      <c r="P20" s="197">
        <f t="shared" si="5"/>
        <v>0</v>
      </c>
      <c r="Q20" s="53" t="s">
        <v>318</v>
      </c>
      <c r="R20" s="201"/>
    </row>
    <row r="21" spans="1:18" x14ac:dyDescent="0.25">
      <c r="A21" s="209" t="str">
        <f t="shared" si="2"/>
        <v>325057</v>
      </c>
      <c r="B21" s="54" t="s">
        <v>318</v>
      </c>
      <c r="C21" s="53" t="s">
        <v>196</v>
      </c>
      <c r="D21" s="53" t="s">
        <v>776</v>
      </c>
      <c r="E21" s="53" t="s">
        <v>775</v>
      </c>
      <c r="F21" s="196">
        <v>377</v>
      </c>
      <c r="G21" s="207">
        <v>15145</v>
      </c>
      <c r="H21" s="207">
        <v>0</v>
      </c>
      <c r="I21" s="208">
        <v>0</v>
      </c>
      <c r="J21" s="207"/>
      <c r="K21" s="199">
        <f t="shared" si="6"/>
        <v>15145</v>
      </c>
      <c r="L21" s="197">
        <v>0</v>
      </c>
      <c r="M21" s="197">
        <v>0</v>
      </c>
      <c r="N21" s="197">
        <f t="shared" si="3"/>
        <v>0</v>
      </c>
      <c r="O21" s="197">
        <f t="shared" si="4"/>
        <v>0</v>
      </c>
      <c r="P21" s="197">
        <f t="shared" si="5"/>
        <v>0</v>
      </c>
      <c r="Q21" s="53" t="s">
        <v>318</v>
      </c>
      <c r="R21" s="201"/>
    </row>
    <row r="22" spans="1:18" x14ac:dyDescent="0.25">
      <c r="A22" s="209" t="str">
        <f t="shared" si="2"/>
        <v>324239</v>
      </c>
      <c r="B22" s="54" t="s">
        <v>318</v>
      </c>
      <c r="C22" s="53" t="s">
        <v>196</v>
      </c>
      <c r="D22" s="53" t="s">
        <v>774</v>
      </c>
      <c r="E22" s="53" t="s">
        <v>773</v>
      </c>
      <c r="F22" s="196">
        <v>394.1</v>
      </c>
      <c r="G22" s="207">
        <v>1506.45</v>
      </c>
      <c r="H22" s="207">
        <v>0</v>
      </c>
      <c r="I22" s="208">
        <v>0</v>
      </c>
      <c r="J22" s="207"/>
      <c r="K22" s="199">
        <f t="shared" si="6"/>
        <v>1506.45</v>
      </c>
      <c r="L22" s="197">
        <v>0</v>
      </c>
      <c r="M22" s="197">
        <v>0</v>
      </c>
      <c r="N22" s="197">
        <f t="shared" si="3"/>
        <v>0</v>
      </c>
      <c r="O22" s="197">
        <f t="shared" si="4"/>
        <v>0</v>
      </c>
      <c r="P22" s="197">
        <f t="shared" si="5"/>
        <v>0</v>
      </c>
      <c r="Q22" s="53" t="s">
        <v>318</v>
      </c>
      <c r="R22" s="201"/>
    </row>
    <row r="23" spans="1:18" x14ac:dyDescent="0.25">
      <c r="A23" s="209" t="str">
        <f t="shared" si="2"/>
        <v>324273</v>
      </c>
      <c r="B23" s="54" t="s">
        <v>318</v>
      </c>
      <c r="C23" s="53" t="s">
        <v>196</v>
      </c>
      <c r="D23" s="53" t="s">
        <v>772</v>
      </c>
      <c r="E23" s="53" t="s">
        <v>771</v>
      </c>
      <c r="F23" s="196">
        <v>394.1</v>
      </c>
      <c r="G23" s="207">
        <v>1506.45</v>
      </c>
      <c r="H23" s="207">
        <v>0</v>
      </c>
      <c r="I23" s="208">
        <v>0</v>
      </c>
      <c r="J23" s="207"/>
      <c r="K23" s="199">
        <f t="shared" si="6"/>
        <v>1506.45</v>
      </c>
      <c r="L23" s="197">
        <v>0</v>
      </c>
      <c r="M23" s="197">
        <v>0</v>
      </c>
      <c r="N23" s="197">
        <f t="shared" si="3"/>
        <v>0</v>
      </c>
      <c r="O23" s="197">
        <f t="shared" si="4"/>
        <v>0</v>
      </c>
      <c r="P23" s="197">
        <f t="shared" si="5"/>
        <v>0</v>
      </c>
      <c r="Q23" s="53" t="s">
        <v>318</v>
      </c>
      <c r="R23" s="201"/>
    </row>
    <row r="24" spans="1:18" x14ac:dyDescent="0.25">
      <c r="A24" s="209" t="str">
        <f t="shared" si="2"/>
        <v>324274</v>
      </c>
      <c r="B24" s="54" t="s">
        <v>318</v>
      </c>
      <c r="C24" s="53" t="s">
        <v>196</v>
      </c>
      <c r="D24" s="53" t="s">
        <v>770</v>
      </c>
      <c r="E24" s="53" t="s">
        <v>769</v>
      </c>
      <c r="F24" s="196">
        <v>394.1</v>
      </c>
      <c r="G24" s="207">
        <v>1506.45</v>
      </c>
      <c r="H24" s="207">
        <v>0</v>
      </c>
      <c r="I24" s="208">
        <v>0</v>
      </c>
      <c r="J24" s="207"/>
      <c r="K24" s="199">
        <f t="shared" si="6"/>
        <v>1506.45</v>
      </c>
      <c r="L24" s="197">
        <v>0</v>
      </c>
      <c r="M24" s="197">
        <v>0</v>
      </c>
      <c r="N24" s="197">
        <f t="shared" si="3"/>
        <v>0</v>
      </c>
      <c r="O24" s="197">
        <f t="shared" si="4"/>
        <v>0</v>
      </c>
      <c r="P24" s="197">
        <f t="shared" si="5"/>
        <v>0</v>
      </c>
      <c r="Q24" s="53" t="s">
        <v>318</v>
      </c>
      <c r="R24" s="201"/>
    </row>
    <row r="25" spans="1:18" x14ac:dyDescent="0.25">
      <c r="A25" s="209" t="str">
        <f t="shared" si="2"/>
        <v>323443</v>
      </c>
      <c r="B25" s="54" t="s">
        <v>318</v>
      </c>
      <c r="C25" s="53" t="s">
        <v>196</v>
      </c>
      <c r="D25" s="53" t="s">
        <v>768</v>
      </c>
      <c r="E25" s="53" t="s">
        <v>767</v>
      </c>
      <c r="F25" s="196">
        <v>378</v>
      </c>
      <c r="G25" s="207">
        <v>1117240.8899999999</v>
      </c>
      <c r="H25" s="207">
        <v>0</v>
      </c>
      <c r="I25" s="208">
        <v>0</v>
      </c>
      <c r="J25" s="207"/>
      <c r="K25" s="199">
        <f t="shared" si="6"/>
        <v>1117240.8899999999</v>
      </c>
      <c r="L25" s="197">
        <v>0</v>
      </c>
      <c r="M25" s="197">
        <v>0</v>
      </c>
      <c r="N25" s="197">
        <f t="shared" si="3"/>
        <v>0</v>
      </c>
      <c r="O25" s="197">
        <f t="shared" si="4"/>
        <v>0</v>
      </c>
      <c r="P25" s="197">
        <f t="shared" si="5"/>
        <v>0</v>
      </c>
      <c r="Q25" s="53" t="s">
        <v>318</v>
      </c>
      <c r="R25" s="201"/>
    </row>
    <row r="26" spans="1:18" x14ac:dyDescent="0.25">
      <c r="A26" s="209" t="str">
        <f t="shared" si="2"/>
        <v>323446</v>
      </c>
      <c r="B26" s="54" t="s">
        <v>318</v>
      </c>
      <c r="C26" s="53" t="s">
        <v>196</v>
      </c>
      <c r="D26" s="53" t="s">
        <v>766</v>
      </c>
      <c r="E26" s="53" t="s">
        <v>765</v>
      </c>
      <c r="F26" s="196">
        <v>378</v>
      </c>
      <c r="G26" s="207">
        <v>365957.98</v>
      </c>
      <c r="H26" s="207">
        <v>0</v>
      </c>
      <c r="I26" s="208">
        <v>0</v>
      </c>
      <c r="J26" s="207"/>
      <c r="K26" s="199">
        <f t="shared" si="6"/>
        <v>365957.98</v>
      </c>
      <c r="L26" s="197">
        <v>0</v>
      </c>
      <c r="M26" s="197">
        <v>0</v>
      </c>
      <c r="N26" s="197">
        <f t="shared" si="3"/>
        <v>0</v>
      </c>
      <c r="O26" s="197">
        <f t="shared" si="4"/>
        <v>0</v>
      </c>
      <c r="P26" s="197">
        <f t="shared" si="5"/>
        <v>0</v>
      </c>
      <c r="Q26" s="53" t="s">
        <v>318</v>
      </c>
      <c r="R26" s="201"/>
    </row>
    <row r="27" spans="1:18" x14ac:dyDescent="0.25">
      <c r="A27" s="209" t="str">
        <f t="shared" si="2"/>
        <v>323452</v>
      </c>
      <c r="B27" s="54" t="s">
        <v>318</v>
      </c>
      <c r="C27" s="53" t="s">
        <v>196</v>
      </c>
      <c r="D27" s="53" t="s">
        <v>764</v>
      </c>
      <c r="E27" s="53" t="s">
        <v>763</v>
      </c>
      <c r="F27" s="196">
        <v>385</v>
      </c>
      <c r="G27" s="207">
        <v>43012.79</v>
      </c>
      <c r="H27" s="207">
        <v>0</v>
      </c>
      <c r="I27" s="208">
        <v>0</v>
      </c>
      <c r="J27" s="207"/>
      <c r="K27" s="199">
        <f t="shared" si="6"/>
        <v>43012.79</v>
      </c>
      <c r="L27" s="197">
        <v>0</v>
      </c>
      <c r="M27" s="197">
        <v>0</v>
      </c>
      <c r="N27" s="197">
        <f t="shared" si="3"/>
        <v>0</v>
      </c>
      <c r="O27" s="197">
        <f t="shared" si="4"/>
        <v>0</v>
      </c>
      <c r="P27" s="197">
        <f t="shared" si="5"/>
        <v>0</v>
      </c>
      <c r="Q27" s="53" t="s">
        <v>318</v>
      </c>
      <c r="R27" s="201"/>
    </row>
    <row r="28" spans="1:18" x14ac:dyDescent="0.25">
      <c r="A28" s="209" t="str">
        <f t="shared" si="2"/>
        <v>319104</v>
      </c>
      <c r="B28" s="54" t="s">
        <v>318</v>
      </c>
      <c r="C28" s="53" t="s">
        <v>196</v>
      </c>
      <c r="D28" s="53" t="s">
        <v>762</v>
      </c>
      <c r="E28" s="53" t="s">
        <v>761</v>
      </c>
      <c r="F28" s="196">
        <v>376.2</v>
      </c>
      <c r="G28" s="207">
        <v>0</v>
      </c>
      <c r="H28" s="207">
        <v>543633.23800999997</v>
      </c>
      <c r="I28" s="208">
        <v>0</v>
      </c>
      <c r="J28" s="207"/>
      <c r="K28" s="199">
        <f t="shared" si="6"/>
        <v>0</v>
      </c>
      <c r="L28" s="197">
        <v>543633.23800999997</v>
      </c>
      <c r="M28" s="197">
        <v>0</v>
      </c>
      <c r="N28" s="197">
        <f t="shared" si="3"/>
        <v>0</v>
      </c>
      <c r="O28" s="197">
        <f t="shared" si="4"/>
        <v>0</v>
      </c>
      <c r="P28" s="197">
        <f t="shared" si="5"/>
        <v>0</v>
      </c>
      <c r="Q28" s="53" t="s">
        <v>318</v>
      </c>
      <c r="R28" s="201"/>
    </row>
    <row r="29" spans="1:18" x14ac:dyDescent="0.25">
      <c r="A29" s="209" t="str">
        <f t="shared" si="2"/>
        <v>319107</v>
      </c>
      <c r="B29" s="54" t="s">
        <v>318</v>
      </c>
      <c r="C29" s="53" t="s">
        <v>196</v>
      </c>
      <c r="D29" s="53" t="s">
        <v>760</v>
      </c>
      <c r="E29" s="53" t="s">
        <v>759</v>
      </c>
      <c r="F29" s="196">
        <v>378</v>
      </c>
      <c r="G29" s="207">
        <v>0</v>
      </c>
      <c r="H29" s="207">
        <v>377211.26529000001</v>
      </c>
      <c r="I29" s="208">
        <v>0</v>
      </c>
      <c r="J29" s="207"/>
      <c r="K29" s="199">
        <f t="shared" si="6"/>
        <v>0</v>
      </c>
      <c r="L29" s="197">
        <v>377211.26529000001</v>
      </c>
      <c r="M29" s="197">
        <v>0</v>
      </c>
      <c r="N29" s="197">
        <f t="shared" si="3"/>
        <v>0</v>
      </c>
      <c r="O29" s="197">
        <f t="shared" si="4"/>
        <v>0</v>
      </c>
      <c r="P29" s="197">
        <f t="shared" si="5"/>
        <v>0</v>
      </c>
      <c r="Q29" s="53" t="s">
        <v>318</v>
      </c>
      <c r="R29" s="201"/>
    </row>
    <row r="30" spans="1:18" x14ac:dyDescent="0.25">
      <c r="A30" s="209" t="str">
        <f t="shared" si="2"/>
        <v>320223</v>
      </c>
      <c r="B30" s="54" t="s">
        <v>318</v>
      </c>
      <c r="C30" s="53" t="s">
        <v>196</v>
      </c>
      <c r="D30" s="53" t="s">
        <v>758</v>
      </c>
      <c r="E30" s="53" t="s">
        <v>757</v>
      </c>
      <c r="F30" s="196">
        <v>385</v>
      </c>
      <c r="G30" s="207">
        <v>63609</v>
      </c>
      <c r="H30" s="207">
        <v>63488.280000000021</v>
      </c>
      <c r="I30" s="208">
        <v>0</v>
      </c>
      <c r="J30" s="207"/>
      <c r="K30" s="199">
        <f t="shared" si="6"/>
        <v>63609</v>
      </c>
      <c r="L30" s="197">
        <v>63488.280000000021</v>
      </c>
      <c r="M30" s="197">
        <v>0</v>
      </c>
      <c r="N30" s="197">
        <f t="shared" si="3"/>
        <v>0</v>
      </c>
      <c r="O30" s="197">
        <f t="shared" si="4"/>
        <v>0</v>
      </c>
      <c r="P30" s="197">
        <f t="shared" si="5"/>
        <v>0</v>
      </c>
      <c r="Q30" s="53" t="s">
        <v>318</v>
      </c>
      <c r="R30" s="201"/>
    </row>
    <row r="31" spans="1:18" x14ac:dyDescent="0.25">
      <c r="A31" s="209" t="str">
        <f t="shared" si="2"/>
        <v>320224</v>
      </c>
      <c r="B31" s="54" t="s">
        <v>318</v>
      </c>
      <c r="C31" s="53" t="s">
        <v>196</v>
      </c>
      <c r="D31" s="53" t="s">
        <v>756</v>
      </c>
      <c r="E31" s="53" t="s">
        <v>755</v>
      </c>
      <c r="F31" s="196">
        <v>385</v>
      </c>
      <c r="G31" s="207">
        <v>60676.625099999997</v>
      </c>
      <c r="H31" s="207">
        <v>60561.47029200002</v>
      </c>
      <c r="I31" s="208">
        <v>0</v>
      </c>
      <c r="J31" s="207"/>
      <c r="K31" s="199">
        <f t="shared" si="6"/>
        <v>60676.625099999997</v>
      </c>
      <c r="L31" s="197">
        <v>60561.47029200002</v>
      </c>
      <c r="M31" s="197">
        <v>0</v>
      </c>
      <c r="N31" s="197">
        <f t="shared" si="3"/>
        <v>0</v>
      </c>
      <c r="O31" s="197">
        <f t="shared" si="4"/>
        <v>0</v>
      </c>
      <c r="P31" s="197">
        <f t="shared" si="5"/>
        <v>0</v>
      </c>
      <c r="Q31" s="53" t="s">
        <v>318</v>
      </c>
      <c r="R31" s="201"/>
    </row>
    <row r="32" spans="1:18" x14ac:dyDescent="0.25">
      <c r="A32" s="209" t="str">
        <f t="shared" si="2"/>
        <v>323467</v>
      </c>
      <c r="B32" s="54" t="s">
        <v>318</v>
      </c>
      <c r="C32" s="53" t="s">
        <v>196</v>
      </c>
      <c r="D32" s="53" t="s">
        <v>754</v>
      </c>
      <c r="E32" s="53" t="s">
        <v>753</v>
      </c>
      <c r="F32" s="196">
        <v>385</v>
      </c>
      <c r="G32" s="207">
        <v>56595.090000000004</v>
      </c>
      <c r="H32" s="207">
        <v>0</v>
      </c>
      <c r="I32" s="208">
        <v>0</v>
      </c>
      <c r="J32" s="207"/>
      <c r="K32" s="199">
        <f t="shared" si="6"/>
        <v>56595.090000000004</v>
      </c>
      <c r="L32" s="197">
        <v>0</v>
      </c>
      <c r="M32" s="197">
        <v>0</v>
      </c>
      <c r="N32" s="197">
        <f t="shared" si="3"/>
        <v>0</v>
      </c>
      <c r="O32" s="197">
        <f t="shared" si="4"/>
        <v>0</v>
      </c>
      <c r="P32" s="197">
        <f t="shared" si="5"/>
        <v>0</v>
      </c>
      <c r="Q32" s="53" t="s">
        <v>318</v>
      </c>
      <c r="R32" s="201"/>
    </row>
    <row r="33" spans="1:18" x14ac:dyDescent="0.25">
      <c r="A33" s="209" t="str">
        <f t="shared" si="2"/>
        <v>323469</v>
      </c>
      <c r="B33" s="54" t="s">
        <v>318</v>
      </c>
      <c r="C33" s="53" t="s">
        <v>196</v>
      </c>
      <c r="D33" s="53" t="s">
        <v>752</v>
      </c>
      <c r="E33" s="53" t="s">
        <v>751</v>
      </c>
      <c r="F33" s="196">
        <v>378</v>
      </c>
      <c r="G33" s="207">
        <v>1117315.6200000001</v>
      </c>
      <c r="H33" s="207">
        <v>0</v>
      </c>
      <c r="I33" s="208">
        <v>0</v>
      </c>
      <c r="J33" s="207"/>
      <c r="K33" s="199">
        <f t="shared" si="6"/>
        <v>1117315.6200000001</v>
      </c>
      <c r="L33" s="197">
        <v>0</v>
      </c>
      <c r="M33" s="197">
        <v>0</v>
      </c>
      <c r="N33" s="197">
        <f t="shared" si="3"/>
        <v>0</v>
      </c>
      <c r="O33" s="197">
        <f t="shared" si="4"/>
        <v>0</v>
      </c>
      <c r="P33" s="197">
        <f t="shared" si="5"/>
        <v>0</v>
      </c>
      <c r="Q33" s="53" t="s">
        <v>318</v>
      </c>
      <c r="R33" s="201"/>
    </row>
    <row r="34" spans="1:18" x14ac:dyDescent="0.25">
      <c r="A34" s="209" t="str">
        <f t="shared" si="2"/>
        <v>323472</v>
      </c>
      <c r="B34" s="54" t="s">
        <v>318</v>
      </c>
      <c r="C34" s="53" t="s">
        <v>196</v>
      </c>
      <c r="D34" s="53" t="s">
        <v>750</v>
      </c>
      <c r="E34" s="53" t="s">
        <v>749</v>
      </c>
      <c r="F34" s="196">
        <v>378</v>
      </c>
      <c r="G34" s="207">
        <v>540060.30000000005</v>
      </c>
      <c r="H34" s="207">
        <v>0</v>
      </c>
      <c r="I34" s="208">
        <v>0</v>
      </c>
      <c r="J34" s="207"/>
      <c r="K34" s="199">
        <f t="shared" si="6"/>
        <v>540060.30000000005</v>
      </c>
      <c r="L34" s="197">
        <v>0</v>
      </c>
      <c r="M34" s="197">
        <v>0</v>
      </c>
      <c r="N34" s="197">
        <f t="shared" si="3"/>
        <v>0</v>
      </c>
      <c r="O34" s="197">
        <f t="shared" si="4"/>
        <v>0</v>
      </c>
      <c r="P34" s="197">
        <f t="shared" si="5"/>
        <v>0</v>
      </c>
      <c r="Q34" s="53" t="s">
        <v>318</v>
      </c>
      <c r="R34" s="201"/>
    </row>
    <row r="35" spans="1:18" x14ac:dyDescent="0.25">
      <c r="A35" s="209" t="str">
        <f t="shared" si="2"/>
        <v>324619</v>
      </c>
      <c r="B35" s="54" t="s">
        <v>318</v>
      </c>
      <c r="C35" s="53" t="s">
        <v>196</v>
      </c>
      <c r="D35" s="53" t="s">
        <v>748</v>
      </c>
      <c r="E35" s="53" t="s">
        <v>747</v>
      </c>
      <c r="F35" s="196">
        <v>303</v>
      </c>
      <c r="G35" s="207">
        <v>0</v>
      </c>
      <c r="H35" s="207">
        <v>345851.46120300004</v>
      </c>
      <c r="I35" s="208">
        <v>0</v>
      </c>
      <c r="J35" s="207"/>
      <c r="K35" s="199">
        <f t="shared" si="6"/>
        <v>0</v>
      </c>
      <c r="L35" s="197">
        <v>345851.46120300004</v>
      </c>
      <c r="M35" s="197">
        <v>0</v>
      </c>
      <c r="N35" s="197">
        <f t="shared" si="3"/>
        <v>0</v>
      </c>
      <c r="O35" s="197">
        <f t="shared" si="4"/>
        <v>0</v>
      </c>
      <c r="P35" s="197">
        <f t="shared" si="5"/>
        <v>0</v>
      </c>
      <c r="Q35" s="53" t="s">
        <v>318</v>
      </c>
      <c r="R35" s="201"/>
    </row>
    <row r="36" spans="1:18" x14ac:dyDescent="0.25">
      <c r="A36" s="209" t="str">
        <f t="shared" si="2"/>
        <v>324624</v>
      </c>
      <c r="B36" s="54" t="s">
        <v>318</v>
      </c>
      <c r="C36" s="53" t="s">
        <v>196</v>
      </c>
      <c r="D36" s="53" t="s">
        <v>746</v>
      </c>
      <c r="E36" s="53" t="s">
        <v>745</v>
      </c>
      <c r="F36" s="196">
        <v>303</v>
      </c>
      <c r="G36" s="207">
        <v>0</v>
      </c>
      <c r="H36" s="207">
        <v>221968.01196600002</v>
      </c>
      <c r="I36" s="208">
        <v>0</v>
      </c>
      <c r="J36" s="207"/>
      <c r="K36" s="199">
        <f t="shared" si="6"/>
        <v>0</v>
      </c>
      <c r="L36" s="197">
        <v>221968.01196600002</v>
      </c>
      <c r="M36" s="197">
        <v>0</v>
      </c>
      <c r="N36" s="197">
        <f t="shared" si="3"/>
        <v>0</v>
      </c>
      <c r="O36" s="197">
        <f t="shared" si="4"/>
        <v>0</v>
      </c>
      <c r="P36" s="197">
        <f t="shared" si="5"/>
        <v>0</v>
      </c>
      <c r="Q36" s="53" t="s">
        <v>318</v>
      </c>
      <c r="R36" s="201"/>
    </row>
    <row r="37" spans="1:18" x14ac:dyDescent="0.25">
      <c r="A37" s="209" t="str">
        <f t="shared" si="2"/>
        <v>319111</v>
      </c>
      <c r="B37" s="54" t="s">
        <v>318</v>
      </c>
      <c r="C37" s="53" t="s">
        <v>196</v>
      </c>
      <c r="D37" s="53" t="s">
        <v>744</v>
      </c>
      <c r="E37" s="53" t="s">
        <v>743</v>
      </c>
      <c r="F37" s="196">
        <v>376.3</v>
      </c>
      <c r="G37" s="207">
        <v>3610320.72</v>
      </c>
      <c r="H37" s="207">
        <v>5910841.3118439987</v>
      </c>
      <c r="I37" s="208">
        <v>0</v>
      </c>
      <c r="J37" s="207"/>
      <c r="K37" s="199">
        <f t="shared" si="6"/>
        <v>3610320.72</v>
      </c>
      <c r="L37" s="197">
        <v>5910841.3118439987</v>
      </c>
      <c r="M37" s="197">
        <v>0</v>
      </c>
      <c r="N37" s="197">
        <f t="shared" si="3"/>
        <v>0</v>
      </c>
      <c r="O37" s="197">
        <f t="shared" si="4"/>
        <v>0</v>
      </c>
      <c r="P37" s="197">
        <f t="shared" si="5"/>
        <v>0</v>
      </c>
      <c r="Q37" s="53" t="s">
        <v>318</v>
      </c>
      <c r="R37" s="201"/>
    </row>
    <row r="38" spans="1:18" x14ac:dyDescent="0.25">
      <c r="A38" s="209" t="str">
        <f t="shared" si="2"/>
        <v>319112</v>
      </c>
      <c r="B38" s="54" t="s">
        <v>318</v>
      </c>
      <c r="C38" s="53" t="s">
        <v>196</v>
      </c>
      <c r="D38" s="53" t="s">
        <v>742</v>
      </c>
      <c r="E38" s="53" t="s">
        <v>741</v>
      </c>
      <c r="F38" s="196">
        <v>380.3</v>
      </c>
      <c r="G38" s="207">
        <v>375340.57199999999</v>
      </c>
      <c r="H38" s="207">
        <v>912858.45250000001</v>
      </c>
      <c r="I38" s="208">
        <v>0</v>
      </c>
      <c r="J38" s="207"/>
      <c r="K38" s="199">
        <f t="shared" si="6"/>
        <v>375340.57199999999</v>
      </c>
      <c r="L38" s="197">
        <v>912858.45250000001</v>
      </c>
      <c r="M38" s="197">
        <v>0</v>
      </c>
      <c r="N38" s="197">
        <f t="shared" si="3"/>
        <v>0</v>
      </c>
      <c r="O38" s="197">
        <f t="shared" si="4"/>
        <v>0</v>
      </c>
      <c r="P38" s="197">
        <f t="shared" si="5"/>
        <v>0</v>
      </c>
      <c r="Q38" s="53" t="s">
        <v>318</v>
      </c>
      <c r="R38" s="201"/>
    </row>
    <row r="39" spans="1:18" x14ac:dyDescent="0.25">
      <c r="A39" s="209" t="str">
        <f t="shared" si="2"/>
        <v>323775</v>
      </c>
      <c r="B39" s="54" t="s">
        <v>318</v>
      </c>
      <c r="C39" s="53" t="s">
        <v>196</v>
      </c>
      <c r="D39" s="53" t="s">
        <v>740</v>
      </c>
      <c r="E39" s="53" t="s">
        <v>739</v>
      </c>
      <c r="F39" s="196">
        <v>385</v>
      </c>
      <c r="G39" s="207">
        <v>200050.77000000002</v>
      </c>
      <c r="H39" s="207">
        <v>0</v>
      </c>
      <c r="I39" s="208">
        <v>0</v>
      </c>
      <c r="J39" s="207"/>
      <c r="K39" s="199">
        <f t="shared" si="6"/>
        <v>200050.77000000002</v>
      </c>
      <c r="L39" s="197">
        <v>0</v>
      </c>
      <c r="M39" s="197">
        <v>0</v>
      </c>
      <c r="N39" s="197">
        <f t="shared" si="3"/>
        <v>0</v>
      </c>
      <c r="O39" s="197">
        <f t="shared" si="4"/>
        <v>0</v>
      </c>
      <c r="P39" s="197">
        <f t="shared" si="5"/>
        <v>0</v>
      </c>
      <c r="Q39" s="53" t="s">
        <v>318</v>
      </c>
      <c r="R39" s="201"/>
    </row>
    <row r="40" spans="1:18" x14ac:dyDescent="0.25">
      <c r="A40" s="209" t="str">
        <f t="shared" si="2"/>
        <v>323824</v>
      </c>
      <c r="B40" s="54" t="s">
        <v>318</v>
      </c>
      <c r="C40" s="53" t="s">
        <v>196</v>
      </c>
      <c r="D40" s="53" t="s">
        <v>738</v>
      </c>
      <c r="E40" s="53" t="s">
        <v>737</v>
      </c>
      <c r="F40" s="196">
        <v>376.2</v>
      </c>
      <c r="G40" s="207">
        <v>1934355.9500000002</v>
      </c>
      <c r="H40" s="207">
        <v>0</v>
      </c>
      <c r="I40" s="208">
        <v>0</v>
      </c>
      <c r="J40" s="207"/>
      <c r="K40" s="199">
        <f t="shared" si="6"/>
        <v>1934355.9500000002</v>
      </c>
      <c r="L40" s="197">
        <v>0</v>
      </c>
      <c r="M40" s="197">
        <v>0</v>
      </c>
      <c r="N40" s="197">
        <f t="shared" si="3"/>
        <v>0</v>
      </c>
      <c r="O40" s="197">
        <f t="shared" si="4"/>
        <v>0</v>
      </c>
      <c r="P40" s="197">
        <f t="shared" si="5"/>
        <v>0</v>
      </c>
      <c r="Q40" s="53" t="s">
        <v>318</v>
      </c>
      <c r="R40" s="201"/>
    </row>
    <row r="41" spans="1:18" x14ac:dyDescent="0.25">
      <c r="A41" s="209" t="str">
        <f t="shared" si="2"/>
        <v>323840</v>
      </c>
      <c r="B41" s="54" t="s">
        <v>318</v>
      </c>
      <c r="C41" s="53" t="s">
        <v>196</v>
      </c>
      <c r="D41" s="53" t="s">
        <v>736</v>
      </c>
      <c r="E41" s="53" t="s">
        <v>735</v>
      </c>
      <c r="F41" s="196">
        <v>378</v>
      </c>
      <c r="G41" s="207">
        <v>0</v>
      </c>
      <c r="H41" s="207">
        <v>886934.01</v>
      </c>
      <c r="I41" s="208">
        <v>0</v>
      </c>
      <c r="J41" s="207"/>
      <c r="K41" s="199">
        <f t="shared" si="6"/>
        <v>0</v>
      </c>
      <c r="L41" s="197">
        <v>886934.01</v>
      </c>
      <c r="M41" s="197">
        <v>0</v>
      </c>
      <c r="N41" s="197">
        <f t="shared" si="3"/>
        <v>0</v>
      </c>
      <c r="O41" s="197">
        <f t="shared" si="4"/>
        <v>0</v>
      </c>
      <c r="P41" s="197">
        <f t="shared" si="5"/>
        <v>0</v>
      </c>
      <c r="Q41" s="53" t="s">
        <v>318</v>
      </c>
      <c r="R41" s="201"/>
    </row>
    <row r="42" spans="1:18" x14ac:dyDescent="0.25">
      <c r="A42" s="215">
        <v>323481</v>
      </c>
      <c r="B42" s="54" t="s">
        <v>318</v>
      </c>
      <c r="C42" s="53" t="s">
        <v>196</v>
      </c>
      <c r="D42" s="53" t="s">
        <v>734</v>
      </c>
      <c r="E42" s="53" t="s">
        <v>733</v>
      </c>
      <c r="F42" s="196">
        <v>378</v>
      </c>
      <c r="G42" s="207">
        <v>789230.02</v>
      </c>
      <c r="H42" s="207">
        <v>0</v>
      </c>
      <c r="I42" s="208">
        <v>0</v>
      </c>
      <c r="J42" s="207"/>
      <c r="K42" s="199">
        <f t="shared" ref="K42:K73" si="7">IF(B42="",G42,0)</f>
        <v>789230.02</v>
      </c>
      <c r="L42" s="197">
        <v>0</v>
      </c>
      <c r="M42" s="197">
        <v>0</v>
      </c>
      <c r="N42" s="197">
        <f t="shared" si="3"/>
        <v>0</v>
      </c>
      <c r="O42" s="197">
        <f t="shared" si="4"/>
        <v>0</v>
      </c>
      <c r="P42" s="197">
        <f t="shared" si="5"/>
        <v>0</v>
      </c>
      <c r="Q42" s="53" t="s">
        <v>318</v>
      </c>
      <c r="R42" s="201"/>
    </row>
    <row r="43" spans="1:18" x14ac:dyDescent="0.25">
      <c r="A43" s="209" t="str">
        <f t="shared" ref="A43:A74" si="8">RIGHT(D43,LEN(D43)-3)</f>
        <v>320144</v>
      </c>
      <c r="B43" s="54" t="s">
        <v>318</v>
      </c>
      <c r="C43" s="53" t="s">
        <v>196</v>
      </c>
      <c r="D43" s="53" t="s">
        <v>732</v>
      </c>
      <c r="E43" s="53" t="s">
        <v>731</v>
      </c>
      <c r="F43" s="196">
        <v>379</v>
      </c>
      <c r="G43" s="207">
        <v>0</v>
      </c>
      <c r="H43" s="207">
        <v>2531049.7000000002</v>
      </c>
      <c r="I43" s="208">
        <v>0</v>
      </c>
      <c r="J43" s="207"/>
      <c r="K43" s="199">
        <f t="shared" si="7"/>
        <v>0</v>
      </c>
      <c r="L43" s="197">
        <v>2531049.7000000002</v>
      </c>
      <c r="M43" s="197">
        <v>0</v>
      </c>
      <c r="N43" s="197">
        <f t="shared" si="3"/>
        <v>0</v>
      </c>
      <c r="O43" s="197">
        <f t="shared" si="4"/>
        <v>0</v>
      </c>
      <c r="P43" s="197">
        <f t="shared" si="5"/>
        <v>0</v>
      </c>
      <c r="Q43" s="53" t="s">
        <v>318</v>
      </c>
      <c r="R43" s="201"/>
    </row>
    <row r="44" spans="1:18" x14ac:dyDescent="0.25">
      <c r="A44" s="209" t="str">
        <f t="shared" si="8"/>
        <v>320155</v>
      </c>
      <c r="B44" s="54" t="s">
        <v>318</v>
      </c>
      <c r="C44" s="53" t="s">
        <v>196</v>
      </c>
      <c r="D44" s="53" t="s">
        <v>730</v>
      </c>
      <c r="E44" s="53" t="s">
        <v>729</v>
      </c>
      <c r="F44" s="196">
        <v>303</v>
      </c>
      <c r="G44" s="207">
        <v>0</v>
      </c>
      <c r="H44" s="207">
        <v>5054117.12</v>
      </c>
      <c r="I44" s="208">
        <v>0</v>
      </c>
      <c r="J44" s="207"/>
      <c r="K44" s="199">
        <f t="shared" si="7"/>
        <v>0</v>
      </c>
      <c r="L44" s="197">
        <v>5054117.12</v>
      </c>
      <c r="M44" s="197">
        <v>0</v>
      </c>
      <c r="N44" s="197">
        <f t="shared" si="3"/>
        <v>0</v>
      </c>
      <c r="O44" s="197">
        <f t="shared" si="4"/>
        <v>0</v>
      </c>
      <c r="P44" s="197">
        <f t="shared" si="5"/>
        <v>0</v>
      </c>
      <c r="Q44" s="53" t="s">
        <v>318</v>
      </c>
      <c r="R44" s="201"/>
    </row>
    <row r="45" spans="1:18" x14ac:dyDescent="0.25">
      <c r="A45" s="209" t="str">
        <f t="shared" si="8"/>
        <v>320159</v>
      </c>
      <c r="B45" s="54" t="s">
        <v>318</v>
      </c>
      <c r="C45" s="53" t="s">
        <v>196</v>
      </c>
      <c r="D45" s="53" t="s">
        <v>728</v>
      </c>
      <c r="E45" s="53" t="s">
        <v>727</v>
      </c>
      <c r="F45" s="196">
        <v>376.2</v>
      </c>
      <c r="G45" s="207">
        <v>0</v>
      </c>
      <c r="H45" s="207">
        <v>8810449.4399999995</v>
      </c>
      <c r="I45" s="208">
        <v>0</v>
      </c>
      <c r="J45" s="207"/>
      <c r="K45" s="199">
        <f t="shared" si="7"/>
        <v>0</v>
      </c>
      <c r="L45" s="197">
        <v>8810449.4399999995</v>
      </c>
      <c r="M45" s="197">
        <v>0</v>
      </c>
      <c r="N45" s="197">
        <f t="shared" si="3"/>
        <v>0</v>
      </c>
      <c r="O45" s="197">
        <f t="shared" si="4"/>
        <v>0</v>
      </c>
      <c r="P45" s="197">
        <f t="shared" si="5"/>
        <v>0</v>
      </c>
      <c r="Q45" s="53" t="s">
        <v>318</v>
      </c>
      <c r="R45" s="201"/>
    </row>
    <row r="46" spans="1:18" x14ac:dyDescent="0.25">
      <c r="A46" s="209" t="str">
        <f t="shared" si="8"/>
        <v>324823</v>
      </c>
      <c r="B46" s="54" t="s">
        <v>318</v>
      </c>
      <c r="C46" s="53" t="s">
        <v>196</v>
      </c>
      <c r="D46" s="53" t="s">
        <v>726</v>
      </c>
      <c r="E46" s="53" t="s">
        <v>725</v>
      </c>
      <c r="F46" s="196">
        <v>379</v>
      </c>
      <c r="G46" s="207">
        <v>4024.9238160000004</v>
      </c>
      <c r="H46" s="207">
        <v>0</v>
      </c>
      <c r="I46" s="208">
        <v>0</v>
      </c>
      <c r="J46" s="207"/>
      <c r="K46" s="199">
        <f t="shared" si="7"/>
        <v>4024.9238160000004</v>
      </c>
      <c r="L46" s="197">
        <v>0</v>
      </c>
      <c r="M46" s="197">
        <v>0</v>
      </c>
      <c r="N46" s="197">
        <f t="shared" si="3"/>
        <v>0</v>
      </c>
      <c r="O46" s="197">
        <f t="shared" si="4"/>
        <v>0</v>
      </c>
      <c r="P46" s="197">
        <f t="shared" si="5"/>
        <v>0</v>
      </c>
      <c r="Q46" s="53" t="s">
        <v>318</v>
      </c>
      <c r="R46" s="201"/>
    </row>
    <row r="47" spans="1:18" x14ac:dyDescent="0.25">
      <c r="A47" s="209" t="str">
        <f t="shared" si="8"/>
        <v>324827</v>
      </c>
      <c r="B47" s="54" t="s">
        <v>318</v>
      </c>
      <c r="C47" s="53" t="s">
        <v>196</v>
      </c>
      <c r="D47" s="53" t="s">
        <v>724</v>
      </c>
      <c r="E47" s="53" t="s">
        <v>723</v>
      </c>
      <c r="F47" s="196">
        <v>379</v>
      </c>
      <c r="G47" s="207">
        <v>3930.4877160000005</v>
      </c>
      <c r="H47" s="207">
        <v>0</v>
      </c>
      <c r="I47" s="208">
        <v>0</v>
      </c>
      <c r="J47" s="207"/>
      <c r="K47" s="199">
        <f t="shared" si="7"/>
        <v>3930.4877160000005</v>
      </c>
      <c r="L47" s="197">
        <v>0</v>
      </c>
      <c r="M47" s="197">
        <v>0</v>
      </c>
      <c r="N47" s="197">
        <f t="shared" si="3"/>
        <v>0</v>
      </c>
      <c r="O47" s="197">
        <f t="shared" si="4"/>
        <v>0</v>
      </c>
      <c r="P47" s="197">
        <f t="shared" si="5"/>
        <v>0</v>
      </c>
      <c r="Q47" s="53" t="s">
        <v>318</v>
      </c>
      <c r="R47" s="201"/>
    </row>
    <row r="48" spans="1:18" x14ac:dyDescent="0.25">
      <c r="A48" s="209" t="str">
        <f t="shared" si="8"/>
        <v>324828</v>
      </c>
      <c r="B48" s="54" t="s">
        <v>318</v>
      </c>
      <c r="C48" s="53" t="s">
        <v>196</v>
      </c>
      <c r="D48" s="53" t="s">
        <v>722</v>
      </c>
      <c r="E48" s="53" t="s">
        <v>721</v>
      </c>
      <c r="F48" s="196">
        <v>379</v>
      </c>
      <c r="G48" s="207">
        <v>4024.9238160000004</v>
      </c>
      <c r="H48" s="207">
        <v>0</v>
      </c>
      <c r="I48" s="208">
        <v>0</v>
      </c>
      <c r="J48" s="207"/>
      <c r="K48" s="199">
        <f t="shared" si="7"/>
        <v>4024.9238160000004</v>
      </c>
      <c r="L48" s="197">
        <v>0</v>
      </c>
      <c r="M48" s="197">
        <v>0</v>
      </c>
      <c r="N48" s="197">
        <f t="shared" si="3"/>
        <v>0</v>
      </c>
      <c r="O48" s="197">
        <f t="shared" si="4"/>
        <v>0</v>
      </c>
      <c r="P48" s="197">
        <f t="shared" si="5"/>
        <v>0</v>
      </c>
      <c r="Q48" s="53" t="s">
        <v>318</v>
      </c>
      <c r="R48" s="201"/>
    </row>
    <row r="49" spans="1:18" x14ac:dyDescent="0.25">
      <c r="A49" s="209" t="str">
        <f t="shared" si="8"/>
        <v>324829</v>
      </c>
      <c r="B49" s="54" t="s">
        <v>318</v>
      </c>
      <c r="C49" s="53" t="s">
        <v>196</v>
      </c>
      <c r="D49" s="53" t="s">
        <v>720</v>
      </c>
      <c r="E49" s="53" t="s">
        <v>719</v>
      </c>
      <c r="F49" s="196">
        <v>379</v>
      </c>
      <c r="G49" s="207">
        <v>4024.9238160000004</v>
      </c>
      <c r="H49" s="207">
        <v>0</v>
      </c>
      <c r="I49" s="208">
        <v>0</v>
      </c>
      <c r="J49" s="207"/>
      <c r="K49" s="199">
        <f t="shared" si="7"/>
        <v>4024.9238160000004</v>
      </c>
      <c r="L49" s="197">
        <v>0</v>
      </c>
      <c r="M49" s="197">
        <v>0</v>
      </c>
      <c r="N49" s="197">
        <f t="shared" si="3"/>
        <v>0</v>
      </c>
      <c r="O49" s="197">
        <f t="shared" si="4"/>
        <v>0</v>
      </c>
      <c r="P49" s="197">
        <f t="shared" si="5"/>
        <v>0</v>
      </c>
      <c r="Q49" s="53" t="s">
        <v>318</v>
      </c>
      <c r="R49" s="201"/>
    </row>
    <row r="50" spans="1:18" x14ac:dyDescent="0.25">
      <c r="A50" s="209" t="str">
        <f t="shared" si="8"/>
        <v>324830</v>
      </c>
      <c r="B50" s="54" t="s">
        <v>318</v>
      </c>
      <c r="C50" s="53" t="s">
        <v>196</v>
      </c>
      <c r="D50" s="53" t="s">
        <v>718</v>
      </c>
      <c r="E50" s="53" t="s">
        <v>717</v>
      </c>
      <c r="F50" s="196">
        <v>379</v>
      </c>
      <c r="G50" s="207">
        <v>4024.9238160000004</v>
      </c>
      <c r="H50" s="207">
        <v>0</v>
      </c>
      <c r="I50" s="208">
        <v>0</v>
      </c>
      <c r="J50" s="207"/>
      <c r="K50" s="199">
        <f t="shared" si="7"/>
        <v>4024.9238160000004</v>
      </c>
      <c r="L50" s="197">
        <v>0</v>
      </c>
      <c r="M50" s="197">
        <v>0</v>
      </c>
      <c r="N50" s="197">
        <f t="shared" si="3"/>
        <v>0</v>
      </c>
      <c r="O50" s="197">
        <f t="shared" si="4"/>
        <v>0</v>
      </c>
      <c r="P50" s="197">
        <f t="shared" si="5"/>
        <v>0</v>
      </c>
      <c r="Q50" s="53" t="s">
        <v>318</v>
      </c>
      <c r="R50" s="201"/>
    </row>
    <row r="51" spans="1:18" x14ac:dyDescent="0.25">
      <c r="A51" s="209" t="str">
        <f t="shared" si="8"/>
        <v>324831</v>
      </c>
      <c r="B51" s="54" t="s">
        <v>318</v>
      </c>
      <c r="C51" s="53" t="s">
        <v>196</v>
      </c>
      <c r="D51" s="53" t="s">
        <v>716</v>
      </c>
      <c r="E51" s="53" t="s">
        <v>715</v>
      </c>
      <c r="F51" s="196">
        <v>379</v>
      </c>
      <c r="G51" s="207">
        <v>4024.9238160000004</v>
      </c>
      <c r="H51" s="207">
        <v>0</v>
      </c>
      <c r="I51" s="208">
        <v>0</v>
      </c>
      <c r="J51" s="207"/>
      <c r="K51" s="199">
        <f t="shared" si="7"/>
        <v>4024.9238160000004</v>
      </c>
      <c r="L51" s="197">
        <v>0</v>
      </c>
      <c r="M51" s="197">
        <v>0</v>
      </c>
      <c r="N51" s="197">
        <f t="shared" si="3"/>
        <v>0</v>
      </c>
      <c r="O51" s="197">
        <f t="shared" si="4"/>
        <v>0</v>
      </c>
      <c r="P51" s="197">
        <f t="shared" si="5"/>
        <v>0</v>
      </c>
      <c r="Q51" s="53" t="s">
        <v>318</v>
      </c>
      <c r="R51" s="201"/>
    </row>
    <row r="52" spans="1:18" x14ac:dyDescent="0.25">
      <c r="A52" s="209" t="str">
        <f t="shared" si="8"/>
        <v>324832</v>
      </c>
      <c r="B52" s="54" t="s">
        <v>318</v>
      </c>
      <c r="C52" s="53" t="s">
        <v>196</v>
      </c>
      <c r="D52" s="53" t="s">
        <v>714</v>
      </c>
      <c r="E52" s="53" t="s">
        <v>713</v>
      </c>
      <c r="F52" s="196">
        <v>379</v>
      </c>
      <c r="G52" s="207">
        <v>4024.9238160000004</v>
      </c>
      <c r="H52" s="207">
        <v>0</v>
      </c>
      <c r="I52" s="208">
        <v>0</v>
      </c>
      <c r="J52" s="207"/>
      <c r="K52" s="199">
        <f t="shared" si="7"/>
        <v>4024.9238160000004</v>
      </c>
      <c r="L52" s="197">
        <v>0</v>
      </c>
      <c r="M52" s="197">
        <v>0</v>
      </c>
      <c r="N52" s="197">
        <f t="shared" si="3"/>
        <v>0</v>
      </c>
      <c r="O52" s="197">
        <f t="shared" si="4"/>
        <v>0</v>
      </c>
      <c r="P52" s="197">
        <f t="shared" si="5"/>
        <v>0</v>
      </c>
      <c r="Q52" s="53" t="s">
        <v>318</v>
      </c>
      <c r="R52" s="201"/>
    </row>
    <row r="53" spans="1:18" x14ac:dyDescent="0.25">
      <c r="A53" s="209" t="str">
        <f t="shared" si="8"/>
        <v>324833</v>
      </c>
      <c r="B53" s="54" t="s">
        <v>318</v>
      </c>
      <c r="C53" s="53" t="s">
        <v>196</v>
      </c>
      <c r="D53" s="53" t="s">
        <v>712</v>
      </c>
      <c r="E53" s="53" t="s">
        <v>711</v>
      </c>
      <c r="F53" s="196">
        <v>379</v>
      </c>
      <c r="G53" s="207">
        <v>4024.9238160000004</v>
      </c>
      <c r="H53" s="207">
        <v>0</v>
      </c>
      <c r="I53" s="208">
        <v>0</v>
      </c>
      <c r="J53" s="207"/>
      <c r="K53" s="199">
        <f t="shared" si="7"/>
        <v>4024.9238160000004</v>
      </c>
      <c r="L53" s="197">
        <v>0</v>
      </c>
      <c r="M53" s="197">
        <v>0</v>
      </c>
      <c r="N53" s="197">
        <f t="shared" si="3"/>
        <v>0</v>
      </c>
      <c r="O53" s="197">
        <f t="shared" si="4"/>
        <v>0</v>
      </c>
      <c r="P53" s="197">
        <f t="shared" si="5"/>
        <v>0</v>
      </c>
      <c r="Q53" s="53" t="s">
        <v>318</v>
      </c>
      <c r="R53" s="201"/>
    </row>
    <row r="54" spans="1:18" x14ac:dyDescent="0.25">
      <c r="A54" s="209" t="str">
        <f t="shared" si="8"/>
        <v>324834</v>
      </c>
      <c r="B54" s="54" t="s">
        <v>318</v>
      </c>
      <c r="C54" s="53" t="s">
        <v>196</v>
      </c>
      <c r="D54" s="53" t="s">
        <v>710</v>
      </c>
      <c r="E54" s="53" t="s">
        <v>709</v>
      </c>
      <c r="F54" s="196">
        <v>379</v>
      </c>
      <c r="G54" s="207">
        <v>4024.9238160000004</v>
      </c>
      <c r="H54" s="207">
        <v>0</v>
      </c>
      <c r="I54" s="208">
        <v>0</v>
      </c>
      <c r="J54" s="207"/>
      <c r="K54" s="199">
        <f t="shared" si="7"/>
        <v>4024.9238160000004</v>
      </c>
      <c r="L54" s="197">
        <v>0</v>
      </c>
      <c r="M54" s="197">
        <v>0</v>
      </c>
      <c r="N54" s="197">
        <f t="shared" si="3"/>
        <v>0</v>
      </c>
      <c r="O54" s="197">
        <f t="shared" si="4"/>
        <v>0</v>
      </c>
      <c r="P54" s="197">
        <f t="shared" si="5"/>
        <v>0</v>
      </c>
      <c r="Q54" s="53" t="s">
        <v>318</v>
      </c>
      <c r="R54" s="201"/>
    </row>
    <row r="55" spans="1:18" x14ac:dyDescent="0.25">
      <c r="A55" s="209" t="str">
        <f t="shared" si="8"/>
        <v>324835</v>
      </c>
      <c r="B55" s="54" t="s">
        <v>318</v>
      </c>
      <c r="C55" s="53" t="s">
        <v>196</v>
      </c>
      <c r="D55" s="53" t="s">
        <v>708</v>
      </c>
      <c r="E55" s="53" t="s">
        <v>707</v>
      </c>
      <c r="F55" s="196">
        <v>379</v>
      </c>
      <c r="G55" s="207">
        <v>4024.9238160000004</v>
      </c>
      <c r="H55" s="207">
        <v>0</v>
      </c>
      <c r="I55" s="208">
        <v>0</v>
      </c>
      <c r="J55" s="207"/>
      <c r="K55" s="199">
        <f t="shared" si="7"/>
        <v>4024.9238160000004</v>
      </c>
      <c r="L55" s="197">
        <v>0</v>
      </c>
      <c r="M55" s="197">
        <v>0</v>
      </c>
      <c r="N55" s="197">
        <f t="shared" si="3"/>
        <v>0</v>
      </c>
      <c r="O55" s="197">
        <f t="shared" si="4"/>
        <v>0</v>
      </c>
      <c r="P55" s="197">
        <f t="shared" si="5"/>
        <v>0</v>
      </c>
      <c r="Q55" s="53" t="s">
        <v>318</v>
      </c>
      <c r="R55" s="201"/>
    </row>
    <row r="56" spans="1:18" x14ac:dyDescent="0.25">
      <c r="A56" s="209" t="str">
        <f t="shared" si="8"/>
        <v>324836</v>
      </c>
      <c r="B56" s="54" t="s">
        <v>318</v>
      </c>
      <c r="C56" s="53" t="s">
        <v>196</v>
      </c>
      <c r="D56" s="53" t="s">
        <v>706</v>
      </c>
      <c r="E56" s="53" t="s">
        <v>705</v>
      </c>
      <c r="F56" s="196">
        <v>379</v>
      </c>
      <c r="G56" s="207">
        <v>4024.9238160000004</v>
      </c>
      <c r="H56" s="207">
        <v>0</v>
      </c>
      <c r="I56" s="208">
        <v>0</v>
      </c>
      <c r="J56" s="207"/>
      <c r="K56" s="199">
        <f t="shared" si="7"/>
        <v>4024.9238160000004</v>
      </c>
      <c r="L56" s="197">
        <v>0</v>
      </c>
      <c r="M56" s="197">
        <v>0</v>
      </c>
      <c r="N56" s="197">
        <f t="shared" si="3"/>
        <v>0</v>
      </c>
      <c r="O56" s="197">
        <f t="shared" si="4"/>
        <v>0</v>
      </c>
      <c r="P56" s="197">
        <f t="shared" si="5"/>
        <v>0</v>
      </c>
      <c r="Q56" s="53" t="s">
        <v>318</v>
      </c>
      <c r="R56" s="201"/>
    </row>
    <row r="57" spans="1:18" x14ac:dyDescent="0.25">
      <c r="A57" s="209" t="str">
        <f t="shared" si="8"/>
        <v>325160</v>
      </c>
      <c r="B57" s="54" t="s">
        <v>318</v>
      </c>
      <c r="C57" s="53" t="s">
        <v>196</v>
      </c>
      <c r="D57" s="53" t="s">
        <v>704</v>
      </c>
      <c r="E57" s="53" t="s">
        <v>703</v>
      </c>
      <c r="F57" s="196">
        <v>379</v>
      </c>
      <c r="G57" s="207">
        <v>4582.6119119999994</v>
      </c>
      <c r="H57" s="207">
        <v>0</v>
      </c>
      <c r="I57" s="208">
        <v>0</v>
      </c>
      <c r="J57" s="207"/>
      <c r="K57" s="199">
        <f t="shared" si="7"/>
        <v>4582.6119119999994</v>
      </c>
      <c r="L57" s="197">
        <v>0</v>
      </c>
      <c r="M57" s="197">
        <v>0</v>
      </c>
      <c r="N57" s="197">
        <f t="shared" si="3"/>
        <v>0</v>
      </c>
      <c r="O57" s="197">
        <f t="shared" si="4"/>
        <v>0</v>
      </c>
      <c r="P57" s="197">
        <f t="shared" si="5"/>
        <v>0</v>
      </c>
      <c r="Q57" s="53" t="s">
        <v>318</v>
      </c>
      <c r="R57" s="201"/>
    </row>
    <row r="58" spans="1:18" x14ac:dyDescent="0.25">
      <c r="A58" s="209" t="str">
        <f t="shared" si="8"/>
        <v>325161</v>
      </c>
      <c r="B58" s="54" t="s">
        <v>318</v>
      </c>
      <c r="C58" s="53" t="s">
        <v>196</v>
      </c>
      <c r="D58" s="53" t="s">
        <v>702</v>
      </c>
      <c r="E58" s="53" t="s">
        <v>701</v>
      </c>
      <c r="F58" s="196">
        <v>379</v>
      </c>
      <c r="G58" s="207">
        <v>4582.6119119999994</v>
      </c>
      <c r="H58" s="207">
        <v>0</v>
      </c>
      <c r="I58" s="208">
        <v>0</v>
      </c>
      <c r="J58" s="207"/>
      <c r="K58" s="199">
        <f t="shared" si="7"/>
        <v>4582.6119119999994</v>
      </c>
      <c r="L58" s="197">
        <v>0</v>
      </c>
      <c r="M58" s="197">
        <v>0</v>
      </c>
      <c r="N58" s="197">
        <f t="shared" si="3"/>
        <v>0</v>
      </c>
      <c r="O58" s="197">
        <f t="shared" si="4"/>
        <v>0</v>
      </c>
      <c r="P58" s="197">
        <f t="shared" si="5"/>
        <v>0</v>
      </c>
      <c r="Q58" s="53" t="s">
        <v>318</v>
      </c>
      <c r="R58" s="201"/>
    </row>
    <row r="59" spans="1:18" x14ac:dyDescent="0.25">
      <c r="A59" s="209" t="str">
        <f t="shared" si="8"/>
        <v>325162</v>
      </c>
      <c r="B59" s="54" t="s">
        <v>318</v>
      </c>
      <c r="C59" s="53" t="s">
        <v>196</v>
      </c>
      <c r="D59" s="53" t="s">
        <v>700</v>
      </c>
      <c r="E59" s="53" t="s">
        <v>699</v>
      </c>
      <c r="F59" s="196">
        <v>379</v>
      </c>
      <c r="G59" s="207">
        <v>4591.8647419999998</v>
      </c>
      <c r="H59" s="207">
        <v>0</v>
      </c>
      <c r="I59" s="208">
        <v>0</v>
      </c>
      <c r="J59" s="207"/>
      <c r="K59" s="199">
        <f t="shared" si="7"/>
        <v>4591.8647419999998</v>
      </c>
      <c r="L59" s="197">
        <v>0</v>
      </c>
      <c r="M59" s="197">
        <v>0</v>
      </c>
      <c r="N59" s="197">
        <f t="shared" si="3"/>
        <v>0</v>
      </c>
      <c r="O59" s="197">
        <f t="shared" si="4"/>
        <v>0</v>
      </c>
      <c r="P59" s="197">
        <f t="shared" si="5"/>
        <v>0</v>
      </c>
      <c r="Q59" s="53" t="s">
        <v>318</v>
      </c>
      <c r="R59" s="201"/>
    </row>
    <row r="60" spans="1:18" x14ac:dyDescent="0.25">
      <c r="A60" s="209" t="str">
        <f t="shared" si="8"/>
        <v>325163</v>
      </c>
      <c r="B60" s="54" t="s">
        <v>318</v>
      </c>
      <c r="C60" s="53" t="s">
        <v>196</v>
      </c>
      <c r="D60" s="53" t="s">
        <v>698</v>
      </c>
      <c r="E60" s="53" t="s">
        <v>697</v>
      </c>
      <c r="F60" s="196">
        <v>379</v>
      </c>
      <c r="G60" s="207">
        <v>4582.6119119999994</v>
      </c>
      <c r="H60" s="207">
        <v>0</v>
      </c>
      <c r="I60" s="208">
        <v>0</v>
      </c>
      <c r="J60" s="207"/>
      <c r="K60" s="199">
        <f t="shared" si="7"/>
        <v>4582.6119119999994</v>
      </c>
      <c r="L60" s="197">
        <v>0</v>
      </c>
      <c r="M60" s="197">
        <v>0</v>
      </c>
      <c r="N60" s="197">
        <f t="shared" si="3"/>
        <v>0</v>
      </c>
      <c r="O60" s="197">
        <f t="shared" si="4"/>
        <v>0</v>
      </c>
      <c r="P60" s="197">
        <f t="shared" si="5"/>
        <v>0</v>
      </c>
      <c r="Q60" s="53" t="s">
        <v>318</v>
      </c>
      <c r="R60" s="201"/>
    </row>
    <row r="61" spans="1:18" x14ac:dyDescent="0.25">
      <c r="A61" s="209" t="str">
        <f t="shared" si="8"/>
        <v>323636</v>
      </c>
      <c r="B61" s="54" t="s">
        <v>318</v>
      </c>
      <c r="C61" s="53" t="s">
        <v>196</v>
      </c>
      <c r="D61" s="53" t="s">
        <v>696</v>
      </c>
      <c r="E61" s="53" t="s">
        <v>695</v>
      </c>
      <c r="F61" s="196">
        <v>376.2</v>
      </c>
      <c r="G61" s="207">
        <v>63627.04733899999</v>
      </c>
      <c r="H61" s="207">
        <v>0</v>
      </c>
      <c r="I61" s="208">
        <v>0</v>
      </c>
      <c r="J61" s="207"/>
      <c r="K61" s="199">
        <f t="shared" si="7"/>
        <v>63627.04733899999</v>
      </c>
      <c r="L61" s="197">
        <v>0</v>
      </c>
      <c r="M61" s="197">
        <v>0</v>
      </c>
      <c r="N61" s="197">
        <f t="shared" si="3"/>
        <v>0</v>
      </c>
      <c r="O61" s="197">
        <f t="shared" si="4"/>
        <v>0</v>
      </c>
      <c r="P61" s="197">
        <f t="shared" si="5"/>
        <v>0</v>
      </c>
      <c r="Q61" s="53" t="s">
        <v>318</v>
      </c>
      <c r="R61" s="201"/>
    </row>
    <row r="62" spans="1:18" x14ac:dyDescent="0.25">
      <c r="A62" s="209" t="str">
        <f t="shared" si="8"/>
        <v>323730</v>
      </c>
      <c r="B62" s="54" t="s">
        <v>318</v>
      </c>
      <c r="C62" s="53" t="s">
        <v>196</v>
      </c>
      <c r="D62" s="53" t="s">
        <v>694</v>
      </c>
      <c r="E62" s="53" t="s">
        <v>693</v>
      </c>
      <c r="F62" s="196">
        <v>378</v>
      </c>
      <c r="G62" s="207">
        <v>206332.31882699998</v>
      </c>
      <c r="H62" s="207">
        <v>0</v>
      </c>
      <c r="I62" s="208">
        <v>0</v>
      </c>
      <c r="J62" s="207"/>
      <c r="K62" s="199">
        <f t="shared" si="7"/>
        <v>206332.31882699998</v>
      </c>
      <c r="L62" s="197">
        <v>0</v>
      </c>
      <c r="M62" s="197">
        <v>0</v>
      </c>
      <c r="N62" s="197">
        <f t="shared" si="3"/>
        <v>0</v>
      </c>
      <c r="O62" s="197">
        <f t="shared" si="4"/>
        <v>0</v>
      </c>
      <c r="P62" s="197">
        <f t="shared" si="5"/>
        <v>0</v>
      </c>
      <c r="Q62" s="53" t="s">
        <v>318</v>
      </c>
      <c r="R62" s="201"/>
    </row>
    <row r="63" spans="1:18" x14ac:dyDescent="0.25">
      <c r="A63" s="209" t="str">
        <f t="shared" si="8"/>
        <v>324475</v>
      </c>
      <c r="B63" s="54" t="s">
        <v>318</v>
      </c>
      <c r="C63" s="53" t="s">
        <v>196</v>
      </c>
      <c r="D63" s="53" t="s">
        <v>692</v>
      </c>
      <c r="E63" s="53" t="s">
        <v>691</v>
      </c>
      <c r="F63" s="196">
        <v>394.1</v>
      </c>
      <c r="G63" s="207">
        <v>15078.5602</v>
      </c>
      <c r="H63" s="207">
        <v>0</v>
      </c>
      <c r="I63" s="208">
        <v>0</v>
      </c>
      <c r="J63" s="207"/>
      <c r="K63" s="199">
        <f t="shared" si="7"/>
        <v>15078.5602</v>
      </c>
      <c r="L63" s="197">
        <v>0</v>
      </c>
      <c r="M63" s="197">
        <v>0</v>
      </c>
      <c r="N63" s="197">
        <f t="shared" si="3"/>
        <v>0</v>
      </c>
      <c r="O63" s="197">
        <f t="shared" si="4"/>
        <v>0</v>
      </c>
      <c r="P63" s="197">
        <f t="shared" si="5"/>
        <v>0</v>
      </c>
      <c r="Q63" s="53" t="s">
        <v>318</v>
      </c>
      <c r="R63" s="201"/>
    </row>
    <row r="64" spans="1:18" x14ac:dyDescent="0.25">
      <c r="A64" s="209" t="str">
        <f t="shared" si="8"/>
        <v>324778</v>
      </c>
      <c r="B64" s="54" t="s">
        <v>318</v>
      </c>
      <c r="C64" s="53" t="s">
        <v>196</v>
      </c>
      <c r="D64" s="53" t="s">
        <v>690</v>
      </c>
      <c r="E64" s="53" t="s">
        <v>689</v>
      </c>
      <c r="F64" s="196">
        <v>390.1</v>
      </c>
      <c r="G64" s="207">
        <v>155213.86869500001</v>
      </c>
      <c r="H64" s="207">
        <v>0</v>
      </c>
      <c r="I64" s="208">
        <v>0</v>
      </c>
      <c r="J64" s="207"/>
      <c r="K64" s="199">
        <f t="shared" si="7"/>
        <v>155213.86869500001</v>
      </c>
      <c r="L64" s="197">
        <v>0</v>
      </c>
      <c r="M64" s="197">
        <v>0</v>
      </c>
      <c r="N64" s="197">
        <f t="shared" si="3"/>
        <v>0</v>
      </c>
      <c r="O64" s="197">
        <f t="shared" si="4"/>
        <v>0</v>
      </c>
      <c r="P64" s="197">
        <f t="shared" si="5"/>
        <v>0</v>
      </c>
      <c r="Q64" s="53" t="s">
        <v>318</v>
      </c>
      <c r="R64" s="201"/>
    </row>
    <row r="65" spans="1:18" x14ac:dyDescent="0.25">
      <c r="A65" s="209" t="str">
        <f t="shared" si="8"/>
        <v>319057</v>
      </c>
      <c r="B65" s="54" t="s">
        <v>318</v>
      </c>
      <c r="C65" s="53" t="s">
        <v>196</v>
      </c>
      <c r="D65" s="53" t="s">
        <v>688</v>
      </c>
      <c r="E65" s="53" t="s">
        <v>687</v>
      </c>
      <c r="F65" s="196">
        <v>378</v>
      </c>
      <c r="G65" s="207">
        <v>1901518.06</v>
      </c>
      <c r="H65" s="207">
        <v>0</v>
      </c>
      <c r="I65" s="208">
        <v>0</v>
      </c>
      <c r="J65" s="207"/>
      <c r="K65" s="199">
        <f t="shared" si="7"/>
        <v>1901518.06</v>
      </c>
      <c r="L65" s="197">
        <v>0</v>
      </c>
      <c r="M65" s="197">
        <v>0</v>
      </c>
      <c r="N65" s="197">
        <f t="shared" si="3"/>
        <v>0</v>
      </c>
      <c r="O65" s="197">
        <f t="shared" si="4"/>
        <v>0</v>
      </c>
      <c r="P65" s="197">
        <f t="shared" si="5"/>
        <v>0</v>
      </c>
      <c r="Q65" s="53" t="s">
        <v>318</v>
      </c>
      <c r="R65" s="201"/>
    </row>
    <row r="66" spans="1:18" x14ac:dyDescent="0.25">
      <c r="A66" s="209" t="str">
        <f t="shared" si="8"/>
        <v>319061</v>
      </c>
      <c r="B66" s="54" t="s">
        <v>318</v>
      </c>
      <c r="C66" s="53" t="s">
        <v>196</v>
      </c>
      <c r="D66" s="53" t="s">
        <v>686</v>
      </c>
      <c r="E66" s="53" t="s">
        <v>685</v>
      </c>
      <c r="F66" s="196">
        <v>376.3</v>
      </c>
      <c r="G66" s="207">
        <v>2258569</v>
      </c>
      <c r="H66" s="207">
        <v>0</v>
      </c>
      <c r="I66" s="208">
        <v>0</v>
      </c>
      <c r="J66" s="207"/>
      <c r="K66" s="199">
        <f t="shared" si="7"/>
        <v>2258569</v>
      </c>
      <c r="L66" s="197">
        <v>0</v>
      </c>
      <c r="M66" s="197">
        <v>0</v>
      </c>
      <c r="N66" s="197">
        <f t="shared" si="3"/>
        <v>0</v>
      </c>
      <c r="O66" s="197">
        <f t="shared" si="4"/>
        <v>0</v>
      </c>
      <c r="P66" s="197">
        <f t="shared" si="5"/>
        <v>0</v>
      </c>
      <c r="Q66" s="53" t="s">
        <v>318</v>
      </c>
      <c r="R66" s="201"/>
    </row>
    <row r="67" spans="1:18" x14ac:dyDescent="0.25">
      <c r="A67" s="209" t="str">
        <f t="shared" si="8"/>
        <v>320034</v>
      </c>
      <c r="B67" s="54" t="s">
        <v>318</v>
      </c>
      <c r="C67" s="53" t="s">
        <v>196</v>
      </c>
      <c r="D67" s="53" t="s">
        <v>684</v>
      </c>
      <c r="E67" s="53" t="s">
        <v>683</v>
      </c>
      <c r="F67" s="196">
        <v>303</v>
      </c>
      <c r="G67" s="207">
        <v>3016751.45</v>
      </c>
      <c r="H67" s="207">
        <v>0</v>
      </c>
      <c r="I67" s="208">
        <v>0</v>
      </c>
      <c r="J67" s="207"/>
      <c r="K67" s="199">
        <f t="shared" si="7"/>
        <v>3016751.45</v>
      </c>
      <c r="L67" s="197">
        <v>0</v>
      </c>
      <c r="M67" s="197">
        <v>0</v>
      </c>
      <c r="N67" s="197">
        <f t="shared" si="3"/>
        <v>0</v>
      </c>
      <c r="O67" s="197">
        <f t="shared" si="4"/>
        <v>0</v>
      </c>
      <c r="P67" s="197">
        <f t="shared" si="5"/>
        <v>0</v>
      </c>
      <c r="Q67" s="53" t="s">
        <v>318</v>
      </c>
      <c r="R67" s="201"/>
    </row>
    <row r="68" spans="1:18" x14ac:dyDescent="0.25">
      <c r="A68" s="209" t="str">
        <f t="shared" si="8"/>
        <v>318186</v>
      </c>
      <c r="B68" s="54" t="s">
        <v>318</v>
      </c>
      <c r="C68" s="53" t="s">
        <v>196</v>
      </c>
      <c r="D68" s="53" t="s">
        <v>682</v>
      </c>
      <c r="E68" s="53" t="s">
        <v>681</v>
      </c>
      <c r="F68" s="196">
        <v>376.3</v>
      </c>
      <c r="G68" s="207">
        <v>3504094.9597229999</v>
      </c>
      <c r="H68" s="207">
        <v>3997962.8722509998</v>
      </c>
      <c r="I68" s="208">
        <v>0</v>
      </c>
      <c r="J68" s="207"/>
      <c r="K68" s="199">
        <f t="shared" si="7"/>
        <v>3504094.9597229999</v>
      </c>
      <c r="L68" s="197">
        <v>3997962.8722509998</v>
      </c>
      <c r="M68" s="197">
        <v>0</v>
      </c>
      <c r="N68" s="197">
        <f t="shared" ref="N68:N131" si="9">K68-G68</f>
        <v>0</v>
      </c>
      <c r="O68" s="197">
        <f t="shared" ref="O68:O131" si="10">L68-H68</f>
        <v>0</v>
      </c>
      <c r="P68" s="197">
        <f t="shared" ref="P68:P131" si="11">M68-I68</f>
        <v>0</v>
      </c>
      <c r="Q68" s="53" t="s">
        <v>318</v>
      </c>
      <c r="R68" s="201"/>
    </row>
    <row r="69" spans="1:18" x14ac:dyDescent="0.25">
      <c r="A69" s="209" t="str">
        <f t="shared" si="8"/>
        <v>318187</v>
      </c>
      <c r="B69" s="54" t="s">
        <v>318</v>
      </c>
      <c r="C69" s="53" t="s">
        <v>196</v>
      </c>
      <c r="D69" s="53" t="s">
        <v>680</v>
      </c>
      <c r="E69" s="53" t="s">
        <v>679</v>
      </c>
      <c r="F69" s="196">
        <v>380.3</v>
      </c>
      <c r="G69" s="207">
        <v>3511692.4775140001</v>
      </c>
      <c r="H69" s="207">
        <v>3997962.8722509998</v>
      </c>
      <c r="I69" s="208">
        <v>0</v>
      </c>
      <c r="J69" s="207"/>
      <c r="K69" s="199">
        <f t="shared" si="7"/>
        <v>3511692.4775140001</v>
      </c>
      <c r="L69" s="197">
        <v>3997962.8722509998</v>
      </c>
      <c r="M69" s="197">
        <v>0</v>
      </c>
      <c r="N69" s="197">
        <f t="shared" si="9"/>
        <v>0</v>
      </c>
      <c r="O69" s="197">
        <f t="shared" si="10"/>
        <v>0</v>
      </c>
      <c r="P69" s="197">
        <f t="shared" si="11"/>
        <v>0</v>
      </c>
      <c r="Q69" s="53" t="s">
        <v>318</v>
      </c>
      <c r="R69" s="201"/>
    </row>
    <row r="70" spans="1:18" x14ac:dyDescent="0.25">
      <c r="A70" s="209" t="str">
        <f t="shared" si="8"/>
        <v>324804</v>
      </c>
      <c r="B70" s="54" t="s">
        <v>318</v>
      </c>
      <c r="C70" s="53" t="s">
        <v>196</v>
      </c>
      <c r="D70" s="53" t="s">
        <v>678</v>
      </c>
      <c r="E70" s="53" t="s">
        <v>677</v>
      </c>
      <c r="F70" s="196">
        <v>394.1</v>
      </c>
      <c r="G70" s="207">
        <v>30129</v>
      </c>
      <c r="H70" s="207">
        <v>0</v>
      </c>
      <c r="I70" s="208">
        <v>0</v>
      </c>
      <c r="J70" s="207"/>
      <c r="K70" s="199">
        <f t="shared" si="7"/>
        <v>30129</v>
      </c>
      <c r="L70" s="197">
        <v>0</v>
      </c>
      <c r="M70" s="197">
        <v>0</v>
      </c>
      <c r="N70" s="197">
        <f t="shared" si="9"/>
        <v>0</v>
      </c>
      <c r="O70" s="197">
        <f t="shared" si="10"/>
        <v>0</v>
      </c>
      <c r="P70" s="197">
        <f t="shared" si="11"/>
        <v>0</v>
      </c>
      <c r="Q70" s="53" t="s">
        <v>318</v>
      </c>
      <c r="R70" s="201"/>
    </row>
    <row r="71" spans="1:18" x14ac:dyDescent="0.25">
      <c r="A71" s="209" t="str">
        <f t="shared" si="8"/>
        <v>324806</v>
      </c>
      <c r="B71" s="54" t="s">
        <v>318</v>
      </c>
      <c r="C71" s="53" t="s">
        <v>196</v>
      </c>
      <c r="D71" s="53" t="s">
        <v>676</v>
      </c>
      <c r="E71" s="53" t="s">
        <v>675</v>
      </c>
      <c r="F71" s="196">
        <v>394.1</v>
      </c>
      <c r="G71" s="207">
        <v>30129</v>
      </c>
      <c r="H71" s="207">
        <v>0</v>
      </c>
      <c r="I71" s="208">
        <v>0</v>
      </c>
      <c r="J71" s="207"/>
      <c r="K71" s="199">
        <f t="shared" si="7"/>
        <v>30129</v>
      </c>
      <c r="L71" s="197">
        <v>0</v>
      </c>
      <c r="M71" s="197">
        <v>0</v>
      </c>
      <c r="N71" s="197">
        <f t="shared" si="9"/>
        <v>0</v>
      </c>
      <c r="O71" s="197">
        <f t="shared" si="10"/>
        <v>0</v>
      </c>
      <c r="P71" s="197">
        <f t="shared" si="11"/>
        <v>0</v>
      </c>
      <c r="Q71" s="53" t="s">
        <v>318</v>
      </c>
      <c r="R71" s="201"/>
    </row>
    <row r="72" spans="1:18" x14ac:dyDescent="0.25">
      <c r="A72" s="209" t="str">
        <f t="shared" si="8"/>
        <v>322165</v>
      </c>
      <c r="B72" s="54" t="s">
        <v>318</v>
      </c>
      <c r="C72" s="53" t="s">
        <v>196</v>
      </c>
      <c r="D72" s="53" t="s">
        <v>674</v>
      </c>
      <c r="E72" s="53" t="s">
        <v>673</v>
      </c>
      <c r="F72" s="196">
        <v>378</v>
      </c>
      <c r="G72" s="207">
        <v>103522.560301</v>
      </c>
      <c r="H72" s="207">
        <v>0</v>
      </c>
      <c r="I72" s="208">
        <v>0</v>
      </c>
      <c r="J72" s="207"/>
      <c r="K72" s="199">
        <f t="shared" si="7"/>
        <v>103522.560301</v>
      </c>
      <c r="L72" s="197">
        <v>0</v>
      </c>
      <c r="M72" s="197">
        <v>0</v>
      </c>
      <c r="N72" s="197">
        <f t="shared" si="9"/>
        <v>0</v>
      </c>
      <c r="O72" s="197">
        <f t="shared" si="10"/>
        <v>0</v>
      </c>
      <c r="P72" s="197">
        <f t="shared" si="11"/>
        <v>0</v>
      </c>
      <c r="Q72" s="53" t="s">
        <v>318</v>
      </c>
      <c r="R72" s="201"/>
    </row>
    <row r="73" spans="1:18" x14ac:dyDescent="0.25">
      <c r="A73" s="209" t="str">
        <f t="shared" si="8"/>
        <v>322173</v>
      </c>
      <c r="B73" s="54" t="s">
        <v>318</v>
      </c>
      <c r="C73" s="53" t="s">
        <v>196</v>
      </c>
      <c r="D73" s="53" t="s">
        <v>672</v>
      </c>
      <c r="E73" s="53" t="s">
        <v>671</v>
      </c>
      <c r="F73" s="196">
        <v>378</v>
      </c>
      <c r="G73" s="207">
        <v>200464.85</v>
      </c>
      <c r="H73" s="207">
        <v>0</v>
      </c>
      <c r="I73" s="208">
        <v>0</v>
      </c>
      <c r="J73" s="207"/>
      <c r="K73" s="199">
        <f t="shared" si="7"/>
        <v>200464.85</v>
      </c>
      <c r="L73" s="197">
        <v>0</v>
      </c>
      <c r="M73" s="197">
        <v>0</v>
      </c>
      <c r="N73" s="197">
        <f t="shared" si="9"/>
        <v>0</v>
      </c>
      <c r="O73" s="197">
        <f t="shared" si="10"/>
        <v>0</v>
      </c>
      <c r="P73" s="197">
        <f t="shared" si="11"/>
        <v>0</v>
      </c>
      <c r="Q73" s="53" t="s">
        <v>318</v>
      </c>
      <c r="R73" s="201"/>
    </row>
    <row r="74" spans="1:18" x14ac:dyDescent="0.25">
      <c r="A74" s="209" t="str">
        <f t="shared" si="8"/>
        <v>101194</v>
      </c>
      <c r="B74" s="54" t="s">
        <v>318</v>
      </c>
      <c r="C74" s="53" t="s">
        <v>196</v>
      </c>
      <c r="D74" s="53" t="s">
        <v>670</v>
      </c>
      <c r="E74" s="53" t="s">
        <v>669</v>
      </c>
      <c r="F74" s="196">
        <v>378</v>
      </c>
      <c r="G74" s="207">
        <v>242320</v>
      </c>
      <c r="H74" s="207">
        <v>725580</v>
      </c>
      <c r="I74" s="208">
        <v>0</v>
      </c>
      <c r="J74" s="207"/>
      <c r="K74" s="199">
        <f t="shared" ref="K74:K97" si="12">IF(B74="",G74,0)</f>
        <v>242320</v>
      </c>
      <c r="L74" s="197">
        <v>725580</v>
      </c>
      <c r="M74" s="197">
        <v>0</v>
      </c>
      <c r="N74" s="197">
        <f t="shared" si="9"/>
        <v>0</v>
      </c>
      <c r="O74" s="197">
        <f t="shared" si="10"/>
        <v>0</v>
      </c>
      <c r="P74" s="197">
        <f t="shared" si="11"/>
        <v>0</v>
      </c>
      <c r="Q74" s="53" t="s">
        <v>318</v>
      </c>
      <c r="R74" s="201"/>
    </row>
    <row r="75" spans="1:18" x14ac:dyDescent="0.25">
      <c r="A75" s="209" t="str">
        <f t="shared" ref="A75:A106" si="13">RIGHT(D75,LEN(D75)-3)</f>
        <v>101196</v>
      </c>
      <c r="B75" s="54" t="s">
        <v>318</v>
      </c>
      <c r="C75" s="53" t="s">
        <v>196</v>
      </c>
      <c r="D75" s="53" t="s">
        <v>668</v>
      </c>
      <c r="E75" s="53" t="s">
        <v>667</v>
      </c>
      <c r="F75" s="196">
        <v>378</v>
      </c>
      <c r="G75" s="207">
        <v>498617.41878399998</v>
      </c>
      <c r="H75" s="207">
        <v>460976.94449999998</v>
      </c>
      <c r="I75" s="208">
        <v>0</v>
      </c>
      <c r="J75" s="207"/>
      <c r="K75" s="199">
        <f t="shared" si="12"/>
        <v>498617.41878399998</v>
      </c>
      <c r="L75" s="197">
        <v>460976.94449999998</v>
      </c>
      <c r="M75" s="197">
        <v>0</v>
      </c>
      <c r="N75" s="197">
        <f t="shared" si="9"/>
        <v>0</v>
      </c>
      <c r="O75" s="197">
        <f t="shared" si="10"/>
        <v>0</v>
      </c>
      <c r="P75" s="197">
        <f t="shared" si="11"/>
        <v>0</v>
      </c>
      <c r="Q75" s="53" t="s">
        <v>318</v>
      </c>
      <c r="R75" s="201"/>
    </row>
    <row r="76" spans="1:18" x14ac:dyDescent="0.25">
      <c r="A76" s="209" t="str">
        <f t="shared" si="13"/>
        <v>302369</v>
      </c>
      <c r="B76" s="54" t="s">
        <v>318</v>
      </c>
      <c r="C76" s="53" t="s">
        <v>196</v>
      </c>
      <c r="D76" s="53" t="s">
        <v>666</v>
      </c>
      <c r="E76" s="53" t="s">
        <v>665</v>
      </c>
      <c r="F76" s="196">
        <v>376.1</v>
      </c>
      <c r="G76" s="207">
        <v>602782.14000000013</v>
      </c>
      <c r="H76" s="207">
        <v>576860.29</v>
      </c>
      <c r="I76" s="208">
        <v>0</v>
      </c>
      <c r="J76" s="207"/>
      <c r="K76" s="199">
        <f t="shared" si="12"/>
        <v>602782.14000000013</v>
      </c>
      <c r="L76" s="197">
        <v>576860.29</v>
      </c>
      <c r="M76" s="197">
        <v>0</v>
      </c>
      <c r="N76" s="197">
        <f t="shared" si="9"/>
        <v>0</v>
      </c>
      <c r="O76" s="197">
        <f t="shared" si="10"/>
        <v>0</v>
      </c>
      <c r="P76" s="197">
        <f t="shared" si="11"/>
        <v>0</v>
      </c>
      <c r="Q76" s="53" t="s">
        <v>318</v>
      </c>
      <c r="R76" s="201"/>
    </row>
    <row r="77" spans="1:18" x14ac:dyDescent="0.25">
      <c r="A77" s="209" t="str">
        <f t="shared" si="13"/>
        <v>302595</v>
      </c>
      <c r="B77" s="54" t="s">
        <v>664</v>
      </c>
      <c r="C77" s="214" t="s">
        <v>196</v>
      </c>
      <c r="D77" s="214" t="s">
        <v>663</v>
      </c>
      <c r="E77" s="214" t="s">
        <v>662</v>
      </c>
      <c r="F77" s="213">
        <v>376.2</v>
      </c>
      <c r="G77" s="212">
        <v>0</v>
      </c>
      <c r="H77" s="212">
        <v>5827349.1699999999</v>
      </c>
      <c r="I77" s="208">
        <v>0</v>
      </c>
      <c r="J77" s="207"/>
      <c r="K77" s="199">
        <f t="shared" si="12"/>
        <v>0</v>
      </c>
      <c r="L77" s="211">
        <v>0</v>
      </c>
      <c r="M77" s="210">
        <v>5827349.1699999999</v>
      </c>
      <c r="N77" s="197">
        <f t="shared" si="9"/>
        <v>0</v>
      </c>
      <c r="O77" s="197">
        <f t="shared" si="10"/>
        <v>-5827349.1699999999</v>
      </c>
      <c r="P77" s="197">
        <f t="shared" si="11"/>
        <v>5827349.1699999999</v>
      </c>
      <c r="Q77" s="53" t="s">
        <v>661</v>
      </c>
      <c r="R77" s="201"/>
    </row>
    <row r="78" spans="1:18" x14ac:dyDescent="0.25">
      <c r="A78" s="209" t="str">
        <f t="shared" si="13"/>
        <v>316018</v>
      </c>
      <c r="B78" s="54" t="s">
        <v>318</v>
      </c>
      <c r="C78" s="53" t="s">
        <v>196</v>
      </c>
      <c r="D78" s="53" t="s">
        <v>660</v>
      </c>
      <c r="E78" s="53" t="s">
        <v>659</v>
      </c>
      <c r="F78" s="196">
        <v>376.2</v>
      </c>
      <c r="G78" s="207">
        <v>2430742.7749890001</v>
      </c>
      <c r="H78" s="207">
        <v>0</v>
      </c>
      <c r="I78" s="208">
        <v>0</v>
      </c>
      <c r="J78" s="207"/>
      <c r="K78" s="199">
        <f t="shared" si="12"/>
        <v>2430742.7749890001</v>
      </c>
      <c r="L78" s="197">
        <v>0</v>
      </c>
      <c r="M78" s="197">
        <v>0</v>
      </c>
      <c r="N78" s="197">
        <f t="shared" si="9"/>
        <v>0</v>
      </c>
      <c r="O78" s="197">
        <f t="shared" si="10"/>
        <v>0</v>
      </c>
      <c r="P78" s="197">
        <f t="shared" si="11"/>
        <v>0</v>
      </c>
      <c r="Q78" s="53" t="s">
        <v>318</v>
      </c>
      <c r="R78" s="201"/>
    </row>
    <row r="79" spans="1:18" x14ac:dyDescent="0.25">
      <c r="A79" s="209" t="str">
        <f t="shared" si="13"/>
        <v>316032</v>
      </c>
      <c r="B79" s="54" t="s">
        <v>318</v>
      </c>
      <c r="C79" s="53" t="s">
        <v>196</v>
      </c>
      <c r="D79" s="53" t="s">
        <v>658</v>
      </c>
      <c r="E79" s="53" t="s">
        <v>657</v>
      </c>
      <c r="F79" s="196">
        <v>376.2</v>
      </c>
      <c r="G79" s="207">
        <v>427000</v>
      </c>
      <c r="H79" s="207">
        <v>0</v>
      </c>
      <c r="I79" s="208">
        <v>0</v>
      </c>
      <c r="J79" s="207"/>
      <c r="K79" s="199">
        <f t="shared" si="12"/>
        <v>427000</v>
      </c>
      <c r="L79" s="197">
        <v>0</v>
      </c>
      <c r="M79" s="197">
        <v>0</v>
      </c>
      <c r="N79" s="197">
        <f t="shared" si="9"/>
        <v>0</v>
      </c>
      <c r="O79" s="197">
        <f t="shared" si="10"/>
        <v>0</v>
      </c>
      <c r="P79" s="197">
        <f t="shared" si="11"/>
        <v>0</v>
      </c>
      <c r="Q79" s="53" t="s">
        <v>318</v>
      </c>
      <c r="R79" s="201"/>
    </row>
    <row r="80" spans="1:18" x14ac:dyDescent="0.25">
      <c r="A80" s="209" t="str">
        <f t="shared" si="13"/>
        <v>316041</v>
      </c>
      <c r="B80" s="54" t="s">
        <v>318</v>
      </c>
      <c r="C80" s="53" t="s">
        <v>196</v>
      </c>
      <c r="D80" s="53" t="s">
        <v>656</v>
      </c>
      <c r="E80" s="53" t="s">
        <v>655</v>
      </c>
      <c r="F80" s="196">
        <v>376.2</v>
      </c>
      <c r="G80" s="207">
        <v>0</v>
      </c>
      <c r="H80" s="207">
        <v>1191031.1361409998</v>
      </c>
      <c r="I80" s="208">
        <v>0</v>
      </c>
      <c r="J80" s="207"/>
      <c r="K80" s="199">
        <f t="shared" si="12"/>
        <v>0</v>
      </c>
      <c r="L80" s="197">
        <v>1191031.1361409998</v>
      </c>
      <c r="M80" s="197">
        <v>0</v>
      </c>
      <c r="N80" s="197">
        <f t="shared" si="9"/>
        <v>0</v>
      </c>
      <c r="O80" s="197">
        <f t="shared" si="10"/>
        <v>0</v>
      </c>
      <c r="P80" s="197">
        <f t="shared" si="11"/>
        <v>0</v>
      </c>
      <c r="Q80" s="53" t="s">
        <v>318</v>
      </c>
      <c r="R80" s="201"/>
    </row>
    <row r="81" spans="1:18" x14ac:dyDescent="0.25">
      <c r="A81" s="209" t="str">
        <f t="shared" si="13"/>
        <v>316046</v>
      </c>
      <c r="B81" s="54" t="s">
        <v>318</v>
      </c>
      <c r="C81" s="53" t="s">
        <v>196</v>
      </c>
      <c r="D81" s="53" t="s">
        <v>654</v>
      </c>
      <c r="E81" s="53" t="s">
        <v>653</v>
      </c>
      <c r="F81" s="196">
        <v>376.2</v>
      </c>
      <c r="G81" s="207">
        <v>3037182.6014089999</v>
      </c>
      <c r="H81" s="207">
        <v>0</v>
      </c>
      <c r="I81" s="208">
        <v>0</v>
      </c>
      <c r="J81" s="207"/>
      <c r="K81" s="199">
        <f t="shared" si="12"/>
        <v>3037182.6014089999</v>
      </c>
      <c r="L81" s="197">
        <v>0</v>
      </c>
      <c r="M81" s="197">
        <v>0</v>
      </c>
      <c r="N81" s="197">
        <f t="shared" si="9"/>
        <v>0</v>
      </c>
      <c r="O81" s="197">
        <f t="shared" si="10"/>
        <v>0</v>
      </c>
      <c r="P81" s="197">
        <f t="shared" si="11"/>
        <v>0</v>
      </c>
      <c r="Q81" s="53" t="s">
        <v>318</v>
      </c>
      <c r="R81" s="201"/>
    </row>
    <row r="82" spans="1:18" x14ac:dyDescent="0.25">
      <c r="A82" s="209" t="str">
        <f t="shared" si="13"/>
        <v>316429</v>
      </c>
      <c r="B82" s="54" t="s">
        <v>318</v>
      </c>
      <c r="C82" s="53" t="s">
        <v>196</v>
      </c>
      <c r="D82" s="53" t="s">
        <v>652</v>
      </c>
      <c r="E82" s="53" t="s">
        <v>651</v>
      </c>
      <c r="F82" s="196">
        <v>376.2</v>
      </c>
      <c r="G82" s="207">
        <v>750000</v>
      </c>
      <c r="H82" s="207">
        <v>0</v>
      </c>
      <c r="I82" s="208">
        <v>0</v>
      </c>
      <c r="J82" s="207"/>
      <c r="K82" s="199">
        <f t="shared" si="12"/>
        <v>750000</v>
      </c>
      <c r="L82" s="197">
        <v>0</v>
      </c>
      <c r="M82" s="197">
        <v>0</v>
      </c>
      <c r="N82" s="197">
        <f t="shared" si="9"/>
        <v>0</v>
      </c>
      <c r="O82" s="197">
        <f t="shared" si="10"/>
        <v>0</v>
      </c>
      <c r="P82" s="197">
        <f t="shared" si="11"/>
        <v>0</v>
      </c>
      <c r="Q82" s="53" t="s">
        <v>318</v>
      </c>
      <c r="R82" s="201"/>
    </row>
    <row r="83" spans="1:18" x14ac:dyDescent="0.25">
      <c r="A83" s="209" t="str">
        <f t="shared" si="13"/>
        <v>317744</v>
      </c>
      <c r="B83" s="54" t="s">
        <v>318</v>
      </c>
      <c r="C83" s="53" t="s">
        <v>196</v>
      </c>
      <c r="D83" s="53" t="s">
        <v>650</v>
      </c>
      <c r="E83" s="53" t="s">
        <v>649</v>
      </c>
      <c r="F83" s="196">
        <v>394.1</v>
      </c>
      <c r="G83" s="207">
        <v>163538.84</v>
      </c>
      <c r="H83" s="207">
        <v>142508.39000000001</v>
      </c>
      <c r="I83" s="208">
        <v>0</v>
      </c>
      <c r="J83" s="207"/>
      <c r="K83" s="199">
        <f t="shared" si="12"/>
        <v>163538.84</v>
      </c>
      <c r="L83" s="197">
        <v>142508.39000000001</v>
      </c>
      <c r="M83" s="197">
        <v>0</v>
      </c>
      <c r="N83" s="197">
        <f t="shared" si="9"/>
        <v>0</v>
      </c>
      <c r="O83" s="197">
        <f t="shared" si="10"/>
        <v>0</v>
      </c>
      <c r="P83" s="197">
        <f t="shared" si="11"/>
        <v>0</v>
      </c>
      <c r="Q83" s="53" t="s">
        <v>318</v>
      </c>
      <c r="R83" s="201"/>
    </row>
    <row r="84" spans="1:18" x14ac:dyDescent="0.25">
      <c r="A84" s="209" t="str">
        <f t="shared" si="13"/>
        <v>318092</v>
      </c>
      <c r="B84" s="54" t="s">
        <v>318</v>
      </c>
      <c r="C84" s="53" t="s">
        <v>196</v>
      </c>
      <c r="D84" s="53" t="s">
        <v>648</v>
      </c>
      <c r="E84" s="53" t="s">
        <v>647</v>
      </c>
      <c r="F84" s="196">
        <v>376.3</v>
      </c>
      <c r="G84" s="207">
        <v>111603.304754</v>
      </c>
      <c r="H84" s="207">
        <v>230710.25399999999</v>
      </c>
      <c r="I84" s="208">
        <v>0</v>
      </c>
      <c r="J84" s="207"/>
      <c r="K84" s="199">
        <f t="shared" si="12"/>
        <v>111603.304754</v>
      </c>
      <c r="L84" s="197">
        <v>230710.25399999999</v>
      </c>
      <c r="M84" s="197">
        <v>0</v>
      </c>
      <c r="N84" s="197">
        <f t="shared" si="9"/>
        <v>0</v>
      </c>
      <c r="O84" s="197">
        <f t="shared" si="10"/>
        <v>0</v>
      </c>
      <c r="P84" s="197">
        <f t="shared" si="11"/>
        <v>0</v>
      </c>
      <c r="Q84" s="53" t="s">
        <v>318</v>
      </c>
      <c r="R84" s="201"/>
    </row>
    <row r="85" spans="1:18" x14ac:dyDescent="0.25">
      <c r="A85" s="209" t="str">
        <f t="shared" si="13"/>
        <v>318192</v>
      </c>
      <c r="B85" s="54" t="s">
        <v>318</v>
      </c>
      <c r="C85" s="53" t="s">
        <v>196</v>
      </c>
      <c r="D85" s="53" t="s">
        <v>646</v>
      </c>
      <c r="E85" s="53" t="s">
        <v>645</v>
      </c>
      <c r="F85" s="196">
        <v>397.2</v>
      </c>
      <c r="G85" s="207">
        <v>1387227.5384</v>
      </c>
      <c r="H85" s="207">
        <v>0</v>
      </c>
      <c r="I85" s="208">
        <v>0</v>
      </c>
      <c r="J85" s="207"/>
      <c r="K85" s="199">
        <f t="shared" si="12"/>
        <v>1387227.5384</v>
      </c>
      <c r="L85" s="197">
        <v>0</v>
      </c>
      <c r="M85" s="197">
        <v>0</v>
      </c>
      <c r="N85" s="197">
        <f t="shared" si="9"/>
        <v>0</v>
      </c>
      <c r="O85" s="197">
        <f t="shared" si="10"/>
        <v>0</v>
      </c>
      <c r="P85" s="197">
        <f t="shared" si="11"/>
        <v>0</v>
      </c>
      <c r="Q85" s="53" t="s">
        <v>318</v>
      </c>
      <c r="R85" s="201"/>
    </row>
    <row r="86" spans="1:18" x14ac:dyDescent="0.25">
      <c r="A86" s="209" t="str">
        <f t="shared" si="13"/>
        <v>318197</v>
      </c>
      <c r="B86" s="54" t="s">
        <v>318</v>
      </c>
      <c r="C86" s="53" t="s">
        <v>196</v>
      </c>
      <c r="D86" s="53" t="s">
        <v>644</v>
      </c>
      <c r="E86" s="53" t="s">
        <v>643</v>
      </c>
      <c r="F86" s="196">
        <v>397.2</v>
      </c>
      <c r="G86" s="207">
        <v>52022.181260999998</v>
      </c>
      <c r="H86" s="207">
        <v>0</v>
      </c>
      <c r="I86" s="208">
        <v>0</v>
      </c>
      <c r="J86" s="207"/>
      <c r="K86" s="199">
        <f t="shared" si="12"/>
        <v>52022.181260999998</v>
      </c>
      <c r="L86" s="197">
        <v>0</v>
      </c>
      <c r="M86" s="197">
        <v>0</v>
      </c>
      <c r="N86" s="197">
        <f t="shared" si="9"/>
        <v>0</v>
      </c>
      <c r="O86" s="197">
        <f t="shared" si="10"/>
        <v>0</v>
      </c>
      <c r="P86" s="197">
        <f t="shared" si="11"/>
        <v>0</v>
      </c>
      <c r="Q86" s="53" t="s">
        <v>318</v>
      </c>
      <c r="R86" s="201"/>
    </row>
    <row r="87" spans="1:18" x14ac:dyDescent="0.25">
      <c r="A87" s="209" t="str">
        <f t="shared" si="13"/>
        <v>318656</v>
      </c>
      <c r="B87" s="54" t="s">
        <v>318</v>
      </c>
      <c r="C87" s="53" t="s">
        <v>196</v>
      </c>
      <c r="D87" s="53" t="s">
        <v>642</v>
      </c>
      <c r="E87" s="53" t="s">
        <v>641</v>
      </c>
      <c r="F87" s="196">
        <v>376.3</v>
      </c>
      <c r="G87" s="207">
        <v>1403134.75</v>
      </c>
      <c r="H87" s="207">
        <v>0</v>
      </c>
      <c r="I87" s="208">
        <v>0</v>
      </c>
      <c r="J87" s="207"/>
      <c r="K87" s="199">
        <f t="shared" si="12"/>
        <v>1403134.75</v>
      </c>
      <c r="L87" s="197">
        <v>0</v>
      </c>
      <c r="M87" s="197">
        <v>0</v>
      </c>
      <c r="N87" s="197">
        <f t="shared" si="9"/>
        <v>0</v>
      </c>
      <c r="O87" s="197">
        <f t="shared" si="10"/>
        <v>0</v>
      </c>
      <c r="P87" s="197">
        <f t="shared" si="11"/>
        <v>0</v>
      </c>
      <c r="Q87" s="53" t="s">
        <v>318</v>
      </c>
      <c r="R87" s="201"/>
    </row>
    <row r="88" spans="1:18" x14ac:dyDescent="0.25">
      <c r="A88" s="209" t="str">
        <f t="shared" si="13"/>
        <v>319021</v>
      </c>
      <c r="B88" s="54" t="s">
        <v>318</v>
      </c>
      <c r="C88" s="53" t="s">
        <v>196</v>
      </c>
      <c r="D88" s="53" t="s">
        <v>640</v>
      </c>
      <c r="E88" s="53" t="s">
        <v>639</v>
      </c>
      <c r="F88" s="196">
        <v>376.1</v>
      </c>
      <c r="G88" s="207">
        <v>0</v>
      </c>
      <c r="H88" s="207">
        <v>57633.216689000001</v>
      </c>
      <c r="I88" s="208">
        <v>0</v>
      </c>
      <c r="J88" s="207"/>
      <c r="K88" s="199">
        <f t="shared" si="12"/>
        <v>0</v>
      </c>
      <c r="L88" s="197">
        <v>57633.216689000001</v>
      </c>
      <c r="M88" s="197">
        <v>0</v>
      </c>
      <c r="N88" s="197">
        <f t="shared" si="9"/>
        <v>0</v>
      </c>
      <c r="O88" s="197">
        <f t="shared" si="10"/>
        <v>0</v>
      </c>
      <c r="P88" s="197">
        <f t="shared" si="11"/>
        <v>0</v>
      </c>
      <c r="Q88" s="53" t="s">
        <v>318</v>
      </c>
      <c r="R88" s="201"/>
    </row>
    <row r="89" spans="1:18" x14ac:dyDescent="0.25">
      <c r="A89" s="209" t="str">
        <f t="shared" si="13"/>
        <v>319027</v>
      </c>
      <c r="B89" s="54" t="s">
        <v>318</v>
      </c>
      <c r="C89" s="53" t="s">
        <v>196</v>
      </c>
      <c r="D89" s="53" t="s">
        <v>638</v>
      </c>
      <c r="E89" s="53" t="s">
        <v>637</v>
      </c>
      <c r="F89" s="196">
        <v>367.1</v>
      </c>
      <c r="G89" s="207">
        <v>533956.21821900003</v>
      </c>
      <c r="H89" s="207">
        <v>0</v>
      </c>
      <c r="I89" s="208">
        <v>0</v>
      </c>
      <c r="J89" s="207"/>
      <c r="K89" s="199">
        <f t="shared" si="12"/>
        <v>533956.21821900003</v>
      </c>
      <c r="L89" s="197">
        <v>0</v>
      </c>
      <c r="M89" s="197">
        <v>0</v>
      </c>
      <c r="N89" s="197">
        <f t="shared" si="9"/>
        <v>0</v>
      </c>
      <c r="O89" s="197">
        <f t="shared" si="10"/>
        <v>0</v>
      </c>
      <c r="P89" s="197">
        <f t="shared" si="11"/>
        <v>0</v>
      </c>
      <c r="Q89" s="53" t="s">
        <v>318</v>
      </c>
      <c r="R89" s="201"/>
    </row>
    <row r="90" spans="1:18" x14ac:dyDescent="0.25">
      <c r="A90" s="209" t="str">
        <f t="shared" si="13"/>
        <v>319992</v>
      </c>
      <c r="B90" s="54" t="s">
        <v>318</v>
      </c>
      <c r="C90" s="53" t="s">
        <v>196</v>
      </c>
      <c r="D90" s="53" t="s">
        <v>636</v>
      </c>
      <c r="E90" s="53" t="s">
        <v>635</v>
      </c>
      <c r="F90" s="196">
        <v>376.2</v>
      </c>
      <c r="G90" s="207">
        <v>0</v>
      </c>
      <c r="H90" s="207">
        <v>1796668.1126259998</v>
      </c>
      <c r="I90" s="208">
        <v>0</v>
      </c>
      <c r="J90" s="207"/>
      <c r="K90" s="199">
        <f t="shared" si="12"/>
        <v>0</v>
      </c>
      <c r="L90" s="197">
        <v>1796668.1126259998</v>
      </c>
      <c r="M90" s="197">
        <v>0</v>
      </c>
      <c r="N90" s="197">
        <f t="shared" si="9"/>
        <v>0</v>
      </c>
      <c r="O90" s="197">
        <f t="shared" si="10"/>
        <v>0</v>
      </c>
      <c r="P90" s="197">
        <f t="shared" si="11"/>
        <v>0</v>
      </c>
      <c r="Q90" s="53" t="s">
        <v>318</v>
      </c>
      <c r="R90" s="201"/>
    </row>
    <row r="91" spans="1:18" x14ac:dyDescent="0.25">
      <c r="A91" s="209" t="str">
        <f t="shared" si="13"/>
        <v>320004</v>
      </c>
      <c r="B91" s="54" t="s">
        <v>318</v>
      </c>
      <c r="C91" s="53" t="s">
        <v>196</v>
      </c>
      <c r="D91" s="53" t="s">
        <v>634</v>
      </c>
      <c r="E91" s="53" t="s">
        <v>633</v>
      </c>
      <c r="F91" s="196">
        <v>376.2</v>
      </c>
      <c r="G91" s="207">
        <v>1069397.6491989999</v>
      </c>
      <c r="H91" s="207">
        <v>0</v>
      </c>
      <c r="I91" s="208">
        <v>0</v>
      </c>
      <c r="J91" s="207"/>
      <c r="K91" s="199">
        <f t="shared" si="12"/>
        <v>1069397.6491989999</v>
      </c>
      <c r="L91" s="197">
        <v>0</v>
      </c>
      <c r="M91" s="197">
        <v>0</v>
      </c>
      <c r="N91" s="197">
        <f t="shared" si="9"/>
        <v>0</v>
      </c>
      <c r="O91" s="197">
        <f t="shared" si="10"/>
        <v>0</v>
      </c>
      <c r="P91" s="197">
        <f t="shared" si="11"/>
        <v>0</v>
      </c>
      <c r="Q91" s="53" t="s">
        <v>318</v>
      </c>
      <c r="R91" s="201"/>
    </row>
    <row r="92" spans="1:18" x14ac:dyDescent="0.25">
      <c r="A92" s="209" t="str">
        <f t="shared" si="13"/>
        <v>320006</v>
      </c>
      <c r="B92" s="54" t="s">
        <v>318</v>
      </c>
      <c r="C92" s="53" t="s">
        <v>196</v>
      </c>
      <c r="D92" s="53" t="s">
        <v>632</v>
      </c>
      <c r="E92" s="53" t="s">
        <v>631</v>
      </c>
      <c r="F92" s="196">
        <v>376.2</v>
      </c>
      <c r="G92" s="207">
        <v>930867.84602499998</v>
      </c>
      <c r="H92" s="207">
        <v>0</v>
      </c>
      <c r="I92" s="208">
        <v>0</v>
      </c>
      <c r="J92" s="207"/>
      <c r="K92" s="199">
        <f t="shared" si="12"/>
        <v>930867.84602499998</v>
      </c>
      <c r="L92" s="197">
        <v>0</v>
      </c>
      <c r="M92" s="197">
        <v>0</v>
      </c>
      <c r="N92" s="197">
        <f t="shared" si="9"/>
        <v>0</v>
      </c>
      <c r="O92" s="197">
        <f t="shared" si="10"/>
        <v>0</v>
      </c>
      <c r="P92" s="197">
        <f t="shared" si="11"/>
        <v>0</v>
      </c>
      <c r="Q92" s="53" t="s">
        <v>318</v>
      </c>
      <c r="R92" s="201"/>
    </row>
    <row r="93" spans="1:18" x14ac:dyDescent="0.25">
      <c r="A93" s="209" t="str">
        <f t="shared" si="13"/>
        <v>320106</v>
      </c>
      <c r="B93" s="54" t="s">
        <v>318</v>
      </c>
      <c r="C93" s="53" t="s">
        <v>196</v>
      </c>
      <c r="D93" s="53" t="s">
        <v>630</v>
      </c>
      <c r="E93" s="53" t="s">
        <v>629</v>
      </c>
      <c r="F93" s="196">
        <v>376.2</v>
      </c>
      <c r="G93" s="207">
        <v>1829249.22</v>
      </c>
      <c r="H93" s="207">
        <v>0</v>
      </c>
      <c r="I93" s="208">
        <v>0</v>
      </c>
      <c r="J93" s="207"/>
      <c r="K93" s="199">
        <f t="shared" si="12"/>
        <v>1829249.22</v>
      </c>
      <c r="L93" s="197">
        <v>0</v>
      </c>
      <c r="M93" s="197">
        <v>0</v>
      </c>
      <c r="N93" s="197">
        <f t="shared" si="9"/>
        <v>0</v>
      </c>
      <c r="O93" s="197">
        <f t="shared" si="10"/>
        <v>0</v>
      </c>
      <c r="P93" s="197">
        <f t="shared" si="11"/>
        <v>0</v>
      </c>
      <c r="Q93" s="53" t="s">
        <v>318</v>
      </c>
      <c r="R93" s="201"/>
    </row>
    <row r="94" spans="1:18" x14ac:dyDescent="0.25">
      <c r="A94" s="209" t="str">
        <f t="shared" si="13"/>
        <v>320114</v>
      </c>
      <c r="B94" s="54" t="s">
        <v>318</v>
      </c>
      <c r="C94" s="53" t="s">
        <v>196</v>
      </c>
      <c r="D94" s="53" t="s">
        <v>628</v>
      </c>
      <c r="E94" s="53" t="s">
        <v>627</v>
      </c>
      <c r="F94" s="196">
        <v>378</v>
      </c>
      <c r="G94" s="207">
        <v>240690.43274999998</v>
      </c>
      <c r="H94" s="207">
        <v>0</v>
      </c>
      <c r="I94" s="208">
        <v>0</v>
      </c>
      <c r="J94" s="207"/>
      <c r="K94" s="199">
        <f t="shared" si="12"/>
        <v>240690.43274999998</v>
      </c>
      <c r="L94" s="197">
        <v>0</v>
      </c>
      <c r="M94" s="197">
        <v>0</v>
      </c>
      <c r="N94" s="197">
        <f t="shared" si="9"/>
        <v>0</v>
      </c>
      <c r="O94" s="197">
        <f t="shared" si="10"/>
        <v>0</v>
      </c>
      <c r="P94" s="197">
        <f t="shared" si="11"/>
        <v>0</v>
      </c>
      <c r="Q94" s="53" t="s">
        <v>318</v>
      </c>
      <c r="R94" s="201"/>
    </row>
    <row r="95" spans="1:18" x14ac:dyDescent="0.25">
      <c r="A95" s="209" t="str">
        <f t="shared" si="13"/>
        <v>321116</v>
      </c>
      <c r="B95" s="54" t="s">
        <v>318</v>
      </c>
      <c r="C95" s="53" t="s">
        <v>196</v>
      </c>
      <c r="D95" s="53" t="s">
        <v>626</v>
      </c>
      <c r="E95" s="53" t="s">
        <v>625</v>
      </c>
      <c r="F95" s="196">
        <v>376.2</v>
      </c>
      <c r="G95" s="207">
        <v>16645248.84</v>
      </c>
      <c r="H95" s="207">
        <v>0</v>
      </c>
      <c r="I95" s="208">
        <v>0</v>
      </c>
      <c r="J95" s="207"/>
      <c r="K95" s="199">
        <f t="shared" si="12"/>
        <v>16645248.84</v>
      </c>
      <c r="L95" s="197">
        <v>0</v>
      </c>
      <c r="M95" s="197">
        <v>0</v>
      </c>
      <c r="N95" s="197">
        <f t="shared" si="9"/>
        <v>0</v>
      </c>
      <c r="O95" s="197">
        <f t="shared" si="10"/>
        <v>0</v>
      </c>
      <c r="P95" s="197">
        <f t="shared" si="11"/>
        <v>0</v>
      </c>
      <c r="Q95" s="53" t="s">
        <v>318</v>
      </c>
      <c r="R95" s="201"/>
    </row>
    <row r="96" spans="1:18" x14ac:dyDescent="0.25">
      <c r="A96" s="209" t="str">
        <f t="shared" si="13"/>
        <v>321468</v>
      </c>
      <c r="B96" s="54" t="s">
        <v>318</v>
      </c>
      <c r="C96" s="53" t="s">
        <v>196</v>
      </c>
      <c r="D96" s="53" t="s">
        <v>624</v>
      </c>
      <c r="E96" s="53" t="s">
        <v>623</v>
      </c>
      <c r="F96" s="196">
        <v>376.2</v>
      </c>
      <c r="G96" s="207">
        <v>1111422.142954</v>
      </c>
      <c r="H96" s="207">
        <v>0</v>
      </c>
      <c r="I96" s="208">
        <v>0</v>
      </c>
      <c r="J96" s="207"/>
      <c r="K96" s="199">
        <f t="shared" si="12"/>
        <v>1111422.142954</v>
      </c>
      <c r="L96" s="197">
        <v>0</v>
      </c>
      <c r="M96" s="197">
        <v>0</v>
      </c>
      <c r="N96" s="197">
        <f t="shared" si="9"/>
        <v>0</v>
      </c>
      <c r="O96" s="197">
        <f t="shared" si="10"/>
        <v>0</v>
      </c>
      <c r="P96" s="197">
        <f t="shared" si="11"/>
        <v>0</v>
      </c>
      <c r="Q96" s="53" t="s">
        <v>318</v>
      </c>
      <c r="R96" s="201"/>
    </row>
    <row r="97" spans="1:18" x14ac:dyDescent="0.25">
      <c r="A97" s="209" t="str">
        <f t="shared" si="13"/>
        <v>321511</v>
      </c>
      <c r="B97" s="54" t="s">
        <v>318</v>
      </c>
      <c r="C97" s="53" t="s">
        <v>196</v>
      </c>
      <c r="D97" s="53" t="s">
        <v>622</v>
      </c>
      <c r="E97" s="53" t="s">
        <v>621</v>
      </c>
      <c r="F97" s="196">
        <v>376.2</v>
      </c>
      <c r="G97" s="207">
        <v>0</v>
      </c>
      <c r="H97" s="207">
        <v>5365866.16</v>
      </c>
      <c r="I97" s="208">
        <v>0</v>
      </c>
      <c r="J97" s="207"/>
      <c r="K97" s="199">
        <f t="shared" si="12"/>
        <v>0</v>
      </c>
      <c r="L97" s="197">
        <v>5365866.16</v>
      </c>
      <c r="M97" s="197">
        <v>0</v>
      </c>
      <c r="N97" s="197">
        <f t="shared" si="9"/>
        <v>0</v>
      </c>
      <c r="O97" s="197">
        <f t="shared" si="10"/>
        <v>0</v>
      </c>
      <c r="P97" s="197">
        <f t="shared" si="11"/>
        <v>0</v>
      </c>
      <c r="Q97" s="53" t="s">
        <v>318</v>
      </c>
      <c r="R97" s="201"/>
    </row>
    <row r="98" spans="1:18" x14ac:dyDescent="0.25">
      <c r="A98" s="209" t="str">
        <f t="shared" si="13"/>
        <v>321879</v>
      </c>
      <c r="B98" s="54" t="s">
        <v>620</v>
      </c>
      <c r="C98" s="214" t="s">
        <v>196</v>
      </c>
      <c r="D98" s="214" t="s">
        <v>619</v>
      </c>
      <c r="E98" s="214" t="s">
        <v>618</v>
      </c>
      <c r="F98" s="213">
        <v>376.2</v>
      </c>
      <c r="G98" s="212">
        <v>3973423.27</v>
      </c>
      <c r="H98" s="212">
        <v>0</v>
      </c>
      <c r="I98" s="208">
        <v>0</v>
      </c>
      <c r="J98" s="208"/>
      <c r="K98" s="211">
        <v>0</v>
      </c>
      <c r="L98" s="210">
        <v>7119540</v>
      </c>
      <c r="M98" s="197">
        <v>0</v>
      </c>
      <c r="N98" s="197">
        <f t="shared" si="9"/>
        <v>-3973423.27</v>
      </c>
      <c r="O98" s="197">
        <f t="shared" si="10"/>
        <v>7119540</v>
      </c>
      <c r="P98" s="197">
        <f t="shared" si="11"/>
        <v>0</v>
      </c>
      <c r="Q98" s="53" t="s">
        <v>617</v>
      </c>
      <c r="R98" s="201"/>
    </row>
    <row r="99" spans="1:18" x14ac:dyDescent="0.25">
      <c r="A99" s="209" t="str">
        <f t="shared" si="13"/>
        <v>322143</v>
      </c>
      <c r="B99" s="54" t="s">
        <v>318</v>
      </c>
      <c r="C99" s="53" t="s">
        <v>196</v>
      </c>
      <c r="D99" s="53" t="s">
        <v>616</v>
      </c>
      <c r="E99" s="53" t="s">
        <v>615</v>
      </c>
      <c r="F99" s="196">
        <v>376.2</v>
      </c>
      <c r="G99" s="207">
        <v>340437.40915599995</v>
      </c>
      <c r="H99" s="207">
        <v>0</v>
      </c>
      <c r="I99" s="208">
        <v>0</v>
      </c>
      <c r="J99" s="207"/>
      <c r="K99" s="199">
        <f t="shared" ref="K99:K130" si="14">IF(B99="",G99,0)</f>
        <v>340437.40915599995</v>
      </c>
      <c r="L99" s="197">
        <v>0</v>
      </c>
      <c r="M99" s="197">
        <v>0</v>
      </c>
      <c r="N99" s="197">
        <f t="shared" si="9"/>
        <v>0</v>
      </c>
      <c r="O99" s="197">
        <f t="shared" si="10"/>
        <v>0</v>
      </c>
      <c r="P99" s="197">
        <f t="shared" si="11"/>
        <v>0</v>
      </c>
      <c r="Q99" s="53" t="s">
        <v>318</v>
      </c>
      <c r="R99" s="201"/>
    </row>
    <row r="100" spans="1:18" x14ac:dyDescent="0.25">
      <c r="A100" s="209" t="str">
        <f t="shared" si="13"/>
        <v>322144</v>
      </c>
      <c r="B100" s="54" t="s">
        <v>318</v>
      </c>
      <c r="C100" s="53" t="s">
        <v>196</v>
      </c>
      <c r="D100" s="53" t="s">
        <v>614</v>
      </c>
      <c r="E100" s="53" t="s">
        <v>613</v>
      </c>
      <c r="F100" s="196">
        <v>376.3</v>
      </c>
      <c r="G100" s="207">
        <v>377277.10000000003</v>
      </c>
      <c r="H100" s="207">
        <v>0</v>
      </c>
      <c r="I100" s="208">
        <v>0</v>
      </c>
      <c r="J100" s="207"/>
      <c r="K100" s="199">
        <f t="shared" si="14"/>
        <v>377277.10000000003</v>
      </c>
      <c r="L100" s="197">
        <v>0</v>
      </c>
      <c r="M100" s="197">
        <v>0</v>
      </c>
      <c r="N100" s="197">
        <f t="shared" si="9"/>
        <v>0</v>
      </c>
      <c r="O100" s="197">
        <f t="shared" si="10"/>
        <v>0</v>
      </c>
      <c r="P100" s="197">
        <f t="shared" si="11"/>
        <v>0</v>
      </c>
      <c r="Q100" s="53" t="s">
        <v>318</v>
      </c>
      <c r="R100" s="201"/>
    </row>
    <row r="101" spans="1:18" x14ac:dyDescent="0.25">
      <c r="A101" s="209" t="str">
        <f t="shared" si="13"/>
        <v>322391</v>
      </c>
      <c r="B101" s="54" t="s">
        <v>318</v>
      </c>
      <c r="C101" s="53" t="s">
        <v>196</v>
      </c>
      <c r="D101" s="53" t="s">
        <v>612</v>
      </c>
      <c r="E101" s="53" t="s">
        <v>611</v>
      </c>
      <c r="F101" s="196">
        <v>376.2</v>
      </c>
      <c r="G101" s="207">
        <v>0</v>
      </c>
      <c r="H101" s="207">
        <v>5604681.3499999996</v>
      </c>
      <c r="I101" s="208">
        <v>0</v>
      </c>
      <c r="J101" s="207"/>
      <c r="K101" s="199">
        <f t="shared" si="14"/>
        <v>0</v>
      </c>
      <c r="L101" s="197">
        <v>5604681.3499999996</v>
      </c>
      <c r="M101" s="197">
        <v>0</v>
      </c>
      <c r="N101" s="197">
        <f t="shared" si="9"/>
        <v>0</v>
      </c>
      <c r="O101" s="197">
        <f t="shared" si="10"/>
        <v>0</v>
      </c>
      <c r="P101" s="197">
        <f t="shared" si="11"/>
        <v>0</v>
      </c>
      <c r="Q101" s="53" t="s">
        <v>318</v>
      </c>
      <c r="R101" s="201"/>
    </row>
    <row r="102" spans="1:18" x14ac:dyDescent="0.25">
      <c r="A102" s="209" t="str">
        <f t="shared" si="13"/>
        <v>322504</v>
      </c>
      <c r="B102" s="54" t="s">
        <v>318</v>
      </c>
      <c r="C102" s="53" t="s">
        <v>196</v>
      </c>
      <c r="D102" s="53" t="s">
        <v>610</v>
      </c>
      <c r="E102" s="53" t="s">
        <v>609</v>
      </c>
      <c r="F102" s="196">
        <v>376.2</v>
      </c>
      <c r="G102" s="207">
        <v>212141.98</v>
      </c>
      <c r="H102" s="207">
        <v>0</v>
      </c>
      <c r="I102" s="208">
        <v>0</v>
      </c>
      <c r="J102" s="207"/>
      <c r="K102" s="199">
        <f t="shared" si="14"/>
        <v>212141.98</v>
      </c>
      <c r="L102" s="197">
        <v>0</v>
      </c>
      <c r="M102" s="197">
        <v>0</v>
      </c>
      <c r="N102" s="197">
        <f t="shared" si="9"/>
        <v>0</v>
      </c>
      <c r="O102" s="197">
        <f t="shared" si="10"/>
        <v>0</v>
      </c>
      <c r="P102" s="197">
        <f t="shared" si="11"/>
        <v>0</v>
      </c>
      <c r="Q102" s="53" t="s">
        <v>318</v>
      </c>
      <c r="R102" s="201"/>
    </row>
    <row r="103" spans="1:18" x14ac:dyDescent="0.25">
      <c r="A103" s="209" t="str">
        <f t="shared" si="13"/>
        <v>322639</v>
      </c>
      <c r="B103" s="54" t="s">
        <v>318</v>
      </c>
      <c r="C103" s="53" t="s">
        <v>196</v>
      </c>
      <c r="D103" s="53" t="s">
        <v>608</v>
      </c>
      <c r="E103" s="53" t="s">
        <v>607</v>
      </c>
      <c r="F103" s="196">
        <v>376.2</v>
      </c>
      <c r="G103" s="207">
        <v>0</v>
      </c>
      <c r="H103" s="207">
        <v>1220755.986062</v>
      </c>
      <c r="I103" s="208">
        <v>0</v>
      </c>
      <c r="J103" s="207"/>
      <c r="K103" s="199">
        <f t="shared" si="14"/>
        <v>0</v>
      </c>
      <c r="L103" s="197">
        <v>1220755.986062</v>
      </c>
      <c r="M103" s="197">
        <v>0</v>
      </c>
      <c r="N103" s="197">
        <f t="shared" si="9"/>
        <v>0</v>
      </c>
      <c r="O103" s="197">
        <f t="shared" si="10"/>
        <v>0</v>
      </c>
      <c r="P103" s="197">
        <f t="shared" si="11"/>
        <v>0</v>
      </c>
      <c r="Q103" s="53" t="s">
        <v>318</v>
      </c>
      <c r="R103" s="201"/>
    </row>
    <row r="104" spans="1:18" x14ac:dyDescent="0.25">
      <c r="A104" s="209" t="str">
        <f t="shared" si="13"/>
        <v>322677</v>
      </c>
      <c r="B104" s="54" t="s">
        <v>318</v>
      </c>
      <c r="C104" s="53" t="s">
        <v>196</v>
      </c>
      <c r="D104" s="53" t="s">
        <v>606</v>
      </c>
      <c r="E104" s="53" t="s">
        <v>605</v>
      </c>
      <c r="F104" s="196">
        <v>333</v>
      </c>
      <c r="G104" s="207">
        <v>0</v>
      </c>
      <c r="H104" s="207">
        <v>17454194.258442998</v>
      </c>
      <c r="I104" s="208">
        <v>0</v>
      </c>
      <c r="J104" s="207"/>
      <c r="K104" s="199">
        <f t="shared" si="14"/>
        <v>0</v>
      </c>
      <c r="L104" s="197">
        <v>17454194.258442998</v>
      </c>
      <c r="M104" s="197">
        <v>0</v>
      </c>
      <c r="N104" s="197">
        <f t="shared" si="9"/>
        <v>0</v>
      </c>
      <c r="O104" s="197">
        <f t="shared" si="10"/>
        <v>0</v>
      </c>
      <c r="P104" s="197">
        <f t="shared" si="11"/>
        <v>0</v>
      </c>
      <c r="Q104" s="53" t="s">
        <v>318</v>
      </c>
      <c r="R104" s="201"/>
    </row>
    <row r="105" spans="1:18" x14ac:dyDescent="0.25">
      <c r="A105" s="209" t="str">
        <f t="shared" si="13"/>
        <v>322752</v>
      </c>
      <c r="B105" s="54" t="s">
        <v>318</v>
      </c>
      <c r="C105" s="53" t="s">
        <v>196</v>
      </c>
      <c r="D105" s="53" t="s">
        <v>604</v>
      </c>
      <c r="E105" s="53" t="s">
        <v>603</v>
      </c>
      <c r="F105" s="196">
        <v>303</v>
      </c>
      <c r="G105" s="207">
        <v>0</v>
      </c>
      <c r="H105" s="207">
        <v>52427.319037000008</v>
      </c>
      <c r="I105" s="208">
        <v>0</v>
      </c>
      <c r="J105" s="207"/>
      <c r="K105" s="199">
        <f t="shared" si="14"/>
        <v>0</v>
      </c>
      <c r="L105" s="197">
        <v>52427.319037000008</v>
      </c>
      <c r="M105" s="197">
        <v>0</v>
      </c>
      <c r="N105" s="197">
        <f t="shared" si="9"/>
        <v>0</v>
      </c>
      <c r="O105" s="197">
        <f t="shared" si="10"/>
        <v>0</v>
      </c>
      <c r="P105" s="197">
        <f t="shared" si="11"/>
        <v>0</v>
      </c>
      <c r="Q105" s="53" t="s">
        <v>318</v>
      </c>
      <c r="R105" s="201"/>
    </row>
    <row r="106" spans="1:18" x14ac:dyDescent="0.25">
      <c r="A106" s="209" t="str">
        <f t="shared" si="13"/>
        <v>322765</v>
      </c>
      <c r="B106" s="54" t="s">
        <v>318</v>
      </c>
      <c r="C106" s="53" t="s">
        <v>196</v>
      </c>
      <c r="D106" s="53" t="s">
        <v>602</v>
      </c>
      <c r="E106" s="53" t="s">
        <v>601</v>
      </c>
      <c r="F106" s="196">
        <v>378</v>
      </c>
      <c r="G106" s="207">
        <v>0</v>
      </c>
      <c r="H106" s="207">
        <v>249531.78844599999</v>
      </c>
      <c r="I106" s="208">
        <v>0</v>
      </c>
      <c r="J106" s="207"/>
      <c r="K106" s="199">
        <f t="shared" si="14"/>
        <v>0</v>
      </c>
      <c r="L106" s="197">
        <v>249531.78844599999</v>
      </c>
      <c r="M106" s="197">
        <v>0</v>
      </c>
      <c r="N106" s="197">
        <f t="shared" si="9"/>
        <v>0</v>
      </c>
      <c r="O106" s="197">
        <f t="shared" si="10"/>
        <v>0</v>
      </c>
      <c r="P106" s="197">
        <f t="shared" si="11"/>
        <v>0</v>
      </c>
      <c r="Q106" s="53" t="s">
        <v>318</v>
      </c>
      <c r="R106" s="201"/>
    </row>
    <row r="107" spans="1:18" x14ac:dyDescent="0.25">
      <c r="A107" s="209" t="str">
        <f t="shared" ref="A107:A138" si="15">RIGHT(D107,LEN(D107)-3)</f>
        <v>323166</v>
      </c>
      <c r="B107" s="54" t="s">
        <v>318</v>
      </c>
      <c r="C107" s="53" t="s">
        <v>196</v>
      </c>
      <c r="D107" s="53" t="s">
        <v>600</v>
      </c>
      <c r="E107" s="53" t="s">
        <v>599</v>
      </c>
      <c r="F107" s="196">
        <v>378</v>
      </c>
      <c r="G107" s="207">
        <v>67326.149999999994</v>
      </c>
      <c r="H107" s="207">
        <v>0</v>
      </c>
      <c r="I107" s="208">
        <v>0</v>
      </c>
      <c r="J107" s="207"/>
      <c r="K107" s="199">
        <f t="shared" si="14"/>
        <v>67326.149999999994</v>
      </c>
      <c r="L107" s="197">
        <v>0</v>
      </c>
      <c r="M107" s="197">
        <v>0</v>
      </c>
      <c r="N107" s="197">
        <f t="shared" si="9"/>
        <v>0</v>
      </c>
      <c r="O107" s="197">
        <f t="shared" si="10"/>
        <v>0</v>
      </c>
      <c r="P107" s="197">
        <f t="shared" si="11"/>
        <v>0</v>
      </c>
      <c r="Q107" s="53" t="s">
        <v>318</v>
      </c>
      <c r="R107" s="201"/>
    </row>
    <row r="108" spans="1:18" x14ac:dyDescent="0.25">
      <c r="A108" s="209" t="str">
        <f t="shared" si="15"/>
        <v>323236</v>
      </c>
      <c r="B108" s="54" t="s">
        <v>318</v>
      </c>
      <c r="C108" s="53" t="s">
        <v>196</v>
      </c>
      <c r="D108" s="53" t="s">
        <v>598</v>
      </c>
      <c r="E108" s="53" t="s">
        <v>597</v>
      </c>
      <c r="F108" s="196">
        <v>376.1</v>
      </c>
      <c r="G108" s="207">
        <v>344834.96446800005</v>
      </c>
      <c r="H108" s="207">
        <v>515149.42152799986</v>
      </c>
      <c r="I108" s="208">
        <v>0</v>
      </c>
      <c r="J108" s="207"/>
      <c r="K108" s="199">
        <f t="shared" si="14"/>
        <v>344834.96446800005</v>
      </c>
      <c r="L108" s="197">
        <v>515149.42152799986</v>
      </c>
      <c r="M108" s="197">
        <v>0</v>
      </c>
      <c r="N108" s="197">
        <f t="shared" si="9"/>
        <v>0</v>
      </c>
      <c r="O108" s="197">
        <f t="shared" si="10"/>
        <v>0</v>
      </c>
      <c r="P108" s="197">
        <f t="shared" si="11"/>
        <v>0</v>
      </c>
      <c r="Q108" s="53" t="s">
        <v>318</v>
      </c>
      <c r="R108" s="201"/>
    </row>
    <row r="109" spans="1:18" x14ac:dyDescent="0.25">
      <c r="A109" s="209" t="str">
        <f t="shared" si="15"/>
        <v>323595</v>
      </c>
      <c r="B109" s="54" t="s">
        <v>318</v>
      </c>
      <c r="C109" s="53" t="s">
        <v>196</v>
      </c>
      <c r="D109" s="53" t="s">
        <v>596</v>
      </c>
      <c r="E109" s="53" t="s">
        <v>595</v>
      </c>
      <c r="F109" s="196">
        <v>376.3</v>
      </c>
      <c r="G109" s="207">
        <v>343875.48</v>
      </c>
      <c r="H109" s="207">
        <v>0</v>
      </c>
      <c r="I109" s="208">
        <v>0</v>
      </c>
      <c r="J109" s="207"/>
      <c r="K109" s="199">
        <f t="shared" si="14"/>
        <v>343875.48</v>
      </c>
      <c r="L109" s="197">
        <v>0</v>
      </c>
      <c r="M109" s="197">
        <v>0</v>
      </c>
      <c r="N109" s="197">
        <f t="shared" si="9"/>
        <v>0</v>
      </c>
      <c r="O109" s="197">
        <f t="shared" si="10"/>
        <v>0</v>
      </c>
      <c r="P109" s="197">
        <f t="shared" si="11"/>
        <v>0</v>
      </c>
      <c r="Q109" s="53" t="s">
        <v>318</v>
      </c>
      <c r="R109" s="201"/>
    </row>
    <row r="110" spans="1:18" x14ac:dyDescent="0.25">
      <c r="A110" s="209" t="str">
        <f t="shared" si="15"/>
        <v>323823</v>
      </c>
      <c r="B110" s="54" t="s">
        <v>318</v>
      </c>
      <c r="C110" s="53" t="s">
        <v>196</v>
      </c>
      <c r="D110" s="53" t="s">
        <v>594</v>
      </c>
      <c r="E110" s="53" t="s">
        <v>593</v>
      </c>
      <c r="F110" s="196">
        <v>378</v>
      </c>
      <c r="G110" s="207">
        <v>55851.398262000002</v>
      </c>
      <c r="H110" s="207">
        <v>0</v>
      </c>
      <c r="I110" s="208">
        <v>0</v>
      </c>
      <c r="J110" s="207"/>
      <c r="K110" s="199">
        <f t="shared" si="14"/>
        <v>55851.398262000002</v>
      </c>
      <c r="L110" s="197">
        <v>0</v>
      </c>
      <c r="M110" s="197">
        <v>0</v>
      </c>
      <c r="N110" s="197">
        <f t="shared" si="9"/>
        <v>0</v>
      </c>
      <c r="O110" s="197">
        <f t="shared" si="10"/>
        <v>0</v>
      </c>
      <c r="P110" s="197">
        <f t="shared" si="11"/>
        <v>0</v>
      </c>
      <c r="Q110" s="53" t="s">
        <v>318</v>
      </c>
      <c r="R110" s="201"/>
    </row>
    <row r="111" spans="1:18" x14ac:dyDescent="0.25">
      <c r="A111" s="209" t="str">
        <f t="shared" si="15"/>
        <v>323909</v>
      </c>
      <c r="B111" s="54" t="s">
        <v>318</v>
      </c>
      <c r="C111" s="53" t="s">
        <v>196</v>
      </c>
      <c r="D111" s="53" t="s">
        <v>592</v>
      </c>
      <c r="E111" s="53" t="s">
        <v>591</v>
      </c>
      <c r="F111" s="196">
        <v>390.1</v>
      </c>
      <c r="G111" s="207">
        <v>37696.400500000003</v>
      </c>
      <c r="H111" s="207">
        <v>0</v>
      </c>
      <c r="I111" s="208">
        <v>0</v>
      </c>
      <c r="J111" s="207"/>
      <c r="K111" s="199">
        <f t="shared" si="14"/>
        <v>37696.400500000003</v>
      </c>
      <c r="L111" s="197">
        <v>0</v>
      </c>
      <c r="M111" s="197">
        <v>0</v>
      </c>
      <c r="N111" s="197">
        <f t="shared" si="9"/>
        <v>0</v>
      </c>
      <c r="O111" s="197">
        <f t="shared" si="10"/>
        <v>0</v>
      </c>
      <c r="P111" s="197">
        <f t="shared" si="11"/>
        <v>0</v>
      </c>
      <c r="Q111" s="53" t="s">
        <v>318</v>
      </c>
      <c r="R111" s="201"/>
    </row>
    <row r="112" spans="1:18" x14ac:dyDescent="0.25">
      <c r="A112" s="209" t="str">
        <f t="shared" si="15"/>
        <v>323926</v>
      </c>
      <c r="B112" s="54" t="s">
        <v>318</v>
      </c>
      <c r="C112" s="53" t="s">
        <v>196</v>
      </c>
      <c r="D112" s="53" t="s">
        <v>590</v>
      </c>
      <c r="E112" s="53" t="s">
        <v>589</v>
      </c>
      <c r="F112" s="196">
        <v>394.1</v>
      </c>
      <c r="G112" s="207">
        <v>102940.75</v>
      </c>
      <c r="H112" s="207">
        <v>103176.5</v>
      </c>
      <c r="I112" s="208">
        <v>0</v>
      </c>
      <c r="J112" s="207"/>
      <c r="K112" s="199">
        <f t="shared" si="14"/>
        <v>102940.75</v>
      </c>
      <c r="L112" s="197">
        <v>103176.5</v>
      </c>
      <c r="M112" s="197">
        <v>0</v>
      </c>
      <c r="N112" s="197">
        <f t="shared" si="9"/>
        <v>0</v>
      </c>
      <c r="O112" s="197">
        <f t="shared" si="10"/>
        <v>0</v>
      </c>
      <c r="P112" s="197">
        <f t="shared" si="11"/>
        <v>0</v>
      </c>
      <c r="Q112" s="53" t="s">
        <v>318</v>
      </c>
      <c r="R112" s="201"/>
    </row>
    <row r="113" spans="1:18" x14ac:dyDescent="0.25">
      <c r="A113" s="209" t="str">
        <f t="shared" si="15"/>
        <v>324005</v>
      </c>
      <c r="B113" s="54" t="s">
        <v>318</v>
      </c>
      <c r="C113" s="53" t="s">
        <v>196</v>
      </c>
      <c r="D113" s="53" t="s">
        <v>588</v>
      </c>
      <c r="E113" s="53" t="s">
        <v>587</v>
      </c>
      <c r="F113" s="196">
        <v>376.2</v>
      </c>
      <c r="G113" s="207">
        <v>306877.8</v>
      </c>
      <c r="H113" s="207">
        <v>0</v>
      </c>
      <c r="I113" s="208">
        <v>0</v>
      </c>
      <c r="J113" s="207"/>
      <c r="K113" s="199">
        <f t="shared" si="14"/>
        <v>306877.8</v>
      </c>
      <c r="L113" s="197">
        <v>0</v>
      </c>
      <c r="M113" s="197">
        <v>0</v>
      </c>
      <c r="N113" s="197">
        <f t="shared" si="9"/>
        <v>0</v>
      </c>
      <c r="O113" s="197">
        <f t="shared" si="10"/>
        <v>0</v>
      </c>
      <c r="P113" s="197">
        <f t="shared" si="11"/>
        <v>0</v>
      </c>
      <c r="Q113" s="53" t="s">
        <v>318</v>
      </c>
      <c r="R113" s="201"/>
    </row>
    <row r="114" spans="1:18" x14ac:dyDescent="0.25">
      <c r="A114" s="209" t="str">
        <f t="shared" si="15"/>
        <v>324007</v>
      </c>
      <c r="B114" s="54" t="s">
        <v>318</v>
      </c>
      <c r="C114" s="53" t="s">
        <v>196</v>
      </c>
      <c r="D114" s="53" t="s">
        <v>586</v>
      </c>
      <c r="E114" s="53" t="s">
        <v>585</v>
      </c>
      <c r="F114" s="196">
        <v>376.3</v>
      </c>
      <c r="G114" s="207">
        <v>0</v>
      </c>
      <c r="H114" s="207">
        <v>175206.26</v>
      </c>
      <c r="I114" s="208">
        <v>0</v>
      </c>
      <c r="J114" s="207"/>
      <c r="K114" s="199">
        <f t="shared" si="14"/>
        <v>0</v>
      </c>
      <c r="L114" s="197">
        <v>175206.26</v>
      </c>
      <c r="M114" s="197">
        <v>0</v>
      </c>
      <c r="N114" s="197">
        <f t="shared" si="9"/>
        <v>0</v>
      </c>
      <c r="O114" s="197">
        <f t="shared" si="10"/>
        <v>0</v>
      </c>
      <c r="P114" s="197">
        <f t="shared" si="11"/>
        <v>0</v>
      </c>
      <c r="Q114" s="53" t="s">
        <v>318</v>
      </c>
      <c r="R114" s="201"/>
    </row>
    <row r="115" spans="1:18" x14ac:dyDescent="0.25">
      <c r="A115" s="209" t="str">
        <f t="shared" si="15"/>
        <v>324021</v>
      </c>
      <c r="B115" s="54" t="s">
        <v>318</v>
      </c>
      <c r="C115" s="53" t="s">
        <v>196</v>
      </c>
      <c r="D115" s="53" t="s">
        <v>584</v>
      </c>
      <c r="E115" s="53" t="s">
        <v>583</v>
      </c>
      <c r="F115" s="196">
        <v>378</v>
      </c>
      <c r="G115" s="207">
        <v>292793.29972100002</v>
      </c>
      <c r="H115" s="207">
        <v>0</v>
      </c>
      <c r="I115" s="208">
        <v>0</v>
      </c>
      <c r="J115" s="207"/>
      <c r="K115" s="199">
        <f t="shared" si="14"/>
        <v>292793.29972100002</v>
      </c>
      <c r="L115" s="197">
        <v>0</v>
      </c>
      <c r="M115" s="197">
        <v>0</v>
      </c>
      <c r="N115" s="197">
        <f t="shared" si="9"/>
        <v>0</v>
      </c>
      <c r="O115" s="197">
        <f t="shared" si="10"/>
        <v>0</v>
      </c>
      <c r="P115" s="197">
        <f t="shared" si="11"/>
        <v>0</v>
      </c>
      <c r="Q115" s="53" t="s">
        <v>318</v>
      </c>
      <c r="R115" s="201"/>
    </row>
    <row r="116" spans="1:18" x14ac:dyDescent="0.25">
      <c r="A116" s="209" t="str">
        <f t="shared" si="15"/>
        <v>324101</v>
      </c>
      <c r="B116" s="54" t="s">
        <v>318</v>
      </c>
      <c r="C116" s="53" t="s">
        <v>196</v>
      </c>
      <c r="D116" s="53" t="s">
        <v>582</v>
      </c>
      <c r="E116" s="53" t="s">
        <v>581</v>
      </c>
      <c r="F116" s="196">
        <v>367.1</v>
      </c>
      <c r="G116" s="207">
        <v>2632121.5674279998</v>
      </c>
      <c r="H116" s="207">
        <v>0</v>
      </c>
      <c r="I116" s="208">
        <v>0</v>
      </c>
      <c r="J116" s="207"/>
      <c r="K116" s="199">
        <f t="shared" si="14"/>
        <v>2632121.5674279998</v>
      </c>
      <c r="L116" s="197">
        <v>0</v>
      </c>
      <c r="M116" s="197">
        <v>0</v>
      </c>
      <c r="N116" s="197">
        <f t="shared" si="9"/>
        <v>0</v>
      </c>
      <c r="O116" s="197">
        <f t="shared" si="10"/>
        <v>0</v>
      </c>
      <c r="P116" s="197">
        <f t="shared" si="11"/>
        <v>0</v>
      </c>
      <c r="Q116" s="53" t="s">
        <v>318</v>
      </c>
      <c r="R116" s="201"/>
    </row>
    <row r="117" spans="1:18" x14ac:dyDescent="0.25">
      <c r="A117" s="209" t="str">
        <f t="shared" si="15"/>
        <v>324150</v>
      </c>
      <c r="B117" s="54" t="s">
        <v>318</v>
      </c>
      <c r="C117" s="53" t="s">
        <v>196</v>
      </c>
      <c r="D117" s="53" t="s">
        <v>580</v>
      </c>
      <c r="E117" s="53" t="s">
        <v>579</v>
      </c>
      <c r="F117" s="196">
        <v>378</v>
      </c>
      <c r="G117" s="207">
        <v>0</v>
      </c>
      <c r="H117" s="207">
        <v>187404.34821899998</v>
      </c>
      <c r="I117" s="208">
        <v>0</v>
      </c>
      <c r="J117" s="207"/>
      <c r="K117" s="199">
        <f t="shared" si="14"/>
        <v>0</v>
      </c>
      <c r="L117" s="197">
        <v>187404.34821899998</v>
      </c>
      <c r="M117" s="197">
        <v>0</v>
      </c>
      <c r="N117" s="197">
        <f t="shared" si="9"/>
        <v>0</v>
      </c>
      <c r="O117" s="197">
        <f t="shared" si="10"/>
        <v>0</v>
      </c>
      <c r="P117" s="197">
        <f t="shared" si="11"/>
        <v>0</v>
      </c>
      <c r="Q117" s="53" t="s">
        <v>318</v>
      </c>
      <c r="R117" s="201"/>
    </row>
    <row r="118" spans="1:18" x14ac:dyDescent="0.25">
      <c r="A118" s="209" t="str">
        <f t="shared" si="15"/>
        <v>324276</v>
      </c>
      <c r="B118" s="54" t="s">
        <v>318</v>
      </c>
      <c r="C118" s="53" t="s">
        <v>196</v>
      </c>
      <c r="D118" s="53" t="s">
        <v>578</v>
      </c>
      <c r="E118" s="53" t="s">
        <v>577</v>
      </c>
      <c r="F118" s="196">
        <v>394.1</v>
      </c>
      <c r="G118" s="207">
        <v>9800.418528000002</v>
      </c>
      <c r="H118" s="207">
        <v>0</v>
      </c>
      <c r="I118" s="208">
        <v>0</v>
      </c>
      <c r="J118" s="207"/>
      <c r="K118" s="199">
        <f t="shared" si="14"/>
        <v>9800.418528000002</v>
      </c>
      <c r="L118" s="197">
        <v>0</v>
      </c>
      <c r="M118" s="197">
        <v>0</v>
      </c>
      <c r="N118" s="197">
        <f t="shared" si="9"/>
        <v>0</v>
      </c>
      <c r="O118" s="197">
        <f t="shared" si="10"/>
        <v>0</v>
      </c>
      <c r="P118" s="197">
        <f t="shared" si="11"/>
        <v>0</v>
      </c>
      <c r="Q118" s="53" t="s">
        <v>318</v>
      </c>
      <c r="R118" s="201"/>
    </row>
    <row r="119" spans="1:18" x14ac:dyDescent="0.25">
      <c r="A119" s="209" t="str">
        <f t="shared" si="15"/>
        <v>324281</v>
      </c>
      <c r="B119" s="54" t="s">
        <v>318</v>
      </c>
      <c r="C119" s="53" t="s">
        <v>196</v>
      </c>
      <c r="D119" s="53" t="s">
        <v>576</v>
      </c>
      <c r="E119" s="53" t="s">
        <v>575</v>
      </c>
      <c r="F119" s="196">
        <v>394.1</v>
      </c>
      <c r="G119" s="207">
        <v>3769.64005</v>
      </c>
      <c r="H119" s="207">
        <v>0</v>
      </c>
      <c r="I119" s="208">
        <v>0</v>
      </c>
      <c r="J119" s="207"/>
      <c r="K119" s="199">
        <f t="shared" si="14"/>
        <v>3769.64005</v>
      </c>
      <c r="L119" s="197">
        <v>0</v>
      </c>
      <c r="M119" s="197">
        <v>0</v>
      </c>
      <c r="N119" s="197">
        <f t="shared" si="9"/>
        <v>0</v>
      </c>
      <c r="O119" s="197">
        <f t="shared" si="10"/>
        <v>0</v>
      </c>
      <c r="P119" s="197">
        <f t="shared" si="11"/>
        <v>0</v>
      </c>
      <c r="Q119" s="53" t="s">
        <v>318</v>
      </c>
      <c r="R119" s="201"/>
    </row>
    <row r="120" spans="1:18" x14ac:dyDescent="0.25">
      <c r="A120" s="209" t="str">
        <f t="shared" si="15"/>
        <v>324556</v>
      </c>
      <c r="B120" s="54" t="s">
        <v>318</v>
      </c>
      <c r="C120" s="53" t="s">
        <v>196</v>
      </c>
      <c r="D120" s="53" t="s">
        <v>574</v>
      </c>
      <c r="E120" s="53" t="s">
        <v>572</v>
      </c>
      <c r="F120" s="196">
        <v>394.1</v>
      </c>
      <c r="G120" s="207">
        <v>904713.61200000008</v>
      </c>
      <c r="H120" s="207">
        <v>0</v>
      </c>
      <c r="I120" s="208">
        <v>0</v>
      </c>
      <c r="J120" s="207"/>
      <c r="K120" s="199">
        <f t="shared" si="14"/>
        <v>904713.61200000008</v>
      </c>
      <c r="L120" s="197">
        <v>0</v>
      </c>
      <c r="M120" s="197">
        <v>0</v>
      </c>
      <c r="N120" s="197">
        <f t="shared" si="9"/>
        <v>0</v>
      </c>
      <c r="O120" s="197">
        <f t="shared" si="10"/>
        <v>0</v>
      </c>
      <c r="P120" s="197">
        <f t="shared" si="11"/>
        <v>0</v>
      </c>
      <c r="Q120" s="53" t="s">
        <v>318</v>
      </c>
      <c r="R120" s="201"/>
    </row>
    <row r="121" spans="1:18" x14ac:dyDescent="0.25">
      <c r="A121" s="209" t="str">
        <f t="shared" si="15"/>
        <v>324560</v>
      </c>
      <c r="B121" s="54" t="s">
        <v>318</v>
      </c>
      <c r="C121" s="53" t="s">
        <v>196</v>
      </c>
      <c r="D121" s="53" t="s">
        <v>573</v>
      </c>
      <c r="E121" s="53" t="s">
        <v>572</v>
      </c>
      <c r="F121" s="196">
        <v>394.1</v>
      </c>
      <c r="G121" s="207">
        <v>0</v>
      </c>
      <c r="H121" s="207">
        <v>1813571.088</v>
      </c>
      <c r="I121" s="208">
        <v>0</v>
      </c>
      <c r="J121" s="207"/>
      <c r="K121" s="199">
        <f t="shared" si="14"/>
        <v>0</v>
      </c>
      <c r="L121" s="197">
        <v>1813571.088</v>
      </c>
      <c r="M121" s="197">
        <v>0</v>
      </c>
      <c r="N121" s="197">
        <f t="shared" si="9"/>
        <v>0</v>
      </c>
      <c r="O121" s="197">
        <f t="shared" si="10"/>
        <v>0</v>
      </c>
      <c r="P121" s="197">
        <f t="shared" si="11"/>
        <v>0</v>
      </c>
      <c r="Q121" s="53" t="s">
        <v>318</v>
      </c>
      <c r="R121" s="201"/>
    </row>
    <row r="122" spans="1:18" x14ac:dyDescent="0.25">
      <c r="A122" s="209" t="str">
        <f t="shared" si="15"/>
        <v>324581</v>
      </c>
      <c r="B122" s="54" t="s">
        <v>318</v>
      </c>
      <c r="C122" s="53" t="s">
        <v>196</v>
      </c>
      <c r="D122" s="53" t="s">
        <v>571</v>
      </c>
      <c r="E122" s="53" t="s">
        <v>570</v>
      </c>
      <c r="F122" s="196">
        <v>376.3</v>
      </c>
      <c r="G122" s="207">
        <v>343625.52</v>
      </c>
      <c r="H122" s="207">
        <v>0</v>
      </c>
      <c r="I122" s="208">
        <v>0</v>
      </c>
      <c r="J122" s="207"/>
      <c r="K122" s="199">
        <f t="shared" si="14"/>
        <v>343625.52</v>
      </c>
      <c r="L122" s="197">
        <v>0</v>
      </c>
      <c r="M122" s="197">
        <v>0</v>
      </c>
      <c r="N122" s="197">
        <f t="shared" si="9"/>
        <v>0</v>
      </c>
      <c r="O122" s="197">
        <f t="shared" si="10"/>
        <v>0</v>
      </c>
      <c r="P122" s="197">
        <f t="shared" si="11"/>
        <v>0</v>
      </c>
      <c r="Q122" s="53" t="s">
        <v>318</v>
      </c>
      <c r="R122" s="201"/>
    </row>
    <row r="123" spans="1:18" x14ac:dyDescent="0.25">
      <c r="A123" s="209" t="str">
        <f t="shared" si="15"/>
        <v>324689</v>
      </c>
      <c r="B123" s="54" t="s">
        <v>318</v>
      </c>
      <c r="C123" s="53" t="s">
        <v>196</v>
      </c>
      <c r="D123" s="53" t="s">
        <v>569</v>
      </c>
      <c r="E123" s="53" t="s">
        <v>568</v>
      </c>
      <c r="F123" s="196">
        <v>376.2</v>
      </c>
      <c r="G123" s="207">
        <v>1634772.280938</v>
      </c>
      <c r="H123" s="207">
        <v>0</v>
      </c>
      <c r="I123" s="208">
        <v>0</v>
      </c>
      <c r="J123" s="207"/>
      <c r="K123" s="199">
        <f t="shared" si="14"/>
        <v>1634772.280938</v>
      </c>
      <c r="L123" s="197">
        <v>0</v>
      </c>
      <c r="M123" s="197">
        <v>0</v>
      </c>
      <c r="N123" s="197">
        <f t="shared" si="9"/>
        <v>0</v>
      </c>
      <c r="O123" s="197">
        <f t="shared" si="10"/>
        <v>0</v>
      </c>
      <c r="P123" s="197">
        <f t="shared" si="11"/>
        <v>0</v>
      </c>
      <c r="Q123" s="53" t="s">
        <v>318</v>
      </c>
      <c r="R123" s="201"/>
    </row>
    <row r="124" spans="1:18" x14ac:dyDescent="0.25">
      <c r="A124" s="209" t="str">
        <f t="shared" si="15"/>
        <v>324799</v>
      </c>
      <c r="B124" s="54" t="s">
        <v>318</v>
      </c>
      <c r="C124" s="53" t="s">
        <v>196</v>
      </c>
      <c r="D124" s="53" t="s">
        <v>567</v>
      </c>
      <c r="E124" s="53" t="s">
        <v>566</v>
      </c>
      <c r="F124" s="196">
        <v>376.2</v>
      </c>
      <c r="G124" s="207">
        <v>512719.18003699998</v>
      </c>
      <c r="H124" s="207">
        <v>0</v>
      </c>
      <c r="I124" s="208">
        <v>0</v>
      </c>
      <c r="J124" s="207"/>
      <c r="K124" s="199">
        <f t="shared" si="14"/>
        <v>512719.18003699998</v>
      </c>
      <c r="L124" s="197">
        <v>0</v>
      </c>
      <c r="M124" s="197">
        <v>0</v>
      </c>
      <c r="N124" s="197">
        <f t="shared" si="9"/>
        <v>0</v>
      </c>
      <c r="O124" s="197">
        <f t="shared" si="10"/>
        <v>0</v>
      </c>
      <c r="P124" s="197">
        <f t="shared" si="11"/>
        <v>0</v>
      </c>
      <c r="Q124" s="53" t="s">
        <v>318</v>
      </c>
      <c r="R124" s="201"/>
    </row>
    <row r="125" spans="1:18" x14ac:dyDescent="0.25">
      <c r="A125" s="209" t="str">
        <f t="shared" si="15"/>
        <v>324932</v>
      </c>
      <c r="B125" s="54" t="s">
        <v>318</v>
      </c>
      <c r="C125" s="53" t="s">
        <v>196</v>
      </c>
      <c r="D125" s="53" t="s">
        <v>565</v>
      </c>
      <c r="E125" s="53" t="s">
        <v>564</v>
      </c>
      <c r="F125" s="196">
        <v>376.1</v>
      </c>
      <c r="G125" s="207">
        <v>1001332.753812</v>
      </c>
      <c r="H125" s="207">
        <v>0</v>
      </c>
      <c r="I125" s="208">
        <v>0</v>
      </c>
      <c r="J125" s="207"/>
      <c r="K125" s="199">
        <f t="shared" si="14"/>
        <v>1001332.753812</v>
      </c>
      <c r="L125" s="197">
        <v>0</v>
      </c>
      <c r="M125" s="197">
        <v>0</v>
      </c>
      <c r="N125" s="197">
        <f t="shared" si="9"/>
        <v>0</v>
      </c>
      <c r="O125" s="197">
        <f t="shared" si="10"/>
        <v>0</v>
      </c>
      <c r="P125" s="197">
        <f t="shared" si="11"/>
        <v>0</v>
      </c>
      <c r="Q125" s="53" t="s">
        <v>318</v>
      </c>
      <c r="R125" s="201"/>
    </row>
    <row r="126" spans="1:18" x14ac:dyDescent="0.25">
      <c r="A126" s="209" t="str">
        <f t="shared" si="15"/>
        <v>324988</v>
      </c>
      <c r="B126" s="54" t="s">
        <v>318</v>
      </c>
      <c r="C126" s="53" t="s">
        <v>196</v>
      </c>
      <c r="D126" s="53" t="s">
        <v>563</v>
      </c>
      <c r="E126" s="53" t="s">
        <v>562</v>
      </c>
      <c r="F126" s="196">
        <v>376.1</v>
      </c>
      <c r="G126" s="207">
        <v>754871.91</v>
      </c>
      <c r="H126" s="207">
        <v>0</v>
      </c>
      <c r="I126" s="208">
        <v>0</v>
      </c>
      <c r="J126" s="207"/>
      <c r="K126" s="199">
        <f t="shared" si="14"/>
        <v>754871.91</v>
      </c>
      <c r="L126" s="197">
        <v>0</v>
      </c>
      <c r="M126" s="197">
        <v>0</v>
      </c>
      <c r="N126" s="197">
        <f t="shared" si="9"/>
        <v>0</v>
      </c>
      <c r="O126" s="197">
        <f t="shared" si="10"/>
        <v>0</v>
      </c>
      <c r="P126" s="197">
        <f t="shared" si="11"/>
        <v>0</v>
      </c>
      <c r="Q126" s="53" t="s">
        <v>318</v>
      </c>
      <c r="R126" s="201"/>
    </row>
    <row r="127" spans="1:18" x14ac:dyDescent="0.25">
      <c r="A127" s="209" t="str">
        <f t="shared" si="15"/>
        <v>324995</v>
      </c>
      <c r="B127" s="54" t="s">
        <v>318</v>
      </c>
      <c r="C127" s="53" t="s">
        <v>196</v>
      </c>
      <c r="D127" s="53" t="s">
        <v>561</v>
      </c>
      <c r="E127" s="53" t="s">
        <v>560</v>
      </c>
      <c r="F127" s="196">
        <v>378</v>
      </c>
      <c r="G127" s="207">
        <v>98907.725646999999</v>
      </c>
      <c r="H127" s="207">
        <v>0</v>
      </c>
      <c r="I127" s="208">
        <v>0</v>
      </c>
      <c r="J127" s="207"/>
      <c r="K127" s="199">
        <f t="shared" si="14"/>
        <v>98907.725646999999</v>
      </c>
      <c r="L127" s="197">
        <v>0</v>
      </c>
      <c r="M127" s="197">
        <v>0</v>
      </c>
      <c r="N127" s="197">
        <f t="shared" si="9"/>
        <v>0</v>
      </c>
      <c r="O127" s="197">
        <f t="shared" si="10"/>
        <v>0</v>
      </c>
      <c r="P127" s="197">
        <f t="shared" si="11"/>
        <v>0</v>
      </c>
      <c r="Q127" s="53" t="s">
        <v>318</v>
      </c>
      <c r="R127" s="201"/>
    </row>
    <row r="128" spans="1:18" x14ac:dyDescent="0.25">
      <c r="A128" s="209" t="str">
        <f t="shared" si="15"/>
        <v>325037</v>
      </c>
      <c r="B128" s="54" t="s">
        <v>318</v>
      </c>
      <c r="C128" s="53" t="s">
        <v>196</v>
      </c>
      <c r="D128" s="53" t="s">
        <v>559</v>
      </c>
      <c r="E128" s="53" t="s">
        <v>558</v>
      </c>
      <c r="F128" s="196">
        <v>376.3</v>
      </c>
      <c r="G128" s="207">
        <v>122656.28</v>
      </c>
      <c r="H128" s="207">
        <v>0</v>
      </c>
      <c r="I128" s="208">
        <v>0</v>
      </c>
      <c r="J128" s="207"/>
      <c r="K128" s="199">
        <f t="shared" si="14"/>
        <v>122656.28</v>
      </c>
      <c r="L128" s="197">
        <v>0</v>
      </c>
      <c r="M128" s="197">
        <v>0</v>
      </c>
      <c r="N128" s="197">
        <f t="shared" si="9"/>
        <v>0</v>
      </c>
      <c r="O128" s="197">
        <f t="shared" si="10"/>
        <v>0</v>
      </c>
      <c r="P128" s="197">
        <f t="shared" si="11"/>
        <v>0</v>
      </c>
      <c r="Q128" s="53" t="s">
        <v>318</v>
      </c>
      <c r="R128" s="201"/>
    </row>
    <row r="129" spans="1:18" x14ac:dyDescent="0.25">
      <c r="A129" s="209" t="str">
        <f t="shared" si="15"/>
        <v>323967</v>
      </c>
      <c r="B129" s="54" t="s">
        <v>318</v>
      </c>
      <c r="C129" s="53" t="s">
        <v>247</v>
      </c>
      <c r="D129" s="53" t="s">
        <v>557</v>
      </c>
      <c r="E129" s="53" t="s">
        <v>556</v>
      </c>
      <c r="F129" s="196">
        <v>303</v>
      </c>
      <c r="G129" s="207">
        <v>41466.040550000005</v>
      </c>
      <c r="H129" s="207">
        <v>0</v>
      </c>
      <c r="I129" s="208">
        <v>0</v>
      </c>
      <c r="J129" s="207"/>
      <c r="K129" s="199">
        <f t="shared" si="14"/>
        <v>41466.040550000005</v>
      </c>
      <c r="L129" s="197">
        <v>0</v>
      </c>
      <c r="M129" s="197">
        <v>0</v>
      </c>
      <c r="N129" s="197">
        <f t="shared" si="9"/>
        <v>0</v>
      </c>
      <c r="O129" s="197">
        <f t="shared" si="10"/>
        <v>0</v>
      </c>
      <c r="P129" s="197">
        <f t="shared" si="11"/>
        <v>0</v>
      </c>
      <c r="Q129" s="53" t="s">
        <v>318</v>
      </c>
      <c r="R129" s="201"/>
    </row>
    <row r="130" spans="1:18" x14ac:dyDescent="0.25">
      <c r="A130" s="209" t="str">
        <f t="shared" si="15"/>
        <v>323968</v>
      </c>
      <c r="B130" s="54" t="s">
        <v>318</v>
      </c>
      <c r="C130" s="53" t="s">
        <v>247</v>
      </c>
      <c r="D130" s="53" t="s">
        <v>555</v>
      </c>
      <c r="E130" s="53" t="s">
        <v>554</v>
      </c>
      <c r="F130" s="196">
        <v>303</v>
      </c>
      <c r="G130" s="207">
        <v>7539.2800999999999</v>
      </c>
      <c r="H130" s="207">
        <v>0</v>
      </c>
      <c r="I130" s="208">
        <v>0</v>
      </c>
      <c r="J130" s="207"/>
      <c r="K130" s="199">
        <f t="shared" si="14"/>
        <v>7539.2800999999999</v>
      </c>
      <c r="L130" s="197">
        <v>0</v>
      </c>
      <c r="M130" s="197">
        <v>0</v>
      </c>
      <c r="N130" s="197">
        <f t="shared" si="9"/>
        <v>0</v>
      </c>
      <c r="O130" s="197">
        <f t="shared" si="10"/>
        <v>0</v>
      </c>
      <c r="P130" s="197">
        <f t="shared" si="11"/>
        <v>0</v>
      </c>
      <c r="Q130" s="53" t="s">
        <v>318</v>
      </c>
      <c r="R130" s="201"/>
    </row>
    <row r="131" spans="1:18" x14ac:dyDescent="0.25">
      <c r="A131" s="209" t="str">
        <f t="shared" si="15"/>
        <v>101480</v>
      </c>
      <c r="B131" s="54" t="s">
        <v>318</v>
      </c>
      <c r="C131" s="53" t="s">
        <v>247</v>
      </c>
      <c r="D131" s="53" t="s">
        <v>553</v>
      </c>
      <c r="E131" s="53" t="s">
        <v>552</v>
      </c>
      <c r="F131" s="196">
        <v>303</v>
      </c>
      <c r="G131" s="207">
        <v>3980874.5233380003</v>
      </c>
      <c r="H131" s="207">
        <v>1038161.985175</v>
      </c>
      <c r="I131" s="208">
        <v>0</v>
      </c>
      <c r="J131" s="207"/>
      <c r="K131" s="199">
        <f t="shared" ref="K131:K162" si="16">IF(B131="",G131,0)</f>
        <v>3980874.5233380003</v>
      </c>
      <c r="L131" s="197">
        <v>1038161.985175</v>
      </c>
      <c r="M131" s="197">
        <v>0</v>
      </c>
      <c r="N131" s="197">
        <f t="shared" si="9"/>
        <v>0</v>
      </c>
      <c r="O131" s="197">
        <f t="shared" si="10"/>
        <v>0</v>
      </c>
      <c r="P131" s="197">
        <f t="shared" si="11"/>
        <v>0</v>
      </c>
      <c r="Q131" s="53" t="s">
        <v>318</v>
      </c>
      <c r="R131" s="201"/>
    </row>
    <row r="132" spans="1:18" x14ac:dyDescent="0.25">
      <c r="A132" s="209" t="str">
        <f t="shared" si="15"/>
        <v>317565</v>
      </c>
      <c r="B132" s="54" t="s">
        <v>318</v>
      </c>
      <c r="C132" s="53" t="s">
        <v>247</v>
      </c>
      <c r="D132" s="53" t="s">
        <v>551</v>
      </c>
      <c r="E132" s="53" t="s">
        <v>550</v>
      </c>
      <c r="F132" s="196">
        <v>391.3</v>
      </c>
      <c r="G132" s="207">
        <v>136058.75</v>
      </c>
      <c r="H132" s="207">
        <v>4053.38</v>
      </c>
      <c r="I132" s="208">
        <v>0</v>
      </c>
      <c r="J132" s="207"/>
      <c r="K132" s="199">
        <f t="shared" si="16"/>
        <v>136058.75</v>
      </c>
      <c r="L132" s="197">
        <v>4053.38</v>
      </c>
      <c r="M132" s="197">
        <v>0</v>
      </c>
      <c r="N132" s="197">
        <f t="shared" ref="N132:N195" si="17">K132-G132</f>
        <v>0</v>
      </c>
      <c r="O132" s="197">
        <f t="shared" ref="O132:O195" si="18">L132-H132</f>
        <v>0</v>
      </c>
      <c r="P132" s="197">
        <f t="shared" ref="P132:P195" si="19">M132-I132</f>
        <v>0</v>
      </c>
      <c r="Q132" s="53" t="s">
        <v>318</v>
      </c>
      <c r="R132" s="201"/>
    </row>
    <row r="133" spans="1:18" x14ac:dyDescent="0.25">
      <c r="A133" s="209" t="str">
        <f t="shared" si="15"/>
        <v>324020</v>
      </c>
      <c r="B133" s="54" t="s">
        <v>318</v>
      </c>
      <c r="C133" s="53" t="s">
        <v>247</v>
      </c>
      <c r="D133" s="53" t="s">
        <v>549</v>
      </c>
      <c r="E133" s="53" t="s">
        <v>548</v>
      </c>
      <c r="F133" s="196">
        <v>303</v>
      </c>
      <c r="G133" s="207">
        <v>810507.85611499997</v>
      </c>
      <c r="H133" s="207">
        <v>0</v>
      </c>
      <c r="I133" s="208">
        <v>0</v>
      </c>
      <c r="J133" s="207"/>
      <c r="K133" s="199">
        <f t="shared" si="16"/>
        <v>810507.85611499997</v>
      </c>
      <c r="L133" s="197">
        <v>0</v>
      </c>
      <c r="M133" s="197">
        <v>0</v>
      </c>
      <c r="N133" s="197">
        <f t="shared" si="17"/>
        <v>0</v>
      </c>
      <c r="O133" s="197">
        <f t="shared" si="18"/>
        <v>0</v>
      </c>
      <c r="P133" s="197">
        <f t="shared" si="19"/>
        <v>0</v>
      </c>
      <c r="Q133" s="53" t="s">
        <v>318</v>
      </c>
      <c r="R133" s="201"/>
    </row>
    <row r="134" spans="1:18" x14ac:dyDescent="0.25">
      <c r="A134" s="209" t="str">
        <f t="shared" si="15"/>
        <v>324029</v>
      </c>
      <c r="B134" s="54" t="s">
        <v>318</v>
      </c>
      <c r="C134" s="53" t="s">
        <v>247</v>
      </c>
      <c r="D134" s="53" t="s">
        <v>547</v>
      </c>
      <c r="E134" s="53" t="s">
        <v>546</v>
      </c>
      <c r="F134" s="196">
        <v>303</v>
      </c>
      <c r="G134" s="207">
        <v>0</v>
      </c>
      <c r="H134" s="207">
        <v>61073.288584000002</v>
      </c>
      <c r="I134" s="208">
        <v>0</v>
      </c>
      <c r="J134" s="207"/>
      <c r="K134" s="199">
        <f t="shared" si="16"/>
        <v>0</v>
      </c>
      <c r="L134" s="197">
        <v>61073.288584000002</v>
      </c>
      <c r="M134" s="197">
        <v>0</v>
      </c>
      <c r="N134" s="197">
        <f t="shared" si="17"/>
        <v>0</v>
      </c>
      <c r="O134" s="197">
        <f t="shared" si="18"/>
        <v>0</v>
      </c>
      <c r="P134" s="197">
        <f t="shared" si="19"/>
        <v>0</v>
      </c>
      <c r="Q134" s="53" t="s">
        <v>318</v>
      </c>
      <c r="R134" s="201"/>
    </row>
    <row r="135" spans="1:18" x14ac:dyDescent="0.25">
      <c r="A135" s="209" t="str">
        <f t="shared" si="15"/>
        <v>324035</v>
      </c>
      <c r="B135" s="54" t="s">
        <v>318</v>
      </c>
      <c r="C135" s="53" t="s">
        <v>247</v>
      </c>
      <c r="D135" s="53" t="s">
        <v>545</v>
      </c>
      <c r="E135" s="53" t="s">
        <v>544</v>
      </c>
      <c r="F135" s="196">
        <v>303</v>
      </c>
      <c r="G135" s="207">
        <v>52501.443155000008</v>
      </c>
      <c r="H135" s="207">
        <v>34898.571628000005</v>
      </c>
      <c r="I135" s="208">
        <v>0</v>
      </c>
      <c r="J135" s="207"/>
      <c r="K135" s="199">
        <f t="shared" si="16"/>
        <v>52501.443155000008</v>
      </c>
      <c r="L135" s="197">
        <v>34898.571628000005</v>
      </c>
      <c r="M135" s="197">
        <v>0</v>
      </c>
      <c r="N135" s="197">
        <f t="shared" si="17"/>
        <v>0</v>
      </c>
      <c r="O135" s="197">
        <f t="shared" si="18"/>
        <v>0</v>
      </c>
      <c r="P135" s="197">
        <f t="shared" si="19"/>
        <v>0</v>
      </c>
      <c r="Q135" s="53" t="s">
        <v>318</v>
      </c>
      <c r="R135" s="201"/>
    </row>
    <row r="136" spans="1:18" x14ac:dyDescent="0.25">
      <c r="A136" s="209" t="str">
        <f t="shared" si="15"/>
        <v>320934</v>
      </c>
      <c r="B136" s="54" t="s">
        <v>318</v>
      </c>
      <c r="C136" s="53" t="s">
        <v>247</v>
      </c>
      <c r="D136" s="53" t="s">
        <v>543</v>
      </c>
      <c r="E136" s="53" t="s">
        <v>542</v>
      </c>
      <c r="F136" s="196">
        <v>394.1</v>
      </c>
      <c r="G136" s="207">
        <v>16945.670000000002</v>
      </c>
      <c r="H136" s="207">
        <v>0</v>
      </c>
      <c r="I136" s="208">
        <v>0</v>
      </c>
      <c r="J136" s="207"/>
      <c r="K136" s="199">
        <f t="shared" si="16"/>
        <v>16945.670000000002</v>
      </c>
      <c r="L136" s="197">
        <v>0</v>
      </c>
      <c r="M136" s="197">
        <v>0</v>
      </c>
      <c r="N136" s="197">
        <f t="shared" si="17"/>
        <v>0</v>
      </c>
      <c r="O136" s="197">
        <f t="shared" si="18"/>
        <v>0</v>
      </c>
      <c r="P136" s="197">
        <f t="shared" si="19"/>
        <v>0</v>
      </c>
      <c r="Q136" s="53" t="s">
        <v>318</v>
      </c>
      <c r="R136" s="201"/>
    </row>
    <row r="137" spans="1:18" x14ac:dyDescent="0.25">
      <c r="A137" s="209" t="str">
        <f t="shared" si="15"/>
        <v>320935</v>
      </c>
      <c r="B137" s="54" t="s">
        <v>318</v>
      </c>
      <c r="C137" s="53" t="s">
        <v>247</v>
      </c>
      <c r="D137" s="53" t="s">
        <v>541</v>
      </c>
      <c r="E137" s="53" t="s">
        <v>540</v>
      </c>
      <c r="F137" s="196">
        <v>394.1</v>
      </c>
      <c r="G137" s="207">
        <v>14987.11</v>
      </c>
      <c r="H137" s="207">
        <v>0</v>
      </c>
      <c r="I137" s="208">
        <v>0</v>
      </c>
      <c r="J137" s="207"/>
      <c r="K137" s="199">
        <f t="shared" si="16"/>
        <v>14987.11</v>
      </c>
      <c r="L137" s="197">
        <v>0</v>
      </c>
      <c r="M137" s="197">
        <v>0</v>
      </c>
      <c r="N137" s="197">
        <f t="shared" si="17"/>
        <v>0</v>
      </c>
      <c r="O137" s="197">
        <f t="shared" si="18"/>
        <v>0</v>
      </c>
      <c r="P137" s="197">
        <f t="shared" si="19"/>
        <v>0</v>
      </c>
      <c r="Q137" s="53" t="s">
        <v>318</v>
      </c>
      <c r="R137" s="201"/>
    </row>
    <row r="138" spans="1:18" x14ac:dyDescent="0.25">
      <c r="A138" s="209" t="str">
        <f t="shared" si="15"/>
        <v>ital Lease</v>
      </c>
      <c r="B138" s="54" t="s">
        <v>318</v>
      </c>
      <c r="C138" s="53" t="s">
        <v>247</v>
      </c>
      <c r="D138" s="53" t="s">
        <v>539</v>
      </c>
      <c r="E138" s="53" t="s">
        <v>538</v>
      </c>
      <c r="F138" s="196">
        <v>397.4</v>
      </c>
      <c r="G138" s="207">
        <v>398580.42</v>
      </c>
      <c r="H138" s="207">
        <v>0</v>
      </c>
      <c r="I138" s="208">
        <v>0</v>
      </c>
      <c r="J138" s="207"/>
      <c r="K138" s="199">
        <f t="shared" si="16"/>
        <v>398580.42</v>
      </c>
      <c r="L138" s="197">
        <v>0</v>
      </c>
      <c r="M138" s="197">
        <v>0</v>
      </c>
      <c r="N138" s="197">
        <f t="shared" si="17"/>
        <v>0</v>
      </c>
      <c r="O138" s="197">
        <f t="shared" si="18"/>
        <v>0</v>
      </c>
      <c r="P138" s="197">
        <f t="shared" si="19"/>
        <v>0</v>
      </c>
      <c r="Q138" s="53" t="s">
        <v>318</v>
      </c>
      <c r="R138" s="201"/>
    </row>
    <row r="139" spans="1:18" x14ac:dyDescent="0.25">
      <c r="A139" s="209" t="str">
        <f t="shared" ref="A139:A172" si="20">RIGHT(D139,LEN(D139)-3)</f>
        <v>316019</v>
      </c>
      <c r="B139" s="54" t="s">
        <v>318</v>
      </c>
      <c r="C139" s="53" t="s">
        <v>247</v>
      </c>
      <c r="D139" s="53" t="s">
        <v>537</v>
      </c>
      <c r="E139" s="53" t="s">
        <v>536</v>
      </c>
      <c r="F139" s="196">
        <v>303</v>
      </c>
      <c r="G139" s="207">
        <v>0</v>
      </c>
      <c r="H139" s="207">
        <v>2616181.5575939999</v>
      </c>
      <c r="I139" s="208">
        <v>0</v>
      </c>
      <c r="J139" s="207"/>
      <c r="K139" s="199">
        <f t="shared" si="16"/>
        <v>0</v>
      </c>
      <c r="L139" s="197">
        <v>2616181.5575939999</v>
      </c>
      <c r="M139" s="197">
        <v>0</v>
      </c>
      <c r="N139" s="197">
        <f t="shared" si="17"/>
        <v>0</v>
      </c>
      <c r="O139" s="197">
        <f t="shared" si="18"/>
        <v>0</v>
      </c>
      <c r="P139" s="197">
        <f t="shared" si="19"/>
        <v>0</v>
      </c>
      <c r="Q139" s="53" t="s">
        <v>318</v>
      </c>
      <c r="R139" s="201"/>
    </row>
    <row r="140" spans="1:18" x14ac:dyDescent="0.25">
      <c r="A140" s="209" t="str">
        <f t="shared" si="20"/>
        <v>316451</v>
      </c>
      <c r="B140" s="54" t="s">
        <v>318</v>
      </c>
      <c r="C140" s="53" t="s">
        <v>247</v>
      </c>
      <c r="D140" s="53" t="s">
        <v>535</v>
      </c>
      <c r="E140" s="53" t="s">
        <v>534</v>
      </c>
      <c r="F140" s="196">
        <v>303</v>
      </c>
      <c r="G140" s="207">
        <v>109304.12705800001</v>
      </c>
      <c r="H140" s="207">
        <v>20571.146833999999</v>
      </c>
      <c r="I140" s="208">
        <v>0</v>
      </c>
      <c r="J140" s="207"/>
      <c r="K140" s="199">
        <f t="shared" si="16"/>
        <v>109304.12705800001</v>
      </c>
      <c r="L140" s="197">
        <v>20571.146833999999</v>
      </c>
      <c r="M140" s="197">
        <v>0</v>
      </c>
      <c r="N140" s="197">
        <f t="shared" si="17"/>
        <v>0</v>
      </c>
      <c r="O140" s="197">
        <f t="shared" si="18"/>
        <v>0</v>
      </c>
      <c r="P140" s="197">
        <f t="shared" si="19"/>
        <v>0</v>
      </c>
      <c r="Q140" s="53" t="s">
        <v>318</v>
      </c>
      <c r="R140" s="201"/>
    </row>
    <row r="141" spans="1:18" x14ac:dyDescent="0.25">
      <c r="A141" s="209" t="str">
        <f t="shared" si="20"/>
        <v>324053</v>
      </c>
      <c r="B141" s="54" t="s">
        <v>318</v>
      </c>
      <c r="C141" s="53" t="s">
        <v>247</v>
      </c>
      <c r="D141" s="53" t="s">
        <v>533</v>
      </c>
      <c r="E141" s="53" t="s">
        <v>532</v>
      </c>
      <c r="F141" s="196">
        <v>394.1</v>
      </c>
      <c r="G141" s="207">
        <v>50215</v>
      </c>
      <c r="H141" s="207">
        <v>0</v>
      </c>
      <c r="I141" s="208">
        <v>0</v>
      </c>
      <c r="J141" s="207"/>
      <c r="K141" s="199">
        <f t="shared" si="16"/>
        <v>50215</v>
      </c>
      <c r="L141" s="197">
        <v>0</v>
      </c>
      <c r="M141" s="197">
        <v>0</v>
      </c>
      <c r="N141" s="197">
        <f t="shared" si="17"/>
        <v>0</v>
      </c>
      <c r="O141" s="197">
        <f t="shared" si="18"/>
        <v>0</v>
      </c>
      <c r="P141" s="197">
        <f t="shared" si="19"/>
        <v>0</v>
      </c>
      <c r="Q141" s="53" t="s">
        <v>318</v>
      </c>
      <c r="R141" s="201"/>
    </row>
    <row r="142" spans="1:18" x14ac:dyDescent="0.25">
      <c r="A142" s="209" t="str">
        <f t="shared" si="20"/>
        <v>324251</v>
      </c>
      <c r="B142" s="54" t="s">
        <v>318</v>
      </c>
      <c r="C142" s="53" t="s">
        <v>247</v>
      </c>
      <c r="D142" s="53" t="s">
        <v>531</v>
      </c>
      <c r="E142" s="53" t="s">
        <v>530</v>
      </c>
      <c r="F142" s="196">
        <v>398</v>
      </c>
      <c r="G142" s="207">
        <v>2008.6000000000001</v>
      </c>
      <c r="H142" s="207">
        <v>0</v>
      </c>
      <c r="I142" s="208">
        <v>0</v>
      </c>
      <c r="J142" s="207"/>
      <c r="K142" s="199">
        <f t="shared" si="16"/>
        <v>2008.6000000000001</v>
      </c>
      <c r="L142" s="197">
        <v>0</v>
      </c>
      <c r="M142" s="197">
        <v>0</v>
      </c>
      <c r="N142" s="197">
        <f t="shared" si="17"/>
        <v>0</v>
      </c>
      <c r="O142" s="197">
        <f t="shared" si="18"/>
        <v>0</v>
      </c>
      <c r="P142" s="197">
        <f t="shared" si="19"/>
        <v>0</v>
      </c>
      <c r="Q142" s="53" t="s">
        <v>318</v>
      </c>
      <c r="R142" s="201"/>
    </row>
    <row r="143" spans="1:18" x14ac:dyDescent="0.25">
      <c r="A143" s="209" t="str">
        <f t="shared" si="20"/>
        <v>324253</v>
      </c>
      <c r="B143" s="54" t="s">
        <v>318</v>
      </c>
      <c r="C143" s="53" t="s">
        <v>247</v>
      </c>
      <c r="D143" s="53" t="s">
        <v>529</v>
      </c>
      <c r="E143" s="53" t="s">
        <v>528</v>
      </c>
      <c r="F143" s="196">
        <v>394.1</v>
      </c>
      <c r="G143" s="207">
        <v>10043</v>
      </c>
      <c r="H143" s="207">
        <v>0</v>
      </c>
      <c r="I143" s="208">
        <v>0</v>
      </c>
      <c r="J143" s="207"/>
      <c r="K143" s="199">
        <f t="shared" si="16"/>
        <v>10043</v>
      </c>
      <c r="L143" s="197">
        <v>0</v>
      </c>
      <c r="M143" s="197">
        <v>0</v>
      </c>
      <c r="N143" s="197">
        <f t="shared" si="17"/>
        <v>0</v>
      </c>
      <c r="O143" s="197">
        <f t="shared" si="18"/>
        <v>0</v>
      </c>
      <c r="P143" s="197">
        <f t="shared" si="19"/>
        <v>0</v>
      </c>
      <c r="Q143" s="53" t="s">
        <v>318</v>
      </c>
      <c r="R143" s="201"/>
    </row>
    <row r="144" spans="1:18" x14ac:dyDescent="0.25">
      <c r="A144" s="209" t="str">
        <f t="shared" si="20"/>
        <v>322468</v>
      </c>
      <c r="B144" s="54" t="s">
        <v>318</v>
      </c>
      <c r="C144" s="53" t="s">
        <v>133</v>
      </c>
      <c r="D144" s="53" t="s">
        <v>527</v>
      </c>
      <c r="E144" s="53" t="s">
        <v>526</v>
      </c>
      <c r="F144" s="196">
        <v>394.1</v>
      </c>
      <c r="G144" s="207">
        <v>16755.97</v>
      </c>
      <c r="H144" s="207">
        <v>0</v>
      </c>
      <c r="I144" s="208">
        <v>0</v>
      </c>
      <c r="J144" s="207"/>
      <c r="K144" s="199">
        <f t="shared" si="16"/>
        <v>16755.97</v>
      </c>
      <c r="L144" s="197">
        <v>0</v>
      </c>
      <c r="M144" s="197">
        <v>0</v>
      </c>
      <c r="N144" s="197">
        <f t="shared" si="17"/>
        <v>0</v>
      </c>
      <c r="O144" s="197">
        <f t="shared" si="18"/>
        <v>0</v>
      </c>
      <c r="P144" s="197">
        <f t="shared" si="19"/>
        <v>0</v>
      </c>
      <c r="Q144" s="53" t="s">
        <v>318</v>
      </c>
      <c r="R144" s="201"/>
    </row>
    <row r="145" spans="1:18" x14ac:dyDescent="0.25">
      <c r="A145" s="209" t="str">
        <f t="shared" si="20"/>
        <v>322488</v>
      </c>
      <c r="B145" s="54" t="s">
        <v>318</v>
      </c>
      <c r="C145" s="53" t="s">
        <v>133</v>
      </c>
      <c r="D145" s="53" t="s">
        <v>525</v>
      </c>
      <c r="E145" s="53" t="s">
        <v>524</v>
      </c>
      <c r="F145" s="196">
        <v>394.1</v>
      </c>
      <c r="G145" s="207">
        <v>3970.1</v>
      </c>
      <c r="H145" s="207">
        <v>0</v>
      </c>
      <c r="I145" s="208">
        <v>0</v>
      </c>
      <c r="J145" s="207"/>
      <c r="K145" s="199">
        <f t="shared" si="16"/>
        <v>3970.1</v>
      </c>
      <c r="L145" s="197">
        <v>0</v>
      </c>
      <c r="M145" s="197">
        <v>0</v>
      </c>
      <c r="N145" s="197">
        <f t="shared" si="17"/>
        <v>0</v>
      </c>
      <c r="O145" s="197">
        <f t="shared" si="18"/>
        <v>0</v>
      </c>
      <c r="P145" s="197">
        <f t="shared" si="19"/>
        <v>0</v>
      </c>
      <c r="Q145" s="53" t="s">
        <v>318</v>
      </c>
      <c r="R145" s="201"/>
    </row>
    <row r="146" spans="1:18" x14ac:dyDescent="0.25">
      <c r="A146" s="209" t="str">
        <f t="shared" si="20"/>
        <v>322580</v>
      </c>
      <c r="B146" s="54" t="s">
        <v>318</v>
      </c>
      <c r="C146" s="53" t="s">
        <v>133</v>
      </c>
      <c r="D146" s="53" t="s">
        <v>523</v>
      </c>
      <c r="E146" s="53" t="s">
        <v>522</v>
      </c>
      <c r="F146" s="196">
        <v>394.1</v>
      </c>
      <c r="G146" s="207">
        <v>10597.83</v>
      </c>
      <c r="H146" s="207">
        <v>0</v>
      </c>
      <c r="I146" s="208">
        <v>0</v>
      </c>
      <c r="J146" s="207"/>
      <c r="K146" s="199">
        <f t="shared" si="16"/>
        <v>10597.83</v>
      </c>
      <c r="L146" s="197">
        <v>0</v>
      </c>
      <c r="M146" s="197">
        <v>0</v>
      </c>
      <c r="N146" s="197">
        <f t="shared" si="17"/>
        <v>0</v>
      </c>
      <c r="O146" s="197">
        <f t="shared" si="18"/>
        <v>0</v>
      </c>
      <c r="P146" s="197">
        <f t="shared" si="19"/>
        <v>0</v>
      </c>
      <c r="Q146" s="53" t="s">
        <v>318</v>
      </c>
      <c r="R146" s="201"/>
    </row>
    <row r="147" spans="1:18" x14ac:dyDescent="0.25">
      <c r="A147" s="209" t="str">
        <f t="shared" si="20"/>
        <v>322655</v>
      </c>
      <c r="B147" s="54" t="s">
        <v>318</v>
      </c>
      <c r="C147" s="53" t="s">
        <v>133</v>
      </c>
      <c r="D147" s="53" t="s">
        <v>521</v>
      </c>
      <c r="E147" s="53" t="s">
        <v>520</v>
      </c>
      <c r="F147" s="196">
        <v>394.1</v>
      </c>
      <c r="G147" s="207">
        <v>20141.350000000002</v>
      </c>
      <c r="H147" s="207">
        <v>0</v>
      </c>
      <c r="I147" s="208">
        <v>0</v>
      </c>
      <c r="J147" s="207"/>
      <c r="K147" s="199">
        <f t="shared" si="16"/>
        <v>20141.350000000002</v>
      </c>
      <c r="L147" s="197">
        <v>0</v>
      </c>
      <c r="M147" s="197">
        <v>0</v>
      </c>
      <c r="N147" s="197">
        <f t="shared" si="17"/>
        <v>0</v>
      </c>
      <c r="O147" s="197">
        <f t="shared" si="18"/>
        <v>0</v>
      </c>
      <c r="P147" s="197">
        <f t="shared" si="19"/>
        <v>0</v>
      </c>
      <c r="Q147" s="53" t="s">
        <v>318</v>
      </c>
      <c r="R147" s="201"/>
    </row>
    <row r="148" spans="1:18" x14ac:dyDescent="0.25">
      <c r="A148" s="209" t="str">
        <f t="shared" si="20"/>
        <v>323791</v>
      </c>
      <c r="B148" s="54" t="s">
        <v>318</v>
      </c>
      <c r="C148" s="53" t="s">
        <v>133</v>
      </c>
      <c r="D148" s="53" t="s">
        <v>519</v>
      </c>
      <c r="E148" s="53" t="s">
        <v>518</v>
      </c>
      <c r="F148" s="196">
        <v>394.1</v>
      </c>
      <c r="G148" s="207">
        <v>12729.9</v>
      </c>
      <c r="H148" s="207">
        <v>0</v>
      </c>
      <c r="I148" s="208">
        <v>0</v>
      </c>
      <c r="J148" s="207"/>
      <c r="K148" s="199">
        <f t="shared" si="16"/>
        <v>12729.9</v>
      </c>
      <c r="L148" s="197">
        <v>0</v>
      </c>
      <c r="M148" s="197">
        <v>0</v>
      </c>
      <c r="N148" s="197">
        <f t="shared" si="17"/>
        <v>0</v>
      </c>
      <c r="O148" s="197">
        <f t="shared" si="18"/>
        <v>0</v>
      </c>
      <c r="P148" s="197">
        <f t="shared" si="19"/>
        <v>0</v>
      </c>
      <c r="Q148" s="53" t="s">
        <v>318</v>
      </c>
      <c r="R148" s="201"/>
    </row>
    <row r="149" spans="1:18" x14ac:dyDescent="0.25">
      <c r="A149" s="209" t="str">
        <f t="shared" si="20"/>
        <v>323917</v>
      </c>
      <c r="B149" s="54" t="s">
        <v>318</v>
      </c>
      <c r="C149" s="53" t="s">
        <v>133</v>
      </c>
      <c r="D149" s="53" t="s">
        <v>517</v>
      </c>
      <c r="E149" s="53" t="s">
        <v>516</v>
      </c>
      <c r="F149" s="196">
        <v>394.1</v>
      </c>
      <c r="G149" s="207">
        <v>1592.8</v>
      </c>
      <c r="H149" s="207">
        <v>0</v>
      </c>
      <c r="I149" s="208">
        <v>0</v>
      </c>
      <c r="J149" s="207"/>
      <c r="K149" s="199">
        <f t="shared" si="16"/>
        <v>1592.8</v>
      </c>
      <c r="L149" s="197">
        <v>0</v>
      </c>
      <c r="M149" s="197">
        <v>0</v>
      </c>
      <c r="N149" s="197">
        <f t="shared" si="17"/>
        <v>0</v>
      </c>
      <c r="O149" s="197">
        <f t="shared" si="18"/>
        <v>0</v>
      </c>
      <c r="P149" s="197">
        <f t="shared" si="19"/>
        <v>0</v>
      </c>
      <c r="Q149" s="53" t="s">
        <v>318</v>
      </c>
      <c r="R149" s="201"/>
    </row>
    <row r="150" spans="1:18" x14ac:dyDescent="0.25">
      <c r="A150" s="209" t="str">
        <f t="shared" si="20"/>
        <v>323918</v>
      </c>
      <c r="B150" s="54" t="s">
        <v>318</v>
      </c>
      <c r="C150" s="53" t="s">
        <v>133</v>
      </c>
      <c r="D150" s="53" t="s">
        <v>515</v>
      </c>
      <c r="E150" s="53" t="s">
        <v>514</v>
      </c>
      <c r="F150" s="196">
        <v>394.1</v>
      </c>
      <c r="G150" s="207">
        <v>10082.290000000001</v>
      </c>
      <c r="H150" s="207">
        <v>0</v>
      </c>
      <c r="I150" s="208">
        <v>0</v>
      </c>
      <c r="J150" s="207"/>
      <c r="K150" s="199">
        <f t="shared" si="16"/>
        <v>10082.290000000001</v>
      </c>
      <c r="L150" s="197">
        <v>0</v>
      </c>
      <c r="M150" s="197">
        <v>0</v>
      </c>
      <c r="N150" s="197">
        <f t="shared" si="17"/>
        <v>0</v>
      </c>
      <c r="O150" s="197">
        <f t="shared" si="18"/>
        <v>0</v>
      </c>
      <c r="P150" s="197">
        <f t="shared" si="19"/>
        <v>0</v>
      </c>
      <c r="Q150" s="53" t="s">
        <v>318</v>
      </c>
      <c r="R150" s="201"/>
    </row>
    <row r="151" spans="1:18" x14ac:dyDescent="0.25">
      <c r="A151" s="209" t="str">
        <f t="shared" si="20"/>
        <v>323951</v>
      </c>
      <c r="B151" s="54" t="s">
        <v>318</v>
      </c>
      <c r="C151" s="53" t="s">
        <v>133</v>
      </c>
      <c r="D151" s="53" t="s">
        <v>513</v>
      </c>
      <c r="E151" s="53" t="s">
        <v>472</v>
      </c>
      <c r="F151" s="196">
        <v>394.1</v>
      </c>
      <c r="G151" s="207">
        <v>32137.600000000002</v>
      </c>
      <c r="H151" s="207">
        <v>0</v>
      </c>
      <c r="I151" s="208">
        <v>0</v>
      </c>
      <c r="J151" s="207"/>
      <c r="K151" s="199">
        <f t="shared" si="16"/>
        <v>32137.600000000002</v>
      </c>
      <c r="L151" s="197">
        <v>0</v>
      </c>
      <c r="M151" s="197">
        <v>0</v>
      </c>
      <c r="N151" s="197">
        <f t="shared" si="17"/>
        <v>0</v>
      </c>
      <c r="O151" s="197">
        <f t="shared" si="18"/>
        <v>0</v>
      </c>
      <c r="P151" s="197">
        <f t="shared" si="19"/>
        <v>0</v>
      </c>
      <c r="Q151" s="53" t="s">
        <v>318</v>
      </c>
      <c r="R151" s="201"/>
    </row>
    <row r="152" spans="1:18" x14ac:dyDescent="0.25">
      <c r="A152" s="209" t="str">
        <f t="shared" si="20"/>
        <v>324015</v>
      </c>
      <c r="B152" s="54" t="s">
        <v>318</v>
      </c>
      <c r="C152" s="53" t="s">
        <v>133</v>
      </c>
      <c r="D152" s="53" t="s">
        <v>512</v>
      </c>
      <c r="E152" s="53" t="s">
        <v>511</v>
      </c>
      <c r="F152" s="196">
        <v>394.1</v>
      </c>
      <c r="G152" s="207">
        <v>3439.73</v>
      </c>
      <c r="H152" s="207">
        <v>0</v>
      </c>
      <c r="I152" s="208">
        <v>0</v>
      </c>
      <c r="J152" s="207"/>
      <c r="K152" s="199">
        <f t="shared" si="16"/>
        <v>3439.73</v>
      </c>
      <c r="L152" s="197">
        <v>0</v>
      </c>
      <c r="M152" s="197">
        <v>0</v>
      </c>
      <c r="N152" s="197">
        <f t="shared" si="17"/>
        <v>0</v>
      </c>
      <c r="O152" s="197">
        <f t="shared" si="18"/>
        <v>0</v>
      </c>
      <c r="P152" s="197">
        <f t="shared" si="19"/>
        <v>0</v>
      </c>
      <c r="Q152" s="53" t="s">
        <v>318</v>
      </c>
      <c r="R152" s="201"/>
    </row>
    <row r="153" spans="1:18" x14ac:dyDescent="0.25">
      <c r="A153" s="209" t="str">
        <f t="shared" si="20"/>
        <v>324018</v>
      </c>
      <c r="B153" s="54" t="s">
        <v>318</v>
      </c>
      <c r="C153" s="53" t="s">
        <v>133</v>
      </c>
      <c r="D153" s="53" t="s">
        <v>510</v>
      </c>
      <c r="E153" s="53" t="s">
        <v>509</v>
      </c>
      <c r="F153" s="196">
        <v>394.1</v>
      </c>
      <c r="G153" s="207">
        <v>7532.25</v>
      </c>
      <c r="H153" s="207">
        <v>0</v>
      </c>
      <c r="I153" s="208">
        <v>0</v>
      </c>
      <c r="J153" s="207"/>
      <c r="K153" s="199">
        <f t="shared" si="16"/>
        <v>7532.25</v>
      </c>
      <c r="L153" s="197">
        <v>0</v>
      </c>
      <c r="M153" s="197">
        <v>0</v>
      </c>
      <c r="N153" s="197">
        <f t="shared" si="17"/>
        <v>0</v>
      </c>
      <c r="O153" s="197">
        <f t="shared" si="18"/>
        <v>0</v>
      </c>
      <c r="P153" s="197">
        <f t="shared" si="19"/>
        <v>0</v>
      </c>
      <c r="Q153" s="53" t="s">
        <v>318</v>
      </c>
      <c r="R153" s="201"/>
    </row>
    <row r="154" spans="1:18" x14ac:dyDescent="0.25">
      <c r="A154" s="209" t="str">
        <f t="shared" si="20"/>
        <v>324134</v>
      </c>
      <c r="B154" s="54" t="s">
        <v>318</v>
      </c>
      <c r="C154" s="53" t="s">
        <v>133</v>
      </c>
      <c r="D154" s="53" t="s">
        <v>508</v>
      </c>
      <c r="E154" s="53" t="s">
        <v>507</v>
      </c>
      <c r="F154" s="196">
        <v>394.1</v>
      </c>
      <c r="G154" s="207">
        <v>4017.2000000000003</v>
      </c>
      <c r="H154" s="207">
        <v>0</v>
      </c>
      <c r="I154" s="208">
        <v>0</v>
      </c>
      <c r="J154" s="207"/>
      <c r="K154" s="199">
        <f t="shared" si="16"/>
        <v>4017.2000000000003</v>
      </c>
      <c r="L154" s="197">
        <v>0</v>
      </c>
      <c r="M154" s="197">
        <v>0</v>
      </c>
      <c r="N154" s="197">
        <f t="shared" si="17"/>
        <v>0</v>
      </c>
      <c r="O154" s="197">
        <f t="shared" si="18"/>
        <v>0</v>
      </c>
      <c r="P154" s="197">
        <f t="shared" si="19"/>
        <v>0</v>
      </c>
      <c r="Q154" s="53" t="s">
        <v>318</v>
      </c>
      <c r="R154" s="201"/>
    </row>
    <row r="155" spans="1:18" x14ac:dyDescent="0.25">
      <c r="A155" s="209" t="str">
        <f t="shared" si="20"/>
        <v>324146</v>
      </c>
      <c r="B155" s="54" t="s">
        <v>318</v>
      </c>
      <c r="C155" s="53" t="s">
        <v>133</v>
      </c>
      <c r="D155" s="53" t="s">
        <v>506</v>
      </c>
      <c r="E155" s="53" t="s">
        <v>505</v>
      </c>
      <c r="F155" s="196">
        <v>394.1</v>
      </c>
      <c r="G155" s="207">
        <v>2510.75</v>
      </c>
      <c r="H155" s="207">
        <v>0</v>
      </c>
      <c r="I155" s="208">
        <v>0</v>
      </c>
      <c r="J155" s="207"/>
      <c r="K155" s="199">
        <f t="shared" si="16"/>
        <v>2510.75</v>
      </c>
      <c r="L155" s="197">
        <v>0</v>
      </c>
      <c r="M155" s="197">
        <v>0</v>
      </c>
      <c r="N155" s="197">
        <f t="shared" si="17"/>
        <v>0</v>
      </c>
      <c r="O155" s="197">
        <f t="shared" si="18"/>
        <v>0</v>
      </c>
      <c r="P155" s="197">
        <f t="shared" si="19"/>
        <v>0</v>
      </c>
      <c r="Q155" s="53" t="s">
        <v>318</v>
      </c>
      <c r="R155" s="201"/>
    </row>
    <row r="156" spans="1:18" x14ac:dyDescent="0.25">
      <c r="A156" s="209" t="str">
        <f t="shared" si="20"/>
        <v>324503</v>
      </c>
      <c r="B156" s="54" t="s">
        <v>318</v>
      </c>
      <c r="C156" s="53" t="s">
        <v>133</v>
      </c>
      <c r="D156" s="53" t="s">
        <v>504</v>
      </c>
      <c r="E156" s="53" t="s">
        <v>503</v>
      </c>
      <c r="F156" s="196">
        <v>394.1</v>
      </c>
      <c r="G156" s="207">
        <v>6527.95</v>
      </c>
      <c r="H156" s="207">
        <v>0</v>
      </c>
      <c r="I156" s="208">
        <v>0</v>
      </c>
      <c r="J156" s="207"/>
      <c r="K156" s="199">
        <f t="shared" si="16"/>
        <v>6527.95</v>
      </c>
      <c r="L156" s="197">
        <v>0</v>
      </c>
      <c r="M156" s="197">
        <v>0</v>
      </c>
      <c r="N156" s="197">
        <f t="shared" si="17"/>
        <v>0</v>
      </c>
      <c r="O156" s="197">
        <f t="shared" si="18"/>
        <v>0</v>
      </c>
      <c r="P156" s="197">
        <f t="shared" si="19"/>
        <v>0</v>
      </c>
      <c r="Q156" s="53" t="s">
        <v>318</v>
      </c>
      <c r="R156" s="201"/>
    </row>
    <row r="157" spans="1:18" x14ac:dyDescent="0.25">
      <c r="A157" s="209" t="str">
        <f t="shared" si="20"/>
        <v>324524</v>
      </c>
      <c r="B157" s="54" t="s">
        <v>318</v>
      </c>
      <c r="C157" s="53" t="s">
        <v>133</v>
      </c>
      <c r="D157" s="53" t="s">
        <v>502</v>
      </c>
      <c r="E157" s="53" t="s">
        <v>501</v>
      </c>
      <c r="F157" s="196">
        <v>394.1</v>
      </c>
      <c r="G157" s="207">
        <v>4017.2000000000003</v>
      </c>
      <c r="H157" s="207">
        <v>0</v>
      </c>
      <c r="I157" s="208">
        <v>0</v>
      </c>
      <c r="J157" s="207"/>
      <c r="K157" s="199">
        <f t="shared" si="16"/>
        <v>4017.2000000000003</v>
      </c>
      <c r="L157" s="197">
        <v>0</v>
      </c>
      <c r="M157" s="197">
        <v>0</v>
      </c>
      <c r="N157" s="197">
        <f t="shared" si="17"/>
        <v>0</v>
      </c>
      <c r="O157" s="197">
        <f t="shared" si="18"/>
        <v>0</v>
      </c>
      <c r="P157" s="197">
        <f t="shared" si="19"/>
        <v>0</v>
      </c>
      <c r="Q157" s="53" t="s">
        <v>318</v>
      </c>
      <c r="R157" s="201"/>
    </row>
    <row r="158" spans="1:18" x14ac:dyDescent="0.25">
      <c r="A158" s="209" t="str">
        <f t="shared" si="20"/>
        <v>324527</v>
      </c>
      <c r="B158" s="54" t="s">
        <v>318</v>
      </c>
      <c r="C158" s="53" t="s">
        <v>133</v>
      </c>
      <c r="D158" s="53" t="s">
        <v>500</v>
      </c>
      <c r="E158" s="53" t="s">
        <v>499</v>
      </c>
      <c r="F158" s="196">
        <v>394.1</v>
      </c>
      <c r="G158" s="207">
        <v>4017.2000000000003</v>
      </c>
      <c r="H158" s="207">
        <v>0</v>
      </c>
      <c r="I158" s="208">
        <v>0</v>
      </c>
      <c r="J158" s="207"/>
      <c r="K158" s="199">
        <f t="shared" si="16"/>
        <v>4017.2000000000003</v>
      </c>
      <c r="L158" s="197">
        <v>0</v>
      </c>
      <c r="M158" s="197">
        <v>0</v>
      </c>
      <c r="N158" s="197">
        <f t="shared" si="17"/>
        <v>0</v>
      </c>
      <c r="O158" s="197">
        <f t="shared" si="18"/>
        <v>0</v>
      </c>
      <c r="P158" s="197">
        <f t="shared" si="19"/>
        <v>0</v>
      </c>
      <c r="Q158" s="53" t="s">
        <v>318</v>
      </c>
      <c r="R158" s="201"/>
    </row>
    <row r="159" spans="1:18" x14ac:dyDescent="0.25">
      <c r="A159" s="209" t="str">
        <f t="shared" si="20"/>
        <v>324530</v>
      </c>
      <c r="B159" s="54" t="s">
        <v>318</v>
      </c>
      <c r="C159" s="53" t="s">
        <v>133</v>
      </c>
      <c r="D159" s="53" t="s">
        <v>498</v>
      </c>
      <c r="E159" s="53" t="s">
        <v>497</v>
      </c>
      <c r="F159" s="196">
        <v>394.1</v>
      </c>
      <c r="G159" s="207">
        <v>4441.3</v>
      </c>
      <c r="H159" s="207">
        <v>0</v>
      </c>
      <c r="I159" s="208">
        <v>0</v>
      </c>
      <c r="J159" s="207"/>
      <c r="K159" s="199">
        <f t="shared" si="16"/>
        <v>4441.3</v>
      </c>
      <c r="L159" s="197">
        <v>0</v>
      </c>
      <c r="M159" s="197">
        <v>0</v>
      </c>
      <c r="N159" s="197">
        <f t="shared" si="17"/>
        <v>0</v>
      </c>
      <c r="O159" s="197">
        <f t="shared" si="18"/>
        <v>0</v>
      </c>
      <c r="P159" s="197">
        <f t="shared" si="19"/>
        <v>0</v>
      </c>
      <c r="Q159" s="53" t="s">
        <v>318</v>
      </c>
      <c r="R159" s="201"/>
    </row>
    <row r="160" spans="1:18" x14ac:dyDescent="0.25">
      <c r="A160" s="209" t="str">
        <f t="shared" si="20"/>
        <v>324559</v>
      </c>
      <c r="B160" s="54" t="s">
        <v>318</v>
      </c>
      <c r="C160" s="53" t="s">
        <v>133</v>
      </c>
      <c r="D160" s="53" t="s">
        <v>496</v>
      </c>
      <c r="E160" s="53" t="s">
        <v>495</v>
      </c>
      <c r="F160" s="196">
        <v>394.1</v>
      </c>
      <c r="G160" s="207">
        <v>7906.85</v>
      </c>
      <c r="H160" s="207">
        <v>0</v>
      </c>
      <c r="I160" s="208">
        <v>0</v>
      </c>
      <c r="J160" s="207"/>
      <c r="K160" s="199">
        <f t="shared" si="16"/>
        <v>7906.85</v>
      </c>
      <c r="L160" s="197">
        <v>0</v>
      </c>
      <c r="M160" s="197">
        <v>0</v>
      </c>
      <c r="N160" s="197">
        <f t="shared" si="17"/>
        <v>0</v>
      </c>
      <c r="O160" s="197">
        <f t="shared" si="18"/>
        <v>0</v>
      </c>
      <c r="P160" s="197">
        <f t="shared" si="19"/>
        <v>0</v>
      </c>
      <c r="Q160" s="53" t="s">
        <v>318</v>
      </c>
      <c r="R160" s="201"/>
    </row>
    <row r="161" spans="1:18" x14ac:dyDescent="0.25">
      <c r="A161" s="209" t="str">
        <f t="shared" si="20"/>
        <v>324690</v>
      </c>
      <c r="B161" s="54" t="s">
        <v>318</v>
      </c>
      <c r="C161" s="53" t="s">
        <v>133</v>
      </c>
      <c r="D161" s="53" t="s">
        <v>494</v>
      </c>
      <c r="E161" s="53" t="s">
        <v>493</v>
      </c>
      <c r="F161" s="196">
        <v>394.1</v>
      </c>
      <c r="G161" s="207">
        <v>5021.5</v>
      </c>
      <c r="H161" s="207">
        <v>0</v>
      </c>
      <c r="I161" s="208">
        <v>0</v>
      </c>
      <c r="J161" s="207"/>
      <c r="K161" s="199">
        <f t="shared" si="16"/>
        <v>5021.5</v>
      </c>
      <c r="L161" s="197">
        <v>0</v>
      </c>
      <c r="M161" s="197">
        <v>0</v>
      </c>
      <c r="N161" s="197">
        <f t="shared" si="17"/>
        <v>0</v>
      </c>
      <c r="O161" s="197">
        <f t="shared" si="18"/>
        <v>0</v>
      </c>
      <c r="P161" s="197">
        <f t="shared" si="19"/>
        <v>0</v>
      </c>
      <c r="Q161" s="53" t="s">
        <v>318</v>
      </c>
      <c r="R161" s="201"/>
    </row>
    <row r="162" spans="1:18" x14ac:dyDescent="0.25">
      <c r="A162" s="209" t="str">
        <f t="shared" si="20"/>
        <v>324695</v>
      </c>
      <c r="B162" s="54" t="s">
        <v>318</v>
      </c>
      <c r="C162" s="53" t="s">
        <v>133</v>
      </c>
      <c r="D162" s="53" t="s">
        <v>492</v>
      </c>
      <c r="E162" s="53" t="s">
        <v>472</v>
      </c>
      <c r="F162" s="196">
        <v>394.1</v>
      </c>
      <c r="G162" s="207">
        <v>42682.75</v>
      </c>
      <c r="H162" s="207">
        <v>0</v>
      </c>
      <c r="I162" s="208">
        <v>0</v>
      </c>
      <c r="J162" s="207"/>
      <c r="K162" s="199">
        <f t="shared" si="16"/>
        <v>42682.75</v>
      </c>
      <c r="L162" s="197">
        <v>0</v>
      </c>
      <c r="M162" s="197">
        <v>0</v>
      </c>
      <c r="N162" s="197">
        <f t="shared" si="17"/>
        <v>0</v>
      </c>
      <c r="O162" s="197">
        <f t="shared" si="18"/>
        <v>0</v>
      </c>
      <c r="P162" s="197">
        <f t="shared" si="19"/>
        <v>0</v>
      </c>
      <c r="Q162" s="53" t="s">
        <v>318</v>
      </c>
      <c r="R162" s="201"/>
    </row>
    <row r="163" spans="1:18" x14ac:dyDescent="0.25">
      <c r="A163" s="209" t="str">
        <f t="shared" si="20"/>
        <v>325059</v>
      </c>
      <c r="B163" s="54" t="s">
        <v>318</v>
      </c>
      <c r="C163" s="53" t="s">
        <v>133</v>
      </c>
      <c r="D163" s="53" t="s">
        <v>491</v>
      </c>
      <c r="E163" s="53" t="s">
        <v>490</v>
      </c>
      <c r="F163" s="196">
        <v>394.1</v>
      </c>
      <c r="G163" s="207">
        <v>3136.7400000000002</v>
      </c>
      <c r="H163" s="207">
        <v>0</v>
      </c>
      <c r="I163" s="208">
        <v>0</v>
      </c>
      <c r="J163" s="207"/>
      <c r="K163" s="199">
        <f t="shared" ref="K163:K194" si="21">IF(B163="",G163,0)</f>
        <v>3136.7400000000002</v>
      </c>
      <c r="L163" s="197">
        <v>0</v>
      </c>
      <c r="M163" s="197">
        <v>0</v>
      </c>
      <c r="N163" s="197">
        <f t="shared" si="17"/>
        <v>0</v>
      </c>
      <c r="O163" s="197">
        <f t="shared" si="18"/>
        <v>0</v>
      </c>
      <c r="P163" s="197">
        <f t="shared" si="19"/>
        <v>0</v>
      </c>
      <c r="Q163" s="53" t="s">
        <v>318</v>
      </c>
      <c r="R163" s="201"/>
    </row>
    <row r="164" spans="1:18" x14ac:dyDescent="0.25">
      <c r="A164" s="209" t="str">
        <f t="shared" si="20"/>
        <v>325186</v>
      </c>
      <c r="B164" s="54" t="s">
        <v>318</v>
      </c>
      <c r="C164" s="53" t="s">
        <v>133</v>
      </c>
      <c r="D164" s="53" t="s">
        <v>489</v>
      </c>
      <c r="E164" s="53" t="s">
        <v>488</v>
      </c>
      <c r="F164" s="196">
        <v>394.1</v>
      </c>
      <c r="G164" s="207">
        <v>3799.31</v>
      </c>
      <c r="H164" s="207">
        <v>0</v>
      </c>
      <c r="I164" s="208">
        <v>0</v>
      </c>
      <c r="J164" s="207"/>
      <c r="K164" s="199">
        <f t="shared" si="21"/>
        <v>3799.31</v>
      </c>
      <c r="L164" s="197">
        <v>0</v>
      </c>
      <c r="M164" s="197">
        <v>0</v>
      </c>
      <c r="N164" s="197">
        <f t="shared" si="17"/>
        <v>0</v>
      </c>
      <c r="O164" s="197">
        <f t="shared" si="18"/>
        <v>0</v>
      </c>
      <c r="P164" s="197">
        <f t="shared" si="19"/>
        <v>0</v>
      </c>
      <c r="Q164" s="53" t="s">
        <v>318</v>
      </c>
      <c r="R164" s="201"/>
    </row>
    <row r="165" spans="1:18" x14ac:dyDescent="0.25">
      <c r="A165" s="209" t="str">
        <f t="shared" si="20"/>
        <v>325218</v>
      </c>
      <c r="B165" s="54" t="s">
        <v>318</v>
      </c>
      <c r="C165" s="53" t="s">
        <v>133</v>
      </c>
      <c r="D165" s="53" t="s">
        <v>487</v>
      </c>
      <c r="E165" s="53" t="s">
        <v>486</v>
      </c>
      <c r="F165" s="196">
        <v>394.1</v>
      </c>
      <c r="G165" s="207">
        <v>1584.38</v>
      </c>
      <c r="H165" s="207">
        <v>0</v>
      </c>
      <c r="I165" s="208">
        <v>0</v>
      </c>
      <c r="J165" s="207"/>
      <c r="K165" s="199">
        <f t="shared" si="21"/>
        <v>1584.38</v>
      </c>
      <c r="L165" s="197">
        <v>0</v>
      </c>
      <c r="M165" s="197">
        <v>0</v>
      </c>
      <c r="N165" s="197">
        <f t="shared" si="17"/>
        <v>0</v>
      </c>
      <c r="O165" s="197">
        <f t="shared" si="18"/>
        <v>0</v>
      </c>
      <c r="P165" s="197">
        <f t="shared" si="19"/>
        <v>0</v>
      </c>
      <c r="Q165" s="53" t="s">
        <v>318</v>
      </c>
      <c r="R165" s="201"/>
    </row>
    <row r="166" spans="1:18" x14ac:dyDescent="0.25">
      <c r="A166" s="209" t="str">
        <f t="shared" si="20"/>
        <v>323914</v>
      </c>
      <c r="B166" s="54" t="s">
        <v>318</v>
      </c>
      <c r="C166" s="53" t="s">
        <v>133</v>
      </c>
      <c r="D166" s="53" t="s">
        <v>485</v>
      </c>
      <c r="E166" s="53" t="s">
        <v>484</v>
      </c>
      <c r="F166" s="196">
        <v>394.1</v>
      </c>
      <c r="G166" s="207">
        <v>0</v>
      </c>
      <c r="H166" s="207">
        <v>4451.47</v>
      </c>
      <c r="I166" s="208">
        <v>0</v>
      </c>
      <c r="J166" s="207"/>
      <c r="K166" s="199">
        <f t="shared" si="21"/>
        <v>0</v>
      </c>
      <c r="L166" s="197">
        <v>4451.47</v>
      </c>
      <c r="M166" s="197">
        <v>0</v>
      </c>
      <c r="N166" s="197">
        <f t="shared" si="17"/>
        <v>0</v>
      </c>
      <c r="O166" s="197">
        <f t="shared" si="18"/>
        <v>0</v>
      </c>
      <c r="P166" s="197">
        <f t="shared" si="19"/>
        <v>0</v>
      </c>
      <c r="Q166" s="53" t="s">
        <v>318</v>
      </c>
      <c r="R166" s="201"/>
    </row>
    <row r="167" spans="1:18" x14ac:dyDescent="0.25">
      <c r="A167" s="209" t="str">
        <f t="shared" si="20"/>
        <v>323953</v>
      </c>
      <c r="B167" s="54" t="s">
        <v>318</v>
      </c>
      <c r="C167" s="53" t="s">
        <v>133</v>
      </c>
      <c r="D167" s="53" t="s">
        <v>483</v>
      </c>
      <c r="E167" s="53" t="s">
        <v>482</v>
      </c>
      <c r="F167" s="196">
        <v>394.1</v>
      </c>
      <c r="G167" s="207">
        <v>0</v>
      </c>
      <c r="H167" s="207">
        <v>34224.400000000001</v>
      </c>
      <c r="I167" s="208">
        <v>0</v>
      </c>
      <c r="J167" s="207"/>
      <c r="K167" s="199">
        <f t="shared" si="21"/>
        <v>0</v>
      </c>
      <c r="L167" s="197">
        <v>34224.400000000001</v>
      </c>
      <c r="M167" s="197">
        <v>0</v>
      </c>
      <c r="N167" s="197">
        <f t="shared" si="17"/>
        <v>0</v>
      </c>
      <c r="O167" s="197">
        <f t="shared" si="18"/>
        <v>0</v>
      </c>
      <c r="P167" s="197">
        <f t="shared" si="19"/>
        <v>0</v>
      </c>
      <c r="Q167" s="53" t="s">
        <v>318</v>
      </c>
      <c r="R167" s="201"/>
    </row>
    <row r="168" spans="1:18" x14ac:dyDescent="0.25">
      <c r="A168" s="209" t="str">
        <f t="shared" si="20"/>
        <v>323956</v>
      </c>
      <c r="B168" s="54" t="s">
        <v>318</v>
      </c>
      <c r="C168" s="53" t="s">
        <v>133</v>
      </c>
      <c r="D168" s="53" t="s">
        <v>481</v>
      </c>
      <c r="E168" s="53" t="s">
        <v>480</v>
      </c>
      <c r="F168" s="196">
        <v>394.1</v>
      </c>
      <c r="G168" s="207">
        <v>0</v>
      </c>
      <c r="H168" s="207">
        <v>13271.01</v>
      </c>
      <c r="I168" s="208">
        <v>0</v>
      </c>
      <c r="J168" s="207"/>
      <c r="K168" s="199">
        <f t="shared" si="21"/>
        <v>0</v>
      </c>
      <c r="L168" s="197">
        <v>13271.01</v>
      </c>
      <c r="M168" s="197">
        <v>0</v>
      </c>
      <c r="N168" s="197">
        <f t="shared" si="17"/>
        <v>0</v>
      </c>
      <c r="O168" s="197">
        <f t="shared" si="18"/>
        <v>0</v>
      </c>
      <c r="P168" s="197">
        <f t="shared" si="19"/>
        <v>0</v>
      </c>
      <c r="Q168" s="53" t="s">
        <v>318</v>
      </c>
      <c r="R168" s="201"/>
    </row>
    <row r="169" spans="1:18" x14ac:dyDescent="0.25">
      <c r="A169" s="209" t="str">
        <f t="shared" si="20"/>
        <v>324128</v>
      </c>
      <c r="B169" s="54" t="s">
        <v>318</v>
      </c>
      <c r="C169" s="53" t="s">
        <v>133</v>
      </c>
      <c r="D169" s="53" t="s">
        <v>479</v>
      </c>
      <c r="E169" s="53" t="s">
        <v>478</v>
      </c>
      <c r="F169" s="196">
        <v>398</v>
      </c>
      <c r="G169" s="207">
        <v>0</v>
      </c>
      <c r="H169" s="207">
        <v>4026.4</v>
      </c>
      <c r="I169" s="208">
        <v>0</v>
      </c>
      <c r="J169" s="207"/>
      <c r="K169" s="199">
        <f t="shared" si="21"/>
        <v>0</v>
      </c>
      <c r="L169" s="197">
        <v>4026.4</v>
      </c>
      <c r="M169" s="197">
        <v>0</v>
      </c>
      <c r="N169" s="197">
        <f t="shared" si="17"/>
        <v>0</v>
      </c>
      <c r="O169" s="197">
        <f t="shared" si="18"/>
        <v>0</v>
      </c>
      <c r="P169" s="197">
        <f t="shared" si="19"/>
        <v>0</v>
      </c>
      <c r="Q169" s="53" t="s">
        <v>318</v>
      </c>
      <c r="R169" s="201"/>
    </row>
    <row r="170" spans="1:18" x14ac:dyDescent="0.25">
      <c r="A170" s="209" t="str">
        <f t="shared" si="20"/>
        <v>324378</v>
      </c>
      <c r="B170" s="54" t="s">
        <v>318</v>
      </c>
      <c r="C170" s="53" t="s">
        <v>133</v>
      </c>
      <c r="D170" s="53" t="s">
        <v>477</v>
      </c>
      <c r="E170" s="53" t="s">
        <v>476</v>
      </c>
      <c r="F170" s="196">
        <v>394.1</v>
      </c>
      <c r="G170" s="207">
        <v>0</v>
      </c>
      <c r="H170" s="207">
        <v>19219.010000000002</v>
      </c>
      <c r="I170" s="208">
        <v>0</v>
      </c>
      <c r="J170" s="207"/>
      <c r="K170" s="199">
        <f t="shared" si="21"/>
        <v>0</v>
      </c>
      <c r="L170" s="197">
        <v>19219.010000000002</v>
      </c>
      <c r="M170" s="197">
        <v>0</v>
      </c>
      <c r="N170" s="197">
        <f t="shared" si="17"/>
        <v>0</v>
      </c>
      <c r="O170" s="197">
        <f t="shared" si="18"/>
        <v>0</v>
      </c>
      <c r="P170" s="197">
        <f t="shared" si="19"/>
        <v>0</v>
      </c>
      <c r="Q170" s="53" t="s">
        <v>318</v>
      </c>
      <c r="R170" s="201"/>
    </row>
    <row r="171" spans="1:18" x14ac:dyDescent="0.25">
      <c r="A171" s="209" t="str">
        <f t="shared" si="20"/>
        <v>324500</v>
      </c>
      <c r="B171" s="54" t="s">
        <v>318</v>
      </c>
      <c r="C171" s="53" t="s">
        <v>133</v>
      </c>
      <c r="D171" s="53" t="s">
        <v>475</v>
      </c>
      <c r="E171" s="53" t="s">
        <v>474</v>
      </c>
      <c r="F171" s="196">
        <v>394.1</v>
      </c>
      <c r="G171" s="207">
        <v>0</v>
      </c>
      <c r="H171" s="207">
        <v>6068.79</v>
      </c>
      <c r="I171" s="208">
        <v>0</v>
      </c>
      <c r="J171" s="207"/>
      <c r="K171" s="199">
        <f t="shared" si="21"/>
        <v>0</v>
      </c>
      <c r="L171" s="197">
        <v>6068.79</v>
      </c>
      <c r="M171" s="197">
        <v>0</v>
      </c>
      <c r="N171" s="197">
        <f t="shared" si="17"/>
        <v>0</v>
      </c>
      <c r="O171" s="197">
        <f t="shared" si="18"/>
        <v>0</v>
      </c>
      <c r="P171" s="197">
        <f t="shared" si="19"/>
        <v>0</v>
      </c>
      <c r="Q171" s="53" t="s">
        <v>318</v>
      </c>
      <c r="R171" s="201"/>
    </row>
    <row r="172" spans="1:18" x14ac:dyDescent="0.25">
      <c r="A172" s="209" t="str">
        <f t="shared" si="20"/>
        <v>324711</v>
      </c>
      <c r="B172" s="54" t="s">
        <v>318</v>
      </c>
      <c r="C172" s="53" t="s">
        <v>133</v>
      </c>
      <c r="D172" s="53" t="s">
        <v>473</v>
      </c>
      <c r="E172" s="53" t="s">
        <v>472</v>
      </c>
      <c r="F172" s="196">
        <v>394.1</v>
      </c>
      <c r="G172" s="207">
        <v>0</v>
      </c>
      <c r="H172" s="207">
        <v>42780.5</v>
      </c>
      <c r="I172" s="208">
        <v>0</v>
      </c>
      <c r="J172" s="207"/>
      <c r="K172" s="199">
        <f t="shared" si="21"/>
        <v>0</v>
      </c>
      <c r="L172" s="197">
        <v>42780.5</v>
      </c>
      <c r="M172" s="197">
        <v>0</v>
      </c>
      <c r="N172" s="197">
        <f t="shared" si="17"/>
        <v>0</v>
      </c>
      <c r="O172" s="197">
        <f t="shared" si="18"/>
        <v>0</v>
      </c>
      <c r="P172" s="197">
        <f t="shared" si="19"/>
        <v>0</v>
      </c>
      <c r="Q172" s="53" t="s">
        <v>318</v>
      </c>
      <c r="R172" s="201"/>
    </row>
    <row r="173" spans="1:18" x14ac:dyDescent="0.25">
      <c r="A173" s="209" t="s">
        <v>455</v>
      </c>
      <c r="B173" s="54" t="s">
        <v>318</v>
      </c>
      <c r="C173" s="53" t="s">
        <v>133</v>
      </c>
      <c r="D173" s="53" t="s">
        <v>471</v>
      </c>
      <c r="E173" s="53" t="s">
        <v>470</v>
      </c>
      <c r="F173" s="196">
        <v>376.3</v>
      </c>
      <c r="G173" s="207">
        <v>87598.680000000008</v>
      </c>
      <c r="H173" s="207">
        <v>90059.04</v>
      </c>
      <c r="I173" s="208">
        <v>0</v>
      </c>
      <c r="J173" s="207"/>
      <c r="K173" s="199">
        <f t="shared" si="21"/>
        <v>87598.680000000008</v>
      </c>
      <c r="L173" s="197">
        <v>90059.04</v>
      </c>
      <c r="M173" s="197">
        <v>0</v>
      </c>
      <c r="N173" s="197">
        <f t="shared" si="17"/>
        <v>0</v>
      </c>
      <c r="O173" s="197">
        <f t="shared" si="18"/>
        <v>0</v>
      </c>
      <c r="P173" s="197">
        <f t="shared" si="19"/>
        <v>0</v>
      </c>
      <c r="Q173" s="53" t="s">
        <v>318</v>
      </c>
      <c r="R173" s="201"/>
    </row>
    <row r="174" spans="1:18" x14ac:dyDescent="0.25">
      <c r="A174" s="209" t="s">
        <v>455</v>
      </c>
      <c r="B174" s="54" t="s">
        <v>318</v>
      </c>
      <c r="C174" s="53" t="s">
        <v>133</v>
      </c>
      <c r="D174" s="53" t="s">
        <v>469</v>
      </c>
      <c r="E174" s="53" t="s">
        <v>468</v>
      </c>
      <c r="F174" s="196">
        <v>376.3</v>
      </c>
      <c r="G174" s="207">
        <v>14539.2</v>
      </c>
      <c r="H174" s="207">
        <v>14511.600000000002</v>
      </c>
      <c r="I174" s="208">
        <v>0</v>
      </c>
      <c r="J174" s="207"/>
      <c r="K174" s="199">
        <f t="shared" si="21"/>
        <v>14539.2</v>
      </c>
      <c r="L174" s="197">
        <v>14511.600000000002</v>
      </c>
      <c r="M174" s="197">
        <v>0</v>
      </c>
      <c r="N174" s="197">
        <f t="shared" si="17"/>
        <v>0</v>
      </c>
      <c r="O174" s="197">
        <f t="shared" si="18"/>
        <v>0</v>
      </c>
      <c r="P174" s="197">
        <f t="shared" si="19"/>
        <v>0</v>
      </c>
      <c r="Q174" s="53" t="s">
        <v>318</v>
      </c>
      <c r="R174" s="201"/>
    </row>
    <row r="175" spans="1:18" x14ac:dyDescent="0.25">
      <c r="A175" s="209" t="s">
        <v>455</v>
      </c>
      <c r="B175" s="54" t="s">
        <v>318</v>
      </c>
      <c r="C175" s="53" t="s">
        <v>133</v>
      </c>
      <c r="D175" s="53" t="s">
        <v>467</v>
      </c>
      <c r="E175" s="53" t="s">
        <v>466</v>
      </c>
      <c r="F175" s="196">
        <v>376.3</v>
      </c>
      <c r="G175" s="207">
        <v>102137.88000000002</v>
      </c>
      <c r="H175" s="207">
        <v>104991.36</v>
      </c>
      <c r="I175" s="208">
        <v>0</v>
      </c>
      <c r="J175" s="207"/>
      <c r="K175" s="199">
        <f t="shared" si="21"/>
        <v>102137.88000000002</v>
      </c>
      <c r="L175" s="197">
        <v>104991.36</v>
      </c>
      <c r="M175" s="197">
        <v>0</v>
      </c>
      <c r="N175" s="197">
        <f t="shared" si="17"/>
        <v>0</v>
      </c>
      <c r="O175" s="197">
        <f t="shared" si="18"/>
        <v>0</v>
      </c>
      <c r="P175" s="197">
        <f t="shared" si="19"/>
        <v>0</v>
      </c>
      <c r="Q175" s="53" t="s">
        <v>318</v>
      </c>
      <c r="R175" s="201"/>
    </row>
    <row r="176" spans="1:18" x14ac:dyDescent="0.25">
      <c r="A176" s="209" t="s">
        <v>455</v>
      </c>
      <c r="B176" s="54" t="s">
        <v>318</v>
      </c>
      <c r="C176" s="53" t="s">
        <v>133</v>
      </c>
      <c r="D176" s="53" t="s">
        <v>465</v>
      </c>
      <c r="E176" s="53" t="s">
        <v>464</v>
      </c>
      <c r="F176" s="196">
        <v>376.3</v>
      </c>
      <c r="G176" s="207">
        <v>167040.84000000005</v>
      </c>
      <c r="H176" s="207">
        <v>171725.36000000002</v>
      </c>
      <c r="I176" s="208">
        <v>0</v>
      </c>
      <c r="J176" s="207"/>
      <c r="K176" s="199">
        <f t="shared" si="21"/>
        <v>167040.84000000005</v>
      </c>
      <c r="L176" s="197">
        <v>171725.36000000002</v>
      </c>
      <c r="M176" s="197">
        <v>0</v>
      </c>
      <c r="N176" s="197">
        <f t="shared" si="17"/>
        <v>0</v>
      </c>
      <c r="O176" s="197">
        <f t="shared" si="18"/>
        <v>0</v>
      </c>
      <c r="P176" s="197">
        <f t="shared" si="19"/>
        <v>0</v>
      </c>
      <c r="Q176" s="53" t="s">
        <v>318</v>
      </c>
      <c r="R176" s="201"/>
    </row>
    <row r="177" spans="1:18" x14ac:dyDescent="0.25">
      <c r="A177" s="209" t="s">
        <v>455</v>
      </c>
      <c r="B177" s="54" t="s">
        <v>318</v>
      </c>
      <c r="C177" s="53" t="s">
        <v>133</v>
      </c>
      <c r="D177" s="53" t="s">
        <v>463</v>
      </c>
      <c r="E177" s="53" t="s">
        <v>462</v>
      </c>
      <c r="F177" s="196">
        <v>376.3</v>
      </c>
      <c r="G177" s="207">
        <v>808875.54000000015</v>
      </c>
      <c r="H177" s="207">
        <v>802352.47</v>
      </c>
      <c r="I177" s="208">
        <v>0</v>
      </c>
      <c r="J177" s="207"/>
      <c r="K177" s="199">
        <f t="shared" si="21"/>
        <v>808875.54000000015</v>
      </c>
      <c r="L177" s="197">
        <v>802352.47</v>
      </c>
      <c r="M177" s="197">
        <v>0</v>
      </c>
      <c r="N177" s="197">
        <f t="shared" si="17"/>
        <v>0</v>
      </c>
      <c r="O177" s="197">
        <f t="shared" si="18"/>
        <v>0</v>
      </c>
      <c r="P177" s="197">
        <f t="shared" si="19"/>
        <v>0</v>
      </c>
      <c r="Q177" s="53" t="s">
        <v>318</v>
      </c>
      <c r="R177" s="201"/>
    </row>
    <row r="178" spans="1:18" x14ac:dyDescent="0.25">
      <c r="A178" s="209" t="s">
        <v>455</v>
      </c>
      <c r="B178" s="54" t="s">
        <v>318</v>
      </c>
      <c r="C178" s="53" t="s">
        <v>133</v>
      </c>
      <c r="D178" s="53" t="s">
        <v>461</v>
      </c>
      <c r="E178" s="53" t="s">
        <v>460</v>
      </c>
      <c r="F178" s="196">
        <v>376.3</v>
      </c>
      <c r="G178" s="207">
        <v>910308.31000000029</v>
      </c>
      <c r="H178" s="207">
        <v>989922.18000000017</v>
      </c>
      <c r="I178" s="208">
        <v>0</v>
      </c>
      <c r="J178" s="207"/>
      <c r="K178" s="199">
        <f t="shared" si="21"/>
        <v>910308.31000000029</v>
      </c>
      <c r="L178" s="197">
        <v>989922.18000000017</v>
      </c>
      <c r="M178" s="197">
        <v>0</v>
      </c>
      <c r="N178" s="197">
        <f t="shared" si="17"/>
        <v>0</v>
      </c>
      <c r="O178" s="197">
        <f t="shared" si="18"/>
        <v>0</v>
      </c>
      <c r="P178" s="197">
        <f t="shared" si="19"/>
        <v>0</v>
      </c>
      <c r="Q178" s="53" t="s">
        <v>318</v>
      </c>
      <c r="R178" s="201"/>
    </row>
    <row r="179" spans="1:18" x14ac:dyDescent="0.25">
      <c r="A179" s="209" t="s">
        <v>455</v>
      </c>
      <c r="B179" s="54" t="s">
        <v>318</v>
      </c>
      <c r="C179" s="53" t="s">
        <v>133</v>
      </c>
      <c r="D179" s="53" t="s">
        <v>459</v>
      </c>
      <c r="E179" s="53" t="s">
        <v>458</v>
      </c>
      <c r="F179" s="196">
        <v>376.3</v>
      </c>
      <c r="G179" s="207">
        <v>6249.8099999999995</v>
      </c>
      <c r="H179" s="207">
        <v>20139.649999999994</v>
      </c>
      <c r="I179" s="208">
        <v>0</v>
      </c>
      <c r="J179" s="207"/>
      <c r="K179" s="199">
        <f t="shared" si="21"/>
        <v>6249.8099999999995</v>
      </c>
      <c r="L179" s="197">
        <v>20139.649999999994</v>
      </c>
      <c r="M179" s="197">
        <v>0</v>
      </c>
      <c r="N179" s="197">
        <f t="shared" si="17"/>
        <v>0</v>
      </c>
      <c r="O179" s="197">
        <f t="shared" si="18"/>
        <v>0</v>
      </c>
      <c r="P179" s="197">
        <f t="shared" si="19"/>
        <v>0</v>
      </c>
      <c r="Q179" s="53" t="s">
        <v>318</v>
      </c>
      <c r="R179" s="201"/>
    </row>
    <row r="180" spans="1:18" x14ac:dyDescent="0.25">
      <c r="A180" s="209" t="s">
        <v>455</v>
      </c>
      <c r="B180" s="54" t="s">
        <v>318</v>
      </c>
      <c r="C180" s="53" t="s">
        <v>133</v>
      </c>
      <c r="D180" s="53" t="s">
        <v>457</v>
      </c>
      <c r="E180" s="53" t="s">
        <v>456</v>
      </c>
      <c r="F180" s="196">
        <v>376.3</v>
      </c>
      <c r="G180" s="207">
        <v>502438.18999999989</v>
      </c>
      <c r="H180" s="207">
        <v>574643.58999999985</v>
      </c>
      <c r="I180" s="208">
        <v>0</v>
      </c>
      <c r="J180" s="207"/>
      <c r="K180" s="199">
        <f t="shared" si="21"/>
        <v>502438.18999999989</v>
      </c>
      <c r="L180" s="197">
        <v>574643.58999999985</v>
      </c>
      <c r="M180" s="197">
        <v>0</v>
      </c>
      <c r="N180" s="197">
        <f t="shared" si="17"/>
        <v>0</v>
      </c>
      <c r="O180" s="197">
        <f t="shared" si="18"/>
        <v>0</v>
      </c>
      <c r="P180" s="197">
        <f t="shared" si="19"/>
        <v>0</v>
      </c>
      <c r="Q180" s="53" t="s">
        <v>318</v>
      </c>
      <c r="R180" s="201"/>
    </row>
    <row r="181" spans="1:18" x14ac:dyDescent="0.25">
      <c r="A181" s="209" t="s">
        <v>455</v>
      </c>
      <c r="B181" s="54" t="s">
        <v>318</v>
      </c>
      <c r="C181" s="53" t="s">
        <v>133</v>
      </c>
      <c r="D181" s="53" t="s">
        <v>454</v>
      </c>
      <c r="E181" s="53" t="s">
        <v>453</v>
      </c>
      <c r="F181" s="196">
        <v>376.3</v>
      </c>
      <c r="G181" s="207">
        <v>1222711.9900000002</v>
      </c>
      <c r="H181" s="207">
        <v>1161647.5699999998</v>
      </c>
      <c r="I181" s="208">
        <v>0</v>
      </c>
      <c r="J181" s="207"/>
      <c r="K181" s="199">
        <f t="shared" si="21"/>
        <v>1222711.9900000002</v>
      </c>
      <c r="L181" s="197">
        <v>1161647.5699999998</v>
      </c>
      <c r="M181" s="197">
        <v>0</v>
      </c>
      <c r="N181" s="197">
        <f t="shared" si="17"/>
        <v>0</v>
      </c>
      <c r="O181" s="197">
        <f t="shared" si="18"/>
        <v>0</v>
      </c>
      <c r="P181" s="197">
        <f t="shared" si="19"/>
        <v>0</v>
      </c>
      <c r="Q181" s="53" t="s">
        <v>318</v>
      </c>
      <c r="R181" s="201"/>
    </row>
    <row r="182" spans="1:18" x14ac:dyDescent="0.25">
      <c r="A182" s="209" t="s">
        <v>436</v>
      </c>
      <c r="B182" s="54" t="s">
        <v>318</v>
      </c>
      <c r="C182" s="53" t="s">
        <v>133</v>
      </c>
      <c r="D182" s="53" t="s">
        <v>452</v>
      </c>
      <c r="E182" s="53" t="s">
        <v>451</v>
      </c>
      <c r="F182" s="196">
        <v>380.3</v>
      </c>
      <c r="G182" s="207">
        <v>432802.92000000016</v>
      </c>
      <c r="H182" s="207">
        <v>444940.08000000013</v>
      </c>
      <c r="I182" s="208">
        <v>0</v>
      </c>
      <c r="J182" s="207"/>
      <c r="K182" s="199">
        <f t="shared" si="21"/>
        <v>432802.92000000016</v>
      </c>
      <c r="L182" s="197">
        <v>444940.08000000013</v>
      </c>
      <c r="M182" s="197">
        <v>0</v>
      </c>
      <c r="N182" s="197">
        <f t="shared" si="17"/>
        <v>0</v>
      </c>
      <c r="O182" s="197">
        <f t="shared" si="18"/>
        <v>0</v>
      </c>
      <c r="P182" s="197">
        <f t="shared" si="19"/>
        <v>0</v>
      </c>
      <c r="Q182" s="53" t="s">
        <v>318</v>
      </c>
      <c r="R182" s="201"/>
    </row>
    <row r="183" spans="1:18" x14ac:dyDescent="0.25">
      <c r="A183" s="209" t="s">
        <v>436</v>
      </c>
      <c r="B183" s="54" t="s">
        <v>318</v>
      </c>
      <c r="C183" s="53" t="s">
        <v>133</v>
      </c>
      <c r="D183" s="53" t="s">
        <v>450</v>
      </c>
      <c r="E183" s="53" t="s">
        <v>449</v>
      </c>
      <c r="F183" s="196">
        <v>380.3</v>
      </c>
      <c r="G183" s="207">
        <v>54194.889999999992</v>
      </c>
      <c r="H183" s="207">
        <v>58743</v>
      </c>
      <c r="I183" s="208">
        <v>0</v>
      </c>
      <c r="J183" s="207"/>
      <c r="K183" s="199">
        <f t="shared" si="21"/>
        <v>54194.889999999992</v>
      </c>
      <c r="L183" s="197">
        <v>58743</v>
      </c>
      <c r="M183" s="197">
        <v>0</v>
      </c>
      <c r="N183" s="197">
        <f t="shared" si="17"/>
        <v>0</v>
      </c>
      <c r="O183" s="197">
        <f t="shared" si="18"/>
        <v>0</v>
      </c>
      <c r="P183" s="197">
        <f t="shared" si="19"/>
        <v>0</v>
      </c>
      <c r="Q183" s="53" t="s">
        <v>318</v>
      </c>
      <c r="R183" s="201"/>
    </row>
    <row r="184" spans="1:18" x14ac:dyDescent="0.25">
      <c r="A184" s="209" t="s">
        <v>436</v>
      </c>
      <c r="B184" s="54" t="s">
        <v>318</v>
      </c>
      <c r="C184" s="53" t="s">
        <v>133</v>
      </c>
      <c r="D184" s="53" t="s">
        <v>448</v>
      </c>
      <c r="E184" s="53" t="s">
        <v>447</v>
      </c>
      <c r="F184" s="196">
        <v>380.3</v>
      </c>
      <c r="G184" s="207">
        <v>674851.56</v>
      </c>
      <c r="H184" s="207">
        <v>693785.04</v>
      </c>
      <c r="I184" s="208">
        <v>0</v>
      </c>
      <c r="J184" s="207"/>
      <c r="K184" s="199">
        <f t="shared" si="21"/>
        <v>674851.56</v>
      </c>
      <c r="L184" s="197">
        <v>693785.04</v>
      </c>
      <c r="M184" s="197">
        <v>0</v>
      </c>
      <c r="N184" s="197">
        <f t="shared" si="17"/>
        <v>0</v>
      </c>
      <c r="O184" s="197">
        <f t="shared" si="18"/>
        <v>0</v>
      </c>
      <c r="P184" s="197">
        <f t="shared" si="19"/>
        <v>0</v>
      </c>
      <c r="Q184" s="53" t="s">
        <v>318</v>
      </c>
      <c r="R184" s="201"/>
    </row>
    <row r="185" spans="1:18" x14ac:dyDescent="0.25">
      <c r="A185" s="209" t="s">
        <v>436</v>
      </c>
      <c r="B185" s="54" t="s">
        <v>318</v>
      </c>
      <c r="C185" s="53" t="s">
        <v>133</v>
      </c>
      <c r="D185" s="53" t="s">
        <v>446</v>
      </c>
      <c r="E185" s="53" t="s">
        <v>445</v>
      </c>
      <c r="F185" s="196">
        <v>380.3</v>
      </c>
      <c r="G185" s="207">
        <v>266465.95999999996</v>
      </c>
      <c r="H185" s="207">
        <v>273939.12000000005</v>
      </c>
      <c r="I185" s="208">
        <v>0</v>
      </c>
      <c r="J185" s="207"/>
      <c r="K185" s="199">
        <f t="shared" si="21"/>
        <v>266465.95999999996</v>
      </c>
      <c r="L185" s="197">
        <v>273939.12000000005</v>
      </c>
      <c r="M185" s="197">
        <v>0</v>
      </c>
      <c r="N185" s="197">
        <f t="shared" si="17"/>
        <v>0</v>
      </c>
      <c r="O185" s="197">
        <f t="shared" si="18"/>
        <v>0</v>
      </c>
      <c r="P185" s="197">
        <f t="shared" si="19"/>
        <v>0</v>
      </c>
      <c r="Q185" s="53" t="s">
        <v>318</v>
      </c>
      <c r="R185" s="201"/>
    </row>
    <row r="186" spans="1:18" x14ac:dyDescent="0.25">
      <c r="A186" s="209" t="s">
        <v>436</v>
      </c>
      <c r="B186" s="54" t="s">
        <v>318</v>
      </c>
      <c r="C186" s="53" t="s">
        <v>133</v>
      </c>
      <c r="D186" s="53" t="s">
        <v>444</v>
      </c>
      <c r="E186" s="53" t="s">
        <v>443</v>
      </c>
      <c r="F186" s="196">
        <v>380.3</v>
      </c>
      <c r="G186" s="207">
        <v>1278711.4899999998</v>
      </c>
      <c r="H186" s="207">
        <v>1314530.92</v>
      </c>
      <c r="I186" s="208">
        <v>0</v>
      </c>
      <c r="J186" s="207"/>
      <c r="K186" s="199">
        <f t="shared" si="21"/>
        <v>1278711.4899999998</v>
      </c>
      <c r="L186" s="197">
        <v>1314530.92</v>
      </c>
      <c r="M186" s="197">
        <v>0</v>
      </c>
      <c r="N186" s="197">
        <f t="shared" si="17"/>
        <v>0</v>
      </c>
      <c r="O186" s="197">
        <f t="shared" si="18"/>
        <v>0</v>
      </c>
      <c r="P186" s="197">
        <f t="shared" si="19"/>
        <v>0</v>
      </c>
      <c r="Q186" s="53" t="s">
        <v>318</v>
      </c>
      <c r="R186" s="201"/>
    </row>
    <row r="187" spans="1:18" x14ac:dyDescent="0.25">
      <c r="A187" s="209" t="s">
        <v>436</v>
      </c>
      <c r="B187" s="54" t="s">
        <v>318</v>
      </c>
      <c r="C187" s="53" t="s">
        <v>133</v>
      </c>
      <c r="D187" s="53" t="s">
        <v>442</v>
      </c>
      <c r="E187" s="53" t="s">
        <v>441</v>
      </c>
      <c r="F187" s="196">
        <v>380.3</v>
      </c>
      <c r="G187" s="207">
        <v>1179967.52</v>
      </c>
      <c r="H187" s="207">
        <v>1213059.6800000004</v>
      </c>
      <c r="I187" s="208">
        <v>0</v>
      </c>
      <c r="J187" s="207"/>
      <c r="K187" s="199">
        <f t="shared" si="21"/>
        <v>1179967.52</v>
      </c>
      <c r="L187" s="197">
        <v>1213059.6800000004</v>
      </c>
      <c r="M187" s="197">
        <v>0</v>
      </c>
      <c r="N187" s="197">
        <f t="shared" si="17"/>
        <v>0</v>
      </c>
      <c r="O187" s="197">
        <f t="shared" si="18"/>
        <v>0</v>
      </c>
      <c r="P187" s="197">
        <f t="shared" si="19"/>
        <v>0</v>
      </c>
      <c r="Q187" s="53" t="s">
        <v>318</v>
      </c>
      <c r="R187" s="201"/>
    </row>
    <row r="188" spans="1:18" x14ac:dyDescent="0.25">
      <c r="A188" s="209" t="s">
        <v>436</v>
      </c>
      <c r="B188" s="54" t="s">
        <v>318</v>
      </c>
      <c r="C188" s="53" t="s">
        <v>133</v>
      </c>
      <c r="D188" s="53" t="s">
        <v>440</v>
      </c>
      <c r="E188" s="53" t="s">
        <v>439</v>
      </c>
      <c r="F188" s="196">
        <v>380.3</v>
      </c>
      <c r="G188" s="207">
        <v>344511.1700000001</v>
      </c>
      <c r="H188" s="207">
        <v>354172.51</v>
      </c>
      <c r="I188" s="208">
        <v>0</v>
      </c>
      <c r="J188" s="207"/>
      <c r="K188" s="199">
        <f t="shared" si="21"/>
        <v>344511.1700000001</v>
      </c>
      <c r="L188" s="197">
        <v>354172.51</v>
      </c>
      <c r="M188" s="197">
        <v>0</v>
      </c>
      <c r="N188" s="197">
        <f t="shared" si="17"/>
        <v>0</v>
      </c>
      <c r="O188" s="197">
        <f t="shared" si="18"/>
        <v>0</v>
      </c>
      <c r="P188" s="197">
        <f t="shared" si="19"/>
        <v>0</v>
      </c>
      <c r="Q188" s="53" t="s">
        <v>318</v>
      </c>
      <c r="R188" s="201"/>
    </row>
    <row r="189" spans="1:18" x14ac:dyDescent="0.25">
      <c r="A189" s="209" t="s">
        <v>436</v>
      </c>
      <c r="B189" s="54" t="s">
        <v>318</v>
      </c>
      <c r="C189" s="53" t="s">
        <v>133</v>
      </c>
      <c r="D189" s="53" t="s">
        <v>438</v>
      </c>
      <c r="E189" s="53" t="s">
        <v>437</v>
      </c>
      <c r="F189" s="196">
        <v>380.3</v>
      </c>
      <c r="G189" s="207">
        <v>1103684.1000000003</v>
      </c>
      <c r="H189" s="207">
        <v>1123492.8500000001</v>
      </c>
      <c r="I189" s="208">
        <v>0</v>
      </c>
      <c r="J189" s="207"/>
      <c r="K189" s="199">
        <f t="shared" si="21"/>
        <v>1103684.1000000003</v>
      </c>
      <c r="L189" s="197">
        <v>1123492.8500000001</v>
      </c>
      <c r="M189" s="197">
        <v>0</v>
      </c>
      <c r="N189" s="197">
        <f t="shared" si="17"/>
        <v>0</v>
      </c>
      <c r="O189" s="197">
        <f t="shared" si="18"/>
        <v>0</v>
      </c>
      <c r="P189" s="197">
        <f t="shared" si="19"/>
        <v>0</v>
      </c>
      <c r="Q189" s="53" t="s">
        <v>318</v>
      </c>
      <c r="R189" s="201"/>
    </row>
    <row r="190" spans="1:18" x14ac:dyDescent="0.25">
      <c r="A190" s="209" t="s">
        <v>436</v>
      </c>
      <c r="B190" s="54" t="s">
        <v>318</v>
      </c>
      <c r="C190" s="53" t="s">
        <v>133</v>
      </c>
      <c r="D190" s="53" t="s">
        <v>435</v>
      </c>
      <c r="E190" s="53" t="s">
        <v>434</v>
      </c>
      <c r="F190" s="196">
        <v>380.3</v>
      </c>
      <c r="G190" s="207">
        <v>1692514.2700000005</v>
      </c>
      <c r="H190" s="207">
        <v>1739980.7999999996</v>
      </c>
      <c r="I190" s="208">
        <v>0</v>
      </c>
      <c r="J190" s="207"/>
      <c r="K190" s="199">
        <f t="shared" si="21"/>
        <v>1692514.2700000005</v>
      </c>
      <c r="L190" s="197">
        <v>1739980.7999999996</v>
      </c>
      <c r="M190" s="197">
        <v>0</v>
      </c>
      <c r="N190" s="197">
        <f t="shared" si="17"/>
        <v>0</v>
      </c>
      <c r="O190" s="197">
        <f t="shared" si="18"/>
        <v>0</v>
      </c>
      <c r="P190" s="197">
        <f t="shared" si="19"/>
        <v>0</v>
      </c>
      <c r="Q190" s="53" t="s">
        <v>318</v>
      </c>
      <c r="R190" s="201"/>
    </row>
    <row r="191" spans="1:18" x14ac:dyDescent="0.25">
      <c r="A191" s="209" t="s">
        <v>417</v>
      </c>
      <c r="B191" s="54" t="s">
        <v>318</v>
      </c>
      <c r="C191" s="53" t="s">
        <v>133</v>
      </c>
      <c r="D191" s="53" t="s">
        <v>433</v>
      </c>
      <c r="E191" s="53" t="s">
        <v>432</v>
      </c>
      <c r="F191" s="196">
        <v>376.3</v>
      </c>
      <c r="G191" s="207">
        <v>260834.37784400009</v>
      </c>
      <c r="H191" s="207">
        <v>224689.91446899995</v>
      </c>
      <c r="I191" s="208">
        <v>0</v>
      </c>
      <c r="J191" s="207"/>
      <c r="K191" s="199">
        <f t="shared" si="21"/>
        <v>260834.37784400009</v>
      </c>
      <c r="L191" s="197">
        <v>224689.91446899995</v>
      </c>
      <c r="M191" s="197">
        <v>0</v>
      </c>
      <c r="N191" s="197">
        <f t="shared" si="17"/>
        <v>0</v>
      </c>
      <c r="O191" s="197">
        <f t="shared" si="18"/>
        <v>0</v>
      </c>
      <c r="P191" s="197">
        <f t="shared" si="19"/>
        <v>0</v>
      </c>
      <c r="Q191" s="53" t="s">
        <v>318</v>
      </c>
      <c r="R191" s="201"/>
    </row>
    <row r="192" spans="1:18" x14ac:dyDescent="0.25">
      <c r="A192" s="209" t="s">
        <v>417</v>
      </c>
      <c r="B192" s="54" t="s">
        <v>318</v>
      </c>
      <c r="C192" s="53" t="s">
        <v>133</v>
      </c>
      <c r="D192" s="53" t="s">
        <v>431</v>
      </c>
      <c r="E192" s="53" t="s">
        <v>430</v>
      </c>
      <c r="F192" s="196">
        <v>376.3</v>
      </c>
      <c r="G192" s="207">
        <v>19699.351382000001</v>
      </c>
      <c r="H192" s="207">
        <v>18350.622632999999</v>
      </c>
      <c r="I192" s="208">
        <v>0</v>
      </c>
      <c r="J192" s="207"/>
      <c r="K192" s="199">
        <f t="shared" si="21"/>
        <v>19699.351382000001</v>
      </c>
      <c r="L192" s="197">
        <v>18350.622632999999</v>
      </c>
      <c r="M192" s="197">
        <v>0</v>
      </c>
      <c r="N192" s="197">
        <f t="shared" si="17"/>
        <v>0</v>
      </c>
      <c r="O192" s="197">
        <f t="shared" si="18"/>
        <v>0</v>
      </c>
      <c r="P192" s="197">
        <f t="shared" si="19"/>
        <v>0</v>
      </c>
      <c r="Q192" s="53" t="s">
        <v>318</v>
      </c>
      <c r="R192" s="201"/>
    </row>
    <row r="193" spans="1:18" x14ac:dyDescent="0.25">
      <c r="A193" s="209" t="s">
        <v>417</v>
      </c>
      <c r="B193" s="54" t="s">
        <v>318</v>
      </c>
      <c r="C193" s="53" t="s">
        <v>133</v>
      </c>
      <c r="D193" s="53" t="s">
        <v>429</v>
      </c>
      <c r="E193" s="53" t="s">
        <v>428</v>
      </c>
      <c r="F193" s="196">
        <v>376.3</v>
      </c>
      <c r="G193" s="207">
        <v>183118.15119299997</v>
      </c>
      <c r="H193" s="207">
        <v>188332.45476299999</v>
      </c>
      <c r="I193" s="208">
        <v>0</v>
      </c>
      <c r="J193" s="207"/>
      <c r="K193" s="199">
        <f t="shared" si="21"/>
        <v>183118.15119299997</v>
      </c>
      <c r="L193" s="197">
        <v>188332.45476299999</v>
      </c>
      <c r="M193" s="197">
        <v>0</v>
      </c>
      <c r="N193" s="197">
        <f t="shared" si="17"/>
        <v>0</v>
      </c>
      <c r="O193" s="197">
        <f t="shared" si="18"/>
        <v>0</v>
      </c>
      <c r="P193" s="197">
        <f t="shared" si="19"/>
        <v>0</v>
      </c>
      <c r="Q193" s="53" t="s">
        <v>318</v>
      </c>
      <c r="R193" s="201"/>
    </row>
    <row r="194" spans="1:18" x14ac:dyDescent="0.25">
      <c r="A194" s="209" t="s">
        <v>417</v>
      </c>
      <c r="B194" s="54" t="s">
        <v>318</v>
      </c>
      <c r="C194" s="53" t="s">
        <v>133</v>
      </c>
      <c r="D194" s="53" t="s">
        <v>427</v>
      </c>
      <c r="E194" s="53" t="s">
        <v>426</v>
      </c>
      <c r="F194" s="196">
        <v>376.3</v>
      </c>
      <c r="G194" s="207">
        <v>53179.953616999999</v>
      </c>
      <c r="H194" s="207">
        <v>51291.966120000005</v>
      </c>
      <c r="I194" s="208">
        <v>0</v>
      </c>
      <c r="J194" s="207"/>
      <c r="K194" s="199">
        <f t="shared" si="21"/>
        <v>53179.953616999999</v>
      </c>
      <c r="L194" s="197">
        <v>51291.966120000005</v>
      </c>
      <c r="M194" s="197">
        <v>0</v>
      </c>
      <c r="N194" s="197">
        <f t="shared" si="17"/>
        <v>0</v>
      </c>
      <c r="O194" s="197">
        <f t="shared" si="18"/>
        <v>0</v>
      </c>
      <c r="P194" s="197">
        <f t="shared" si="19"/>
        <v>0</v>
      </c>
      <c r="Q194" s="53" t="s">
        <v>318</v>
      </c>
      <c r="R194" s="201"/>
    </row>
    <row r="195" spans="1:18" x14ac:dyDescent="0.25">
      <c r="A195" s="209" t="s">
        <v>417</v>
      </c>
      <c r="B195" s="54" t="s">
        <v>318</v>
      </c>
      <c r="C195" s="53" t="s">
        <v>133</v>
      </c>
      <c r="D195" s="53" t="s">
        <v>425</v>
      </c>
      <c r="E195" s="53" t="s">
        <v>424</v>
      </c>
      <c r="F195" s="196">
        <v>376.3</v>
      </c>
      <c r="G195" s="207">
        <v>386986.508164</v>
      </c>
      <c r="H195" s="207">
        <v>332380.73159999988</v>
      </c>
      <c r="I195" s="208">
        <v>0</v>
      </c>
      <c r="J195" s="207"/>
      <c r="K195" s="199">
        <f t="shared" ref="K195:K226" si="22">IF(B195="",G195,0)</f>
        <v>386986.508164</v>
      </c>
      <c r="L195" s="197">
        <v>332380.73159999988</v>
      </c>
      <c r="M195" s="197">
        <v>0</v>
      </c>
      <c r="N195" s="197">
        <f t="shared" si="17"/>
        <v>0</v>
      </c>
      <c r="O195" s="197">
        <f t="shared" si="18"/>
        <v>0</v>
      </c>
      <c r="P195" s="197">
        <f t="shared" si="19"/>
        <v>0</v>
      </c>
      <c r="Q195" s="53" t="s">
        <v>318</v>
      </c>
      <c r="R195" s="201"/>
    </row>
    <row r="196" spans="1:18" x14ac:dyDescent="0.25">
      <c r="A196" s="209" t="s">
        <v>417</v>
      </c>
      <c r="B196" s="54" t="s">
        <v>318</v>
      </c>
      <c r="C196" s="53" t="s">
        <v>133</v>
      </c>
      <c r="D196" s="53" t="s">
        <v>423</v>
      </c>
      <c r="E196" s="53" t="s">
        <v>422</v>
      </c>
      <c r="F196" s="196">
        <v>376.3</v>
      </c>
      <c r="G196" s="207">
        <v>209100.09783299998</v>
      </c>
      <c r="H196" s="207">
        <v>191980.12066799999</v>
      </c>
      <c r="I196" s="208">
        <v>0</v>
      </c>
      <c r="J196" s="207"/>
      <c r="K196" s="199">
        <f t="shared" si="22"/>
        <v>209100.09783299998</v>
      </c>
      <c r="L196" s="197">
        <v>191980.12066799999</v>
      </c>
      <c r="M196" s="197">
        <v>0</v>
      </c>
      <c r="N196" s="197">
        <f t="shared" ref="N196:N245" si="23">K196-G196</f>
        <v>0</v>
      </c>
      <c r="O196" s="197">
        <f t="shared" ref="O196:O245" si="24">L196-H196</f>
        <v>0</v>
      </c>
      <c r="P196" s="197">
        <f t="shared" ref="P196:P245" si="25">M196-I196</f>
        <v>0</v>
      </c>
      <c r="Q196" s="53" t="s">
        <v>318</v>
      </c>
      <c r="R196" s="201"/>
    </row>
    <row r="197" spans="1:18" x14ac:dyDescent="0.25">
      <c r="A197" s="209" t="s">
        <v>417</v>
      </c>
      <c r="B197" s="54" t="s">
        <v>318</v>
      </c>
      <c r="C197" s="53" t="s">
        <v>133</v>
      </c>
      <c r="D197" s="53" t="s">
        <v>421</v>
      </c>
      <c r="E197" s="53" t="s">
        <v>420</v>
      </c>
      <c r="F197" s="196">
        <v>376.3</v>
      </c>
      <c r="G197" s="207">
        <v>294068.29199999996</v>
      </c>
      <c r="H197" s="207">
        <v>300913.47839999996</v>
      </c>
      <c r="I197" s="208">
        <v>0</v>
      </c>
      <c r="J197" s="207"/>
      <c r="K197" s="199">
        <f t="shared" si="22"/>
        <v>294068.29199999996</v>
      </c>
      <c r="L197" s="197">
        <v>300913.47839999996</v>
      </c>
      <c r="M197" s="197">
        <v>0</v>
      </c>
      <c r="N197" s="197">
        <f t="shared" si="23"/>
        <v>0</v>
      </c>
      <c r="O197" s="197">
        <f t="shared" si="24"/>
        <v>0</v>
      </c>
      <c r="P197" s="197">
        <f t="shared" si="25"/>
        <v>0</v>
      </c>
      <c r="Q197" s="53" t="s">
        <v>318</v>
      </c>
      <c r="R197" s="201"/>
    </row>
    <row r="198" spans="1:18" x14ac:dyDescent="0.25">
      <c r="A198" s="209" t="s">
        <v>417</v>
      </c>
      <c r="B198" s="54" t="s">
        <v>318</v>
      </c>
      <c r="C198" s="53" t="s">
        <v>133</v>
      </c>
      <c r="D198" s="53" t="s">
        <v>419</v>
      </c>
      <c r="E198" s="53" t="s">
        <v>418</v>
      </c>
      <c r="F198" s="196">
        <v>376.3</v>
      </c>
      <c r="G198" s="207">
        <v>270192.07960999996</v>
      </c>
      <c r="H198" s="207">
        <v>199395.12877200003</v>
      </c>
      <c r="I198" s="208">
        <v>0</v>
      </c>
      <c r="J198" s="207"/>
      <c r="K198" s="199">
        <f t="shared" si="22"/>
        <v>270192.07960999996</v>
      </c>
      <c r="L198" s="197">
        <v>199395.12877200003</v>
      </c>
      <c r="M198" s="197">
        <v>0</v>
      </c>
      <c r="N198" s="197">
        <f t="shared" si="23"/>
        <v>0</v>
      </c>
      <c r="O198" s="197">
        <f t="shared" si="24"/>
        <v>0</v>
      </c>
      <c r="P198" s="197">
        <f t="shared" si="25"/>
        <v>0</v>
      </c>
      <c r="Q198" s="53" t="s">
        <v>318</v>
      </c>
      <c r="R198" s="201"/>
    </row>
    <row r="199" spans="1:18" x14ac:dyDescent="0.25">
      <c r="A199" s="209" t="s">
        <v>417</v>
      </c>
      <c r="B199" s="54" t="s">
        <v>318</v>
      </c>
      <c r="C199" s="53" t="s">
        <v>133</v>
      </c>
      <c r="D199" s="53" t="s">
        <v>416</v>
      </c>
      <c r="E199" s="53" t="s">
        <v>415</v>
      </c>
      <c r="F199" s="196">
        <v>376.3</v>
      </c>
      <c r="G199" s="207">
        <v>121240.83308500001</v>
      </c>
      <c r="H199" s="207">
        <v>124081.232498</v>
      </c>
      <c r="I199" s="208">
        <v>0</v>
      </c>
      <c r="J199" s="207"/>
      <c r="K199" s="199">
        <f t="shared" si="22"/>
        <v>121240.83308500001</v>
      </c>
      <c r="L199" s="197">
        <v>124081.232498</v>
      </c>
      <c r="M199" s="197">
        <v>0</v>
      </c>
      <c r="N199" s="197">
        <f t="shared" si="23"/>
        <v>0</v>
      </c>
      <c r="O199" s="197">
        <f t="shared" si="24"/>
        <v>0</v>
      </c>
      <c r="P199" s="197">
        <f t="shared" si="25"/>
        <v>0</v>
      </c>
      <c r="Q199" s="53" t="s">
        <v>318</v>
      </c>
      <c r="R199" s="201"/>
    </row>
    <row r="200" spans="1:18" x14ac:dyDescent="0.25">
      <c r="A200" s="209" t="s">
        <v>398</v>
      </c>
      <c r="B200" s="54" t="s">
        <v>318</v>
      </c>
      <c r="C200" s="53" t="s">
        <v>133</v>
      </c>
      <c r="D200" s="53" t="s">
        <v>414</v>
      </c>
      <c r="E200" s="53" t="s">
        <v>413</v>
      </c>
      <c r="F200" s="196">
        <v>380.3</v>
      </c>
      <c r="G200" s="207">
        <v>230492.44047400006</v>
      </c>
      <c r="H200" s="207">
        <v>178839.24196299998</v>
      </c>
      <c r="I200" s="208">
        <v>0</v>
      </c>
      <c r="J200" s="207"/>
      <c r="K200" s="199">
        <f t="shared" si="22"/>
        <v>230492.44047400006</v>
      </c>
      <c r="L200" s="197">
        <v>178839.24196299998</v>
      </c>
      <c r="M200" s="197">
        <v>0</v>
      </c>
      <c r="N200" s="197">
        <f t="shared" si="23"/>
        <v>0</v>
      </c>
      <c r="O200" s="197">
        <f t="shared" si="24"/>
        <v>0</v>
      </c>
      <c r="P200" s="197">
        <f t="shared" si="25"/>
        <v>0</v>
      </c>
      <c r="Q200" s="53" t="s">
        <v>318</v>
      </c>
      <c r="R200" s="201"/>
    </row>
    <row r="201" spans="1:18" x14ac:dyDescent="0.25">
      <c r="A201" s="209" t="s">
        <v>398</v>
      </c>
      <c r="B201" s="54" t="s">
        <v>318</v>
      </c>
      <c r="C201" s="53" t="s">
        <v>133</v>
      </c>
      <c r="D201" s="53" t="s">
        <v>412</v>
      </c>
      <c r="E201" s="53" t="s">
        <v>411</v>
      </c>
      <c r="F201" s="196">
        <v>380.3</v>
      </c>
      <c r="G201" s="207">
        <v>64673.637801999997</v>
      </c>
      <c r="H201" s="207">
        <v>52841.280960999982</v>
      </c>
      <c r="I201" s="208">
        <v>0</v>
      </c>
      <c r="J201" s="207"/>
      <c r="K201" s="199">
        <f t="shared" si="22"/>
        <v>64673.637801999997</v>
      </c>
      <c r="L201" s="197">
        <v>52841.280960999982</v>
      </c>
      <c r="M201" s="197">
        <v>0</v>
      </c>
      <c r="N201" s="197">
        <f t="shared" si="23"/>
        <v>0</v>
      </c>
      <c r="O201" s="197">
        <f t="shared" si="24"/>
        <v>0</v>
      </c>
      <c r="P201" s="197">
        <f t="shared" si="25"/>
        <v>0</v>
      </c>
      <c r="Q201" s="53" t="s">
        <v>318</v>
      </c>
      <c r="R201" s="201"/>
    </row>
    <row r="202" spans="1:18" x14ac:dyDescent="0.25">
      <c r="A202" s="209" t="s">
        <v>398</v>
      </c>
      <c r="B202" s="54" t="s">
        <v>318</v>
      </c>
      <c r="C202" s="53" t="s">
        <v>133</v>
      </c>
      <c r="D202" s="53" t="s">
        <v>410</v>
      </c>
      <c r="E202" s="53" t="s">
        <v>409</v>
      </c>
      <c r="F202" s="196">
        <v>380.3</v>
      </c>
      <c r="G202" s="207">
        <v>315682.85518500005</v>
      </c>
      <c r="H202" s="207">
        <v>293445.8054769999</v>
      </c>
      <c r="I202" s="208">
        <v>0</v>
      </c>
      <c r="J202" s="207"/>
      <c r="K202" s="199">
        <f t="shared" si="22"/>
        <v>315682.85518500005</v>
      </c>
      <c r="L202" s="197">
        <v>293445.8054769999</v>
      </c>
      <c r="M202" s="197">
        <v>0</v>
      </c>
      <c r="N202" s="197">
        <f t="shared" si="23"/>
        <v>0</v>
      </c>
      <c r="O202" s="197">
        <f t="shared" si="24"/>
        <v>0</v>
      </c>
      <c r="P202" s="197">
        <f t="shared" si="25"/>
        <v>0</v>
      </c>
      <c r="Q202" s="53" t="s">
        <v>318</v>
      </c>
      <c r="R202" s="201"/>
    </row>
    <row r="203" spans="1:18" x14ac:dyDescent="0.25">
      <c r="A203" s="209" t="s">
        <v>398</v>
      </c>
      <c r="B203" s="54" t="s">
        <v>318</v>
      </c>
      <c r="C203" s="53" t="s">
        <v>133</v>
      </c>
      <c r="D203" s="53" t="s">
        <v>408</v>
      </c>
      <c r="E203" s="53" t="s">
        <v>407</v>
      </c>
      <c r="F203" s="196">
        <v>380.3</v>
      </c>
      <c r="G203" s="207">
        <v>282029.444426</v>
      </c>
      <c r="H203" s="207">
        <v>265057.40761200001</v>
      </c>
      <c r="I203" s="208">
        <v>0</v>
      </c>
      <c r="J203" s="207"/>
      <c r="K203" s="199">
        <f t="shared" si="22"/>
        <v>282029.444426</v>
      </c>
      <c r="L203" s="197">
        <v>265057.40761200001</v>
      </c>
      <c r="M203" s="197">
        <v>0</v>
      </c>
      <c r="N203" s="197">
        <f t="shared" si="23"/>
        <v>0</v>
      </c>
      <c r="O203" s="197">
        <f t="shared" si="24"/>
        <v>0</v>
      </c>
      <c r="P203" s="197">
        <f t="shared" si="25"/>
        <v>0</v>
      </c>
      <c r="Q203" s="53" t="s">
        <v>318</v>
      </c>
      <c r="R203" s="201"/>
    </row>
    <row r="204" spans="1:18" x14ac:dyDescent="0.25">
      <c r="A204" s="209" t="s">
        <v>398</v>
      </c>
      <c r="B204" s="54" t="s">
        <v>318</v>
      </c>
      <c r="C204" s="53" t="s">
        <v>133</v>
      </c>
      <c r="D204" s="53" t="s">
        <v>406</v>
      </c>
      <c r="E204" s="53" t="s">
        <v>405</v>
      </c>
      <c r="F204" s="196">
        <v>380.3</v>
      </c>
      <c r="G204" s="207">
        <v>338345.28705900005</v>
      </c>
      <c r="H204" s="207">
        <v>253990.75584</v>
      </c>
      <c r="I204" s="208">
        <v>0</v>
      </c>
      <c r="J204" s="207"/>
      <c r="K204" s="199">
        <f t="shared" si="22"/>
        <v>338345.28705900005</v>
      </c>
      <c r="L204" s="197">
        <v>253990.75584</v>
      </c>
      <c r="M204" s="197">
        <v>0</v>
      </c>
      <c r="N204" s="197">
        <f t="shared" si="23"/>
        <v>0</v>
      </c>
      <c r="O204" s="197">
        <f t="shared" si="24"/>
        <v>0</v>
      </c>
      <c r="P204" s="197">
        <f t="shared" si="25"/>
        <v>0</v>
      </c>
      <c r="Q204" s="53" t="s">
        <v>318</v>
      </c>
      <c r="R204" s="201"/>
    </row>
    <row r="205" spans="1:18" x14ac:dyDescent="0.25">
      <c r="A205" s="209" t="s">
        <v>398</v>
      </c>
      <c r="B205" s="54" t="s">
        <v>318</v>
      </c>
      <c r="C205" s="53" t="s">
        <v>133</v>
      </c>
      <c r="D205" s="53" t="s">
        <v>404</v>
      </c>
      <c r="E205" s="53" t="s">
        <v>403</v>
      </c>
      <c r="F205" s="196">
        <v>380.3</v>
      </c>
      <c r="G205" s="207">
        <v>127046.58327200002</v>
      </c>
      <c r="H205" s="207">
        <v>94866.156276000023</v>
      </c>
      <c r="I205" s="208">
        <v>0</v>
      </c>
      <c r="J205" s="207"/>
      <c r="K205" s="199">
        <f t="shared" si="22"/>
        <v>127046.58327200002</v>
      </c>
      <c r="L205" s="197">
        <v>94866.156276000023</v>
      </c>
      <c r="M205" s="197">
        <v>0</v>
      </c>
      <c r="N205" s="197">
        <f t="shared" si="23"/>
        <v>0</v>
      </c>
      <c r="O205" s="197">
        <f t="shared" si="24"/>
        <v>0</v>
      </c>
      <c r="P205" s="197">
        <f t="shared" si="25"/>
        <v>0</v>
      </c>
      <c r="Q205" s="53" t="s">
        <v>318</v>
      </c>
      <c r="R205" s="201"/>
    </row>
    <row r="206" spans="1:18" x14ac:dyDescent="0.25">
      <c r="A206" s="209" t="s">
        <v>398</v>
      </c>
      <c r="B206" s="54" t="s">
        <v>318</v>
      </c>
      <c r="C206" s="53" t="s">
        <v>133</v>
      </c>
      <c r="D206" s="53" t="s">
        <v>402</v>
      </c>
      <c r="E206" s="53" t="s">
        <v>401</v>
      </c>
      <c r="F206" s="196">
        <v>380.3</v>
      </c>
      <c r="G206" s="207">
        <v>100146.05000999998</v>
      </c>
      <c r="H206" s="207">
        <v>94811.555040000021</v>
      </c>
      <c r="I206" s="208">
        <v>0</v>
      </c>
      <c r="J206" s="207"/>
      <c r="K206" s="199">
        <f t="shared" si="22"/>
        <v>100146.05000999998</v>
      </c>
      <c r="L206" s="197">
        <v>94811.555040000021</v>
      </c>
      <c r="M206" s="197">
        <v>0</v>
      </c>
      <c r="N206" s="197">
        <f t="shared" si="23"/>
        <v>0</v>
      </c>
      <c r="O206" s="197">
        <f t="shared" si="24"/>
        <v>0</v>
      </c>
      <c r="P206" s="197">
        <f t="shared" si="25"/>
        <v>0</v>
      </c>
      <c r="Q206" s="53" t="s">
        <v>318</v>
      </c>
      <c r="R206" s="201"/>
    </row>
    <row r="207" spans="1:18" x14ac:dyDescent="0.25">
      <c r="A207" s="209" t="s">
        <v>398</v>
      </c>
      <c r="B207" s="54" t="s">
        <v>318</v>
      </c>
      <c r="C207" s="53" t="s">
        <v>133</v>
      </c>
      <c r="D207" s="53" t="s">
        <v>400</v>
      </c>
      <c r="E207" s="53" t="s">
        <v>399</v>
      </c>
      <c r="F207" s="196">
        <v>380.3</v>
      </c>
      <c r="G207" s="207">
        <v>231192.58399599997</v>
      </c>
      <c r="H207" s="207">
        <v>207994.88067599997</v>
      </c>
      <c r="I207" s="208">
        <v>0</v>
      </c>
      <c r="J207" s="207"/>
      <c r="K207" s="199">
        <f t="shared" si="22"/>
        <v>231192.58399599997</v>
      </c>
      <c r="L207" s="197">
        <v>207994.88067599997</v>
      </c>
      <c r="M207" s="197">
        <v>0</v>
      </c>
      <c r="N207" s="197">
        <f t="shared" si="23"/>
        <v>0</v>
      </c>
      <c r="O207" s="197">
        <f t="shared" si="24"/>
        <v>0</v>
      </c>
      <c r="P207" s="197">
        <f t="shared" si="25"/>
        <v>0</v>
      </c>
      <c r="Q207" s="53" t="s">
        <v>318</v>
      </c>
      <c r="R207" s="201"/>
    </row>
    <row r="208" spans="1:18" x14ac:dyDescent="0.25">
      <c r="A208" s="209" t="s">
        <v>398</v>
      </c>
      <c r="B208" s="54" t="s">
        <v>318</v>
      </c>
      <c r="C208" s="53" t="s">
        <v>133</v>
      </c>
      <c r="D208" s="53" t="s">
        <v>397</v>
      </c>
      <c r="E208" s="53" t="s">
        <v>396</v>
      </c>
      <c r="F208" s="196">
        <v>380.3</v>
      </c>
      <c r="G208" s="207">
        <v>88759.269398000004</v>
      </c>
      <c r="H208" s="207">
        <v>86246.944812000016</v>
      </c>
      <c r="I208" s="208">
        <v>0</v>
      </c>
      <c r="J208" s="207"/>
      <c r="K208" s="199">
        <f t="shared" si="22"/>
        <v>88759.269398000004</v>
      </c>
      <c r="L208" s="197">
        <v>86246.944812000016</v>
      </c>
      <c r="M208" s="197">
        <v>0</v>
      </c>
      <c r="N208" s="197">
        <f t="shared" si="23"/>
        <v>0</v>
      </c>
      <c r="O208" s="197">
        <f t="shared" si="24"/>
        <v>0</v>
      </c>
      <c r="P208" s="197">
        <f t="shared" si="25"/>
        <v>0</v>
      </c>
      <c r="Q208" s="53" t="s">
        <v>318</v>
      </c>
      <c r="R208" s="201"/>
    </row>
    <row r="209" spans="1:18" x14ac:dyDescent="0.25">
      <c r="A209" s="209" t="s">
        <v>393</v>
      </c>
      <c r="B209" s="54" t="s">
        <v>318</v>
      </c>
      <c r="C209" s="53" t="s">
        <v>133</v>
      </c>
      <c r="D209" s="53" t="s">
        <v>395</v>
      </c>
      <c r="E209" s="53" t="s">
        <v>394</v>
      </c>
      <c r="F209" s="196">
        <v>396.2</v>
      </c>
      <c r="G209" s="207">
        <v>2463904.4573269999</v>
      </c>
      <c r="H209" s="207">
        <v>2289180.1058280002</v>
      </c>
      <c r="I209" s="208">
        <v>0</v>
      </c>
      <c r="J209" s="207"/>
      <c r="K209" s="199">
        <f t="shared" si="22"/>
        <v>2463904.4573269999</v>
      </c>
      <c r="L209" s="197">
        <v>2289180.1058280002</v>
      </c>
      <c r="M209" s="197">
        <v>0</v>
      </c>
      <c r="N209" s="197">
        <f t="shared" si="23"/>
        <v>0</v>
      </c>
      <c r="O209" s="197">
        <f t="shared" si="24"/>
        <v>0</v>
      </c>
      <c r="P209" s="197">
        <f t="shared" si="25"/>
        <v>0</v>
      </c>
      <c r="Q209" s="53" t="s">
        <v>318</v>
      </c>
      <c r="R209" s="201"/>
    </row>
    <row r="210" spans="1:18" x14ac:dyDescent="0.25">
      <c r="A210" s="209" t="s">
        <v>393</v>
      </c>
      <c r="B210" s="54" t="s">
        <v>318</v>
      </c>
      <c r="C210" s="53" t="s">
        <v>133</v>
      </c>
      <c r="D210" s="53" t="s">
        <v>392</v>
      </c>
      <c r="E210" s="53" t="s">
        <v>391</v>
      </c>
      <c r="F210" s="196">
        <v>392.2</v>
      </c>
      <c r="G210" s="207">
        <v>1060664.9308400003</v>
      </c>
      <c r="H210" s="207">
        <v>769996.95369600004</v>
      </c>
      <c r="I210" s="208">
        <v>0</v>
      </c>
      <c r="J210" s="207"/>
      <c r="K210" s="199">
        <f t="shared" si="22"/>
        <v>1060664.9308400003</v>
      </c>
      <c r="L210" s="197">
        <v>769996.95369600004</v>
      </c>
      <c r="M210" s="197">
        <v>0</v>
      </c>
      <c r="N210" s="197">
        <f t="shared" si="23"/>
        <v>0</v>
      </c>
      <c r="O210" s="197">
        <f t="shared" si="24"/>
        <v>0</v>
      </c>
      <c r="P210" s="197">
        <f t="shared" si="25"/>
        <v>0</v>
      </c>
      <c r="Q210" s="53" t="s">
        <v>318</v>
      </c>
      <c r="R210" s="201"/>
    </row>
    <row r="211" spans="1:18" x14ac:dyDescent="0.25">
      <c r="A211" s="209" t="str">
        <f t="shared" ref="A211:A245" si="26">RIGHT(D211,LEN(D211)-3)</f>
        <v>101164</v>
      </c>
      <c r="B211" s="54" t="s">
        <v>318</v>
      </c>
      <c r="C211" s="53" t="s">
        <v>133</v>
      </c>
      <c r="D211" s="53" t="s">
        <v>390</v>
      </c>
      <c r="E211" s="53" t="s">
        <v>389</v>
      </c>
      <c r="F211" s="196">
        <v>397.2</v>
      </c>
      <c r="G211" s="207">
        <v>87401.493662000037</v>
      </c>
      <c r="H211" s="207">
        <v>37782.730999999992</v>
      </c>
      <c r="I211" s="208">
        <v>0</v>
      </c>
      <c r="J211" s="207"/>
      <c r="K211" s="199">
        <f t="shared" si="22"/>
        <v>87401.493662000037</v>
      </c>
      <c r="L211" s="197">
        <v>37782.730999999992</v>
      </c>
      <c r="M211" s="197">
        <v>0</v>
      </c>
      <c r="N211" s="197">
        <f t="shared" si="23"/>
        <v>0</v>
      </c>
      <c r="O211" s="197">
        <f t="shared" si="24"/>
        <v>0</v>
      </c>
      <c r="P211" s="197">
        <f t="shared" si="25"/>
        <v>0</v>
      </c>
      <c r="Q211" s="53" t="s">
        <v>318</v>
      </c>
      <c r="R211" s="201"/>
    </row>
    <row r="212" spans="1:18" x14ac:dyDescent="0.25">
      <c r="A212" s="209" t="str">
        <f t="shared" si="26"/>
        <v>101210</v>
      </c>
      <c r="B212" s="54" t="s">
        <v>318</v>
      </c>
      <c r="C212" s="53" t="s">
        <v>133</v>
      </c>
      <c r="D212" s="53" t="s">
        <v>388</v>
      </c>
      <c r="E212" s="53" t="s">
        <v>387</v>
      </c>
      <c r="F212" s="196">
        <v>381</v>
      </c>
      <c r="G212" s="207">
        <v>5937987.0246250005</v>
      </c>
      <c r="H212" s="207">
        <v>6106833.2024999997</v>
      </c>
      <c r="I212" s="208">
        <v>0</v>
      </c>
      <c r="J212" s="207"/>
      <c r="K212" s="199">
        <f t="shared" si="22"/>
        <v>5937987.0246250005</v>
      </c>
      <c r="L212" s="197">
        <v>6106833.2024999997</v>
      </c>
      <c r="M212" s="197">
        <v>0</v>
      </c>
      <c r="N212" s="197">
        <f t="shared" si="23"/>
        <v>0</v>
      </c>
      <c r="O212" s="197">
        <f t="shared" si="24"/>
        <v>0</v>
      </c>
      <c r="P212" s="197">
        <f t="shared" si="25"/>
        <v>0</v>
      </c>
      <c r="Q212" s="53" t="s">
        <v>318</v>
      </c>
      <c r="R212" s="201"/>
    </row>
    <row r="213" spans="1:18" x14ac:dyDescent="0.25">
      <c r="A213" s="209" t="str">
        <f t="shared" si="26"/>
        <v>101259</v>
      </c>
      <c r="B213" s="54" t="s">
        <v>318</v>
      </c>
      <c r="C213" s="53" t="s">
        <v>133</v>
      </c>
      <c r="D213" s="53" t="s">
        <v>386</v>
      </c>
      <c r="E213" s="53" t="s">
        <v>385</v>
      </c>
      <c r="F213" s="196">
        <v>383</v>
      </c>
      <c r="G213" s="207">
        <v>547264.69962499989</v>
      </c>
      <c r="H213" s="207">
        <v>562922.21550000005</v>
      </c>
      <c r="I213" s="208">
        <v>0</v>
      </c>
      <c r="J213" s="207"/>
      <c r="K213" s="199">
        <f t="shared" si="22"/>
        <v>547264.69962499989</v>
      </c>
      <c r="L213" s="197">
        <v>562922.21550000005</v>
      </c>
      <c r="M213" s="197">
        <v>0</v>
      </c>
      <c r="N213" s="197">
        <f t="shared" si="23"/>
        <v>0</v>
      </c>
      <c r="O213" s="197">
        <f t="shared" si="24"/>
        <v>0</v>
      </c>
      <c r="P213" s="197">
        <f t="shared" si="25"/>
        <v>0</v>
      </c>
      <c r="Q213" s="53" t="s">
        <v>318</v>
      </c>
      <c r="R213" s="201"/>
    </row>
    <row r="214" spans="1:18" x14ac:dyDescent="0.25">
      <c r="A214" s="209" t="str">
        <f t="shared" si="26"/>
        <v>200662</v>
      </c>
      <c r="B214" s="54" t="s">
        <v>318</v>
      </c>
      <c r="C214" s="53" t="s">
        <v>133</v>
      </c>
      <c r="D214" s="53" t="s">
        <v>384</v>
      </c>
      <c r="E214" s="53" t="s">
        <v>383</v>
      </c>
      <c r="F214" s="196">
        <v>391.3</v>
      </c>
      <c r="G214" s="207">
        <v>113444.00484100005</v>
      </c>
      <c r="H214" s="207">
        <v>94456.827500000014</v>
      </c>
      <c r="I214" s="208">
        <v>0</v>
      </c>
      <c r="J214" s="207"/>
      <c r="K214" s="199">
        <f t="shared" si="22"/>
        <v>113444.00484100005</v>
      </c>
      <c r="L214" s="197">
        <v>94456.827500000014</v>
      </c>
      <c r="M214" s="197">
        <v>0</v>
      </c>
      <c r="N214" s="197">
        <f t="shared" si="23"/>
        <v>0</v>
      </c>
      <c r="O214" s="197">
        <f t="shared" si="24"/>
        <v>0</v>
      </c>
      <c r="P214" s="197">
        <f t="shared" si="25"/>
        <v>0</v>
      </c>
      <c r="Q214" s="53" t="s">
        <v>318</v>
      </c>
      <c r="R214" s="201"/>
    </row>
    <row r="215" spans="1:18" x14ac:dyDescent="0.25">
      <c r="A215" s="209" t="str">
        <f t="shared" si="26"/>
        <v>316445</v>
      </c>
      <c r="B215" s="54" t="s">
        <v>318</v>
      </c>
      <c r="C215" s="53" t="s">
        <v>133</v>
      </c>
      <c r="D215" s="53" t="s">
        <v>382</v>
      </c>
      <c r="E215" s="53" t="s">
        <v>381</v>
      </c>
      <c r="F215" s="196">
        <v>391.3</v>
      </c>
      <c r="G215" s="207">
        <v>139476.66683600002</v>
      </c>
      <c r="H215" s="207">
        <v>139796.10469999997</v>
      </c>
      <c r="I215" s="208">
        <v>0</v>
      </c>
      <c r="J215" s="207"/>
      <c r="K215" s="199">
        <f t="shared" si="22"/>
        <v>139476.66683600002</v>
      </c>
      <c r="L215" s="197">
        <v>139796.10469999997</v>
      </c>
      <c r="M215" s="197">
        <v>0</v>
      </c>
      <c r="N215" s="197">
        <f t="shared" si="23"/>
        <v>0</v>
      </c>
      <c r="O215" s="197">
        <f t="shared" si="24"/>
        <v>0</v>
      </c>
      <c r="P215" s="197">
        <f t="shared" si="25"/>
        <v>0</v>
      </c>
      <c r="Q215" s="53" t="s">
        <v>318</v>
      </c>
      <c r="R215" s="201"/>
    </row>
    <row r="216" spans="1:18" x14ac:dyDescent="0.25">
      <c r="A216" s="209" t="str">
        <f t="shared" si="26"/>
        <v>316832</v>
      </c>
      <c r="B216" s="54" t="s">
        <v>318</v>
      </c>
      <c r="C216" s="53" t="s">
        <v>133</v>
      </c>
      <c r="D216" s="53" t="s">
        <v>380</v>
      </c>
      <c r="E216" s="53" t="s">
        <v>379</v>
      </c>
      <c r="F216" s="196">
        <v>391.5</v>
      </c>
      <c r="G216" s="207">
        <v>97895.851235000009</v>
      </c>
      <c r="H216" s="207">
        <v>148276.99154800002</v>
      </c>
      <c r="I216" s="208">
        <v>0</v>
      </c>
      <c r="J216" s="207"/>
      <c r="K216" s="199">
        <f t="shared" si="22"/>
        <v>97895.851235000009</v>
      </c>
      <c r="L216" s="197">
        <v>148276.99154800002</v>
      </c>
      <c r="M216" s="197">
        <v>0</v>
      </c>
      <c r="N216" s="197">
        <f t="shared" si="23"/>
        <v>0</v>
      </c>
      <c r="O216" s="197">
        <f t="shared" si="24"/>
        <v>0</v>
      </c>
      <c r="P216" s="197">
        <f t="shared" si="25"/>
        <v>0</v>
      </c>
      <c r="Q216" s="53" t="s">
        <v>318</v>
      </c>
      <c r="R216" s="201"/>
    </row>
    <row r="217" spans="1:18" x14ac:dyDescent="0.25">
      <c r="A217" s="209" t="str">
        <f t="shared" si="26"/>
        <v>318211</v>
      </c>
      <c r="B217" s="54" t="s">
        <v>318</v>
      </c>
      <c r="C217" s="53" t="s">
        <v>133</v>
      </c>
      <c r="D217" s="53" t="s">
        <v>378</v>
      </c>
      <c r="E217" s="53" t="s">
        <v>377</v>
      </c>
      <c r="F217" s="196">
        <v>397.2</v>
      </c>
      <c r="G217" s="207">
        <v>72377.088960000008</v>
      </c>
      <c r="H217" s="207">
        <v>37782.731</v>
      </c>
      <c r="I217" s="208">
        <v>0</v>
      </c>
      <c r="J217" s="207"/>
      <c r="K217" s="199">
        <f t="shared" si="22"/>
        <v>72377.088960000008</v>
      </c>
      <c r="L217" s="197">
        <v>37782.731</v>
      </c>
      <c r="M217" s="197">
        <v>0</v>
      </c>
      <c r="N217" s="197">
        <f t="shared" si="23"/>
        <v>0</v>
      </c>
      <c r="O217" s="197">
        <f t="shared" si="24"/>
        <v>0</v>
      </c>
      <c r="P217" s="197">
        <f t="shared" si="25"/>
        <v>0</v>
      </c>
      <c r="Q217" s="53" t="s">
        <v>318</v>
      </c>
      <c r="R217" s="201"/>
    </row>
    <row r="218" spans="1:18" x14ac:dyDescent="0.25">
      <c r="A218" s="209" t="str">
        <f t="shared" si="26"/>
        <v>320999</v>
      </c>
      <c r="B218" s="54" t="s">
        <v>318</v>
      </c>
      <c r="C218" s="53" t="s">
        <v>133</v>
      </c>
      <c r="D218" s="53" t="s">
        <v>376</v>
      </c>
      <c r="E218" s="53" t="s">
        <v>375</v>
      </c>
      <c r="F218" s="196">
        <v>303</v>
      </c>
      <c r="G218" s="207">
        <v>44563.436257000001</v>
      </c>
      <c r="H218" s="207">
        <v>48576.723499</v>
      </c>
      <c r="I218" s="208">
        <v>0</v>
      </c>
      <c r="J218" s="207"/>
      <c r="K218" s="199">
        <f t="shared" si="22"/>
        <v>44563.436257000001</v>
      </c>
      <c r="L218" s="197">
        <v>48576.723499</v>
      </c>
      <c r="M218" s="197">
        <v>0</v>
      </c>
      <c r="N218" s="197">
        <f t="shared" si="23"/>
        <v>0</v>
      </c>
      <c r="O218" s="197">
        <f t="shared" si="24"/>
        <v>0</v>
      </c>
      <c r="P218" s="197">
        <f t="shared" si="25"/>
        <v>0</v>
      </c>
      <c r="Q218" s="53" t="s">
        <v>318</v>
      </c>
      <c r="R218" s="201"/>
    </row>
    <row r="219" spans="1:18" x14ac:dyDescent="0.25">
      <c r="A219" s="209" t="str">
        <f t="shared" si="26"/>
        <v>321795</v>
      </c>
      <c r="B219" s="54" t="s">
        <v>318</v>
      </c>
      <c r="C219" s="53" t="s">
        <v>133</v>
      </c>
      <c r="D219" s="53" t="s">
        <v>374</v>
      </c>
      <c r="E219" s="53" t="s">
        <v>373</v>
      </c>
      <c r="F219" s="196">
        <v>376.1</v>
      </c>
      <c r="G219" s="207">
        <v>166245.634766</v>
      </c>
      <c r="H219" s="207">
        <v>0</v>
      </c>
      <c r="I219" s="208">
        <v>0</v>
      </c>
      <c r="J219" s="207"/>
      <c r="K219" s="199">
        <f t="shared" si="22"/>
        <v>166245.634766</v>
      </c>
      <c r="L219" s="197">
        <v>0</v>
      </c>
      <c r="M219" s="197">
        <v>0</v>
      </c>
      <c r="N219" s="197">
        <f t="shared" si="23"/>
        <v>0</v>
      </c>
      <c r="O219" s="197">
        <f t="shared" si="24"/>
        <v>0</v>
      </c>
      <c r="P219" s="197">
        <f t="shared" si="25"/>
        <v>0</v>
      </c>
      <c r="Q219" s="53" t="s">
        <v>318</v>
      </c>
      <c r="R219" s="201"/>
    </row>
    <row r="220" spans="1:18" x14ac:dyDescent="0.25">
      <c r="A220" s="209" t="str">
        <f t="shared" si="26"/>
        <v>321861</v>
      </c>
      <c r="B220" s="54" t="s">
        <v>318</v>
      </c>
      <c r="C220" s="53" t="s">
        <v>133</v>
      </c>
      <c r="D220" s="53" t="s">
        <v>372</v>
      </c>
      <c r="E220" s="53" t="s">
        <v>371</v>
      </c>
      <c r="F220" s="196">
        <v>376.3</v>
      </c>
      <c r="G220" s="207">
        <v>31306.04</v>
      </c>
      <c r="H220" s="207">
        <v>0</v>
      </c>
      <c r="I220" s="208">
        <v>0</v>
      </c>
      <c r="J220" s="207"/>
      <c r="K220" s="199">
        <f t="shared" si="22"/>
        <v>31306.04</v>
      </c>
      <c r="L220" s="197">
        <v>0</v>
      </c>
      <c r="M220" s="197">
        <v>0</v>
      </c>
      <c r="N220" s="197">
        <f t="shared" si="23"/>
        <v>0</v>
      </c>
      <c r="O220" s="197">
        <f t="shared" si="24"/>
        <v>0</v>
      </c>
      <c r="P220" s="197">
        <f t="shared" si="25"/>
        <v>0</v>
      </c>
      <c r="Q220" s="53" t="s">
        <v>318</v>
      </c>
      <c r="R220" s="201"/>
    </row>
    <row r="221" spans="1:18" x14ac:dyDescent="0.25">
      <c r="A221" s="209" t="str">
        <f t="shared" si="26"/>
        <v>321983</v>
      </c>
      <c r="B221" s="54" t="s">
        <v>318</v>
      </c>
      <c r="C221" s="53" t="s">
        <v>133</v>
      </c>
      <c r="D221" s="53" t="s">
        <v>370</v>
      </c>
      <c r="E221" s="53" t="s">
        <v>369</v>
      </c>
      <c r="F221" s="196">
        <v>376.3</v>
      </c>
      <c r="G221" s="207">
        <v>20447.11</v>
      </c>
      <c r="H221" s="207">
        <v>0</v>
      </c>
      <c r="I221" s="208">
        <v>0</v>
      </c>
      <c r="J221" s="207"/>
      <c r="K221" s="199">
        <f t="shared" si="22"/>
        <v>20447.11</v>
      </c>
      <c r="L221" s="197">
        <v>0</v>
      </c>
      <c r="M221" s="197">
        <v>0</v>
      </c>
      <c r="N221" s="197">
        <f t="shared" si="23"/>
        <v>0</v>
      </c>
      <c r="O221" s="197">
        <f t="shared" si="24"/>
        <v>0</v>
      </c>
      <c r="P221" s="197">
        <f t="shared" si="25"/>
        <v>0</v>
      </c>
      <c r="Q221" s="53" t="s">
        <v>318</v>
      </c>
      <c r="R221" s="201"/>
    </row>
    <row r="222" spans="1:18" x14ac:dyDescent="0.25">
      <c r="A222" s="209" t="str">
        <f t="shared" si="26"/>
        <v>322598</v>
      </c>
      <c r="B222" s="54" t="s">
        <v>318</v>
      </c>
      <c r="C222" s="53" t="s">
        <v>133</v>
      </c>
      <c r="D222" s="53" t="s">
        <v>368</v>
      </c>
      <c r="E222" s="53" t="s">
        <v>367</v>
      </c>
      <c r="F222" s="196">
        <v>390.1</v>
      </c>
      <c r="G222" s="207">
        <v>126212.5</v>
      </c>
      <c r="H222" s="207">
        <v>0</v>
      </c>
      <c r="I222" s="208">
        <v>0</v>
      </c>
      <c r="J222" s="207"/>
      <c r="K222" s="199">
        <f t="shared" si="22"/>
        <v>126212.5</v>
      </c>
      <c r="L222" s="197">
        <v>0</v>
      </c>
      <c r="M222" s="197">
        <v>0</v>
      </c>
      <c r="N222" s="197">
        <f t="shared" si="23"/>
        <v>0</v>
      </c>
      <c r="O222" s="197">
        <f t="shared" si="24"/>
        <v>0</v>
      </c>
      <c r="P222" s="197">
        <f t="shared" si="25"/>
        <v>0</v>
      </c>
      <c r="Q222" s="53" t="s">
        <v>318</v>
      </c>
      <c r="R222" s="201"/>
    </row>
    <row r="223" spans="1:18" x14ac:dyDescent="0.25">
      <c r="A223" s="209" t="str">
        <f t="shared" si="26"/>
        <v>323530</v>
      </c>
      <c r="B223" s="54" t="s">
        <v>318</v>
      </c>
      <c r="C223" s="53" t="s">
        <v>133</v>
      </c>
      <c r="D223" s="53" t="s">
        <v>366</v>
      </c>
      <c r="E223" s="53" t="s">
        <v>365</v>
      </c>
      <c r="F223" s="196">
        <v>376.3</v>
      </c>
      <c r="G223" s="207">
        <v>131189.38</v>
      </c>
      <c r="H223" s="207">
        <v>0</v>
      </c>
      <c r="I223" s="208">
        <v>0</v>
      </c>
      <c r="J223" s="207"/>
      <c r="K223" s="199">
        <f t="shared" si="22"/>
        <v>131189.38</v>
      </c>
      <c r="L223" s="197">
        <v>0</v>
      </c>
      <c r="M223" s="197">
        <v>0</v>
      </c>
      <c r="N223" s="197">
        <f t="shared" si="23"/>
        <v>0</v>
      </c>
      <c r="O223" s="197">
        <f t="shared" si="24"/>
        <v>0</v>
      </c>
      <c r="P223" s="197">
        <f t="shared" si="25"/>
        <v>0</v>
      </c>
      <c r="Q223" s="53" t="s">
        <v>318</v>
      </c>
      <c r="R223" s="201"/>
    </row>
    <row r="224" spans="1:18" x14ac:dyDescent="0.25">
      <c r="A224" s="209" t="str">
        <f t="shared" si="26"/>
        <v>324259</v>
      </c>
      <c r="B224" s="54" t="s">
        <v>318</v>
      </c>
      <c r="C224" s="53" t="s">
        <v>133</v>
      </c>
      <c r="D224" s="53" t="s">
        <v>364</v>
      </c>
      <c r="E224" s="53" t="s">
        <v>363</v>
      </c>
      <c r="F224" s="196">
        <v>397.3</v>
      </c>
      <c r="G224" s="207">
        <v>75322.5</v>
      </c>
      <c r="H224" s="207">
        <v>0</v>
      </c>
      <c r="I224" s="208">
        <v>0</v>
      </c>
      <c r="J224" s="207"/>
      <c r="K224" s="199">
        <f t="shared" si="22"/>
        <v>75322.5</v>
      </c>
      <c r="L224" s="197">
        <v>0</v>
      </c>
      <c r="M224" s="197">
        <v>0</v>
      </c>
      <c r="N224" s="197">
        <f t="shared" si="23"/>
        <v>0</v>
      </c>
      <c r="O224" s="197">
        <f t="shared" si="24"/>
        <v>0</v>
      </c>
      <c r="P224" s="197">
        <f t="shared" si="25"/>
        <v>0</v>
      </c>
      <c r="Q224" s="53" t="s">
        <v>318</v>
      </c>
      <c r="R224" s="201"/>
    </row>
    <row r="225" spans="1:18" x14ac:dyDescent="0.25">
      <c r="A225" s="209" t="str">
        <f t="shared" si="26"/>
        <v>324263</v>
      </c>
      <c r="B225" s="54" t="s">
        <v>318</v>
      </c>
      <c r="C225" s="53" t="s">
        <v>133</v>
      </c>
      <c r="D225" s="53" t="s">
        <v>362</v>
      </c>
      <c r="E225" s="53" t="s">
        <v>361</v>
      </c>
      <c r="F225" s="196">
        <v>391.3</v>
      </c>
      <c r="G225" s="207">
        <v>45193.5</v>
      </c>
      <c r="H225" s="207">
        <v>0</v>
      </c>
      <c r="I225" s="208">
        <v>0</v>
      </c>
      <c r="J225" s="207"/>
      <c r="K225" s="199">
        <f t="shared" si="22"/>
        <v>45193.5</v>
      </c>
      <c r="L225" s="197">
        <v>0</v>
      </c>
      <c r="M225" s="197">
        <v>0</v>
      </c>
      <c r="N225" s="197">
        <f t="shared" si="23"/>
        <v>0</v>
      </c>
      <c r="O225" s="197">
        <f t="shared" si="24"/>
        <v>0</v>
      </c>
      <c r="P225" s="197">
        <f t="shared" si="25"/>
        <v>0</v>
      </c>
      <c r="Q225" s="53" t="s">
        <v>318</v>
      </c>
      <c r="R225" s="201"/>
    </row>
    <row r="226" spans="1:18" x14ac:dyDescent="0.25">
      <c r="A226" s="209" t="str">
        <f t="shared" si="26"/>
        <v>324267</v>
      </c>
      <c r="B226" s="54" t="s">
        <v>318</v>
      </c>
      <c r="C226" s="53" t="s">
        <v>133</v>
      </c>
      <c r="D226" s="53" t="s">
        <v>360</v>
      </c>
      <c r="E226" s="53" t="s">
        <v>359</v>
      </c>
      <c r="F226" s="196">
        <v>397.2</v>
      </c>
      <c r="G226" s="207">
        <v>0</v>
      </c>
      <c r="H226" s="207">
        <v>4533.9277200000006</v>
      </c>
      <c r="I226" s="208">
        <v>0</v>
      </c>
      <c r="J226" s="207"/>
      <c r="K226" s="199">
        <f t="shared" si="22"/>
        <v>0</v>
      </c>
      <c r="L226" s="197">
        <v>4533.9277200000006</v>
      </c>
      <c r="M226" s="197">
        <v>0</v>
      </c>
      <c r="N226" s="197">
        <f t="shared" si="23"/>
        <v>0</v>
      </c>
      <c r="O226" s="197">
        <f t="shared" si="24"/>
        <v>0</v>
      </c>
      <c r="P226" s="197">
        <f t="shared" si="25"/>
        <v>0</v>
      </c>
      <c r="Q226" s="53" t="s">
        <v>318</v>
      </c>
      <c r="R226" s="201"/>
    </row>
    <row r="227" spans="1:18" x14ac:dyDescent="0.25">
      <c r="A227" s="209" t="str">
        <f t="shared" si="26"/>
        <v>324342</v>
      </c>
      <c r="B227" s="54" t="s">
        <v>318</v>
      </c>
      <c r="C227" s="53" t="s">
        <v>133</v>
      </c>
      <c r="D227" s="53" t="s">
        <v>358</v>
      </c>
      <c r="E227" s="53" t="s">
        <v>357</v>
      </c>
      <c r="F227" s="196">
        <v>376.1</v>
      </c>
      <c r="G227" s="207">
        <v>72206.33808799999</v>
      </c>
      <c r="H227" s="207">
        <v>0</v>
      </c>
      <c r="I227" s="208">
        <v>0</v>
      </c>
      <c r="J227" s="207"/>
      <c r="K227" s="199">
        <f t="shared" ref="K227:K245" si="27">IF(B227="",G227,0)</f>
        <v>72206.33808799999</v>
      </c>
      <c r="L227" s="197">
        <v>0</v>
      </c>
      <c r="M227" s="197">
        <v>0</v>
      </c>
      <c r="N227" s="197">
        <f t="shared" si="23"/>
        <v>0</v>
      </c>
      <c r="O227" s="197">
        <f t="shared" si="24"/>
        <v>0</v>
      </c>
      <c r="P227" s="197">
        <f t="shared" si="25"/>
        <v>0</v>
      </c>
      <c r="Q227" s="53" t="s">
        <v>318</v>
      </c>
      <c r="R227" s="201"/>
    </row>
    <row r="228" spans="1:18" x14ac:dyDescent="0.25">
      <c r="A228" s="209" t="str">
        <f t="shared" si="26"/>
        <v>324375</v>
      </c>
      <c r="B228" s="54" t="s">
        <v>318</v>
      </c>
      <c r="C228" s="53" t="s">
        <v>133</v>
      </c>
      <c r="D228" s="53" t="s">
        <v>356</v>
      </c>
      <c r="E228" s="53" t="s">
        <v>355</v>
      </c>
      <c r="F228" s="196">
        <v>376.3</v>
      </c>
      <c r="G228" s="207">
        <v>193815.10948099999</v>
      </c>
      <c r="H228" s="207">
        <v>0</v>
      </c>
      <c r="I228" s="208">
        <v>0</v>
      </c>
      <c r="J228" s="207"/>
      <c r="K228" s="199">
        <f t="shared" si="27"/>
        <v>193815.10948099999</v>
      </c>
      <c r="L228" s="197">
        <v>0</v>
      </c>
      <c r="M228" s="197">
        <v>0</v>
      </c>
      <c r="N228" s="197">
        <f t="shared" si="23"/>
        <v>0</v>
      </c>
      <c r="O228" s="197">
        <f t="shared" si="24"/>
        <v>0</v>
      </c>
      <c r="P228" s="197">
        <f t="shared" si="25"/>
        <v>0</v>
      </c>
      <c r="Q228" s="53" t="s">
        <v>318</v>
      </c>
      <c r="R228" s="201"/>
    </row>
    <row r="229" spans="1:18" x14ac:dyDescent="0.25">
      <c r="A229" s="209" t="str">
        <f t="shared" si="26"/>
        <v>324409</v>
      </c>
      <c r="B229" s="54" t="s">
        <v>318</v>
      </c>
      <c r="C229" s="53" t="s">
        <v>133</v>
      </c>
      <c r="D229" s="53" t="s">
        <v>354</v>
      </c>
      <c r="E229" s="53" t="s">
        <v>353</v>
      </c>
      <c r="F229" s="196">
        <v>303</v>
      </c>
      <c r="G229" s="207">
        <v>149733.94637000002</v>
      </c>
      <c r="H229" s="207">
        <v>0</v>
      </c>
      <c r="I229" s="208">
        <v>0</v>
      </c>
      <c r="J229" s="207"/>
      <c r="K229" s="199">
        <f t="shared" si="27"/>
        <v>149733.94637000002</v>
      </c>
      <c r="L229" s="197">
        <v>0</v>
      </c>
      <c r="M229" s="197">
        <v>0</v>
      </c>
      <c r="N229" s="197">
        <f t="shared" si="23"/>
        <v>0</v>
      </c>
      <c r="O229" s="197">
        <f t="shared" si="24"/>
        <v>0</v>
      </c>
      <c r="P229" s="197">
        <f t="shared" si="25"/>
        <v>0</v>
      </c>
      <c r="Q229" s="53" t="s">
        <v>318</v>
      </c>
      <c r="R229" s="201"/>
    </row>
    <row r="230" spans="1:18" x14ac:dyDescent="0.25">
      <c r="A230" s="209" t="str">
        <f t="shared" si="26"/>
        <v>324761</v>
      </c>
      <c r="B230" s="54" t="s">
        <v>318</v>
      </c>
      <c r="C230" s="53" t="s">
        <v>133</v>
      </c>
      <c r="D230" s="53" t="s">
        <v>352</v>
      </c>
      <c r="E230" s="53" t="s">
        <v>351</v>
      </c>
      <c r="F230" s="196">
        <v>390.1</v>
      </c>
      <c r="G230" s="207">
        <v>55236.5</v>
      </c>
      <c r="H230" s="207">
        <v>0</v>
      </c>
      <c r="I230" s="208">
        <v>0</v>
      </c>
      <c r="J230" s="207"/>
      <c r="K230" s="199">
        <f t="shared" si="27"/>
        <v>55236.5</v>
      </c>
      <c r="L230" s="197">
        <v>0</v>
      </c>
      <c r="M230" s="197">
        <v>0</v>
      </c>
      <c r="N230" s="197">
        <f t="shared" si="23"/>
        <v>0</v>
      </c>
      <c r="O230" s="197">
        <f t="shared" si="24"/>
        <v>0</v>
      </c>
      <c r="P230" s="197">
        <f t="shared" si="25"/>
        <v>0</v>
      </c>
      <c r="Q230" s="53" t="s">
        <v>318</v>
      </c>
      <c r="R230" s="201"/>
    </row>
    <row r="231" spans="1:18" x14ac:dyDescent="0.25">
      <c r="A231" s="209" t="str">
        <f t="shared" si="26"/>
        <v>324790</v>
      </c>
      <c r="B231" s="54" t="s">
        <v>318</v>
      </c>
      <c r="C231" s="53" t="s">
        <v>133</v>
      </c>
      <c r="D231" s="53" t="s">
        <v>350</v>
      </c>
      <c r="E231" s="53" t="s">
        <v>349</v>
      </c>
      <c r="F231" s="196">
        <v>390.1</v>
      </c>
      <c r="G231" s="207">
        <v>9540.85</v>
      </c>
      <c r="H231" s="207">
        <v>0</v>
      </c>
      <c r="I231" s="208">
        <v>0</v>
      </c>
      <c r="J231" s="207"/>
      <c r="K231" s="199">
        <f t="shared" si="27"/>
        <v>9540.85</v>
      </c>
      <c r="L231" s="197">
        <v>0</v>
      </c>
      <c r="M231" s="197">
        <v>0</v>
      </c>
      <c r="N231" s="197">
        <f t="shared" si="23"/>
        <v>0</v>
      </c>
      <c r="O231" s="197">
        <f t="shared" si="24"/>
        <v>0</v>
      </c>
      <c r="P231" s="197">
        <f t="shared" si="25"/>
        <v>0</v>
      </c>
      <c r="Q231" s="53" t="s">
        <v>318</v>
      </c>
      <c r="R231" s="201"/>
    </row>
    <row r="232" spans="1:18" x14ac:dyDescent="0.25">
      <c r="A232" s="209" t="str">
        <f t="shared" si="26"/>
        <v>324847</v>
      </c>
      <c r="B232" s="54" t="s">
        <v>318</v>
      </c>
      <c r="C232" s="53" t="s">
        <v>133</v>
      </c>
      <c r="D232" s="53" t="s">
        <v>348</v>
      </c>
      <c r="E232" s="53" t="s">
        <v>347</v>
      </c>
      <c r="F232" s="196">
        <v>390.1</v>
      </c>
      <c r="G232" s="207">
        <v>150645</v>
      </c>
      <c r="H232" s="207">
        <v>0</v>
      </c>
      <c r="I232" s="208">
        <v>0</v>
      </c>
      <c r="J232" s="207"/>
      <c r="K232" s="199">
        <f t="shared" si="27"/>
        <v>150645</v>
      </c>
      <c r="L232" s="197">
        <v>0</v>
      </c>
      <c r="M232" s="197">
        <v>0</v>
      </c>
      <c r="N232" s="197">
        <f t="shared" si="23"/>
        <v>0</v>
      </c>
      <c r="O232" s="197">
        <f t="shared" si="24"/>
        <v>0</v>
      </c>
      <c r="P232" s="197">
        <f t="shared" si="25"/>
        <v>0</v>
      </c>
      <c r="Q232" s="53" t="s">
        <v>318</v>
      </c>
      <c r="R232" s="201"/>
    </row>
    <row r="233" spans="1:18" x14ac:dyDescent="0.25">
      <c r="A233" s="209" t="str">
        <f t="shared" si="26"/>
        <v>324946</v>
      </c>
      <c r="B233" s="54" t="s">
        <v>318</v>
      </c>
      <c r="C233" s="53" t="s">
        <v>133</v>
      </c>
      <c r="D233" s="53" t="s">
        <v>346</v>
      </c>
      <c r="E233" s="53" t="s">
        <v>345</v>
      </c>
      <c r="F233" s="196">
        <v>397.1</v>
      </c>
      <c r="G233" s="207">
        <v>3741.15</v>
      </c>
      <c r="H233" s="207">
        <v>0</v>
      </c>
      <c r="I233" s="208">
        <v>0</v>
      </c>
      <c r="J233" s="207"/>
      <c r="K233" s="199">
        <f t="shared" si="27"/>
        <v>3741.15</v>
      </c>
      <c r="L233" s="197">
        <v>0</v>
      </c>
      <c r="M233" s="197">
        <v>0</v>
      </c>
      <c r="N233" s="197">
        <f t="shared" si="23"/>
        <v>0</v>
      </c>
      <c r="O233" s="197">
        <f t="shared" si="24"/>
        <v>0</v>
      </c>
      <c r="P233" s="197">
        <f t="shared" si="25"/>
        <v>0</v>
      </c>
      <c r="Q233" s="53" t="s">
        <v>318</v>
      </c>
      <c r="R233" s="201"/>
    </row>
    <row r="234" spans="1:18" x14ac:dyDescent="0.25">
      <c r="A234" s="209" t="str">
        <f t="shared" si="26"/>
        <v>324982</v>
      </c>
      <c r="B234" s="54" t="s">
        <v>318</v>
      </c>
      <c r="C234" s="53" t="s">
        <v>133</v>
      </c>
      <c r="D234" s="53" t="s">
        <v>344</v>
      </c>
      <c r="E234" s="53" t="s">
        <v>343</v>
      </c>
      <c r="F234" s="196">
        <v>391.3</v>
      </c>
      <c r="G234" s="207">
        <v>13227.237818814603</v>
      </c>
      <c r="H234" s="207">
        <v>0</v>
      </c>
      <c r="I234" s="208">
        <v>0</v>
      </c>
      <c r="J234" s="207"/>
      <c r="K234" s="199">
        <f t="shared" si="27"/>
        <v>13227.237818814603</v>
      </c>
      <c r="L234" s="197">
        <v>0</v>
      </c>
      <c r="M234" s="197">
        <v>0</v>
      </c>
      <c r="N234" s="197">
        <f t="shared" si="23"/>
        <v>0</v>
      </c>
      <c r="O234" s="197">
        <f t="shared" si="24"/>
        <v>0</v>
      </c>
      <c r="P234" s="197">
        <f t="shared" si="25"/>
        <v>0</v>
      </c>
      <c r="Q234" s="53" t="s">
        <v>318</v>
      </c>
      <c r="R234" s="201"/>
    </row>
    <row r="235" spans="1:18" x14ac:dyDescent="0.25">
      <c r="A235" s="209" t="str">
        <f t="shared" si="26"/>
        <v>325055</v>
      </c>
      <c r="B235" s="54" t="s">
        <v>318</v>
      </c>
      <c r="C235" s="53" t="s">
        <v>133</v>
      </c>
      <c r="D235" s="53" t="s">
        <v>342</v>
      </c>
      <c r="E235" s="53" t="s">
        <v>341</v>
      </c>
      <c r="F235" s="196">
        <v>390.1</v>
      </c>
      <c r="G235" s="207">
        <v>9404.2325370000017</v>
      </c>
      <c r="H235" s="207">
        <v>0</v>
      </c>
      <c r="I235" s="208">
        <v>0</v>
      </c>
      <c r="J235" s="207"/>
      <c r="K235" s="199">
        <f t="shared" si="27"/>
        <v>9404.2325370000017</v>
      </c>
      <c r="L235" s="197">
        <v>0</v>
      </c>
      <c r="M235" s="197">
        <v>0</v>
      </c>
      <c r="N235" s="197">
        <f t="shared" si="23"/>
        <v>0</v>
      </c>
      <c r="O235" s="197">
        <f t="shared" si="24"/>
        <v>0</v>
      </c>
      <c r="P235" s="197">
        <f t="shared" si="25"/>
        <v>0</v>
      </c>
      <c r="Q235" s="53" t="s">
        <v>318</v>
      </c>
      <c r="R235" s="201"/>
    </row>
    <row r="236" spans="1:18" x14ac:dyDescent="0.25">
      <c r="A236" s="209" t="str">
        <f t="shared" si="26"/>
        <v>325187</v>
      </c>
      <c r="B236" s="54" t="s">
        <v>318</v>
      </c>
      <c r="C236" s="53" t="s">
        <v>133</v>
      </c>
      <c r="D236" s="53" t="s">
        <v>340</v>
      </c>
      <c r="E236" s="53" t="s">
        <v>339</v>
      </c>
      <c r="F236" s="196">
        <v>376.1</v>
      </c>
      <c r="G236" s="207">
        <v>171343.33359999998</v>
      </c>
      <c r="H236" s="207">
        <v>0</v>
      </c>
      <c r="I236" s="208">
        <v>0</v>
      </c>
      <c r="J236" s="207"/>
      <c r="K236" s="199">
        <f t="shared" si="27"/>
        <v>171343.33359999998</v>
      </c>
      <c r="L236" s="197">
        <v>0</v>
      </c>
      <c r="M236" s="197">
        <v>0</v>
      </c>
      <c r="N236" s="197">
        <f t="shared" si="23"/>
        <v>0</v>
      </c>
      <c r="O236" s="197">
        <f t="shared" si="24"/>
        <v>0</v>
      </c>
      <c r="P236" s="197">
        <f t="shared" si="25"/>
        <v>0</v>
      </c>
      <c r="Q236" s="53" t="s">
        <v>318</v>
      </c>
      <c r="R236" s="201"/>
    </row>
    <row r="237" spans="1:18" x14ac:dyDescent="0.25">
      <c r="A237" s="209" t="str">
        <f t="shared" si="26"/>
        <v>325196</v>
      </c>
      <c r="B237" s="54" t="s">
        <v>318</v>
      </c>
      <c r="C237" s="53" t="s">
        <v>133</v>
      </c>
      <c r="D237" s="53" t="s">
        <v>338</v>
      </c>
      <c r="E237" s="53" t="s">
        <v>337</v>
      </c>
      <c r="F237" s="196">
        <v>376.1</v>
      </c>
      <c r="G237" s="207">
        <v>851809.52023000002</v>
      </c>
      <c r="H237" s="207">
        <v>0</v>
      </c>
      <c r="I237" s="208">
        <v>0</v>
      </c>
      <c r="J237" s="207"/>
      <c r="K237" s="199">
        <f t="shared" si="27"/>
        <v>851809.52023000002</v>
      </c>
      <c r="L237" s="197">
        <v>0</v>
      </c>
      <c r="M237" s="197">
        <v>0</v>
      </c>
      <c r="N237" s="197">
        <f t="shared" si="23"/>
        <v>0</v>
      </c>
      <c r="O237" s="197">
        <f t="shared" si="24"/>
        <v>0</v>
      </c>
      <c r="P237" s="197">
        <f t="shared" si="25"/>
        <v>0</v>
      </c>
      <c r="Q237" s="53" t="s">
        <v>318</v>
      </c>
      <c r="R237" s="201"/>
    </row>
    <row r="238" spans="1:18" x14ac:dyDescent="0.25">
      <c r="A238" s="209" t="str">
        <f t="shared" si="26"/>
        <v>325206</v>
      </c>
      <c r="B238" s="54" t="s">
        <v>318</v>
      </c>
      <c r="C238" s="53" t="s">
        <v>133</v>
      </c>
      <c r="D238" s="53" t="s">
        <v>336</v>
      </c>
      <c r="E238" s="53" t="s">
        <v>335</v>
      </c>
      <c r="F238" s="196">
        <v>376.1</v>
      </c>
      <c r="G238" s="207">
        <v>229130.5956</v>
      </c>
      <c r="H238" s="207">
        <v>0</v>
      </c>
      <c r="I238" s="208">
        <v>0</v>
      </c>
      <c r="J238" s="207"/>
      <c r="K238" s="199">
        <f t="shared" si="27"/>
        <v>229130.5956</v>
      </c>
      <c r="L238" s="197">
        <v>0</v>
      </c>
      <c r="M238" s="197">
        <v>0</v>
      </c>
      <c r="N238" s="197">
        <f t="shared" si="23"/>
        <v>0</v>
      </c>
      <c r="O238" s="197">
        <f t="shared" si="24"/>
        <v>0</v>
      </c>
      <c r="P238" s="197">
        <f t="shared" si="25"/>
        <v>0</v>
      </c>
      <c r="Q238" s="53" t="s">
        <v>318</v>
      </c>
      <c r="R238" s="201"/>
    </row>
    <row r="239" spans="1:18" x14ac:dyDescent="0.25">
      <c r="A239" s="209" t="str">
        <f t="shared" si="26"/>
        <v>325214</v>
      </c>
      <c r="B239" s="54" t="s">
        <v>318</v>
      </c>
      <c r="C239" s="53" t="s">
        <v>133</v>
      </c>
      <c r="D239" s="53" t="s">
        <v>334</v>
      </c>
      <c r="E239" s="53" t="s">
        <v>333</v>
      </c>
      <c r="F239" s="196">
        <v>394.1</v>
      </c>
      <c r="G239" s="207">
        <v>622666</v>
      </c>
      <c r="H239" s="207">
        <v>0</v>
      </c>
      <c r="I239" s="208">
        <v>0</v>
      </c>
      <c r="J239" s="207"/>
      <c r="K239" s="199">
        <f t="shared" si="27"/>
        <v>622666</v>
      </c>
      <c r="L239" s="197">
        <v>0</v>
      </c>
      <c r="M239" s="197">
        <v>0</v>
      </c>
      <c r="N239" s="197">
        <f t="shared" si="23"/>
        <v>0</v>
      </c>
      <c r="O239" s="197">
        <f t="shared" si="24"/>
        <v>0</v>
      </c>
      <c r="P239" s="197">
        <f t="shared" si="25"/>
        <v>0</v>
      </c>
      <c r="Q239" s="53" t="s">
        <v>318</v>
      </c>
      <c r="R239" s="201"/>
    </row>
    <row r="240" spans="1:18" x14ac:dyDescent="0.25">
      <c r="A240" s="209" t="str">
        <f t="shared" si="26"/>
        <v>321327</v>
      </c>
      <c r="B240" s="54" t="s">
        <v>318</v>
      </c>
      <c r="C240" s="53" t="s">
        <v>326</v>
      </c>
      <c r="D240" s="53" t="s">
        <v>332</v>
      </c>
      <c r="E240" s="53" t="s">
        <v>331</v>
      </c>
      <c r="F240" s="196">
        <v>303</v>
      </c>
      <c r="G240" s="207">
        <v>395808.65443899995</v>
      </c>
      <c r="H240" s="207">
        <v>0</v>
      </c>
      <c r="I240" s="208">
        <v>0</v>
      </c>
      <c r="J240" s="207"/>
      <c r="K240" s="199">
        <f t="shared" si="27"/>
        <v>395808.65443899995</v>
      </c>
      <c r="L240" s="197">
        <v>0</v>
      </c>
      <c r="M240" s="197">
        <v>0</v>
      </c>
      <c r="N240" s="197">
        <f t="shared" si="23"/>
        <v>0</v>
      </c>
      <c r="O240" s="197">
        <f t="shared" si="24"/>
        <v>0</v>
      </c>
      <c r="P240" s="197">
        <f t="shared" si="25"/>
        <v>0</v>
      </c>
      <c r="Q240" s="53" t="s">
        <v>318</v>
      </c>
      <c r="R240" s="201"/>
    </row>
    <row r="241" spans="1:18" x14ac:dyDescent="0.25">
      <c r="A241" s="209" t="str">
        <f t="shared" si="26"/>
        <v>321574</v>
      </c>
      <c r="B241" s="54" t="s">
        <v>318</v>
      </c>
      <c r="C241" s="53" t="s">
        <v>326</v>
      </c>
      <c r="D241" s="53" t="s">
        <v>330</v>
      </c>
      <c r="E241" s="53" t="s">
        <v>329</v>
      </c>
      <c r="F241" s="196">
        <v>303</v>
      </c>
      <c r="G241" s="207">
        <v>249076.76</v>
      </c>
      <c r="H241" s="207">
        <v>0</v>
      </c>
      <c r="I241" s="208">
        <v>0</v>
      </c>
      <c r="J241" s="207"/>
      <c r="K241" s="199">
        <f t="shared" si="27"/>
        <v>249076.76</v>
      </c>
      <c r="L241" s="197">
        <v>0</v>
      </c>
      <c r="M241" s="197">
        <v>0</v>
      </c>
      <c r="N241" s="197">
        <f t="shared" si="23"/>
        <v>0</v>
      </c>
      <c r="O241" s="197">
        <f t="shared" si="24"/>
        <v>0</v>
      </c>
      <c r="P241" s="197">
        <f t="shared" si="25"/>
        <v>0</v>
      </c>
      <c r="Q241" s="53" t="s">
        <v>318</v>
      </c>
      <c r="R241" s="201"/>
    </row>
    <row r="242" spans="1:18" x14ac:dyDescent="0.25">
      <c r="A242" s="209" t="str">
        <f t="shared" si="26"/>
        <v>322685</v>
      </c>
      <c r="B242" s="54" t="s">
        <v>318</v>
      </c>
      <c r="C242" s="53" t="s">
        <v>326</v>
      </c>
      <c r="D242" s="53" t="s">
        <v>328</v>
      </c>
      <c r="E242" s="53" t="s">
        <v>327</v>
      </c>
      <c r="F242" s="196">
        <v>303</v>
      </c>
      <c r="G242" s="207">
        <v>0</v>
      </c>
      <c r="H242" s="207">
        <v>870373.19</v>
      </c>
      <c r="I242" s="208">
        <v>0</v>
      </c>
      <c r="J242" s="207"/>
      <c r="K242" s="199">
        <f t="shared" si="27"/>
        <v>0</v>
      </c>
      <c r="L242" s="197">
        <v>870373.19</v>
      </c>
      <c r="M242" s="197">
        <v>0</v>
      </c>
      <c r="N242" s="197">
        <f t="shared" si="23"/>
        <v>0</v>
      </c>
      <c r="O242" s="197">
        <f t="shared" si="24"/>
        <v>0</v>
      </c>
      <c r="P242" s="197">
        <f t="shared" si="25"/>
        <v>0</v>
      </c>
      <c r="Q242" s="53" t="s">
        <v>318</v>
      </c>
      <c r="R242" s="201"/>
    </row>
    <row r="243" spans="1:18" x14ac:dyDescent="0.25">
      <c r="A243" s="209" t="str">
        <f t="shared" si="26"/>
        <v>324014</v>
      </c>
      <c r="B243" s="54" t="s">
        <v>318</v>
      </c>
      <c r="C243" s="53" t="s">
        <v>326</v>
      </c>
      <c r="D243" s="53" t="s">
        <v>325</v>
      </c>
      <c r="E243" s="53" t="s">
        <v>324</v>
      </c>
      <c r="F243" s="196">
        <v>303</v>
      </c>
      <c r="G243" s="207">
        <v>0</v>
      </c>
      <c r="H243" s="207">
        <v>24020.778488</v>
      </c>
      <c r="I243" s="208">
        <v>0</v>
      </c>
      <c r="J243" s="207"/>
      <c r="K243" s="199">
        <f t="shared" si="27"/>
        <v>0</v>
      </c>
      <c r="L243" s="197">
        <v>24020.778488</v>
      </c>
      <c r="M243" s="197">
        <v>0</v>
      </c>
      <c r="N243" s="197">
        <f t="shared" si="23"/>
        <v>0</v>
      </c>
      <c r="O243" s="197">
        <f t="shared" si="24"/>
        <v>0</v>
      </c>
      <c r="P243" s="197">
        <f t="shared" si="25"/>
        <v>0</v>
      </c>
      <c r="Q243" s="53" t="s">
        <v>318</v>
      </c>
      <c r="R243" s="201"/>
    </row>
    <row r="244" spans="1:18" x14ac:dyDescent="0.25">
      <c r="A244" s="209" t="str">
        <f t="shared" si="26"/>
        <v>200064</v>
      </c>
      <c r="B244" s="54" t="s">
        <v>318</v>
      </c>
      <c r="C244" s="53" t="s">
        <v>321</v>
      </c>
      <c r="D244" s="53" t="s">
        <v>323</v>
      </c>
      <c r="E244" s="53" t="s">
        <v>322</v>
      </c>
      <c r="F244" s="196">
        <v>303</v>
      </c>
      <c r="G244" s="207">
        <v>148544.66490900001</v>
      </c>
      <c r="H244" s="207">
        <v>185337.54541000002</v>
      </c>
      <c r="I244" s="208">
        <v>0</v>
      </c>
      <c r="J244" s="207"/>
      <c r="K244" s="199">
        <f t="shared" si="27"/>
        <v>148544.66490900001</v>
      </c>
      <c r="L244" s="197">
        <v>185337.54541000002</v>
      </c>
      <c r="M244" s="197">
        <v>0</v>
      </c>
      <c r="N244" s="197">
        <f t="shared" si="23"/>
        <v>0</v>
      </c>
      <c r="O244" s="197">
        <f t="shared" si="24"/>
        <v>0</v>
      </c>
      <c r="P244" s="197">
        <f t="shared" si="25"/>
        <v>0</v>
      </c>
      <c r="Q244" s="53" t="s">
        <v>318</v>
      </c>
      <c r="R244" s="201"/>
    </row>
    <row r="245" spans="1:18" x14ac:dyDescent="0.25">
      <c r="A245" s="209" t="str">
        <f t="shared" si="26"/>
        <v>322873</v>
      </c>
      <c r="B245" s="54" t="s">
        <v>318</v>
      </c>
      <c r="C245" s="53" t="s">
        <v>321</v>
      </c>
      <c r="D245" s="53" t="s">
        <v>320</v>
      </c>
      <c r="E245" s="53" t="s">
        <v>319</v>
      </c>
      <c r="F245" s="196">
        <v>303</v>
      </c>
      <c r="G245" s="207">
        <v>0</v>
      </c>
      <c r="H245" s="207">
        <v>267463.90770700003</v>
      </c>
      <c r="I245" s="208">
        <v>0</v>
      </c>
      <c r="J245" s="207"/>
      <c r="K245" s="199">
        <f t="shared" si="27"/>
        <v>0</v>
      </c>
      <c r="L245" s="197">
        <v>267463.90770700003</v>
      </c>
      <c r="M245" s="197">
        <v>0</v>
      </c>
      <c r="N245" s="197">
        <f t="shared" si="23"/>
        <v>0</v>
      </c>
      <c r="O245" s="197">
        <f t="shared" si="24"/>
        <v>0</v>
      </c>
      <c r="P245" s="197">
        <f t="shared" si="25"/>
        <v>0</v>
      </c>
      <c r="Q245" s="53" t="s">
        <v>318</v>
      </c>
      <c r="R245" s="201"/>
    </row>
    <row r="246" spans="1:18" x14ac:dyDescent="0.25">
      <c r="B246" s="206" t="s">
        <v>317</v>
      </c>
      <c r="C246" s="205"/>
      <c r="D246" s="205"/>
      <c r="E246" s="205"/>
      <c r="F246" s="204"/>
      <c r="G246" s="203">
        <f>SUBTOTAL(9,G247:G331)</f>
        <v>0</v>
      </c>
      <c r="H246" s="203">
        <f>SUBTOTAL(9,H247:H331)</f>
        <v>0</v>
      </c>
      <c r="I246" s="203">
        <f>SUBTOTAL(9,I247:I331)</f>
        <v>0</v>
      </c>
      <c r="J246" s="203"/>
      <c r="K246" s="203">
        <f t="shared" ref="K246:P246" si="28">SUBTOTAL(9,K247:K331)</f>
        <v>1176714.8699999999</v>
      </c>
      <c r="L246" s="203">
        <f t="shared" si="28"/>
        <v>0</v>
      </c>
      <c r="M246" s="203">
        <f t="shared" si="28"/>
        <v>0</v>
      </c>
      <c r="N246" s="203">
        <f t="shared" si="28"/>
        <v>1176714.8699999999</v>
      </c>
      <c r="O246" s="203">
        <f t="shared" si="28"/>
        <v>0</v>
      </c>
      <c r="P246" s="203">
        <f t="shared" si="28"/>
        <v>0</v>
      </c>
      <c r="Q246" s="202"/>
      <c r="R246" s="201"/>
    </row>
    <row r="247" spans="1:18" x14ac:dyDescent="0.25">
      <c r="A247" s="53">
        <v>1</v>
      </c>
      <c r="B247" s="196" t="s">
        <v>316</v>
      </c>
      <c r="C247" s="194" t="s">
        <v>196</v>
      </c>
      <c r="D247" s="194" t="s">
        <v>315</v>
      </c>
      <c r="E247" s="194" t="s">
        <v>314</v>
      </c>
      <c r="F247" s="200" t="s">
        <v>134</v>
      </c>
      <c r="G247" s="198">
        <v>0</v>
      </c>
      <c r="H247" s="198">
        <v>0</v>
      </c>
      <c r="K247" s="199">
        <v>-24677.119999999999</v>
      </c>
      <c r="L247" s="198">
        <v>0</v>
      </c>
      <c r="M247" s="198">
        <v>0</v>
      </c>
      <c r="N247" s="197">
        <f t="shared" ref="N247:N278" si="29">K247-G247</f>
        <v>-24677.119999999999</v>
      </c>
      <c r="O247" s="197">
        <f t="shared" ref="O247:O278" si="30">L247-H247</f>
        <v>0</v>
      </c>
      <c r="P247" s="197">
        <f t="shared" ref="P247:P278" si="31">M247-I247</f>
        <v>0</v>
      </c>
      <c r="R247" s="201"/>
    </row>
    <row r="248" spans="1:18" x14ac:dyDescent="0.25">
      <c r="A248" s="53">
        <f t="shared" ref="A248:A279" si="32">A247+1</f>
        <v>2</v>
      </c>
      <c r="B248" s="196" t="str">
        <f t="shared" ref="B248:B279" si="33">B247</f>
        <v>2023 Closed 2024</v>
      </c>
      <c r="C248" s="194" t="s">
        <v>196</v>
      </c>
      <c r="D248" s="194" t="s">
        <v>313</v>
      </c>
      <c r="E248" s="194" t="s">
        <v>312</v>
      </c>
      <c r="F248" s="200" t="s">
        <v>134</v>
      </c>
      <c r="G248" s="198">
        <v>0</v>
      </c>
      <c r="H248" s="198">
        <v>0</v>
      </c>
      <c r="K248" s="199">
        <v>3207.5600000000004</v>
      </c>
      <c r="L248" s="198">
        <v>0</v>
      </c>
      <c r="M248" s="198">
        <v>0</v>
      </c>
      <c r="N248" s="197">
        <f t="shared" si="29"/>
        <v>3207.5600000000004</v>
      </c>
      <c r="O248" s="197">
        <f t="shared" si="30"/>
        <v>0</v>
      </c>
      <c r="P248" s="197">
        <f t="shared" si="31"/>
        <v>0</v>
      </c>
      <c r="R248" s="201"/>
    </row>
    <row r="249" spans="1:18" x14ac:dyDescent="0.25">
      <c r="A249" s="53">
        <f t="shared" si="32"/>
        <v>3</v>
      </c>
      <c r="B249" s="196" t="str">
        <f t="shared" si="33"/>
        <v>2023 Closed 2024</v>
      </c>
      <c r="C249" s="194" t="s">
        <v>196</v>
      </c>
      <c r="D249" s="194" t="s">
        <v>311</v>
      </c>
      <c r="E249" s="194" t="s">
        <v>310</v>
      </c>
      <c r="F249" s="200" t="s">
        <v>134</v>
      </c>
      <c r="G249" s="198">
        <v>0</v>
      </c>
      <c r="H249" s="198">
        <v>0</v>
      </c>
      <c r="K249" s="199">
        <v>22281.93</v>
      </c>
      <c r="L249" s="198">
        <v>0</v>
      </c>
      <c r="M249" s="198">
        <v>0</v>
      </c>
      <c r="N249" s="197">
        <f t="shared" si="29"/>
        <v>22281.93</v>
      </c>
      <c r="O249" s="197">
        <f t="shared" si="30"/>
        <v>0</v>
      </c>
      <c r="P249" s="197">
        <f t="shared" si="31"/>
        <v>0</v>
      </c>
      <c r="R249" s="201"/>
    </row>
    <row r="250" spans="1:18" x14ac:dyDescent="0.25">
      <c r="A250" s="53">
        <f t="shared" si="32"/>
        <v>4</v>
      </c>
      <c r="B250" s="196" t="str">
        <f t="shared" si="33"/>
        <v>2023 Closed 2024</v>
      </c>
      <c r="C250" s="194" t="s">
        <v>196</v>
      </c>
      <c r="D250" s="194" t="s">
        <v>309</v>
      </c>
      <c r="E250" s="194" t="s">
        <v>308</v>
      </c>
      <c r="F250" s="200" t="s">
        <v>295</v>
      </c>
      <c r="G250" s="198">
        <v>0</v>
      </c>
      <c r="H250" s="198">
        <v>0</v>
      </c>
      <c r="K250" s="199">
        <v>25109.360000000001</v>
      </c>
      <c r="L250" s="198">
        <v>0</v>
      </c>
      <c r="M250" s="198">
        <v>0</v>
      </c>
      <c r="N250" s="197">
        <f t="shared" si="29"/>
        <v>25109.360000000001</v>
      </c>
      <c r="O250" s="197">
        <f t="shared" si="30"/>
        <v>0</v>
      </c>
      <c r="P250" s="197">
        <f t="shared" si="31"/>
        <v>0</v>
      </c>
      <c r="R250" s="201"/>
    </row>
    <row r="251" spans="1:18" x14ac:dyDescent="0.25">
      <c r="A251" s="53">
        <f t="shared" si="32"/>
        <v>5</v>
      </c>
      <c r="B251" s="196" t="str">
        <f t="shared" si="33"/>
        <v>2023 Closed 2024</v>
      </c>
      <c r="C251" s="194" t="s">
        <v>196</v>
      </c>
      <c r="D251" s="194" t="s">
        <v>307</v>
      </c>
      <c r="E251" s="194" t="s">
        <v>306</v>
      </c>
      <c r="F251" s="200" t="s">
        <v>134</v>
      </c>
      <c r="G251" s="198">
        <v>0</v>
      </c>
      <c r="H251" s="198">
        <v>0</v>
      </c>
      <c r="K251" s="199">
        <v>297108.61</v>
      </c>
      <c r="L251" s="198">
        <v>0</v>
      </c>
      <c r="M251" s="198">
        <v>0</v>
      </c>
      <c r="N251" s="197">
        <f t="shared" si="29"/>
        <v>297108.61</v>
      </c>
      <c r="O251" s="197">
        <f t="shared" si="30"/>
        <v>0</v>
      </c>
      <c r="P251" s="197">
        <f t="shared" si="31"/>
        <v>0</v>
      </c>
      <c r="R251" s="201"/>
    </row>
    <row r="252" spans="1:18" x14ac:dyDescent="0.25">
      <c r="A252" s="53">
        <f t="shared" si="32"/>
        <v>6</v>
      </c>
      <c r="B252" s="196" t="str">
        <f t="shared" si="33"/>
        <v>2023 Closed 2024</v>
      </c>
      <c r="C252" s="194" t="s">
        <v>196</v>
      </c>
      <c r="D252" s="194" t="s">
        <v>305</v>
      </c>
      <c r="E252" s="194" t="s">
        <v>304</v>
      </c>
      <c r="F252" s="200" t="s">
        <v>134</v>
      </c>
      <c r="G252" s="198">
        <v>0</v>
      </c>
      <c r="H252" s="198">
        <v>0</v>
      </c>
      <c r="K252" s="199">
        <v>102941.1</v>
      </c>
      <c r="L252" s="198">
        <v>0</v>
      </c>
      <c r="M252" s="198">
        <v>0</v>
      </c>
      <c r="N252" s="197">
        <f t="shared" si="29"/>
        <v>102941.1</v>
      </c>
      <c r="O252" s="197">
        <f t="shared" si="30"/>
        <v>0</v>
      </c>
      <c r="P252" s="197">
        <f t="shared" si="31"/>
        <v>0</v>
      </c>
      <c r="R252" s="201"/>
    </row>
    <row r="253" spans="1:18" x14ac:dyDescent="0.25">
      <c r="A253" s="53">
        <f t="shared" si="32"/>
        <v>7</v>
      </c>
      <c r="B253" s="196" t="str">
        <f t="shared" si="33"/>
        <v>2023 Closed 2024</v>
      </c>
      <c r="C253" s="194" t="s">
        <v>196</v>
      </c>
      <c r="D253" s="194" t="s">
        <v>303</v>
      </c>
      <c r="E253" s="194" t="s">
        <v>302</v>
      </c>
      <c r="F253" s="200" t="s">
        <v>193</v>
      </c>
      <c r="G253" s="198">
        <v>0</v>
      </c>
      <c r="H253" s="198">
        <v>0</v>
      </c>
      <c r="K253" s="199">
        <v>26244.81</v>
      </c>
      <c r="L253" s="198">
        <v>0</v>
      </c>
      <c r="M253" s="198">
        <v>0</v>
      </c>
      <c r="N253" s="197">
        <f t="shared" si="29"/>
        <v>26244.81</v>
      </c>
      <c r="O253" s="197">
        <f t="shared" si="30"/>
        <v>0</v>
      </c>
      <c r="P253" s="197">
        <f t="shared" si="31"/>
        <v>0</v>
      </c>
      <c r="R253" s="201"/>
    </row>
    <row r="254" spans="1:18" x14ac:dyDescent="0.25">
      <c r="A254" s="53">
        <f t="shared" si="32"/>
        <v>8</v>
      </c>
      <c r="B254" s="196" t="str">
        <f t="shared" si="33"/>
        <v>2023 Closed 2024</v>
      </c>
      <c r="C254" s="194" t="s">
        <v>196</v>
      </c>
      <c r="D254" s="194" t="s">
        <v>301</v>
      </c>
      <c r="E254" s="194" t="s">
        <v>300</v>
      </c>
      <c r="F254" s="200" t="s">
        <v>193</v>
      </c>
      <c r="G254" s="198">
        <v>0</v>
      </c>
      <c r="H254" s="198">
        <v>0</v>
      </c>
      <c r="K254" s="199">
        <v>3845.46</v>
      </c>
      <c r="L254" s="198">
        <v>0</v>
      </c>
      <c r="M254" s="198">
        <v>0</v>
      </c>
      <c r="N254" s="197">
        <f t="shared" si="29"/>
        <v>3845.46</v>
      </c>
      <c r="O254" s="197">
        <f t="shared" si="30"/>
        <v>0</v>
      </c>
      <c r="P254" s="197">
        <f t="shared" si="31"/>
        <v>0</v>
      </c>
      <c r="R254" s="201"/>
    </row>
    <row r="255" spans="1:18" x14ac:dyDescent="0.25">
      <c r="A255" s="53">
        <f t="shared" si="32"/>
        <v>9</v>
      </c>
      <c r="B255" s="196" t="str">
        <f t="shared" si="33"/>
        <v>2023 Closed 2024</v>
      </c>
      <c r="C255" s="194" t="s">
        <v>196</v>
      </c>
      <c r="D255" s="194" t="s">
        <v>299</v>
      </c>
      <c r="E255" s="194" t="s">
        <v>298</v>
      </c>
      <c r="F255" s="200" t="s">
        <v>134</v>
      </c>
      <c r="G255" s="198">
        <v>0</v>
      </c>
      <c r="H255" s="198">
        <v>0</v>
      </c>
      <c r="K255" s="199">
        <v>-63.6</v>
      </c>
      <c r="L255" s="198">
        <v>0</v>
      </c>
      <c r="M255" s="198">
        <v>0</v>
      </c>
      <c r="N255" s="197">
        <f t="shared" si="29"/>
        <v>-63.6</v>
      </c>
      <c r="O255" s="197">
        <f t="shared" si="30"/>
        <v>0</v>
      </c>
      <c r="P255" s="197">
        <f t="shared" si="31"/>
        <v>0</v>
      </c>
      <c r="R255" s="201"/>
    </row>
    <row r="256" spans="1:18" x14ac:dyDescent="0.25">
      <c r="A256" s="53">
        <f t="shared" si="32"/>
        <v>10</v>
      </c>
      <c r="B256" s="196" t="str">
        <f t="shared" si="33"/>
        <v>2023 Closed 2024</v>
      </c>
      <c r="C256" s="194" t="s">
        <v>196</v>
      </c>
      <c r="D256" s="194" t="s">
        <v>297</v>
      </c>
      <c r="E256" s="194" t="s">
        <v>296</v>
      </c>
      <c r="F256" s="200" t="s">
        <v>295</v>
      </c>
      <c r="G256" s="198">
        <v>0</v>
      </c>
      <c r="H256" s="198">
        <v>0</v>
      </c>
      <c r="K256" s="199">
        <v>-322.59000000000003</v>
      </c>
      <c r="L256" s="198">
        <v>0</v>
      </c>
      <c r="M256" s="198">
        <v>0</v>
      </c>
      <c r="N256" s="197">
        <f t="shared" si="29"/>
        <v>-322.59000000000003</v>
      </c>
      <c r="O256" s="197">
        <f t="shared" si="30"/>
        <v>0</v>
      </c>
      <c r="P256" s="197">
        <f t="shared" si="31"/>
        <v>0</v>
      </c>
      <c r="R256" s="201"/>
    </row>
    <row r="257" spans="1:18" x14ac:dyDescent="0.25">
      <c r="A257" s="53">
        <f t="shared" si="32"/>
        <v>11</v>
      </c>
      <c r="B257" s="196" t="str">
        <f t="shared" si="33"/>
        <v>2023 Closed 2024</v>
      </c>
      <c r="C257" s="194" t="s">
        <v>196</v>
      </c>
      <c r="D257" s="194" t="s">
        <v>294</v>
      </c>
      <c r="E257" s="194" t="s">
        <v>293</v>
      </c>
      <c r="F257" s="200" t="s">
        <v>292</v>
      </c>
      <c r="G257" s="198">
        <v>0</v>
      </c>
      <c r="H257" s="198">
        <v>0</v>
      </c>
      <c r="K257" s="199">
        <v>33118.42</v>
      </c>
      <c r="L257" s="198">
        <v>0</v>
      </c>
      <c r="M257" s="198">
        <v>0</v>
      </c>
      <c r="N257" s="197">
        <f t="shared" si="29"/>
        <v>33118.42</v>
      </c>
      <c r="O257" s="197">
        <f t="shared" si="30"/>
        <v>0</v>
      </c>
      <c r="P257" s="197">
        <f t="shared" si="31"/>
        <v>0</v>
      </c>
      <c r="R257" s="201"/>
    </row>
    <row r="258" spans="1:18" x14ac:dyDescent="0.25">
      <c r="A258" s="53">
        <f t="shared" si="32"/>
        <v>12</v>
      </c>
      <c r="B258" s="196" t="str">
        <f t="shared" si="33"/>
        <v>2023 Closed 2024</v>
      </c>
      <c r="C258" s="194" t="s">
        <v>196</v>
      </c>
      <c r="D258" s="194" t="s">
        <v>291</v>
      </c>
      <c r="E258" s="194" t="s">
        <v>290</v>
      </c>
      <c r="F258" s="200" t="s">
        <v>134</v>
      </c>
      <c r="G258" s="198">
        <v>0</v>
      </c>
      <c r="H258" s="198">
        <v>0</v>
      </c>
      <c r="K258" s="199">
        <v>175039.2</v>
      </c>
      <c r="L258" s="198">
        <v>0</v>
      </c>
      <c r="M258" s="198">
        <v>0</v>
      </c>
      <c r="N258" s="197">
        <f t="shared" si="29"/>
        <v>175039.2</v>
      </c>
      <c r="O258" s="197">
        <f t="shared" si="30"/>
        <v>0</v>
      </c>
      <c r="P258" s="197">
        <f t="shared" si="31"/>
        <v>0</v>
      </c>
      <c r="R258" s="201"/>
    </row>
    <row r="259" spans="1:18" x14ac:dyDescent="0.25">
      <c r="A259" s="53">
        <f t="shared" si="32"/>
        <v>13</v>
      </c>
      <c r="B259" s="196" t="str">
        <f t="shared" si="33"/>
        <v>2023 Closed 2024</v>
      </c>
      <c r="C259" s="194" t="s">
        <v>196</v>
      </c>
      <c r="D259" s="194" t="s">
        <v>289</v>
      </c>
      <c r="E259" s="194" t="s">
        <v>288</v>
      </c>
      <c r="F259" s="200" t="s">
        <v>202</v>
      </c>
      <c r="G259" s="198">
        <v>0</v>
      </c>
      <c r="H259" s="198">
        <v>0</v>
      </c>
      <c r="K259" s="199">
        <v>27618.03</v>
      </c>
      <c r="L259" s="198">
        <v>0</v>
      </c>
      <c r="M259" s="198">
        <v>0</v>
      </c>
      <c r="N259" s="197">
        <f t="shared" si="29"/>
        <v>27618.03</v>
      </c>
      <c r="O259" s="197">
        <f t="shared" si="30"/>
        <v>0</v>
      </c>
      <c r="P259" s="197">
        <f t="shared" si="31"/>
        <v>0</v>
      </c>
      <c r="R259" s="201"/>
    </row>
    <row r="260" spans="1:18" x14ac:dyDescent="0.25">
      <c r="A260" s="53">
        <f t="shared" si="32"/>
        <v>14</v>
      </c>
      <c r="B260" s="196" t="str">
        <f t="shared" si="33"/>
        <v>2023 Closed 2024</v>
      </c>
      <c r="C260" s="194" t="s">
        <v>196</v>
      </c>
      <c r="D260" s="194" t="s">
        <v>287</v>
      </c>
      <c r="E260" s="194" t="s">
        <v>286</v>
      </c>
      <c r="F260" s="200" t="s">
        <v>285</v>
      </c>
      <c r="G260" s="198">
        <v>0</v>
      </c>
      <c r="H260" s="198">
        <v>0</v>
      </c>
      <c r="K260" s="199">
        <v>115.01</v>
      </c>
      <c r="L260" s="198">
        <v>0</v>
      </c>
      <c r="M260" s="198">
        <v>0</v>
      </c>
      <c r="N260" s="197">
        <f t="shared" si="29"/>
        <v>115.01</v>
      </c>
      <c r="O260" s="197">
        <f t="shared" si="30"/>
        <v>0</v>
      </c>
      <c r="P260" s="197">
        <f t="shared" si="31"/>
        <v>0</v>
      </c>
      <c r="R260" s="201"/>
    </row>
    <row r="261" spans="1:18" x14ac:dyDescent="0.25">
      <c r="A261" s="53">
        <f t="shared" si="32"/>
        <v>15</v>
      </c>
      <c r="B261" s="196" t="str">
        <f t="shared" si="33"/>
        <v>2023 Closed 2024</v>
      </c>
      <c r="C261" s="194" t="s">
        <v>196</v>
      </c>
      <c r="D261" s="194" t="s">
        <v>284</v>
      </c>
      <c r="E261" s="194" t="s">
        <v>283</v>
      </c>
      <c r="F261" s="200" t="s">
        <v>193</v>
      </c>
      <c r="G261" s="198">
        <v>0</v>
      </c>
      <c r="H261" s="198">
        <v>0</v>
      </c>
      <c r="K261" s="199">
        <v>13898.34</v>
      </c>
      <c r="L261" s="198">
        <v>0</v>
      </c>
      <c r="M261" s="198">
        <v>0</v>
      </c>
      <c r="N261" s="197">
        <f t="shared" si="29"/>
        <v>13898.34</v>
      </c>
      <c r="O261" s="197">
        <f t="shared" si="30"/>
        <v>0</v>
      </c>
      <c r="P261" s="197">
        <f t="shared" si="31"/>
        <v>0</v>
      </c>
      <c r="R261" s="201"/>
    </row>
    <row r="262" spans="1:18" x14ac:dyDescent="0.25">
      <c r="A262" s="53">
        <f t="shared" si="32"/>
        <v>16</v>
      </c>
      <c r="B262" s="196" t="str">
        <f t="shared" si="33"/>
        <v>2023 Closed 2024</v>
      </c>
      <c r="C262" s="194" t="s">
        <v>196</v>
      </c>
      <c r="D262" s="194" t="s">
        <v>282</v>
      </c>
      <c r="E262" s="194" t="s">
        <v>281</v>
      </c>
      <c r="F262" s="200" t="s">
        <v>134</v>
      </c>
      <c r="G262" s="198">
        <v>0</v>
      </c>
      <c r="H262" s="198">
        <v>0</v>
      </c>
      <c r="K262" s="199">
        <v>61497.130000000005</v>
      </c>
      <c r="L262" s="198">
        <v>0</v>
      </c>
      <c r="M262" s="198">
        <v>0</v>
      </c>
      <c r="N262" s="197">
        <f t="shared" si="29"/>
        <v>61497.130000000005</v>
      </c>
      <c r="O262" s="197">
        <f t="shared" si="30"/>
        <v>0</v>
      </c>
      <c r="P262" s="197">
        <f t="shared" si="31"/>
        <v>0</v>
      </c>
      <c r="R262" s="201"/>
    </row>
    <row r="263" spans="1:18" x14ac:dyDescent="0.25">
      <c r="A263" s="53">
        <f t="shared" si="32"/>
        <v>17</v>
      </c>
      <c r="B263" s="196" t="str">
        <f t="shared" si="33"/>
        <v>2023 Closed 2024</v>
      </c>
      <c r="C263" s="194" t="s">
        <v>196</v>
      </c>
      <c r="D263" s="194" t="s">
        <v>280</v>
      </c>
      <c r="E263" s="194" t="s">
        <v>279</v>
      </c>
      <c r="F263" s="200" t="s">
        <v>134</v>
      </c>
      <c r="G263" s="198">
        <v>0</v>
      </c>
      <c r="H263" s="198">
        <v>0</v>
      </c>
      <c r="K263" s="199">
        <v>0</v>
      </c>
      <c r="L263" s="198">
        <v>0</v>
      </c>
      <c r="M263" s="198">
        <v>0</v>
      </c>
      <c r="N263" s="197">
        <f t="shared" si="29"/>
        <v>0</v>
      </c>
      <c r="O263" s="197">
        <f t="shared" si="30"/>
        <v>0</v>
      </c>
      <c r="P263" s="197">
        <f t="shared" si="31"/>
        <v>0</v>
      </c>
      <c r="R263" s="201"/>
    </row>
    <row r="264" spans="1:18" x14ac:dyDescent="0.25">
      <c r="A264" s="53">
        <f t="shared" si="32"/>
        <v>18</v>
      </c>
      <c r="B264" s="196" t="str">
        <f t="shared" si="33"/>
        <v>2023 Closed 2024</v>
      </c>
      <c r="C264" s="194" t="s">
        <v>196</v>
      </c>
      <c r="D264" s="194" t="s">
        <v>278</v>
      </c>
      <c r="E264" s="194" t="s">
        <v>277</v>
      </c>
      <c r="F264" s="200" t="s">
        <v>134</v>
      </c>
      <c r="G264" s="198">
        <v>0</v>
      </c>
      <c r="H264" s="198">
        <v>0</v>
      </c>
      <c r="K264" s="199">
        <v>-12835.909999999974</v>
      </c>
      <c r="L264" s="198">
        <v>0</v>
      </c>
      <c r="M264" s="198">
        <v>0</v>
      </c>
      <c r="N264" s="197">
        <f t="shared" si="29"/>
        <v>-12835.909999999974</v>
      </c>
      <c r="O264" s="197">
        <f t="shared" si="30"/>
        <v>0</v>
      </c>
      <c r="P264" s="197">
        <f t="shared" si="31"/>
        <v>0</v>
      </c>
      <c r="R264" s="201"/>
    </row>
    <row r="265" spans="1:18" x14ac:dyDescent="0.25">
      <c r="A265" s="53">
        <f t="shared" si="32"/>
        <v>19</v>
      </c>
      <c r="B265" s="196" t="str">
        <f t="shared" si="33"/>
        <v>2023 Closed 2024</v>
      </c>
      <c r="C265" s="194" t="s">
        <v>133</v>
      </c>
      <c r="D265" s="194" t="s">
        <v>276</v>
      </c>
      <c r="E265" s="194" t="s">
        <v>275</v>
      </c>
      <c r="F265" s="200" t="s">
        <v>130</v>
      </c>
      <c r="G265" s="198">
        <v>0</v>
      </c>
      <c r="H265" s="198">
        <v>0</v>
      </c>
      <c r="K265" s="199">
        <v>0</v>
      </c>
      <c r="L265" s="198">
        <v>0</v>
      </c>
      <c r="M265" s="198">
        <v>0</v>
      </c>
      <c r="N265" s="197">
        <f t="shared" si="29"/>
        <v>0</v>
      </c>
      <c r="O265" s="197">
        <f t="shared" si="30"/>
        <v>0</v>
      </c>
      <c r="P265" s="197">
        <f t="shared" si="31"/>
        <v>0</v>
      </c>
      <c r="R265" s="201"/>
    </row>
    <row r="266" spans="1:18" x14ac:dyDescent="0.25">
      <c r="A266" s="53">
        <f t="shared" si="32"/>
        <v>20</v>
      </c>
      <c r="B266" s="196" t="str">
        <f t="shared" si="33"/>
        <v>2023 Closed 2024</v>
      </c>
      <c r="C266" s="194" t="s">
        <v>210</v>
      </c>
      <c r="D266" s="194" t="s">
        <v>274</v>
      </c>
      <c r="E266" s="194" t="s">
        <v>273</v>
      </c>
      <c r="F266" s="200" t="s">
        <v>169</v>
      </c>
      <c r="G266" s="198">
        <v>0</v>
      </c>
      <c r="H266" s="198">
        <v>0</v>
      </c>
      <c r="K266" s="199">
        <v>49077.560000000005</v>
      </c>
      <c r="L266" s="198">
        <v>0</v>
      </c>
      <c r="M266" s="198">
        <v>0</v>
      </c>
      <c r="N266" s="197">
        <f t="shared" si="29"/>
        <v>49077.560000000005</v>
      </c>
      <c r="O266" s="197">
        <f t="shared" si="30"/>
        <v>0</v>
      </c>
      <c r="P266" s="197">
        <f t="shared" si="31"/>
        <v>0</v>
      </c>
      <c r="R266" s="201"/>
    </row>
    <row r="267" spans="1:18" x14ac:dyDescent="0.25">
      <c r="A267" s="53">
        <f t="shared" si="32"/>
        <v>21</v>
      </c>
      <c r="B267" s="196" t="str">
        <f t="shared" si="33"/>
        <v>2023 Closed 2024</v>
      </c>
      <c r="C267" s="194" t="s">
        <v>196</v>
      </c>
      <c r="D267" s="194" t="s">
        <v>272</v>
      </c>
      <c r="E267" s="194" t="s">
        <v>271</v>
      </c>
      <c r="F267" s="200" t="s">
        <v>134</v>
      </c>
      <c r="G267" s="198">
        <v>0</v>
      </c>
      <c r="H267" s="198">
        <v>0</v>
      </c>
      <c r="K267" s="199">
        <v>-277894.65000000002</v>
      </c>
      <c r="L267" s="198">
        <v>0</v>
      </c>
      <c r="M267" s="198">
        <v>0</v>
      </c>
      <c r="N267" s="197">
        <f t="shared" si="29"/>
        <v>-277894.65000000002</v>
      </c>
      <c r="O267" s="197">
        <f t="shared" si="30"/>
        <v>0</v>
      </c>
      <c r="P267" s="197">
        <f t="shared" si="31"/>
        <v>0</v>
      </c>
      <c r="R267" s="201"/>
    </row>
    <row r="268" spans="1:18" x14ac:dyDescent="0.25">
      <c r="A268" s="53">
        <f t="shared" si="32"/>
        <v>22</v>
      </c>
      <c r="B268" s="196" t="str">
        <f t="shared" si="33"/>
        <v>2023 Closed 2024</v>
      </c>
      <c r="C268" s="194" t="s">
        <v>133</v>
      </c>
      <c r="D268" s="194" t="s">
        <v>270</v>
      </c>
      <c r="E268" s="194" t="s">
        <v>269</v>
      </c>
      <c r="F268" s="200" t="s">
        <v>134</v>
      </c>
      <c r="G268" s="198">
        <v>0</v>
      </c>
      <c r="H268" s="198">
        <v>0</v>
      </c>
      <c r="K268" s="199">
        <v>133.69</v>
      </c>
      <c r="L268" s="198">
        <v>0</v>
      </c>
      <c r="M268" s="198">
        <v>0</v>
      </c>
      <c r="N268" s="197">
        <f t="shared" si="29"/>
        <v>133.69</v>
      </c>
      <c r="O268" s="197">
        <f t="shared" si="30"/>
        <v>0</v>
      </c>
      <c r="P268" s="197">
        <f t="shared" si="31"/>
        <v>0</v>
      </c>
      <c r="R268" s="201"/>
    </row>
    <row r="269" spans="1:18" x14ac:dyDescent="0.25">
      <c r="A269" s="53">
        <f t="shared" si="32"/>
        <v>23</v>
      </c>
      <c r="B269" s="196" t="str">
        <f t="shared" si="33"/>
        <v>2023 Closed 2024</v>
      </c>
      <c r="C269" s="194" t="s">
        <v>196</v>
      </c>
      <c r="D269" s="194" t="s">
        <v>268</v>
      </c>
      <c r="E269" s="194" t="s">
        <v>267</v>
      </c>
      <c r="F269" s="200" t="s">
        <v>134</v>
      </c>
      <c r="G269" s="198">
        <v>0</v>
      </c>
      <c r="H269" s="198">
        <v>0</v>
      </c>
      <c r="K269" s="199">
        <v>49.230000000000004</v>
      </c>
      <c r="L269" s="198">
        <v>0</v>
      </c>
      <c r="M269" s="198">
        <v>0</v>
      </c>
      <c r="N269" s="197">
        <f t="shared" si="29"/>
        <v>49.230000000000004</v>
      </c>
      <c r="O269" s="197">
        <f t="shared" si="30"/>
        <v>0</v>
      </c>
      <c r="P269" s="197">
        <f t="shared" si="31"/>
        <v>0</v>
      </c>
    </row>
    <row r="270" spans="1:18" x14ac:dyDescent="0.25">
      <c r="A270" s="53">
        <f t="shared" si="32"/>
        <v>24</v>
      </c>
      <c r="B270" s="196" t="str">
        <f t="shared" si="33"/>
        <v>2023 Closed 2024</v>
      </c>
      <c r="C270" s="194" t="s">
        <v>133</v>
      </c>
      <c r="D270" s="194" t="s">
        <v>266</v>
      </c>
      <c r="E270" s="194" t="s">
        <v>265</v>
      </c>
      <c r="F270" s="200" t="s">
        <v>134</v>
      </c>
      <c r="G270" s="198">
        <v>0</v>
      </c>
      <c r="H270" s="198">
        <v>0</v>
      </c>
      <c r="K270" s="199">
        <v>612.91</v>
      </c>
      <c r="L270" s="198">
        <v>0</v>
      </c>
      <c r="M270" s="198">
        <v>0</v>
      </c>
      <c r="N270" s="197">
        <f t="shared" si="29"/>
        <v>612.91</v>
      </c>
      <c r="O270" s="197">
        <f t="shared" si="30"/>
        <v>0</v>
      </c>
      <c r="P270" s="197">
        <f t="shared" si="31"/>
        <v>0</v>
      </c>
    </row>
    <row r="271" spans="1:18" x14ac:dyDescent="0.25">
      <c r="A271" s="53">
        <f t="shared" si="32"/>
        <v>25</v>
      </c>
      <c r="B271" s="196" t="str">
        <f t="shared" si="33"/>
        <v>2023 Closed 2024</v>
      </c>
      <c r="C271" s="194" t="s">
        <v>196</v>
      </c>
      <c r="D271" s="194" t="s">
        <v>264</v>
      </c>
      <c r="E271" s="194" t="s">
        <v>263</v>
      </c>
      <c r="F271" s="200" t="s">
        <v>193</v>
      </c>
      <c r="G271" s="198">
        <v>0</v>
      </c>
      <c r="H271" s="198">
        <v>0</v>
      </c>
      <c r="K271" s="199">
        <v>19701.02</v>
      </c>
      <c r="L271" s="198">
        <v>0</v>
      </c>
      <c r="M271" s="198">
        <v>0</v>
      </c>
      <c r="N271" s="197">
        <f t="shared" si="29"/>
        <v>19701.02</v>
      </c>
      <c r="O271" s="197">
        <f t="shared" si="30"/>
        <v>0</v>
      </c>
      <c r="P271" s="197">
        <f t="shared" si="31"/>
        <v>0</v>
      </c>
    </row>
    <row r="272" spans="1:18" x14ac:dyDescent="0.25">
      <c r="A272" s="53">
        <f t="shared" si="32"/>
        <v>26</v>
      </c>
      <c r="B272" s="196" t="str">
        <f t="shared" si="33"/>
        <v>2023 Closed 2024</v>
      </c>
      <c r="C272" s="194" t="s">
        <v>247</v>
      </c>
      <c r="D272" s="194" t="s">
        <v>262</v>
      </c>
      <c r="E272" s="194" t="s">
        <v>261</v>
      </c>
      <c r="F272" s="200" t="s">
        <v>130</v>
      </c>
      <c r="G272" s="198">
        <v>0</v>
      </c>
      <c r="H272" s="198">
        <v>0</v>
      </c>
      <c r="K272" s="199">
        <v>0</v>
      </c>
      <c r="L272" s="198">
        <v>0</v>
      </c>
      <c r="M272" s="198">
        <v>0</v>
      </c>
      <c r="N272" s="197">
        <f t="shared" si="29"/>
        <v>0</v>
      </c>
      <c r="O272" s="197">
        <f t="shared" si="30"/>
        <v>0</v>
      </c>
      <c r="P272" s="197">
        <f t="shared" si="31"/>
        <v>0</v>
      </c>
    </row>
    <row r="273" spans="1:16" x14ac:dyDescent="0.25">
      <c r="A273" s="53">
        <f t="shared" si="32"/>
        <v>27</v>
      </c>
      <c r="B273" s="196" t="str">
        <f t="shared" si="33"/>
        <v>2023 Closed 2024</v>
      </c>
      <c r="C273" s="194" t="s">
        <v>133</v>
      </c>
      <c r="D273" s="194" t="s">
        <v>260</v>
      </c>
      <c r="E273" s="194" t="s">
        <v>259</v>
      </c>
      <c r="F273" s="200" t="s">
        <v>258</v>
      </c>
      <c r="G273" s="198">
        <v>0</v>
      </c>
      <c r="H273" s="198">
        <v>0</v>
      </c>
      <c r="K273" s="199">
        <v>0</v>
      </c>
      <c r="L273" s="198">
        <v>0</v>
      </c>
      <c r="M273" s="198">
        <v>0</v>
      </c>
      <c r="N273" s="197">
        <f t="shared" si="29"/>
        <v>0</v>
      </c>
      <c r="O273" s="197">
        <f t="shared" si="30"/>
        <v>0</v>
      </c>
      <c r="P273" s="197">
        <f t="shared" si="31"/>
        <v>0</v>
      </c>
    </row>
    <row r="274" spans="1:16" x14ac:dyDescent="0.25">
      <c r="A274" s="53">
        <f t="shared" si="32"/>
        <v>28</v>
      </c>
      <c r="B274" s="196" t="str">
        <f t="shared" si="33"/>
        <v>2023 Closed 2024</v>
      </c>
      <c r="C274" s="194" t="s">
        <v>133</v>
      </c>
      <c r="D274" s="194" t="s">
        <v>257</v>
      </c>
      <c r="E274" s="194" t="s">
        <v>256</v>
      </c>
      <c r="F274" s="200" t="s">
        <v>130</v>
      </c>
      <c r="G274" s="198">
        <v>0</v>
      </c>
      <c r="H274" s="198">
        <v>0</v>
      </c>
      <c r="K274" s="199">
        <v>76.239999999999995</v>
      </c>
      <c r="L274" s="198">
        <v>0</v>
      </c>
      <c r="M274" s="198">
        <v>0</v>
      </c>
      <c r="N274" s="197">
        <f t="shared" si="29"/>
        <v>76.239999999999995</v>
      </c>
      <c r="O274" s="197">
        <f t="shared" si="30"/>
        <v>0</v>
      </c>
      <c r="P274" s="197">
        <f t="shared" si="31"/>
        <v>0</v>
      </c>
    </row>
    <row r="275" spans="1:16" x14ac:dyDescent="0.25">
      <c r="A275" s="53">
        <f t="shared" si="32"/>
        <v>29</v>
      </c>
      <c r="B275" s="196" t="str">
        <f t="shared" si="33"/>
        <v>2023 Closed 2024</v>
      </c>
      <c r="C275" s="194" t="s">
        <v>196</v>
      </c>
      <c r="D275" s="194" t="s">
        <v>255</v>
      </c>
      <c r="E275" s="194" t="s">
        <v>254</v>
      </c>
      <c r="F275" s="200" t="s">
        <v>134</v>
      </c>
      <c r="G275" s="198">
        <v>0</v>
      </c>
      <c r="H275" s="198">
        <v>0</v>
      </c>
      <c r="K275" s="199">
        <v>558.35</v>
      </c>
      <c r="L275" s="198">
        <v>0</v>
      </c>
      <c r="M275" s="198">
        <v>0</v>
      </c>
      <c r="N275" s="197">
        <f t="shared" si="29"/>
        <v>558.35</v>
      </c>
      <c r="O275" s="197">
        <f t="shared" si="30"/>
        <v>0</v>
      </c>
      <c r="P275" s="197">
        <f t="shared" si="31"/>
        <v>0</v>
      </c>
    </row>
    <row r="276" spans="1:16" x14ac:dyDescent="0.25">
      <c r="A276" s="53">
        <f t="shared" si="32"/>
        <v>30</v>
      </c>
      <c r="B276" s="196" t="str">
        <f t="shared" si="33"/>
        <v>2023 Closed 2024</v>
      </c>
      <c r="C276" s="194" t="s">
        <v>196</v>
      </c>
      <c r="D276" s="194" t="s">
        <v>253</v>
      </c>
      <c r="E276" s="194" t="s">
        <v>252</v>
      </c>
      <c r="F276" s="200" t="s">
        <v>202</v>
      </c>
      <c r="G276" s="198">
        <v>0</v>
      </c>
      <c r="H276" s="198">
        <v>0</v>
      </c>
      <c r="K276" s="199">
        <v>0</v>
      </c>
      <c r="L276" s="198">
        <v>0</v>
      </c>
      <c r="M276" s="198">
        <v>0</v>
      </c>
      <c r="N276" s="197">
        <f t="shared" si="29"/>
        <v>0</v>
      </c>
      <c r="O276" s="197">
        <f t="shared" si="30"/>
        <v>0</v>
      </c>
      <c r="P276" s="197">
        <f t="shared" si="31"/>
        <v>0</v>
      </c>
    </row>
    <row r="277" spans="1:16" x14ac:dyDescent="0.25">
      <c r="A277" s="53">
        <f t="shared" si="32"/>
        <v>31</v>
      </c>
      <c r="B277" s="196" t="str">
        <f t="shared" si="33"/>
        <v>2023 Closed 2024</v>
      </c>
      <c r="C277" s="194" t="s">
        <v>196</v>
      </c>
      <c r="D277" s="194" t="s">
        <v>251</v>
      </c>
      <c r="E277" s="194" t="s">
        <v>250</v>
      </c>
      <c r="F277" s="200" t="s">
        <v>130</v>
      </c>
      <c r="G277" s="198">
        <v>0</v>
      </c>
      <c r="H277" s="198">
        <v>0</v>
      </c>
      <c r="K277" s="199">
        <v>0</v>
      </c>
      <c r="L277" s="198">
        <v>0</v>
      </c>
      <c r="M277" s="198">
        <v>0</v>
      </c>
      <c r="N277" s="197">
        <f t="shared" si="29"/>
        <v>0</v>
      </c>
      <c r="O277" s="197">
        <f t="shared" si="30"/>
        <v>0</v>
      </c>
      <c r="P277" s="197">
        <f t="shared" si="31"/>
        <v>0</v>
      </c>
    </row>
    <row r="278" spans="1:16" x14ac:dyDescent="0.25">
      <c r="A278" s="53">
        <f t="shared" si="32"/>
        <v>32</v>
      </c>
      <c r="B278" s="196" t="str">
        <f t="shared" si="33"/>
        <v>2023 Closed 2024</v>
      </c>
      <c r="C278" s="194" t="s">
        <v>196</v>
      </c>
      <c r="D278" s="194" t="s">
        <v>249</v>
      </c>
      <c r="E278" s="194" t="s">
        <v>248</v>
      </c>
      <c r="F278" s="200" t="s">
        <v>130</v>
      </c>
      <c r="G278" s="198">
        <v>0</v>
      </c>
      <c r="H278" s="198">
        <v>0</v>
      </c>
      <c r="K278" s="199">
        <v>0</v>
      </c>
      <c r="L278" s="198">
        <v>0</v>
      </c>
      <c r="M278" s="198">
        <v>0</v>
      </c>
      <c r="N278" s="197">
        <f t="shared" si="29"/>
        <v>0</v>
      </c>
      <c r="O278" s="197">
        <f t="shared" si="30"/>
        <v>0</v>
      </c>
      <c r="P278" s="197">
        <f t="shared" si="31"/>
        <v>0</v>
      </c>
    </row>
    <row r="279" spans="1:16" x14ac:dyDescent="0.25">
      <c r="A279" s="53">
        <f t="shared" si="32"/>
        <v>33</v>
      </c>
      <c r="B279" s="196" t="str">
        <f t="shared" si="33"/>
        <v>2023 Closed 2024</v>
      </c>
      <c r="C279" s="194" t="s">
        <v>247</v>
      </c>
      <c r="D279" s="194" t="s">
        <v>246</v>
      </c>
      <c r="E279" s="194" t="s">
        <v>245</v>
      </c>
      <c r="F279" s="200" t="s">
        <v>207</v>
      </c>
      <c r="G279" s="198">
        <v>0</v>
      </c>
      <c r="H279" s="198">
        <v>0</v>
      </c>
      <c r="K279" s="199">
        <v>4435.8599999999997</v>
      </c>
      <c r="L279" s="198">
        <v>0</v>
      </c>
      <c r="M279" s="198">
        <v>0</v>
      </c>
      <c r="N279" s="197">
        <f t="shared" ref="N279:N310" si="34">K279-G279</f>
        <v>4435.8599999999997</v>
      </c>
      <c r="O279" s="197">
        <f t="shared" ref="O279:O310" si="35">L279-H279</f>
        <v>0</v>
      </c>
      <c r="P279" s="197">
        <f t="shared" ref="P279:P310" si="36">M279-I279</f>
        <v>0</v>
      </c>
    </row>
    <row r="280" spans="1:16" x14ac:dyDescent="0.25">
      <c r="A280" s="53">
        <f t="shared" ref="A280:A311" si="37">A279+1</f>
        <v>34</v>
      </c>
      <c r="B280" s="196" t="str">
        <f t="shared" ref="B280:B311" si="38">B279</f>
        <v>2023 Closed 2024</v>
      </c>
      <c r="C280" s="194" t="s">
        <v>196</v>
      </c>
      <c r="D280" s="194" t="s">
        <v>244</v>
      </c>
      <c r="E280" s="194" t="s">
        <v>243</v>
      </c>
      <c r="F280" s="200" t="s">
        <v>134</v>
      </c>
      <c r="G280" s="198">
        <v>0</v>
      </c>
      <c r="H280" s="198">
        <v>0</v>
      </c>
      <c r="K280" s="199">
        <v>4635.67</v>
      </c>
      <c r="L280" s="198">
        <v>0</v>
      </c>
      <c r="M280" s="198">
        <v>0</v>
      </c>
      <c r="N280" s="197">
        <f t="shared" si="34"/>
        <v>4635.67</v>
      </c>
      <c r="O280" s="197">
        <f t="shared" si="35"/>
        <v>0</v>
      </c>
      <c r="P280" s="197">
        <f t="shared" si="36"/>
        <v>0</v>
      </c>
    </row>
    <row r="281" spans="1:16" x14ac:dyDescent="0.25">
      <c r="A281" s="53">
        <f t="shared" si="37"/>
        <v>35</v>
      </c>
      <c r="B281" s="196" t="str">
        <f t="shared" si="38"/>
        <v>2023 Closed 2024</v>
      </c>
      <c r="C281" s="194" t="s">
        <v>133</v>
      </c>
      <c r="D281" s="194" t="s">
        <v>242</v>
      </c>
      <c r="E281" s="194" t="s">
        <v>241</v>
      </c>
      <c r="F281" s="200" t="s">
        <v>130</v>
      </c>
      <c r="G281" s="198">
        <v>0</v>
      </c>
      <c r="H281" s="198">
        <v>0</v>
      </c>
      <c r="K281" s="199">
        <v>0</v>
      </c>
      <c r="L281" s="198">
        <v>0</v>
      </c>
      <c r="M281" s="198">
        <v>0</v>
      </c>
      <c r="N281" s="197">
        <f t="shared" si="34"/>
        <v>0</v>
      </c>
      <c r="O281" s="197">
        <f t="shared" si="35"/>
        <v>0</v>
      </c>
      <c r="P281" s="197">
        <f t="shared" si="36"/>
        <v>0</v>
      </c>
    </row>
    <row r="282" spans="1:16" x14ac:dyDescent="0.25">
      <c r="A282" s="53">
        <f t="shared" si="37"/>
        <v>36</v>
      </c>
      <c r="B282" s="196" t="str">
        <f t="shared" si="38"/>
        <v>2023 Closed 2024</v>
      </c>
      <c r="C282" s="194" t="s">
        <v>196</v>
      </c>
      <c r="D282" s="194" t="s">
        <v>240</v>
      </c>
      <c r="E282" s="194" t="s">
        <v>239</v>
      </c>
      <c r="F282" s="200" t="s">
        <v>134</v>
      </c>
      <c r="G282" s="198">
        <v>0</v>
      </c>
      <c r="H282" s="198">
        <v>0</v>
      </c>
      <c r="K282" s="199">
        <v>0</v>
      </c>
      <c r="L282" s="198">
        <v>0</v>
      </c>
      <c r="M282" s="198">
        <v>0</v>
      </c>
      <c r="N282" s="197">
        <f t="shared" si="34"/>
        <v>0</v>
      </c>
      <c r="O282" s="197">
        <f t="shared" si="35"/>
        <v>0</v>
      </c>
      <c r="P282" s="197">
        <f t="shared" si="36"/>
        <v>0</v>
      </c>
    </row>
    <row r="283" spans="1:16" x14ac:dyDescent="0.25">
      <c r="A283" s="53">
        <f t="shared" si="37"/>
        <v>37</v>
      </c>
      <c r="B283" s="196" t="str">
        <f t="shared" si="38"/>
        <v>2023 Closed 2024</v>
      </c>
      <c r="C283" s="194" t="s">
        <v>196</v>
      </c>
      <c r="D283" s="194" t="s">
        <v>238</v>
      </c>
      <c r="E283" s="194" t="s">
        <v>237</v>
      </c>
      <c r="F283" s="200" t="s">
        <v>134</v>
      </c>
      <c r="G283" s="198">
        <v>0</v>
      </c>
      <c r="H283" s="198">
        <v>0</v>
      </c>
      <c r="K283" s="199">
        <v>0</v>
      </c>
      <c r="L283" s="198">
        <v>0</v>
      </c>
      <c r="M283" s="198">
        <v>0</v>
      </c>
      <c r="N283" s="197">
        <f t="shared" si="34"/>
        <v>0</v>
      </c>
      <c r="O283" s="197">
        <f t="shared" si="35"/>
        <v>0</v>
      </c>
      <c r="P283" s="197">
        <f t="shared" si="36"/>
        <v>0</v>
      </c>
    </row>
    <row r="284" spans="1:16" x14ac:dyDescent="0.25">
      <c r="A284" s="53">
        <f t="shared" si="37"/>
        <v>38</v>
      </c>
      <c r="B284" s="196" t="str">
        <f t="shared" si="38"/>
        <v>2023 Closed 2024</v>
      </c>
      <c r="C284" s="194" t="s">
        <v>196</v>
      </c>
      <c r="D284" s="194" t="s">
        <v>236</v>
      </c>
      <c r="E284" s="194" t="s">
        <v>235</v>
      </c>
      <c r="F284" s="200" t="s">
        <v>134</v>
      </c>
      <c r="G284" s="198">
        <v>0</v>
      </c>
      <c r="H284" s="198">
        <v>0</v>
      </c>
      <c r="K284" s="199">
        <v>0</v>
      </c>
      <c r="L284" s="198">
        <v>0</v>
      </c>
      <c r="M284" s="198">
        <v>0</v>
      </c>
      <c r="N284" s="197">
        <f t="shared" si="34"/>
        <v>0</v>
      </c>
      <c r="O284" s="197">
        <f t="shared" si="35"/>
        <v>0</v>
      </c>
      <c r="P284" s="197">
        <f t="shared" si="36"/>
        <v>0</v>
      </c>
    </row>
    <row r="285" spans="1:16" x14ac:dyDescent="0.25">
      <c r="A285" s="53">
        <f t="shared" si="37"/>
        <v>39</v>
      </c>
      <c r="B285" s="196" t="str">
        <f t="shared" si="38"/>
        <v>2023 Closed 2024</v>
      </c>
      <c r="C285" s="194" t="s">
        <v>196</v>
      </c>
      <c r="D285" s="194" t="s">
        <v>234</v>
      </c>
      <c r="E285" s="194" t="s">
        <v>233</v>
      </c>
      <c r="F285" s="200" t="s">
        <v>134</v>
      </c>
      <c r="G285" s="198">
        <v>0</v>
      </c>
      <c r="H285" s="198">
        <v>0</v>
      </c>
      <c r="K285" s="199">
        <v>0</v>
      </c>
      <c r="L285" s="198">
        <v>0</v>
      </c>
      <c r="M285" s="198">
        <v>0</v>
      </c>
      <c r="N285" s="197">
        <f t="shared" si="34"/>
        <v>0</v>
      </c>
      <c r="O285" s="197">
        <f t="shared" si="35"/>
        <v>0</v>
      </c>
      <c r="P285" s="197">
        <f t="shared" si="36"/>
        <v>0</v>
      </c>
    </row>
    <row r="286" spans="1:16" x14ac:dyDescent="0.25">
      <c r="A286" s="53">
        <f t="shared" si="37"/>
        <v>40</v>
      </c>
      <c r="B286" s="196" t="str">
        <f t="shared" si="38"/>
        <v>2023 Closed 2024</v>
      </c>
      <c r="C286" s="194" t="s">
        <v>196</v>
      </c>
      <c r="D286" s="194" t="s">
        <v>232</v>
      </c>
      <c r="E286" s="194" t="s">
        <v>231</v>
      </c>
      <c r="F286" s="200" t="s">
        <v>202</v>
      </c>
      <c r="G286" s="198">
        <v>0</v>
      </c>
      <c r="H286" s="198">
        <v>0</v>
      </c>
      <c r="K286" s="199">
        <v>-581.06000000000006</v>
      </c>
      <c r="L286" s="198">
        <v>0</v>
      </c>
      <c r="M286" s="198">
        <v>0</v>
      </c>
      <c r="N286" s="197">
        <f t="shared" si="34"/>
        <v>-581.06000000000006</v>
      </c>
      <c r="O286" s="197">
        <f t="shared" si="35"/>
        <v>0</v>
      </c>
      <c r="P286" s="197">
        <f t="shared" si="36"/>
        <v>0</v>
      </c>
    </row>
    <row r="287" spans="1:16" x14ac:dyDescent="0.25">
      <c r="A287" s="53">
        <f t="shared" si="37"/>
        <v>41</v>
      </c>
      <c r="B287" s="196" t="str">
        <f t="shared" si="38"/>
        <v>2023 Closed 2024</v>
      </c>
      <c r="C287" s="194" t="s">
        <v>196</v>
      </c>
      <c r="D287" s="194" t="s">
        <v>230</v>
      </c>
      <c r="E287" s="194" t="s">
        <v>229</v>
      </c>
      <c r="F287" s="200" t="s">
        <v>134</v>
      </c>
      <c r="G287" s="198">
        <v>0</v>
      </c>
      <c r="H287" s="198">
        <v>0</v>
      </c>
      <c r="K287" s="199">
        <v>941.68000000000006</v>
      </c>
      <c r="L287" s="198">
        <v>0</v>
      </c>
      <c r="M287" s="198">
        <v>0</v>
      </c>
      <c r="N287" s="197">
        <f t="shared" si="34"/>
        <v>941.68000000000006</v>
      </c>
      <c r="O287" s="197">
        <f t="shared" si="35"/>
        <v>0</v>
      </c>
      <c r="P287" s="197">
        <f t="shared" si="36"/>
        <v>0</v>
      </c>
    </row>
    <row r="288" spans="1:16" x14ac:dyDescent="0.25">
      <c r="A288" s="53">
        <f t="shared" si="37"/>
        <v>42</v>
      </c>
      <c r="B288" s="196" t="str">
        <f t="shared" si="38"/>
        <v>2023 Closed 2024</v>
      </c>
      <c r="C288" s="194" t="s">
        <v>196</v>
      </c>
      <c r="D288" s="194" t="s">
        <v>228</v>
      </c>
      <c r="E288" s="194" t="s">
        <v>227</v>
      </c>
      <c r="F288" s="200" t="s">
        <v>134</v>
      </c>
      <c r="G288" s="198">
        <v>0</v>
      </c>
      <c r="H288" s="198">
        <v>0</v>
      </c>
      <c r="K288" s="199">
        <v>14366.29</v>
      </c>
      <c r="L288" s="198">
        <v>0</v>
      </c>
      <c r="M288" s="198">
        <v>0</v>
      </c>
      <c r="N288" s="197">
        <f t="shared" si="34"/>
        <v>14366.29</v>
      </c>
      <c r="O288" s="197">
        <f t="shared" si="35"/>
        <v>0</v>
      </c>
      <c r="P288" s="197">
        <f t="shared" si="36"/>
        <v>0</v>
      </c>
    </row>
    <row r="289" spans="1:16" x14ac:dyDescent="0.25">
      <c r="A289" s="53">
        <f t="shared" si="37"/>
        <v>43</v>
      </c>
      <c r="B289" s="196" t="str">
        <f t="shared" si="38"/>
        <v>2023 Closed 2024</v>
      </c>
      <c r="C289" s="194" t="s">
        <v>196</v>
      </c>
      <c r="D289" s="194" t="s">
        <v>226</v>
      </c>
      <c r="E289" s="194" t="s">
        <v>225</v>
      </c>
      <c r="F289" s="200" t="s">
        <v>134</v>
      </c>
      <c r="G289" s="198">
        <v>0</v>
      </c>
      <c r="H289" s="198">
        <v>0</v>
      </c>
      <c r="K289" s="199">
        <v>92851.07</v>
      </c>
      <c r="L289" s="198">
        <v>0</v>
      </c>
      <c r="M289" s="198">
        <v>0</v>
      </c>
      <c r="N289" s="197">
        <f t="shared" si="34"/>
        <v>92851.07</v>
      </c>
      <c r="O289" s="197">
        <f t="shared" si="35"/>
        <v>0</v>
      </c>
      <c r="P289" s="197">
        <f t="shared" si="36"/>
        <v>0</v>
      </c>
    </row>
    <row r="290" spans="1:16" x14ac:dyDescent="0.25">
      <c r="A290" s="53">
        <f t="shared" si="37"/>
        <v>44</v>
      </c>
      <c r="B290" s="196" t="str">
        <f t="shared" si="38"/>
        <v>2023 Closed 2024</v>
      </c>
      <c r="C290" s="194" t="s">
        <v>196</v>
      </c>
      <c r="D290" s="194" t="s">
        <v>224</v>
      </c>
      <c r="E290" s="194" t="s">
        <v>223</v>
      </c>
      <c r="F290" s="200" t="s">
        <v>202</v>
      </c>
      <c r="G290" s="198">
        <v>0</v>
      </c>
      <c r="H290" s="198">
        <v>0</v>
      </c>
      <c r="K290" s="199">
        <v>488.2</v>
      </c>
      <c r="L290" s="198">
        <v>0</v>
      </c>
      <c r="M290" s="198">
        <v>0</v>
      </c>
      <c r="N290" s="197">
        <f t="shared" si="34"/>
        <v>488.2</v>
      </c>
      <c r="O290" s="197">
        <f t="shared" si="35"/>
        <v>0</v>
      </c>
      <c r="P290" s="197">
        <f t="shared" si="36"/>
        <v>0</v>
      </c>
    </row>
    <row r="291" spans="1:16" x14ac:dyDescent="0.25">
      <c r="A291" s="53">
        <f t="shared" si="37"/>
        <v>45</v>
      </c>
      <c r="B291" s="196" t="str">
        <f t="shared" si="38"/>
        <v>2023 Closed 2024</v>
      </c>
      <c r="C291" s="194" t="s">
        <v>196</v>
      </c>
      <c r="D291" s="194" t="s">
        <v>222</v>
      </c>
      <c r="E291" s="194" t="s">
        <v>221</v>
      </c>
      <c r="F291" s="200" t="s">
        <v>202</v>
      </c>
      <c r="G291" s="198">
        <v>0</v>
      </c>
      <c r="H291" s="198">
        <v>0</v>
      </c>
      <c r="K291" s="199">
        <v>-29.91</v>
      </c>
      <c r="L291" s="198">
        <v>0</v>
      </c>
      <c r="M291" s="198">
        <v>0</v>
      </c>
      <c r="N291" s="197">
        <f t="shared" si="34"/>
        <v>-29.91</v>
      </c>
      <c r="O291" s="197">
        <f t="shared" si="35"/>
        <v>0</v>
      </c>
      <c r="P291" s="197">
        <f t="shared" si="36"/>
        <v>0</v>
      </c>
    </row>
    <row r="292" spans="1:16" x14ac:dyDescent="0.25">
      <c r="A292" s="53">
        <f t="shared" si="37"/>
        <v>46</v>
      </c>
      <c r="B292" s="196" t="str">
        <f t="shared" si="38"/>
        <v>2023 Closed 2024</v>
      </c>
      <c r="C292" s="194" t="s">
        <v>196</v>
      </c>
      <c r="D292" s="194" t="s">
        <v>220</v>
      </c>
      <c r="E292" s="194" t="s">
        <v>219</v>
      </c>
      <c r="F292" s="200" t="s">
        <v>134</v>
      </c>
      <c r="G292" s="198">
        <v>0</v>
      </c>
      <c r="H292" s="198">
        <v>0</v>
      </c>
      <c r="K292" s="199">
        <v>-3533.65</v>
      </c>
      <c r="L292" s="198">
        <v>0</v>
      </c>
      <c r="M292" s="198">
        <v>0</v>
      </c>
      <c r="N292" s="197">
        <f t="shared" si="34"/>
        <v>-3533.65</v>
      </c>
      <c r="O292" s="197">
        <f t="shared" si="35"/>
        <v>0</v>
      </c>
      <c r="P292" s="197">
        <f t="shared" si="36"/>
        <v>0</v>
      </c>
    </row>
    <row r="293" spans="1:16" x14ac:dyDescent="0.25">
      <c r="A293" s="53">
        <f t="shared" si="37"/>
        <v>47</v>
      </c>
      <c r="B293" s="196" t="str">
        <f t="shared" si="38"/>
        <v>2023 Closed 2024</v>
      </c>
      <c r="C293" s="194" t="s">
        <v>210</v>
      </c>
      <c r="D293" s="194" t="s">
        <v>218</v>
      </c>
      <c r="E293" s="194" t="s">
        <v>217</v>
      </c>
      <c r="F293" s="200" t="s">
        <v>207</v>
      </c>
      <c r="G293" s="198">
        <v>0</v>
      </c>
      <c r="H293" s="198">
        <v>0</v>
      </c>
      <c r="K293" s="199">
        <v>7.0000000000000007E-2</v>
      </c>
      <c r="L293" s="198">
        <v>0</v>
      </c>
      <c r="M293" s="198">
        <v>0</v>
      </c>
      <c r="N293" s="197">
        <f t="shared" si="34"/>
        <v>7.0000000000000007E-2</v>
      </c>
      <c r="O293" s="197">
        <f t="shared" si="35"/>
        <v>0</v>
      </c>
      <c r="P293" s="197">
        <f t="shared" si="36"/>
        <v>0</v>
      </c>
    </row>
    <row r="294" spans="1:16" x14ac:dyDescent="0.25">
      <c r="A294" s="53">
        <f t="shared" si="37"/>
        <v>48</v>
      </c>
      <c r="B294" s="196" t="str">
        <f t="shared" si="38"/>
        <v>2023 Closed 2024</v>
      </c>
      <c r="C294" s="194" t="s">
        <v>196</v>
      </c>
      <c r="D294" s="194" t="s">
        <v>216</v>
      </c>
      <c r="E294" s="194" t="s">
        <v>215</v>
      </c>
      <c r="F294" s="200" t="s">
        <v>193</v>
      </c>
      <c r="G294" s="198">
        <v>0</v>
      </c>
      <c r="H294" s="198">
        <v>0</v>
      </c>
      <c r="K294" s="199">
        <v>4778.3300000000008</v>
      </c>
      <c r="L294" s="198">
        <v>0</v>
      </c>
      <c r="M294" s="198">
        <v>0</v>
      </c>
      <c r="N294" s="197">
        <f t="shared" si="34"/>
        <v>4778.3300000000008</v>
      </c>
      <c r="O294" s="197">
        <f t="shared" si="35"/>
        <v>0</v>
      </c>
      <c r="P294" s="197">
        <f t="shared" si="36"/>
        <v>0</v>
      </c>
    </row>
    <row r="295" spans="1:16" x14ac:dyDescent="0.25">
      <c r="A295" s="53">
        <f t="shared" si="37"/>
        <v>49</v>
      </c>
      <c r="B295" s="196" t="str">
        <f t="shared" si="38"/>
        <v>2023 Closed 2024</v>
      </c>
      <c r="C295" s="194" t="s">
        <v>196</v>
      </c>
      <c r="D295" s="194" t="s">
        <v>214</v>
      </c>
      <c r="E295" s="194" t="s">
        <v>213</v>
      </c>
      <c r="F295" s="200" t="s">
        <v>134</v>
      </c>
      <c r="G295" s="198">
        <v>0</v>
      </c>
      <c r="H295" s="198">
        <v>0</v>
      </c>
      <c r="K295" s="199">
        <v>-173.41</v>
      </c>
      <c r="L295" s="198">
        <v>0</v>
      </c>
      <c r="M295" s="198">
        <v>0</v>
      </c>
      <c r="N295" s="197">
        <f t="shared" si="34"/>
        <v>-173.41</v>
      </c>
      <c r="O295" s="197">
        <f t="shared" si="35"/>
        <v>0</v>
      </c>
      <c r="P295" s="197">
        <f t="shared" si="36"/>
        <v>0</v>
      </c>
    </row>
    <row r="296" spans="1:16" x14ac:dyDescent="0.25">
      <c r="A296" s="53">
        <f t="shared" si="37"/>
        <v>50</v>
      </c>
      <c r="B296" s="196" t="str">
        <f t="shared" si="38"/>
        <v>2023 Closed 2024</v>
      </c>
      <c r="C296" s="194" t="s">
        <v>133</v>
      </c>
      <c r="D296" s="194" t="s">
        <v>212</v>
      </c>
      <c r="E296" s="194" t="s">
        <v>211</v>
      </c>
      <c r="F296" s="200" t="s">
        <v>134</v>
      </c>
      <c r="G296" s="198">
        <v>0</v>
      </c>
      <c r="H296" s="198">
        <v>0</v>
      </c>
      <c r="K296" s="199">
        <v>0</v>
      </c>
      <c r="L296" s="198">
        <v>0</v>
      </c>
      <c r="M296" s="198">
        <v>0</v>
      </c>
      <c r="N296" s="197">
        <f t="shared" si="34"/>
        <v>0</v>
      </c>
      <c r="O296" s="197">
        <f t="shared" si="35"/>
        <v>0</v>
      </c>
      <c r="P296" s="197">
        <f t="shared" si="36"/>
        <v>0</v>
      </c>
    </row>
    <row r="297" spans="1:16" x14ac:dyDescent="0.25">
      <c r="A297" s="53">
        <f t="shared" si="37"/>
        <v>51</v>
      </c>
      <c r="B297" s="196" t="str">
        <f t="shared" si="38"/>
        <v>2023 Closed 2024</v>
      </c>
      <c r="C297" s="194" t="s">
        <v>210</v>
      </c>
      <c r="D297" s="194" t="s">
        <v>209</v>
      </c>
      <c r="E297" s="194" t="s">
        <v>208</v>
      </c>
      <c r="F297" s="200" t="s">
        <v>207</v>
      </c>
      <c r="G297" s="198">
        <v>0</v>
      </c>
      <c r="H297" s="198">
        <v>0</v>
      </c>
      <c r="K297" s="199">
        <v>23795.360000000001</v>
      </c>
      <c r="L297" s="198">
        <v>0</v>
      </c>
      <c r="M297" s="198">
        <v>0</v>
      </c>
      <c r="N297" s="197">
        <f t="shared" si="34"/>
        <v>23795.360000000001</v>
      </c>
      <c r="O297" s="197">
        <f t="shared" si="35"/>
        <v>0</v>
      </c>
      <c r="P297" s="197">
        <f t="shared" si="36"/>
        <v>0</v>
      </c>
    </row>
    <row r="298" spans="1:16" x14ac:dyDescent="0.25">
      <c r="A298" s="53">
        <f t="shared" si="37"/>
        <v>52</v>
      </c>
      <c r="B298" s="196" t="str">
        <f t="shared" si="38"/>
        <v>2023 Closed 2024</v>
      </c>
      <c r="C298" s="194" t="s">
        <v>133</v>
      </c>
      <c r="D298" s="194" t="s">
        <v>206</v>
      </c>
      <c r="E298" s="194" t="s">
        <v>205</v>
      </c>
      <c r="F298" s="200" t="s">
        <v>134</v>
      </c>
      <c r="G298" s="198">
        <v>0</v>
      </c>
      <c r="H298" s="198">
        <v>0</v>
      </c>
      <c r="K298" s="199">
        <v>32934.75</v>
      </c>
      <c r="L298" s="198">
        <v>0</v>
      </c>
      <c r="M298" s="198">
        <v>0</v>
      </c>
      <c r="N298" s="197">
        <f t="shared" si="34"/>
        <v>32934.75</v>
      </c>
      <c r="O298" s="197">
        <f t="shared" si="35"/>
        <v>0</v>
      </c>
      <c r="P298" s="197">
        <f t="shared" si="36"/>
        <v>0</v>
      </c>
    </row>
    <row r="299" spans="1:16" x14ac:dyDescent="0.25">
      <c r="A299" s="53">
        <f t="shared" si="37"/>
        <v>53</v>
      </c>
      <c r="B299" s="196" t="str">
        <f t="shared" si="38"/>
        <v>2023 Closed 2024</v>
      </c>
      <c r="C299" s="194" t="s">
        <v>196</v>
      </c>
      <c r="D299" s="194" t="s">
        <v>204</v>
      </c>
      <c r="E299" s="194" t="s">
        <v>203</v>
      </c>
      <c r="F299" s="200" t="s">
        <v>202</v>
      </c>
      <c r="G299" s="198">
        <v>0</v>
      </c>
      <c r="H299" s="198">
        <v>0</v>
      </c>
      <c r="K299" s="199">
        <v>-876.94</v>
      </c>
      <c r="L299" s="198">
        <v>0</v>
      </c>
      <c r="M299" s="198">
        <v>0</v>
      </c>
      <c r="N299" s="197">
        <f t="shared" si="34"/>
        <v>-876.94</v>
      </c>
      <c r="O299" s="197">
        <f t="shared" si="35"/>
        <v>0</v>
      </c>
      <c r="P299" s="197">
        <f t="shared" si="36"/>
        <v>0</v>
      </c>
    </row>
    <row r="300" spans="1:16" x14ac:dyDescent="0.25">
      <c r="A300" s="53">
        <f t="shared" si="37"/>
        <v>54</v>
      </c>
      <c r="B300" s="196" t="str">
        <f t="shared" si="38"/>
        <v>2023 Closed 2024</v>
      </c>
      <c r="C300" s="194" t="s">
        <v>133</v>
      </c>
      <c r="D300" s="194" t="s">
        <v>201</v>
      </c>
      <c r="E300" s="194" t="s">
        <v>200</v>
      </c>
      <c r="F300" s="200" t="s">
        <v>199</v>
      </c>
      <c r="G300" s="198">
        <v>0</v>
      </c>
      <c r="H300" s="198">
        <v>0</v>
      </c>
      <c r="K300" s="199">
        <v>0</v>
      </c>
      <c r="L300" s="198">
        <v>0</v>
      </c>
      <c r="M300" s="198">
        <v>0</v>
      </c>
      <c r="N300" s="197">
        <f t="shared" si="34"/>
        <v>0</v>
      </c>
      <c r="O300" s="197">
        <f t="shared" si="35"/>
        <v>0</v>
      </c>
      <c r="P300" s="197">
        <f t="shared" si="36"/>
        <v>0</v>
      </c>
    </row>
    <row r="301" spans="1:16" x14ac:dyDescent="0.25">
      <c r="A301" s="53">
        <f t="shared" si="37"/>
        <v>55</v>
      </c>
      <c r="B301" s="196" t="str">
        <f t="shared" si="38"/>
        <v>2023 Closed 2024</v>
      </c>
      <c r="C301" s="194" t="s">
        <v>133</v>
      </c>
      <c r="D301" s="194" t="s">
        <v>198</v>
      </c>
      <c r="E301" s="194" t="s">
        <v>197</v>
      </c>
      <c r="F301" s="200" t="s">
        <v>134</v>
      </c>
      <c r="G301" s="198">
        <v>0</v>
      </c>
      <c r="H301" s="198">
        <v>0</v>
      </c>
      <c r="K301" s="199">
        <v>-3236.42</v>
      </c>
      <c r="L301" s="198">
        <v>0</v>
      </c>
      <c r="M301" s="198">
        <v>0</v>
      </c>
      <c r="N301" s="197">
        <f t="shared" si="34"/>
        <v>-3236.42</v>
      </c>
      <c r="O301" s="197">
        <f t="shared" si="35"/>
        <v>0</v>
      </c>
      <c r="P301" s="197">
        <f t="shared" si="36"/>
        <v>0</v>
      </c>
    </row>
    <row r="302" spans="1:16" x14ac:dyDescent="0.25">
      <c r="A302" s="53">
        <f t="shared" si="37"/>
        <v>56</v>
      </c>
      <c r="B302" s="196" t="str">
        <f t="shared" si="38"/>
        <v>2023 Closed 2024</v>
      </c>
      <c r="C302" s="194" t="s">
        <v>196</v>
      </c>
      <c r="D302" s="194" t="s">
        <v>195</v>
      </c>
      <c r="E302" s="194" t="s">
        <v>194</v>
      </c>
      <c r="F302" s="200" t="s">
        <v>193</v>
      </c>
      <c r="G302" s="198">
        <v>0</v>
      </c>
      <c r="H302" s="198">
        <v>0</v>
      </c>
      <c r="K302" s="199">
        <v>8935.9000000000015</v>
      </c>
      <c r="L302" s="198">
        <v>0</v>
      </c>
      <c r="M302" s="198">
        <v>0</v>
      </c>
      <c r="N302" s="197">
        <f t="shared" si="34"/>
        <v>8935.9000000000015</v>
      </c>
      <c r="O302" s="197">
        <f t="shared" si="35"/>
        <v>0</v>
      </c>
      <c r="P302" s="197">
        <f t="shared" si="36"/>
        <v>0</v>
      </c>
    </row>
    <row r="303" spans="1:16" x14ac:dyDescent="0.25">
      <c r="A303" s="53">
        <f t="shared" si="37"/>
        <v>57</v>
      </c>
      <c r="B303" s="196" t="str">
        <f t="shared" si="38"/>
        <v>2023 Closed 2024</v>
      </c>
      <c r="C303" s="194" t="s">
        <v>133</v>
      </c>
      <c r="D303" s="194" t="s">
        <v>192</v>
      </c>
      <c r="E303" s="194" t="s">
        <v>191</v>
      </c>
      <c r="F303" s="200" t="s">
        <v>190</v>
      </c>
      <c r="G303" s="198">
        <v>0</v>
      </c>
      <c r="H303" s="198">
        <v>0</v>
      </c>
      <c r="K303" s="199">
        <v>-0.01</v>
      </c>
      <c r="L303" s="198">
        <v>0</v>
      </c>
      <c r="M303" s="198">
        <v>0</v>
      </c>
      <c r="N303" s="197">
        <f t="shared" si="34"/>
        <v>-0.01</v>
      </c>
      <c r="O303" s="197">
        <f t="shared" si="35"/>
        <v>0</v>
      </c>
      <c r="P303" s="197">
        <f t="shared" si="36"/>
        <v>0</v>
      </c>
    </row>
    <row r="304" spans="1:16" x14ac:dyDescent="0.25">
      <c r="A304" s="53">
        <f t="shared" si="37"/>
        <v>58</v>
      </c>
      <c r="B304" s="196" t="str">
        <f t="shared" si="38"/>
        <v>2023 Closed 2024</v>
      </c>
      <c r="C304" s="194" t="s">
        <v>133</v>
      </c>
      <c r="D304" s="194" t="s">
        <v>189</v>
      </c>
      <c r="E304" s="194" t="s">
        <v>188</v>
      </c>
      <c r="F304" s="200" t="s">
        <v>130</v>
      </c>
      <c r="G304" s="198">
        <v>0</v>
      </c>
      <c r="H304" s="198">
        <v>0</v>
      </c>
      <c r="K304" s="199">
        <v>0</v>
      </c>
      <c r="L304" s="198">
        <v>0</v>
      </c>
      <c r="M304" s="198">
        <v>0</v>
      </c>
      <c r="N304" s="197">
        <f t="shared" si="34"/>
        <v>0</v>
      </c>
      <c r="O304" s="197">
        <f t="shared" si="35"/>
        <v>0</v>
      </c>
      <c r="P304" s="197">
        <f t="shared" si="36"/>
        <v>0</v>
      </c>
    </row>
    <row r="305" spans="1:16" x14ac:dyDescent="0.25">
      <c r="A305" s="53">
        <f t="shared" si="37"/>
        <v>59</v>
      </c>
      <c r="B305" s="196" t="str">
        <f t="shared" si="38"/>
        <v>2023 Closed 2024</v>
      </c>
      <c r="C305" s="194" t="s">
        <v>133</v>
      </c>
      <c r="D305" s="194" t="s">
        <v>187</v>
      </c>
      <c r="E305" s="194" t="s">
        <v>186</v>
      </c>
      <c r="F305" s="200" t="s">
        <v>130</v>
      </c>
      <c r="G305" s="198">
        <v>0</v>
      </c>
      <c r="H305" s="198">
        <v>0</v>
      </c>
      <c r="K305" s="199">
        <v>0</v>
      </c>
      <c r="L305" s="198">
        <v>0</v>
      </c>
      <c r="M305" s="198">
        <v>0</v>
      </c>
      <c r="N305" s="197">
        <f t="shared" si="34"/>
        <v>0</v>
      </c>
      <c r="O305" s="197">
        <f t="shared" si="35"/>
        <v>0</v>
      </c>
      <c r="P305" s="197">
        <f t="shared" si="36"/>
        <v>0</v>
      </c>
    </row>
    <row r="306" spans="1:16" x14ac:dyDescent="0.25">
      <c r="A306" s="53">
        <f t="shared" si="37"/>
        <v>60</v>
      </c>
      <c r="B306" s="196" t="str">
        <f t="shared" si="38"/>
        <v>2023 Closed 2024</v>
      </c>
      <c r="C306" s="194" t="s">
        <v>133</v>
      </c>
      <c r="D306" s="194" t="s">
        <v>185</v>
      </c>
      <c r="E306" s="194" t="s">
        <v>184</v>
      </c>
      <c r="F306" s="200" t="s">
        <v>130</v>
      </c>
      <c r="G306" s="198">
        <v>0</v>
      </c>
      <c r="H306" s="198">
        <v>0</v>
      </c>
      <c r="K306" s="199">
        <v>0</v>
      </c>
      <c r="L306" s="198">
        <v>0</v>
      </c>
      <c r="M306" s="198">
        <v>0</v>
      </c>
      <c r="N306" s="197">
        <f t="shared" si="34"/>
        <v>0</v>
      </c>
      <c r="O306" s="197">
        <f t="shared" si="35"/>
        <v>0</v>
      </c>
      <c r="P306" s="197">
        <f t="shared" si="36"/>
        <v>0</v>
      </c>
    </row>
    <row r="307" spans="1:16" x14ac:dyDescent="0.25">
      <c r="A307" s="53">
        <f t="shared" si="37"/>
        <v>61</v>
      </c>
      <c r="B307" s="196" t="str">
        <f t="shared" si="38"/>
        <v>2023 Closed 2024</v>
      </c>
      <c r="C307" s="194" t="s">
        <v>133</v>
      </c>
      <c r="D307" s="194" t="s">
        <v>183</v>
      </c>
      <c r="E307" s="194" t="s">
        <v>182</v>
      </c>
      <c r="F307" s="200" t="s">
        <v>130</v>
      </c>
      <c r="G307" s="198">
        <v>0</v>
      </c>
      <c r="H307" s="198">
        <v>0</v>
      </c>
      <c r="K307" s="199">
        <v>0</v>
      </c>
      <c r="L307" s="198">
        <v>0</v>
      </c>
      <c r="M307" s="198">
        <v>0</v>
      </c>
      <c r="N307" s="197">
        <f t="shared" si="34"/>
        <v>0</v>
      </c>
      <c r="O307" s="197">
        <f t="shared" si="35"/>
        <v>0</v>
      </c>
      <c r="P307" s="197">
        <f t="shared" si="36"/>
        <v>0</v>
      </c>
    </row>
    <row r="308" spans="1:16" x14ac:dyDescent="0.25">
      <c r="A308" s="53">
        <f t="shared" si="37"/>
        <v>62</v>
      </c>
      <c r="B308" s="196" t="str">
        <f t="shared" si="38"/>
        <v>2023 Closed 2024</v>
      </c>
      <c r="C308" s="194" t="s">
        <v>133</v>
      </c>
      <c r="D308" s="194" t="s">
        <v>181</v>
      </c>
      <c r="E308" s="194" t="s">
        <v>180</v>
      </c>
      <c r="F308" s="200" t="s">
        <v>130</v>
      </c>
      <c r="G308" s="198">
        <v>0</v>
      </c>
      <c r="H308" s="198">
        <v>0</v>
      </c>
      <c r="K308" s="199">
        <v>-90.62</v>
      </c>
      <c r="L308" s="198">
        <v>0</v>
      </c>
      <c r="M308" s="198">
        <v>0</v>
      </c>
      <c r="N308" s="197">
        <f t="shared" si="34"/>
        <v>-90.62</v>
      </c>
      <c r="O308" s="197">
        <f t="shared" si="35"/>
        <v>0</v>
      </c>
      <c r="P308" s="197">
        <f t="shared" si="36"/>
        <v>0</v>
      </c>
    </row>
    <row r="309" spans="1:16" x14ac:dyDescent="0.25">
      <c r="A309" s="53">
        <f t="shared" si="37"/>
        <v>63</v>
      </c>
      <c r="B309" s="196" t="str">
        <f t="shared" si="38"/>
        <v>2023 Closed 2024</v>
      </c>
      <c r="C309" s="194" t="s">
        <v>133</v>
      </c>
      <c r="D309" s="194" t="s">
        <v>179</v>
      </c>
      <c r="E309" s="194" t="s">
        <v>178</v>
      </c>
      <c r="F309" s="200" t="s">
        <v>130</v>
      </c>
      <c r="G309" s="198">
        <v>0</v>
      </c>
      <c r="H309" s="198">
        <v>0</v>
      </c>
      <c r="K309" s="199">
        <v>0</v>
      </c>
      <c r="L309" s="198">
        <v>0</v>
      </c>
      <c r="M309" s="198">
        <v>0</v>
      </c>
      <c r="N309" s="197">
        <f t="shared" si="34"/>
        <v>0</v>
      </c>
      <c r="O309" s="197">
        <f t="shared" si="35"/>
        <v>0</v>
      </c>
      <c r="P309" s="197">
        <f t="shared" si="36"/>
        <v>0</v>
      </c>
    </row>
    <row r="310" spans="1:16" x14ac:dyDescent="0.25">
      <c r="A310" s="53">
        <f t="shared" si="37"/>
        <v>64</v>
      </c>
      <c r="B310" s="196" t="str">
        <f t="shared" si="38"/>
        <v>2023 Closed 2024</v>
      </c>
      <c r="C310" s="194" t="s">
        <v>133</v>
      </c>
      <c r="D310" s="194" t="s">
        <v>177</v>
      </c>
      <c r="E310" s="194" t="s">
        <v>176</v>
      </c>
      <c r="F310" s="200" t="s">
        <v>130</v>
      </c>
      <c r="G310" s="198">
        <v>0</v>
      </c>
      <c r="H310" s="198">
        <v>0</v>
      </c>
      <c r="K310" s="199">
        <v>0</v>
      </c>
      <c r="L310" s="198">
        <v>0</v>
      </c>
      <c r="M310" s="198">
        <v>0</v>
      </c>
      <c r="N310" s="197">
        <f t="shared" si="34"/>
        <v>0</v>
      </c>
      <c r="O310" s="197">
        <f t="shared" si="35"/>
        <v>0</v>
      </c>
      <c r="P310" s="197">
        <f t="shared" si="36"/>
        <v>0</v>
      </c>
    </row>
    <row r="311" spans="1:16" x14ac:dyDescent="0.25">
      <c r="A311" s="53">
        <f t="shared" si="37"/>
        <v>65</v>
      </c>
      <c r="B311" s="196" t="str">
        <f t="shared" si="38"/>
        <v>2023 Closed 2024</v>
      </c>
      <c r="C311" s="194" t="s">
        <v>133</v>
      </c>
      <c r="D311" s="194" t="s">
        <v>175</v>
      </c>
      <c r="E311" s="194" t="s">
        <v>174</v>
      </c>
      <c r="F311" s="200" t="s">
        <v>130</v>
      </c>
      <c r="G311" s="198">
        <v>0</v>
      </c>
      <c r="H311" s="198">
        <v>0</v>
      </c>
      <c r="K311" s="199">
        <v>0</v>
      </c>
      <c r="L311" s="198">
        <v>0</v>
      </c>
      <c r="M311" s="198">
        <v>0</v>
      </c>
      <c r="N311" s="197">
        <f t="shared" ref="N311:N331" si="39">K311-G311</f>
        <v>0</v>
      </c>
      <c r="O311" s="197">
        <f t="shared" ref="O311:O331" si="40">L311-H311</f>
        <v>0</v>
      </c>
      <c r="P311" s="197">
        <f t="shared" ref="P311:P331" si="41">M311-I311</f>
        <v>0</v>
      </c>
    </row>
    <row r="312" spans="1:16" x14ac:dyDescent="0.25">
      <c r="A312" s="53">
        <f t="shared" ref="A312:A331" si="42">A311+1</f>
        <v>66</v>
      </c>
      <c r="B312" s="196" t="str">
        <f t="shared" ref="B312:B331" si="43">B311</f>
        <v>2023 Closed 2024</v>
      </c>
      <c r="C312" s="194" t="s">
        <v>133</v>
      </c>
      <c r="D312" s="194" t="s">
        <v>173</v>
      </c>
      <c r="E312" s="194" t="s">
        <v>172</v>
      </c>
      <c r="F312" s="200" t="s">
        <v>130</v>
      </c>
      <c r="G312" s="198">
        <v>0</v>
      </c>
      <c r="H312" s="198">
        <v>0</v>
      </c>
      <c r="K312" s="199">
        <v>26.98</v>
      </c>
      <c r="L312" s="198">
        <v>0</v>
      </c>
      <c r="M312" s="198">
        <v>0</v>
      </c>
      <c r="N312" s="197">
        <f t="shared" si="39"/>
        <v>26.98</v>
      </c>
      <c r="O312" s="197">
        <f t="shared" si="40"/>
        <v>0</v>
      </c>
      <c r="P312" s="197">
        <f t="shared" si="41"/>
        <v>0</v>
      </c>
    </row>
    <row r="313" spans="1:16" x14ac:dyDescent="0.25">
      <c r="A313" s="53">
        <f t="shared" si="42"/>
        <v>67</v>
      </c>
      <c r="B313" s="196" t="str">
        <f t="shared" si="43"/>
        <v>2023 Closed 2024</v>
      </c>
      <c r="C313" s="194" t="s">
        <v>133</v>
      </c>
      <c r="D313" s="194" t="s">
        <v>171</v>
      </c>
      <c r="E313" s="194" t="s">
        <v>170</v>
      </c>
      <c r="F313" s="200" t="s">
        <v>169</v>
      </c>
      <c r="G313" s="198">
        <v>0</v>
      </c>
      <c r="H313" s="198">
        <v>0</v>
      </c>
      <c r="K313" s="199">
        <v>3694.4300000000003</v>
      </c>
      <c r="L313" s="198">
        <v>0</v>
      </c>
      <c r="M313" s="198">
        <v>0</v>
      </c>
      <c r="N313" s="197">
        <f t="shared" si="39"/>
        <v>3694.4300000000003</v>
      </c>
      <c r="O313" s="197">
        <f t="shared" si="40"/>
        <v>0</v>
      </c>
      <c r="P313" s="197">
        <f t="shared" si="41"/>
        <v>0</v>
      </c>
    </row>
    <row r="314" spans="1:16" x14ac:dyDescent="0.25">
      <c r="A314" s="53">
        <f t="shared" si="42"/>
        <v>68</v>
      </c>
      <c r="B314" s="196" t="str">
        <f t="shared" si="43"/>
        <v>2023 Closed 2024</v>
      </c>
      <c r="C314" s="194" t="s">
        <v>133</v>
      </c>
      <c r="D314" s="194" t="s">
        <v>168</v>
      </c>
      <c r="E314" s="194" t="s">
        <v>167</v>
      </c>
      <c r="F314" s="200" t="s">
        <v>130</v>
      </c>
      <c r="G314" s="198">
        <v>0</v>
      </c>
      <c r="H314" s="198">
        <v>0</v>
      </c>
      <c r="K314" s="199">
        <v>2488.48</v>
      </c>
      <c r="L314" s="198">
        <v>0</v>
      </c>
      <c r="M314" s="198">
        <v>0</v>
      </c>
      <c r="N314" s="197">
        <f t="shared" si="39"/>
        <v>2488.48</v>
      </c>
      <c r="O314" s="197">
        <f t="shared" si="40"/>
        <v>0</v>
      </c>
      <c r="P314" s="197">
        <f t="shared" si="41"/>
        <v>0</v>
      </c>
    </row>
    <row r="315" spans="1:16" x14ac:dyDescent="0.25">
      <c r="A315" s="53">
        <f t="shared" si="42"/>
        <v>69</v>
      </c>
      <c r="B315" s="196" t="str">
        <f t="shared" si="43"/>
        <v>2023 Closed 2024</v>
      </c>
      <c r="C315" s="194" t="s">
        <v>133</v>
      </c>
      <c r="D315" s="194" t="s">
        <v>166</v>
      </c>
      <c r="E315" s="194" t="s">
        <v>165</v>
      </c>
      <c r="F315" s="200" t="s">
        <v>130</v>
      </c>
      <c r="G315" s="198">
        <v>0</v>
      </c>
      <c r="H315" s="198">
        <v>0</v>
      </c>
      <c r="K315" s="199">
        <v>6322.46</v>
      </c>
      <c r="L315" s="198">
        <v>0</v>
      </c>
      <c r="M315" s="198">
        <v>0</v>
      </c>
      <c r="N315" s="197">
        <f t="shared" si="39"/>
        <v>6322.46</v>
      </c>
      <c r="O315" s="197">
        <f t="shared" si="40"/>
        <v>0</v>
      </c>
      <c r="P315" s="197">
        <f t="shared" si="41"/>
        <v>0</v>
      </c>
    </row>
    <row r="316" spans="1:16" x14ac:dyDescent="0.25">
      <c r="A316" s="53">
        <f t="shared" si="42"/>
        <v>70</v>
      </c>
      <c r="B316" s="196" t="str">
        <f t="shared" si="43"/>
        <v>2023 Closed 2024</v>
      </c>
      <c r="C316" s="194" t="s">
        <v>133</v>
      </c>
      <c r="D316" s="194" t="s">
        <v>164</v>
      </c>
      <c r="E316" s="194" t="s">
        <v>163</v>
      </c>
      <c r="F316" s="200" t="s">
        <v>130</v>
      </c>
      <c r="G316" s="198">
        <v>0</v>
      </c>
      <c r="H316" s="198">
        <v>0</v>
      </c>
      <c r="K316" s="199">
        <v>3372.34</v>
      </c>
      <c r="L316" s="198">
        <v>0</v>
      </c>
      <c r="M316" s="198">
        <v>0</v>
      </c>
      <c r="N316" s="197">
        <f t="shared" si="39"/>
        <v>3372.34</v>
      </c>
      <c r="O316" s="197">
        <f t="shared" si="40"/>
        <v>0</v>
      </c>
      <c r="P316" s="197">
        <f t="shared" si="41"/>
        <v>0</v>
      </c>
    </row>
    <row r="317" spans="1:16" x14ac:dyDescent="0.25">
      <c r="A317" s="53">
        <f t="shared" si="42"/>
        <v>71</v>
      </c>
      <c r="B317" s="196" t="str">
        <f t="shared" si="43"/>
        <v>2023 Closed 2024</v>
      </c>
      <c r="C317" s="194" t="s">
        <v>133</v>
      </c>
      <c r="D317" s="194" t="s">
        <v>162</v>
      </c>
      <c r="E317" s="194" t="s">
        <v>161</v>
      </c>
      <c r="F317" s="200" t="s">
        <v>130</v>
      </c>
      <c r="G317" s="198">
        <v>0</v>
      </c>
      <c r="H317" s="198">
        <v>0</v>
      </c>
      <c r="K317" s="199">
        <v>6697.85</v>
      </c>
      <c r="L317" s="198">
        <v>0</v>
      </c>
      <c r="M317" s="198">
        <v>0</v>
      </c>
      <c r="N317" s="197">
        <f t="shared" si="39"/>
        <v>6697.85</v>
      </c>
      <c r="O317" s="197">
        <f t="shared" si="40"/>
        <v>0</v>
      </c>
      <c r="P317" s="197">
        <f t="shared" si="41"/>
        <v>0</v>
      </c>
    </row>
    <row r="318" spans="1:16" x14ac:dyDescent="0.25">
      <c r="A318" s="53">
        <f t="shared" si="42"/>
        <v>72</v>
      </c>
      <c r="B318" s="196" t="str">
        <f t="shared" si="43"/>
        <v>2023 Closed 2024</v>
      </c>
      <c r="C318" s="194" t="s">
        <v>133</v>
      </c>
      <c r="D318" s="194" t="s">
        <v>160</v>
      </c>
      <c r="E318" s="194" t="s">
        <v>159</v>
      </c>
      <c r="F318" s="200" t="s">
        <v>130</v>
      </c>
      <c r="G318" s="198">
        <v>0</v>
      </c>
      <c r="H318" s="198">
        <v>0</v>
      </c>
      <c r="K318" s="199">
        <v>4772.79</v>
      </c>
      <c r="L318" s="198">
        <v>0</v>
      </c>
      <c r="M318" s="198">
        <v>0</v>
      </c>
      <c r="N318" s="197">
        <f t="shared" si="39"/>
        <v>4772.79</v>
      </c>
      <c r="O318" s="197">
        <f t="shared" si="40"/>
        <v>0</v>
      </c>
      <c r="P318" s="197">
        <f t="shared" si="41"/>
        <v>0</v>
      </c>
    </row>
    <row r="319" spans="1:16" x14ac:dyDescent="0.25">
      <c r="A319" s="53">
        <f t="shared" si="42"/>
        <v>73</v>
      </c>
      <c r="B319" s="196" t="str">
        <f t="shared" si="43"/>
        <v>2023 Closed 2024</v>
      </c>
      <c r="C319" s="194" t="s">
        <v>133</v>
      </c>
      <c r="D319" s="194" t="s">
        <v>158</v>
      </c>
      <c r="E319" s="194" t="s">
        <v>157</v>
      </c>
      <c r="F319" s="200" t="s">
        <v>134</v>
      </c>
      <c r="G319" s="198">
        <v>0</v>
      </c>
      <c r="H319" s="198">
        <v>0</v>
      </c>
      <c r="K319" s="199">
        <v>48404.23</v>
      </c>
      <c r="L319" s="198">
        <v>0</v>
      </c>
      <c r="M319" s="198">
        <v>0</v>
      </c>
      <c r="N319" s="197">
        <f t="shared" si="39"/>
        <v>48404.23</v>
      </c>
      <c r="O319" s="197">
        <f t="shared" si="40"/>
        <v>0</v>
      </c>
      <c r="P319" s="197">
        <f t="shared" si="41"/>
        <v>0</v>
      </c>
    </row>
    <row r="320" spans="1:16" x14ac:dyDescent="0.25">
      <c r="A320" s="53">
        <f t="shared" si="42"/>
        <v>74</v>
      </c>
      <c r="B320" s="196" t="str">
        <f t="shared" si="43"/>
        <v>2023 Closed 2024</v>
      </c>
      <c r="C320" s="194" t="s">
        <v>133</v>
      </c>
      <c r="D320" s="194" t="s">
        <v>156</v>
      </c>
      <c r="E320" s="194" t="s">
        <v>155</v>
      </c>
      <c r="F320" s="200" t="s">
        <v>130</v>
      </c>
      <c r="G320" s="198">
        <v>0</v>
      </c>
      <c r="H320" s="198">
        <v>0</v>
      </c>
      <c r="K320" s="199">
        <v>1642.67</v>
      </c>
      <c r="L320" s="198">
        <v>0</v>
      </c>
      <c r="M320" s="198">
        <v>0</v>
      </c>
      <c r="N320" s="197">
        <f t="shared" si="39"/>
        <v>1642.67</v>
      </c>
      <c r="O320" s="197">
        <f t="shared" si="40"/>
        <v>0</v>
      </c>
      <c r="P320" s="197">
        <f t="shared" si="41"/>
        <v>0</v>
      </c>
    </row>
    <row r="321" spans="1:16" x14ac:dyDescent="0.25">
      <c r="A321" s="53">
        <f t="shared" si="42"/>
        <v>75</v>
      </c>
      <c r="B321" s="196" t="str">
        <f t="shared" si="43"/>
        <v>2023 Closed 2024</v>
      </c>
      <c r="C321" s="194" t="s">
        <v>133</v>
      </c>
      <c r="D321" s="194" t="s">
        <v>154</v>
      </c>
      <c r="E321" s="194" t="s">
        <v>153</v>
      </c>
      <c r="F321" s="200" t="s">
        <v>130</v>
      </c>
      <c r="G321" s="198">
        <v>0</v>
      </c>
      <c r="H321" s="198">
        <v>0</v>
      </c>
      <c r="K321" s="199">
        <v>5468.18</v>
      </c>
      <c r="L321" s="198">
        <v>0</v>
      </c>
      <c r="M321" s="198">
        <v>0</v>
      </c>
      <c r="N321" s="197">
        <f t="shared" si="39"/>
        <v>5468.18</v>
      </c>
      <c r="O321" s="197">
        <f t="shared" si="40"/>
        <v>0</v>
      </c>
      <c r="P321" s="197">
        <f t="shared" si="41"/>
        <v>0</v>
      </c>
    </row>
    <row r="322" spans="1:16" x14ac:dyDescent="0.25">
      <c r="A322" s="53">
        <f t="shared" si="42"/>
        <v>76</v>
      </c>
      <c r="B322" s="196" t="str">
        <f t="shared" si="43"/>
        <v>2023 Closed 2024</v>
      </c>
      <c r="C322" s="194" t="s">
        <v>133</v>
      </c>
      <c r="D322" s="194" t="s">
        <v>152</v>
      </c>
      <c r="E322" s="194" t="s">
        <v>151</v>
      </c>
      <c r="F322" s="200" t="s">
        <v>130</v>
      </c>
      <c r="G322" s="198">
        <v>0</v>
      </c>
      <c r="H322" s="198">
        <v>0</v>
      </c>
      <c r="K322" s="199">
        <v>13507.04</v>
      </c>
      <c r="L322" s="198">
        <v>0</v>
      </c>
      <c r="M322" s="198">
        <v>0</v>
      </c>
      <c r="N322" s="197">
        <f t="shared" si="39"/>
        <v>13507.04</v>
      </c>
      <c r="O322" s="197">
        <f t="shared" si="40"/>
        <v>0</v>
      </c>
      <c r="P322" s="197">
        <f t="shared" si="41"/>
        <v>0</v>
      </c>
    </row>
    <row r="323" spans="1:16" x14ac:dyDescent="0.25">
      <c r="A323" s="53">
        <f t="shared" si="42"/>
        <v>77</v>
      </c>
      <c r="B323" s="196" t="str">
        <f t="shared" si="43"/>
        <v>2023 Closed 2024</v>
      </c>
      <c r="C323" s="194" t="s">
        <v>133</v>
      </c>
      <c r="D323" s="194" t="s">
        <v>150</v>
      </c>
      <c r="E323" s="194" t="s">
        <v>149</v>
      </c>
      <c r="F323" s="200" t="s">
        <v>130</v>
      </c>
      <c r="G323" s="198">
        <v>0</v>
      </c>
      <c r="H323" s="198">
        <v>0</v>
      </c>
      <c r="K323" s="199">
        <v>18239.170000000002</v>
      </c>
      <c r="L323" s="198">
        <v>0</v>
      </c>
      <c r="M323" s="198">
        <v>0</v>
      </c>
      <c r="N323" s="197">
        <f t="shared" si="39"/>
        <v>18239.170000000002</v>
      </c>
      <c r="O323" s="197">
        <f t="shared" si="40"/>
        <v>0</v>
      </c>
      <c r="P323" s="197">
        <f t="shared" si="41"/>
        <v>0</v>
      </c>
    </row>
    <row r="324" spans="1:16" x14ac:dyDescent="0.25">
      <c r="A324" s="53">
        <f t="shared" si="42"/>
        <v>78</v>
      </c>
      <c r="B324" s="196" t="str">
        <f t="shared" si="43"/>
        <v>2023 Closed 2024</v>
      </c>
      <c r="C324" s="194" t="s">
        <v>133</v>
      </c>
      <c r="D324" s="194" t="s">
        <v>148</v>
      </c>
      <c r="E324" s="194" t="s">
        <v>147</v>
      </c>
      <c r="F324" s="200" t="s">
        <v>130</v>
      </c>
      <c r="G324" s="198">
        <v>0</v>
      </c>
      <c r="H324" s="198">
        <v>0</v>
      </c>
      <c r="K324" s="199">
        <v>3963.6800000000003</v>
      </c>
      <c r="L324" s="198">
        <v>0</v>
      </c>
      <c r="M324" s="198">
        <v>0</v>
      </c>
      <c r="N324" s="197">
        <f t="shared" si="39"/>
        <v>3963.6800000000003</v>
      </c>
      <c r="O324" s="197">
        <f t="shared" si="40"/>
        <v>0</v>
      </c>
      <c r="P324" s="197">
        <f t="shared" si="41"/>
        <v>0</v>
      </c>
    </row>
    <row r="325" spans="1:16" x14ac:dyDescent="0.25">
      <c r="A325" s="53">
        <f t="shared" si="42"/>
        <v>79</v>
      </c>
      <c r="B325" s="196" t="str">
        <f t="shared" si="43"/>
        <v>2023 Closed 2024</v>
      </c>
      <c r="C325" s="194" t="s">
        <v>133</v>
      </c>
      <c r="D325" s="194" t="s">
        <v>146</v>
      </c>
      <c r="E325" s="194" t="s">
        <v>145</v>
      </c>
      <c r="F325" s="200" t="s">
        <v>134</v>
      </c>
      <c r="G325" s="198">
        <v>0</v>
      </c>
      <c r="H325" s="198">
        <v>0</v>
      </c>
      <c r="K325" s="199">
        <v>-2677.37</v>
      </c>
      <c r="L325" s="198">
        <v>0</v>
      </c>
      <c r="M325" s="198">
        <v>0</v>
      </c>
      <c r="N325" s="197">
        <f t="shared" si="39"/>
        <v>-2677.37</v>
      </c>
      <c r="O325" s="197">
        <f t="shared" si="40"/>
        <v>0</v>
      </c>
      <c r="P325" s="197">
        <f t="shared" si="41"/>
        <v>0</v>
      </c>
    </row>
    <row r="326" spans="1:16" x14ac:dyDescent="0.25">
      <c r="A326" s="53">
        <f t="shared" si="42"/>
        <v>80</v>
      </c>
      <c r="B326" s="196" t="str">
        <f t="shared" si="43"/>
        <v>2023 Closed 2024</v>
      </c>
      <c r="C326" s="194" t="s">
        <v>133</v>
      </c>
      <c r="D326" s="194" t="s">
        <v>144</v>
      </c>
      <c r="E326" s="194" t="s">
        <v>143</v>
      </c>
      <c r="F326" s="200" t="s">
        <v>134</v>
      </c>
      <c r="G326" s="198">
        <v>0</v>
      </c>
      <c r="H326" s="198">
        <v>0</v>
      </c>
      <c r="K326" s="199">
        <v>11630.78</v>
      </c>
      <c r="L326" s="198">
        <v>0</v>
      </c>
      <c r="M326" s="198">
        <v>0</v>
      </c>
      <c r="N326" s="197">
        <f t="shared" si="39"/>
        <v>11630.78</v>
      </c>
      <c r="O326" s="197">
        <f t="shared" si="40"/>
        <v>0</v>
      </c>
      <c r="P326" s="197">
        <f t="shared" si="41"/>
        <v>0</v>
      </c>
    </row>
    <row r="327" spans="1:16" x14ac:dyDescent="0.25">
      <c r="A327" s="53">
        <f t="shared" si="42"/>
        <v>81</v>
      </c>
      <c r="B327" s="196" t="str">
        <f t="shared" si="43"/>
        <v>2023 Closed 2024</v>
      </c>
      <c r="C327" s="194" t="s">
        <v>133</v>
      </c>
      <c r="D327" s="194" t="s">
        <v>142</v>
      </c>
      <c r="E327" s="194" t="s">
        <v>141</v>
      </c>
      <c r="F327" s="200" t="s">
        <v>134</v>
      </c>
      <c r="G327" s="198">
        <v>0</v>
      </c>
      <c r="H327" s="198">
        <v>0</v>
      </c>
      <c r="K327" s="199">
        <v>30321.08</v>
      </c>
      <c r="L327" s="198">
        <v>0</v>
      </c>
      <c r="M327" s="198">
        <v>0</v>
      </c>
      <c r="N327" s="197">
        <f t="shared" si="39"/>
        <v>30321.08</v>
      </c>
      <c r="O327" s="197">
        <f t="shared" si="40"/>
        <v>0</v>
      </c>
      <c r="P327" s="197">
        <f t="shared" si="41"/>
        <v>0</v>
      </c>
    </row>
    <row r="328" spans="1:16" x14ac:dyDescent="0.25">
      <c r="A328" s="53">
        <f t="shared" si="42"/>
        <v>82</v>
      </c>
      <c r="B328" s="196" t="str">
        <f t="shared" si="43"/>
        <v>2023 Closed 2024</v>
      </c>
      <c r="C328" s="194" t="s">
        <v>133</v>
      </c>
      <c r="D328" s="194" t="s">
        <v>140</v>
      </c>
      <c r="E328" s="194" t="s">
        <v>139</v>
      </c>
      <c r="F328" s="200" t="s">
        <v>134</v>
      </c>
      <c r="G328" s="198">
        <v>0</v>
      </c>
      <c r="H328" s="198">
        <v>0</v>
      </c>
      <c r="K328" s="199">
        <v>61150.73</v>
      </c>
      <c r="L328" s="198">
        <v>0</v>
      </c>
      <c r="M328" s="198">
        <v>0</v>
      </c>
      <c r="N328" s="197">
        <f t="shared" si="39"/>
        <v>61150.73</v>
      </c>
      <c r="O328" s="197">
        <f t="shared" si="40"/>
        <v>0</v>
      </c>
      <c r="P328" s="197">
        <f t="shared" si="41"/>
        <v>0</v>
      </c>
    </row>
    <row r="329" spans="1:16" x14ac:dyDescent="0.25">
      <c r="A329" s="53">
        <f t="shared" si="42"/>
        <v>83</v>
      </c>
      <c r="B329" s="196" t="str">
        <f t="shared" si="43"/>
        <v>2023 Closed 2024</v>
      </c>
      <c r="C329" s="194" t="s">
        <v>133</v>
      </c>
      <c r="D329" s="194" t="s">
        <v>138</v>
      </c>
      <c r="E329" s="194" t="s">
        <v>137</v>
      </c>
      <c r="F329" s="200" t="s">
        <v>130</v>
      </c>
      <c r="G329" s="198">
        <v>0</v>
      </c>
      <c r="H329" s="198">
        <v>0</v>
      </c>
      <c r="K329" s="199">
        <v>0</v>
      </c>
      <c r="L329" s="198">
        <v>0</v>
      </c>
      <c r="M329" s="198">
        <v>0</v>
      </c>
      <c r="N329" s="197">
        <f t="shared" si="39"/>
        <v>0</v>
      </c>
      <c r="O329" s="197">
        <f t="shared" si="40"/>
        <v>0</v>
      </c>
      <c r="P329" s="197">
        <f t="shared" si="41"/>
        <v>0</v>
      </c>
    </row>
    <row r="330" spans="1:16" x14ac:dyDescent="0.25">
      <c r="A330" s="53">
        <f t="shared" si="42"/>
        <v>84</v>
      </c>
      <c r="B330" s="196" t="str">
        <f t="shared" si="43"/>
        <v>2023 Closed 2024</v>
      </c>
      <c r="C330" s="194" t="s">
        <v>133</v>
      </c>
      <c r="D330" s="194" t="s">
        <v>136</v>
      </c>
      <c r="E330" s="194" t="s">
        <v>135</v>
      </c>
      <c r="F330" s="200" t="s">
        <v>134</v>
      </c>
      <c r="G330" s="198">
        <v>0</v>
      </c>
      <c r="H330" s="198">
        <v>0</v>
      </c>
      <c r="K330" s="199">
        <v>218984.88</v>
      </c>
      <c r="L330" s="198">
        <v>0</v>
      </c>
      <c r="M330" s="198">
        <v>0</v>
      </c>
      <c r="N330" s="197">
        <f t="shared" si="39"/>
        <v>218984.88</v>
      </c>
      <c r="O330" s="197">
        <f t="shared" si="40"/>
        <v>0</v>
      </c>
      <c r="P330" s="197">
        <f t="shared" si="41"/>
        <v>0</v>
      </c>
    </row>
    <row r="331" spans="1:16" x14ac:dyDescent="0.25">
      <c r="A331" s="53">
        <f t="shared" si="42"/>
        <v>85</v>
      </c>
      <c r="B331" s="196" t="str">
        <f t="shared" si="43"/>
        <v>2023 Closed 2024</v>
      </c>
      <c r="C331" s="194" t="s">
        <v>133</v>
      </c>
      <c r="D331" s="194" t="s">
        <v>132</v>
      </c>
      <c r="E331" s="194" t="s">
        <v>131</v>
      </c>
      <c r="F331" s="200" t="s">
        <v>130</v>
      </c>
      <c r="G331" s="198">
        <v>0</v>
      </c>
      <c r="H331" s="198">
        <v>0</v>
      </c>
      <c r="K331" s="199">
        <v>12623.220000000001</v>
      </c>
      <c r="L331" s="198">
        <v>0</v>
      </c>
      <c r="M331" s="198">
        <v>0</v>
      </c>
      <c r="N331" s="197">
        <f t="shared" si="39"/>
        <v>12623.220000000001</v>
      </c>
      <c r="O331" s="197">
        <f t="shared" si="40"/>
        <v>0</v>
      </c>
      <c r="P331" s="197">
        <f t="shared" si="41"/>
        <v>0</v>
      </c>
    </row>
  </sheetData>
  <conditionalFormatting sqref="B4:B245">
    <cfRule type="notContainsBlanks" dxfId="3" priority="2">
      <formula>LEN(TRIM(B4))&gt;0</formula>
    </cfRule>
  </conditionalFormatting>
  <conditionalFormatting sqref="B247:B331">
    <cfRule type="notContainsBlanks" dxfId="2" priority="1">
      <formula>LEN(TRIM(B247))&gt;0</formula>
    </cfRule>
  </conditionalFormatting>
  <pageMargins left="0.7" right="0.7" top="1.25" bottom="0.75" header="0.5" footer="0.3"/>
  <pageSetup scale="32" fitToHeight="3" orientation="portrait" r:id="rId1"/>
  <headerFooter>
    <oddHeader>&amp;R&amp;"Arial,Bold"&amp;24Exhibit JAL-3
Pages &amp;P+1 of 4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C331"/>
  <sheetViews>
    <sheetView zoomScale="90" zoomScaleNormal="90" workbookViewId="0">
      <pane xSplit="7" ySplit="3" topLeftCell="H4" activePane="bottomRight" state="frozen"/>
      <selection pane="topRight"/>
      <selection pane="bottomLeft"/>
      <selection pane="bottomRight" activeCell="E1" sqref="E1"/>
    </sheetView>
  </sheetViews>
  <sheetFormatPr defaultColWidth="8.625" defaultRowHeight="15" outlineLevelCol="1" x14ac:dyDescent="0.25"/>
  <cols>
    <col min="1" max="1" width="0.75" style="53" customWidth="1"/>
    <col min="2" max="2" width="13.375" style="195" customWidth="1"/>
    <col min="3" max="3" width="11.5" style="194" bestFit="1" customWidth="1"/>
    <col min="4" max="4" width="11" style="194" bestFit="1" customWidth="1"/>
    <col min="5" max="5" width="35.375" style="194" customWidth="1"/>
    <col min="6" max="6" width="9.625" style="200" customWidth="1"/>
    <col min="7" max="7" width="17.625" style="194" customWidth="1"/>
    <col min="8" max="12" width="13.5" style="194" customWidth="1" outlineLevel="1"/>
    <col min="13" max="13" width="13.5" style="195" customWidth="1" outlineLevel="1"/>
    <col min="14" max="19" width="13.5" style="53" hidden="1" customWidth="1" outlineLevel="1"/>
    <col min="20" max="20" width="2.375" style="195" customWidth="1" collapsed="1"/>
    <col min="21" max="21" width="17.125" style="195" bestFit="1" customWidth="1"/>
    <col min="22" max="22" width="16.125" style="194" bestFit="1" customWidth="1"/>
    <col min="23" max="23" width="10.125" style="194" customWidth="1"/>
    <col min="24" max="24" width="11.75" style="194" customWidth="1"/>
    <col min="25" max="25" width="19.25" style="194" customWidth="1"/>
    <col min="26" max="26" width="9" style="200" customWidth="1"/>
    <col min="27" max="27" width="15.5" style="194" customWidth="1"/>
    <col min="28" max="28" width="11.375" style="194" customWidth="1"/>
    <col min="29" max="29" width="14.125" style="194" customWidth="1"/>
    <col min="30" max="16384" width="8.625" style="53"/>
  </cols>
  <sheetData>
    <row r="1" spans="1:29" x14ac:dyDescent="0.25">
      <c r="B1" s="237" t="s">
        <v>865</v>
      </c>
      <c r="C1" s="53"/>
      <c r="D1" s="53"/>
      <c r="E1" s="53"/>
      <c r="F1" s="53"/>
      <c r="G1" s="262">
        <f>G2+G246</f>
        <v>140193437.60296884</v>
      </c>
      <c r="H1" s="264"/>
      <c r="I1" s="264"/>
      <c r="J1" s="264"/>
      <c r="K1" s="264"/>
      <c r="L1" s="264"/>
      <c r="M1" s="263"/>
      <c r="N1" s="263"/>
      <c r="O1" s="263"/>
      <c r="P1" s="263"/>
      <c r="Q1" s="263"/>
      <c r="R1" s="263"/>
      <c r="S1" s="263"/>
      <c r="T1" s="263"/>
      <c r="U1" s="262">
        <f>U2+U246</f>
        <v>25736008.439999998</v>
      </c>
      <c r="V1" s="262">
        <f>V2+V246</f>
        <v>-114457429.1629688</v>
      </c>
      <c r="W1" s="53"/>
      <c r="X1" s="53"/>
      <c r="Y1" s="53"/>
      <c r="Z1" s="54"/>
      <c r="AA1" s="53"/>
      <c r="AB1" s="53"/>
      <c r="AC1" s="53"/>
    </row>
    <row r="2" spans="1:29" x14ac:dyDescent="0.25">
      <c r="B2" s="234" t="s">
        <v>864</v>
      </c>
      <c r="C2" s="233"/>
      <c r="D2" s="233"/>
      <c r="E2" s="233"/>
      <c r="F2" s="258"/>
      <c r="G2" s="259">
        <f>SUBTOTAL(9,G4:G245)</f>
        <v>140193437.60296884</v>
      </c>
      <c r="H2" s="261">
        <v>202401</v>
      </c>
      <c r="I2" s="261">
        <v>202402</v>
      </c>
      <c r="J2" s="261">
        <v>202403</v>
      </c>
      <c r="K2" s="261">
        <v>202404</v>
      </c>
      <c r="L2" s="261">
        <v>202405</v>
      </c>
      <c r="M2" s="261">
        <v>202406</v>
      </c>
      <c r="N2" s="261">
        <v>202407</v>
      </c>
      <c r="O2" s="261">
        <v>202408</v>
      </c>
      <c r="P2" s="261">
        <v>202409</v>
      </c>
      <c r="Q2" s="261">
        <v>202410</v>
      </c>
      <c r="R2" s="261">
        <v>202411</v>
      </c>
      <c r="S2" s="261">
        <v>202412</v>
      </c>
      <c r="T2" s="260"/>
      <c r="U2" s="259">
        <f>SUBTOTAL(9,U4:U245)</f>
        <v>24559293.569999997</v>
      </c>
      <c r="V2" s="259">
        <f>SUBTOTAL(9,V4:V245)</f>
        <v>-115634144.0329688</v>
      </c>
      <c r="W2" s="233"/>
      <c r="X2" s="233"/>
      <c r="Y2" s="233"/>
      <c r="Z2" s="258"/>
      <c r="AA2" s="233"/>
      <c r="AB2" s="233"/>
      <c r="AC2" s="257"/>
    </row>
    <row r="3" spans="1:29" ht="76.5" customHeight="1" x14ac:dyDescent="0.25">
      <c r="B3" s="256" t="s">
        <v>863</v>
      </c>
      <c r="C3" s="255" t="s">
        <v>825</v>
      </c>
      <c r="D3" s="254" t="s">
        <v>824</v>
      </c>
      <c r="E3" s="254" t="s">
        <v>823</v>
      </c>
      <c r="F3" s="253" t="s">
        <v>822</v>
      </c>
      <c r="G3" s="253" t="s">
        <v>821</v>
      </c>
      <c r="H3" s="250" t="s">
        <v>862</v>
      </c>
      <c r="I3" s="250" t="s">
        <v>861</v>
      </c>
      <c r="J3" s="250" t="s">
        <v>860</v>
      </c>
      <c r="K3" s="250" t="s">
        <v>859</v>
      </c>
      <c r="L3" s="250" t="s">
        <v>858</v>
      </c>
      <c r="M3" s="252" t="s">
        <v>858</v>
      </c>
      <c r="N3" s="252" t="s">
        <v>857</v>
      </c>
      <c r="O3" s="250" t="s">
        <v>856</v>
      </c>
      <c r="P3" s="250" t="s">
        <v>855</v>
      </c>
      <c r="Q3" s="250" t="s">
        <v>854</v>
      </c>
      <c r="R3" s="250" t="s">
        <v>853</v>
      </c>
      <c r="S3" s="250" t="s">
        <v>852</v>
      </c>
      <c r="T3" s="250"/>
      <c r="U3" s="252" t="s">
        <v>851</v>
      </c>
      <c r="V3" s="250" t="s">
        <v>850</v>
      </c>
      <c r="W3" s="250" t="s">
        <v>849</v>
      </c>
      <c r="X3" s="250" t="s">
        <v>848</v>
      </c>
      <c r="Y3" s="251" t="s">
        <v>847</v>
      </c>
      <c r="Z3" s="250" t="s">
        <v>846</v>
      </c>
      <c r="AA3" s="250" t="s">
        <v>845</v>
      </c>
      <c r="AB3" s="250" t="s">
        <v>844</v>
      </c>
      <c r="AC3" s="250" t="s">
        <v>843</v>
      </c>
    </row>
    <row r="4" spans="1:29" x14ac:dyDescent="0.25">
      <c r="A4" s="209" t="str">
        <f t="shared" ref="A4:A41" si="0">RIGHT(D4,LEN(D4)-3)</f>
        <v>324301</v>
      </c>
      <c r="B4" s="196"/>
      <c r="C4" s="194" t="s">
        <v>196</v>
      </c>
      <c r="D4" s="194" t="s">
        <v>811</v>
      </c>
      <c r="E4" s="194" t="s">
        <v>810</v>
      </c>
      <c r="F4" s="200">
        <v>394.1</v>
      </c>
      <c r="G4" s="208">
        <v>2638.7480350000001</v>
      </c>
      <c r="H4" s="198">
        <v>0</v>
      </c>
      <c r="I4" s="198">
        <v>0</v>
      </c>
      <c r="J4" s="198">
        <v>0</v>
      </c>
      <c r="K4" s="198">
        <v>0</v>
      </c>
      <c r="L4" s="198">
        <v>0</v>
      </c>
      <c r="M4" s="199">
        <v>0</v>
      </c>
      <c r="N4" s="245">
        <v>0</v>
      </c>
      <c r="O4" s="245">
        <v>0</v>
      </c>
      <c r="P4" s="245">
        <v>0</v>
      </c>
      <c r="Q4" s="245">
        <v>0</v>
      </c>
      <c r="R4" s="245">
        <v>0</v>
      </c>
      <c r="S4" s="245">
        <v>0</v>
      </c>
      <c r="T4" s="199"/>
      <c r="U4" s="241">
        <f t="shared" ref="U4:U67" si="1">SUM(H4:T4)</f>
        <v>0</v>
      </c>
      <c r="V4" s="240">
        <f t="shared" ref="V4:V67" si="2">U4-G4</f>
        <v>-2638.7480350000001</v>
      </c>
      <c r="W4" s="239">
        <f t="shared" ref="W4:W67" si="3">+IFERROR(V4/G4,"100%")</f>
        <v>-1</v>
      </c>
      <c r="X4" s="238" t="str">
        <f t="shared" ref="X4:X67" si="4">IFERROR(IF(AND(ABS(V4)&gt;=500000,ABS(W4)&gt;=10%),"yes",""),"")</f>
        <v/>
      </c>
      <c r="Y4" s="243" t="s">
        <v>841</v>
      </c>
      <c r="Z4" s="244">
        <v>1</v>
      </c>
      <c r="AA4" s="243" t="s">
        <v>832</v>
      </c>
      <c r="AB4" s="243" t="s">
        <v>831</v>
      </c>
      <c r="AC4" s="194" t="s">
        <v>318</v>
      </c>
    </row>
    <row r="5" spans="1:29" x14ac:dyDescent="0.25">
      <c r="A5" s="209" t="str">
        <f t="shared" si="0"/>
        <v>324315</v>
      </c>
      <c r="B5" s="196" t="s">
        <v>318</v>
      </c>
      <c r="C5" s="194" t="s">
        <v>196</v>
      </c>
      <c r="D5" s="194" t="s">
        <v>809</v>
      </c>
      <c r="E5" s="194" t="s">
        <v>808</v>
      </c>
      <c r="F5" s="200">
        <v>394.1</v>
      </c>
      <c r="G5" s="208">
        <v>10554.99214</v>
      </c>
      <c r="H5" s="198">
        <v>0</v>
      </c>
      <c r="I5" s="198">
        <v>0</v>
      </c>
      <c r="J5" s="198">
        <v>0</v>
      </c>
      <c r="K5" s="198">
        <v>0</v>
      </c>
      <c r="L5" s="198">
        <v>10928.03</v>
      </c>
      <c r="M5" s="199">
        <v>0</v>
      </c>
      <c r="N5" s="245">
        <v>0</v>
      </c>
      <c r="O5" s="245">
        <v>0</v>
      </c>
      <c r="P5" s="245">
        <v>0</v>
      </c>
      <c r="Q5" s="245">
        <v>0</v>
      </c>
      <c r="R5" s="245">
        <v>0</v>
      </c>
      <c r="S5" s="245">
        <v>0</v>
      </c>
      <c r="T5" s="199"/>
      <c r="U5" s="241">
        <f t="shared" si="1"/>
        <v>10928.03</v>
      </c>
      <c r="V5" s="240">
        <f t="shared" si="2"/>
        <v>373.03786000000036</v>
      </c>
      <c r="W5" s="239">
        <f t="shared" si="3"/>
        <v>3.5342315280966222E-2</v>
      </c>
      <c r="X5" s="238" t="str">
        <f t="shared" si="4"/>
        <v/>
      </c>
      <c r="Y5" s="243" t="s">
        <v>841</v>
      </c>
      <c r="Z5" s="244">
        <v>1</v>
      </c>
      <c r="AA5" s="243" t="s">
        <v>832</v>
      </c>
      <c r="AB5" s="243" t="s">
        <v>831</v>
      </c>
      <c r="AC5" s="194" t="s">
        <v>318</v>
      </c>
    </row>
    <row r="6" spans="1:29" x14ac:dyDescent="0.25">
      <c r="A6" s="209" t="str">
        <f t="shared" si="0"/>
        <v>324480</v>
      </c>
      <c r="B6" s="196" t="s">
        <v>318</v>
      </c>
      <c r="C6" s="194" t="s">
        <v>196</v>
      </c>
      <c r="D6" s="194" t="s">
        <v>807</v>
      </c>
      <c r="E6" s="194" t="s">
        <v>806</v>
      </c>
      <c r="F6" s="200">
        <v>394.1</v>
      </c>
      <c r="G6" s="208">
        <v>8293.2081100000014</v>
      </c>
      <c r="H6" s="198">
        <v>0</v>
      </c>
      <c r="I6" s="198">
        <v>0</v>
      </c>
      <c r="J6" s="198">
        <v>0</v>
      </c>
      <c r="K6" s="198">
        <v>0</v>
      </c>
      <c r="L6" s="198">
        <v>0</v>
      </c>
      <c r="M6" s="199">
        <v>0</v>
      </c>
      <c r="N6" s="245">
        <v>0</v>
      </c>
      <c r="O6" s="245">
        <v>0</v>
      </c>
      <c r="P6" s="245">
        <v>0</v>
      </c>
      <c r="Q6" s="245">
        <v>0</v>
      </c>
      <c r="R6" s="245">
        <v>0</v>
      </c>
      <c r="S6" s="245">
        <v>0</v>
      </c>
      <c r="T6" s="199"/>
      <c r="U6" s="241">
        <f t="shared" si="1"/>
        <v>0</v>
      </c>
      <c r="V6" s="240">
        <f t="shared" si="2"/>
        <v>-8293.2081100000014</v>
      </c>
      <c r="W6" s="239">
        <f t="shared" si="3"/>
        <v>-1</v>
      </c>
      <c r="X6" s="238" t="str">
        <f t="shared" si="4"/>
        <v/>
      </c>
      <c r="Y6" s="243" t="s">
        <v>841</v>
      </c>
      <c r="Z6" s="244">
        <v>1</v>
      </c>
      <c r="AA6" s="243" t="s">
        <v>832</v>
      </c>
      <c r="AB6" s="243" t="s">
        <v>831</v>
      </c>
      <c r="AC6" s="194" t="s">
        <v>318</v>
      </c>
    </row>
    <row r="7" spans="1:29" x14ac:dyDescent="0.25">
      <c r="A7" s="209" t="str">
        <f t="shared" si="0"/>
        <v>324820</v>
      </c>
      <c r="B7" s="196" t="s">
        <v>318</v>
      </c>
      <c r="C7" s="194" t="s">
        <v>196</v>
      </c>
      <c r="D7" s="194" t="s">
        <v>805</v>
      </c>
      <c r="E7" s="194" t="s">
        <v>804</v>
      </c>
      <c r="F7" s="200">
        <v>376.2</v>
      </c>
      <c r="G7" s="208">
        <v>76795.741768000007</v>
      </c>
      <c r="H7" s="198">
        <v>0</v>
      </c>
      <c r="I7" s="198">
        <v>0</v>
      </c>
      <c r="J7" s="198">
        <v>0</v>
      </c>
      <c r="K7" s="198">
        <v>0</v>
      </c>
      <c r="L7" s="198">
        <v>0</v>
      </c>
      <c r="M7" s="199">
        <v>0</v>
      </c>
      <c r="N7" s="245">
        <v>0</v>
      </c>
      <c r="O7" s="245">
        <v>0</v>
      </c>
      <c r="P7" s="245">
        <v>0</v>
      </c>
      <c r="Q7" s="245">
        <v>0</v>
      </c>
      <c r="R7" s="245">
        <v>0</v>
      </c>
      <c r="S7" s="245">
        <v>0</v>
      </c>
      <c r="T7" s="199"/>
      <c r="U7" s="241">
        <f t="shared" si="1"/>
        <v>0</v>
      </c>
      <c r="V7" s="240">
        <f t="shared" si="2"/>
        <v>-76795.741768000007</v>
      </c>
      <c r="W7" s="239">
        <f t="shared" si="3"/>
        <v>-1</v>
      </c>
      <c r="X7" s="238" t="str">
        <f t="shared" si="4"/>
        <v/>
      </c>
      <c r="Y7" s="243" t="s">
        <v>841</v>
      </c>
      <c r="Z7" s="244">
        <v>1</v>
      </c>
      <c r="AA7" s="243" t="s">
        <v>832</v>
      </c>
      <c r="AB7" s="243" t="s">
        <v>831</v>
      </c>
      <c r="AC7" s="194" t="s">
        <v>318</v>
      </c>
    </row>
    <row r="8" spans="1:29" x14ac:dyDescent="0.25">
      <c r="A8" s="209" t="str">
        <f t="shared" si="0"/>
        <v>324824</v>
      </c>
      <c r="B8" s="196" t="s">
        <v>318</v>
      </c>
      <c r="C8" s="194" t="s">
        <v>196</v>
      </c>
      <c r="D8" s="194" t="s">
        <v>803</v>
      </c>
      <c r="E8" s="194" t="s">
        <v>802</v>
      </c>
      <c r="F8" s="200">
        <v>378</v>
      </c>
      <c r="G8" s="208">
        <v>53708.996095999995</v>
      </c>
      <c r="H8" s="198">
        <v>0</v>
      </c>
      <c r="I8" s="198">
        <v>0</v>
      </c>
      <c r="J8" s="198">
        <v>0</v>
      </c>
      <c r="K8" s="198">
        <v>0</v>
      </c>
      <c r="L8" s="198">
        <v>0</v>
      </c>
      <c r="M8" s="199">
        <v>0</v>
      </c>
      <c r="N8" s="245">
        <v>0</v>
      </c>
      <c r="O8" s="245">
        <v>0</v>
      </c>
      <c r="P8" s="245">
        <v>0</v>
      </c>
      <c r="Q8" s="245">
        <v>0</v>
      </c>
      <c r="R8" s="245">
        <v>0</v>
      </c>
      <c r="S8" s="245">
        <v>0</v>
      </c>
      <c r="T8" s="199"/>
      <c r="U8" s="241">
        <f t="shared" si="1"/>
        <v>0</v>
      </c>
      <c r="V8" s="240">
        <f t="shared" si="2"/>
        <v>-53708.996095999995</v>
      </c>
      <c r="W8" s="239">
        <f t="shared" si="3"/>
        <v>-1</v>
      </c>
      <c r="X8" s="238" t="str">
        <f t="shared" si="4"/>
        <v/>
      </c>
      <c r="Y8" s="243" t="s">
        <v>841</v>
      </c>
      <c r="Z8" s="244">
        <v>1</v>
      </c>
      <c r="AA8" s="243" t="s">
        <v>832</v>
      </c>
      <c r="AB8" s="243" t="s">
        <v>831</v>
      </c>
      <c r="AC8" s="194" t="s">
        <v>318</v>
      </c>
    </row>
    <row r="9" spans="1:29" x14ac:dyDescent="0.25">
      <c r="A9" s="209" t="str">
        <f t="shared" si="0"/>
        <v>322776</v>
      </c>
      <c r="B9" s="196" t="s">
        <v>620</v>
      </c>
      <c r="C9" s="248" t="s">
        <v>196</v>
      </c>
      <c r="D9" s="248" t="s">
        <v>801</v>
      </c>
      <c r="E9" s="248" t="s">
        <v>800</v>
      </c>
      <c r="F9" s="247">
        <v>376.2</v>
      </c>
      <c r="G9" s="246">
        <v>29040773.440000001</v>
      </c>
      <c r="H9" s="198">
        <v>0</v>
      </c>
      <c r="I9" s="198">
        <v>0</v>
      </c>
      <c r="J9" s="198">
        <v>0</v>
      </c>
      <c r="K9" s="198">
        <v>0</v>
      </c>
      <c r="L9" s="198">
        <v>0</v>
      </c>
      <c r="M9" s="199">
        <v>0</v>
      </c>
      <c r="N9" s="245">
        <v>0</v>
      </c>
      <c r="O9" s="245">
        <v>0</v>
      </c>
      <c r="P9" s="245">
        <v>0</v>
      </c>
      <c r="Q9" s="245">
        <v>0</v>
      </c>
      <c r="R9" s="245">
        <v>0</v>
      </c>
      <c r="S9" s="245">
        <v>0</v>
      </c>
      <c r="T9" s="199"/>
      <c r="U9" s="241">
        <f t="shared" si="1"/>
        <v>0</v>
      </c>
      <c r="V9" s="240">
        <f t="shared" si="2"/>
        <v>-29040773.440000001</v>
      </c>
      <c r="W9" s="239">
        <f t="shared" si="3"/>
        <v>-1</v>
      </c>
      <c r="X9" s="238" t="str">
        <f t="shared" si="4"/>
        <v>yes</v>
      </c>
      <c r="Y9" s="243" t="s">
        <v>842</v>
      </c>
      <c r="Z9" s="244">
        <v>42</v>
      </c>
      <c r="AA9" s="243" t="s">
        <v>832</v>
      </c>
      <c r="AB9" s="243" t="s">
        <v>837</v>
      </c>
      <c r="AC9" s="194" t="s">
        <v>830</v>
      </c>
    </row>
    <row r="10" spans="1:29" x14ac:dyDescent="0.25">
      <c r="A10" s="209" t="str">
        <f t="shared" si="0"/>
        <v>322783</v>
      </c>
      <c r="B10" s="196" t="s">
        <v>318</v>
      </c>
      <c r="C10" s="194" t="s">
        <v>196</v>
      </c>
      <c r="D10" s="194" t="s">
        <v>798</v>
      </c>
      <c r="E10" s="194" t="s">
        <v>797</v>
      </c>
      <c r="F10" s="200">
        <v>374.1</v>
      </c>
      <c r="G10" s="208">
        <v>119146.94</v>
      </c>
      <c r="H10" s="198">
        <v>0</v>
      </c>
      <c r="I10" s="198">
        <v>0</v>
      </c>
      <c r="J10" s="198">
        <v>0</v>
      </c>
      <c r="K10" s="198">
        <v>0</v>
      </c>
      <c r="L10" s="198">
        <v>0</v>
      </c>
      <c r="M10" s="199">
        <v>0</v>
      </c>
      <c r="N10" s="245">
        <v>0</v>
      </c>
      <c r="O10" s="245">
        <v>0</v>
      </c>
      <c r="P10" s="245">
        <v>0</v>
      </c>
      <c r="Q10" s="245">
        <v>0</v>
      </c>
      <c r="R10" s="245">
        <v>0</v>
      </c>
      <c r="S10" s="245">
        <v>0</v>
      </c>
      <c r="T10" s="199"/>
      <c r="U10" s="241">
        <f t="shared" si="1"/>
        <v>0</v>
      </c>
      <c r="V10" s="240">
        <f t="shared" si="2"/>
        <v>-119146.94</v>
      </c>
      <c r="W10" s="239">
        <f t="shared" si="3"/>
        <v>-1</v>
      </c>
      <c r="X10" s="238" t="str">
        <f t="shared" si="4"/>
        <v/>
      </c>
      <c r="Y10" s="243" t="s">
        <v>842</v>
      </c>
      <c r="Z10" s="244">
        <v>42</v>
      </c>
      <c r="AA10" s="243" t="s">
        <v>832</v>
      </c>
      <c r="AB10" s="243" t="s">
        <v>837</v>
      </c>
      <c r="AC10" s="194" t="s">
        <v>830</v>
      </c>
    </row>
    <row r="11" spans="1:29" x14ac:dyDescent="0.25">
      <c r="A11" s="209" t="str">
        <f t="shared" si="0"/>
        <v>322784</v>
      </c>
      <c r="B11" s="196" t="s">
        <v>318</v>
      </c>
      <c r="C11" s="194" t="s">
        <v>196</v>
      </c>
      <c r="D11" s="194" t="s">
        <v>796</v>
      </c>
      <c r="E11" s="194" t="s">
        <v>795</v>
      </c>
      <c r="F11" s="200">
        <v>378</v>
      </c>
      <c r="G11" s="208">
        <v>498151.91000000003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9">
        <v>0</v>
      </c>
      <c r="N11" s="245">
        <v>0</v>
      </c>
      <c r="O11" s="245">
        <v>0</v>
      </c>
      <c r="P11" s="245">
        <v>0</v>
      </c>
      <c r="Q11" s="245">
        <v>0</v>
      </c>
      <c r="R11" s="245">
        <v>0</v>
      </c>
      <c r="S11" s="245">
        <v>0</v>
      </c>
      <c r="T11" s="199"/>
      <c r="U11" s="241">
        <f t="shared" si="1"/>
        <v>0</v>
      </c>
      <c r="V11" s="240">
        <f t="shared" si="2"/>
        <v>-498151.91000000003</v>
      </c>
      <c r="W11" s="239">
        <f t="shared" si="3"/>
        <v>-1</v>
      </c>
      <c r="X11" s="238" t="str">
        <f t="shared" si="4"/>
        <v/>
      </c>
      <c r="Y11" s="243" t="s">
        <v>842</v>
      </c>
      <c r="Z11" s="244">
        <v>42</v>
      </c>
      <c r="AA11" s="243" t="s">
        <v>832</v>
      </c>
      <c r="AB11" s="243" t="s">
        <v>837</v>
      </c>
      <c r="AC11" s="194" t="s">
        <v>830</v>
      </c>
    </row>
    <row r="12" spans="1:29" x14ac:dyDescent="0.25">
      <c r="A12" s="209" t="str">
        <f t="shared" si="0"/>
        <v>323431</v>
      </c>
      <c r="B12" s="196" t="s">
        <v>318</v>
      </c>
      <c r="C12" s="194" t="s">
        <v>196</v>
      </c>
      <c r="D12" s="194" t="s">
        <v>794</v>
      </c>
      <c r="E12" s="194" t="s">
        <v>793</v>
      </c>
      <c r="F12" s="200">
        <v>376.2</v>
      </c>
      <c r="G12" s="208">
        <v>237521.69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9">
        <v>0</v>
      </c>
      <c r="N12" s="245">
        <v>0</v>
      </c>
      <c r="O12" s="245">
        <v>0</v>
      </c>
      <c r="P12" s="245">
        <v>0</v>
      </c>
      <c r="Q12" s="245">
        <v>0</v>
      </c>
      <c r="R12" s="245">
        <v>0</v>
      </c>
      <c r="S12" s="245">
        <v>0</v>
      </c>
      <c r="T12" s="199"/>
      <c r="U12" s="241">
        <f t="shared" si="1"/>
        <v>0</v>
      </c>
      <c r="V12" s="240">
        <f t="shared" si="2"/>
        <v>-237521.69</v>
      </c>
      <c r="W12" s="239">
        <f t="shared" si="3"/>
        <v>-1</v>
      </c>
      <c r="X12" s="238" t="str">
        <f t="shared" si="4"/>
        <v/>
      </c>
      <c r="Y12" s="243" t="s">
        <v>842</v>
      </c>
      <c r="Z12" s="244">
        <v>45</v>
      </c>
      <c r="AA12" s="243" t="s">
        <v>832</v>
      </c>
      <c r="AB12" s="243" t="s">
        <v>837</v>
      </c>
      <c r="AC12" s="194" t="s">
        <v>829</v>
      </c>
    </row>
    <row r="13" spans="1:29" x14ac:dyDescent="0.25">
      <c r="A13" s="209" t="str">
        <f t="shared" si="0"/>
        <v>323432</v>
      </c>
      <c r="B13" s="196" t="s">
        <v>318</v>
      </c>
      <c r="C13" s="194" t="s">
        <v>196</v>
      </c>
      <c r="D13" s="194" t="s">
        <v>792</v>
      </c>
      <c r="E13" s="194" t="s">
        <v>791</v>
      </c>
      <c r="F13" s="200">
        <v>378</v>
      </c>
      <c r="G13" s="208">
        <v>582324.92000000004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9">
        <v>0</v>
      </c>
      <c r="N13" s="245">
        <v>0</v>
      </c>
      <c r="O13" s="245">
        <v>0</v>
      </c>
      <c r="P13" s="245">
        <v>0</v>
      </c>
      <c r="Q13" s="245">
        <v>0</v>
      </c>
      <c r="R13" s="245">
        <v>0</v>
      </c>
      <c r="S13" s="245">
        <v>0</v>
      </c>
      <c r="T13" s="199"/>
      <c r="U13" s="241">
        <f t="shared" si="1"/>
        <v>0</v>
      </c>
      <c r="V13" s="240">
        <f t="shared" si="2"/>
        <v>-582324.92000000004</v>
      </c>
      <c r="W13" s="239">
        <f t="shared" si="3"/>
        <v>-1</v>
      </c>
      <c r="X13" s="238" t="str">
        <f t="shared" si="4"/>
        <v>yes</v>
      </c>
      <c r="Y13" s="243" t="s">
        <v>842</v>
      </c>
      <c r="Z13" s="244">
        <v>45</v>
      </c>
      <c r="AA13" s="243" t="s">
        <v>832</v>
      </c>
      <c r="AB13" s="243" t="s">
        <v>837</v>
      </c>
      <c r="AC13" s="194" t="s">
        <v>829</v>
      </c>
    </row>
    <row r="14" spans="1:29" x14ac:dyDescent="0.25">
      <c r="A14" s="209" t="str">
        <f t="shared" si="0"/>
        <v>323434</v>
      </c>
      <c r="B14" s="196" t="s">
        <v>318</v>
      </c>
      <c r="C14" s="194" t="s">
        <v>196</v>
      </c>
      <c r="D14" s="194" t="s">
        <v>790</v>
      </c>
      <c r="E14" s="194" t="s">
        <v>789</v>
      </c>
      <c r="F14" s="200">
        <v>378</v>
      </c>
      <c r="G14" s="208">
        <v>1181773.33</v>
      </c>
      <c r="H14" s="198">
        <v>0</v>
      </c>
      <c r="I14" s="198">
        <v>0</v>
      </c>
      <c r="J14" s="198">
        <v>0</v>
      </c>
      <c r="K14" s="198">
        <v>0</v>
      </c>
      <c r="L14" s="198">
        <v>0</v>
      </c>
      <c r="M14" s="199">
        <v>0</v>
      </c>
      <c r="N14" s="245">
        <v>0</v>
      </c>
      <c r="O14" s="245">
        <v>0</v>
      </c>
      <c r="P14" s="245">
        <v>0</v>
      </c>
      <c r="Q14" s="245">
        <v>0</v>
      </c>
      <c r="R14" s="245">
        <v>0</v>
      </c>
      <c r="S14" s="245">
        <v>0</v>
      </c>
      <c r="T14" s="199"/>
      <c r="U14" s="241">
        <f t="shared" si="1"/>
        <v>0</v>
      </c>
      <c r="V14" s="240">
        <f t="shared" si="2"/>
        <v>-1181773.33</v>
      </c>
      <c r="W14" s="239">
        <f t="shared" si="3"/>
        <v>-1</v>
      </c>
      <c r="X14" s="238" t="str">
        <f t="shared" si="4"/>
        <v>yes</v>
      </c>
      <c r="Y14" s="243" t="s">
        <v>842</v>
      </c>
      <c r="Z14" s="244">
        <v>45</v>
      </c>
      <c r="AA14" s="243" t="s">
        <v>832</v>
      </c>
      <c r="AB14" s="243" t="s">
        <v>837</v>
      </c>
      <c r="AC14" s="194" t="s">
        <v>829</v>
      </c>
    </row>
    <row r="15" spans="1:29" x14ac:dyDescent="0.25">
      <c r="A15" s="209" t="str">
        <f t="shared" si="0"/>
        <v>323435</v>
      </c>
      <c r="B15" s="196" t="s">
        <v>318</v>
      </c>
      <c r="C15" s="194" t="s">
        <v>196</v>
      </c>
      <c r="D15" s="194" t="s">
        <v>788</v>
      </c>
      <c r="E15" s="194" t="s">
        <v>787</v>
      </c>
      <c r="F15" s="200">
        <v>385</v>
      </c>
      <c r="G15" s="208">
        <v>97718.88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9">
        <v>0</v>
      </c>
      <c r="N15" s="245">
        <v>0</v>
      </c>
      <c r="O15" s="245">
        <v>0</v>
      </c>
      <c r="P15" s="245">
        <v>0</v>
      </c>
      <c r="Q15" s="245">
        <v>0</v>
      </c>
      <c r="R15" s="245">
        <v>0</v>
      </c>
      <c r="S15" s="245">
        <v>0</v>
      </c>
      <c r="T15" s="199"/>
      <c r="U15" s="241">
        <f t="shared" si="1"/>
        <v>0</v>
      </c>
      <c r="V15" s="240">
        <f t="shared" si="2"/>
        <v>-97718.88</v>
      </c>
      <c r="W15" s="239">
        <f t="shared" si="3"/>
        <v>-1</v>
      </c>
      <c r="X15" s="238" t="str">
        <f t="shared" si="4"/>
        <v/>
      </c>
      <c r="Y15" s="243" t="s">
        <v>842</v>
      </c>
      <c r="Z15" s="244">
        <v>45</v>
      </c>
      <c r="AA15" s="243" t="s">
        <v>832</v>
      </c>
      <c r="AB15" s="243" t="s">
        <v>837</v>
      </c>
      <c r="AC15" s="194" t="s">
        <v>829</v>
      </c>
    </row>
    <row r="16" spans="1:29" x14ac:dyDescent="0.25">
      <c r="A16" s="209" t="str">
        <f t="shared" si="0"/>
        <v>323731</v>
      </c>
      <c r="B16" s="196" t="s">
        <v>318</v>
      </c>
      <c r="C16" s="194" t="s">
        <v>196</v>
      </c>
      <c r="D16" s="194" t="s">
        <v>786</v>
      </c>
      <c r="E16" s="194" t="s">
        <v>785</v>
      </c>
      <c r="F16" s="200">
        <v>377</v>
      </c>
      <c r="G16" s="208">
        <v>147143.05276300001</v>
      </c>
      <c r="H16" s="198">
        <v>0</v>
      </c>
      <c r="I16" s="198">
        <v>0</v>
      </c>
      <c r="J16" s="198">
        <v>0</v>
      </c>
      <c r="K16" s="198">
        <v>0</v>
      </c>
      <c r="L16" s="198">
        <v>0</v>
      </c>
      <c r="M16" s="199">
        <v>0</v>
      </c>
      <c r="N16" s="245">
        <v>0</v>
      </c>
      <c r="O16" s="245">
        <v>0</v>
      </c>
      <c r="P16" s="245">
        <v>0</v>
      </c>
      <c r="Q16" s="245">
        <v>0</v>
      </c>
      <c r="R16" s="245">
        <v>0</v>
      </c>
      <c r="S16" s="245">
        <v>0</v>
      </c>
      <c r="T16" s="199"/>
      <c r="U16" s="241">
        <f t="shared" si="1"/>
        <v>0</v>
      </c>
      <c r="V16" s="240">
        <f t="shared" si="2"/>
        <v>-147143.05276300001</v>
      </c>
      <c r="W16" s="239">
        <f t="shared" si="3"/>
        <v>-1</v>
      </c>
      <c r="X16" s="238" t="str">
        <f t="shared" si="4"/>
        <v/>
      </c>
      <c r="Y16" s="243" t="s">
        <v>841</v>
      </c>
      <c r="Z16" s="244">
        <v>1</v>
      </c>
      <c r="AA16" s="243" t="s">
        <v>832</v>
      </c>
      <c r="AB16" s="243" t="s">
        <v>831</v>
      </c>
      <c r="AC16" s="194" t="s">
        <v>318</v>
      </c>
    </row>
    <row r="17" spans="1:29" x14ac:dyDescent="0.25">
      <c r="A17" s="209" t="str">
        <f t="shared" si="0"/>
        <v>323795</v>
      </c>
      <c r="B17" s="196" t="s">
        <v>318</v>
      </c>
      <c r="C17" s="194" t="s">
        <v>196</v>
      </c>
      <c r="D17" s="194" t="s">
        <v>784</v>
      </c>
      <c r="E17" s="194" t="s">
        <v>783</v>
      </c>
      <c r="F17" s="200">
        <v>377</v>
      </c>
      <c r="G17" s="208">
        <v>18881.810000000001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9">
        <v>0</v>
      </c>
      <c r="N17" s="245">
        <v>0</v>
      </c>
      <c r="O17" s="245">
        <v>0</v>
      </c>
      <c r="P17" s="245">
        <v>0</v>
      </c>
      <c r="Q17" s="245">
        <v>0</v>
      </c>
      <c r="R17" s="245">
        <v>0</v>
      </c>
      <c r="S17" s="245">
        <v>0</v>
      </c>
      <c r="T17" s="199"/>
      <c r="U17" s="241">
        <f t="shared" si="1"/>
        <v>0</v>
      </c>
      <c r="V17" s="240">
        <f t="shared" si="2"/>
        <v>-18881.810000000001</v>
      </c>
      <c r="W17" s="239">
        <f t="shared" si="3"/>
        <v>-1</v>
      </c>
      <c r="X17" s="238" t="str">
        <f t="shared" si="4"/>
        <v/>
      </c>
      <c r="Y17" s="243" t="s">
        <v>841</v>
      </c>
      <c r="Z17" s="244">
        <v>1</v>
      </c>
      <c r="AA17" s="243" t="s">
        <v>832</v>
      </c>
      <c r="AB17" s="243" t="s">
        <v>831</v>
      </c>
      <c r="AC17" s="194" t="s">
        <v>830</v>
      </c>
    </row>
    <row r="18" spans="1:29" x14ac:dyDescent="0.25">
      <c r="A18" s="209" t="str">
        <f t="shared" si="0"/>
        <v>324495</v>
      </c>
      <c r="B18" s="196" t="s">
        <v>318</v>
      </c>
      <c r="C18" s="194" t="s">
        <v>196</v>
      </c>
      <c r="D18" s="194" t="s">
        <v>782</v>
      </c>
      <c r="E18" s="194" t="s">
        <v>781</v>
      </c>
      <c r="F18" s="200">
        <v>377</v>
      </c>
      <c r="G18" s="208">
        <v>18174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9">
        <v>16954.12</v>
      </c>
      <c r="N18" s="245">
        <v>0</v>
      </c>
      <c r="O18" s="245">
        <v>0</v>
      </c>
      <c r="P18" s="245">
        <v>0</v>
      </c>
      <c r="Q18" s="245">
        <v>0</v>
      </c>
      <c r="R18" s="245">
        <v>0</v>
      </c>
      <c r="S18" s="245">
        <v>0</v>
      </c>
      <c r="T18" s="199"/>
      <c r="U18" s="241">
        <f t="shared" si="1"/>
        <v>16954.12</v>
      </c>
      <c r="V18" s="240">
        <f t="shared" si="2"/>
        <v>-1219.880000000001</v>
      </c>
      <c r="W18" s="239">
        <f t="shared" si="3"/>
        <v>-6.7122262572906405E-2</v>
      </c>
      <c r="X18" s="238" t="str">
        <f t="shared" si="4"/>
        <v/>
      </c>
      <c r="Y18" s="243" t="s">
        <v>841</v>
      </c>
      <c r="Z18" s="244">
        <v>1</v>
      </c>
      <c r="AA18" s="243" t="s">
        <v>832</v>
      </c>
      <c r="AB18" s="243" t="s">
        <v>831</v>
      </c>
      <c r="AC18" s="194" t="s">
        <v>830</v>
      </c>
    </row>
    <row r="19" spans="1:29" x14ac:dyDescent="0.25">
      <c r="A19" s="209" t="str">
        <f t="shared" si="0"/>
        <v>324502</v>
      </c>
      <c r="B19" s="196" t="s">
        <v>318</v>
      </c>
      <c r="C19" s="194" t="s">
        <v>196</v>
      </c>
      <c r="D19" s="194" t="s">
        <v>780</v>
      </c>
      <c r="E19" s="194" t="s">
        <v>779</v>
      </c>
      <c r="F19" s="200">
        <v>377</v>
      </c>
      <c r="G19" s="208">
        <v>21808.799999999999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9">
        <v>23788.63</v>
      </c>
      <c r="N19" s="245">
        <v>0</v>
      </c>
      <c r="O19" s="245">
        <v>0</v>
      </c>
      <c r="P19" s="245">
        <v>0</v>
      </c>
      <c r="Q19" s="245">
        <v>0</v>
      </c>
      <c r="R19" s="245">
        <v>0</v>
      </c>
      <c r="S19" s="245">
        <v>0</v>
      </c>
      <c r="T19" s="199"/>
      <c r="U19" s="241">
        <f t="shared" si="1"/>
        <v>23788.63</v>
      </c>
      <c r="V19" s="240">
        <f t="shared" si="2"/>
        <v>1979.8300000000017</v>
      </c>
      <c r="W19" s="239">
        <f t="shared" si="3"/>
        <v>9.078124426836881E-2</v>
      </c>
      <c r="X19" s="238" t="str">
        <f t="shared" si="4"/>
        <v/>
      </c>
      <c r="Y19" s="243" t="s">
        <v>841</v>
      </c>
      <c r="Z19" s="244">
        <v>1</v>
      </c>
      <c r="AA19" s="243" t="s">
        <v>832</v>
      </c>
      <c r="AB19" s="243" t="s">
        <v>831</v>
      </c>
      <c r="AC19" s="194" t="s">
        <v>830</v>
      </c>
    </row>
    <row r="20" spans="1:29" x14ac:dyDescent="0.25">
      <c r="A20" s="209" t="str">
        <f t="shared" si="0"/>
        <v>324704</v>
      </c>
      <c r="B20" s="196" t="s">
        <v>318</v>
      </c>
      <c r="C20" s="194" t="s">
        <v>196</v>
      </c>
      <c r="D20" s="194" t="s">
        <v>778</v>
      </c>
      <c r="E20" s="194" t="s">
        <v>777</v>
      </c>
      <c r="F20" s="200">
        <v>377</v>
      </c>
      <c r="G20" s="208">
        <v>30290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9">
        <v>0</v>
      </c>
      <c r="N20" s="245">
        <v>0</v>
      </c>
      <c r="O20" s="245">
        <v>0</v>
      </c>
      <c r="P20" s="245">
        <v>0</v>
      </c>
      <c r="Q20" s="245">
        <v>0</v>
      </c>
      <c r="R20" s="245">
        <v>0</v>
      </c>
      <c r="S20" s="245">
        <v>0</v>
      </c>
      <c r="T20" s="199"/>
      <c r="U20" s="241">
        <f t="shared" si="1"/>
        <v>0</v>
      </c>
      <c r="V20" s="240">
        <f t="shared" si="2"/>
        <v>-30290</v>
      </c>
      <c r="W20" s="239">
        <f t="shared" si="3"/>
        <v>-1</v>
      </c>
      <c r="X20" s="238" t="str">
        <f t="shared" si="4"/>
        <v/>
      </c>
      <c r="Y20" s="243" t="s">
        <v>841</v>
      </c>
      <c r="Z20" s="244">
        <v>1</v>
      </c>
      <c r="AA20" s="243" t="s">
        <v>832</v>
      </c>
      <c r="AB20" s="243" t="s">
        <v>831</v>
      </c>
      <c r="AC20" s="194" t="s">
        <v>830</v>
      </c>
    </row>
    <row r="21" spans="1:29" x14ac:dyDescent="0.25">
      <c r="A21" s="209" t="str">
        <f t="shared" si="0"/>
        <v>325057</v>
      </c>
      <c r="B21" s="196" t="s">
        <v>318</v>
      </c>
      <c r="C21" s="194" t="s">
        <v>196</v>
      </c>
      <c r="D21" s="194" t="s">
        <v>776</v>
      </c>
      <c r="E21" s="194" t="s">
        <v>775</v>
      </c>
      <c r="F21" s="200">
        <v>377</v>
      </c>
      <c r="G21" s="208">
        <v>15145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9">
        <v>0</v>
      </c>
      <c r="N21" s="245">
        <v>0</v>
      </c>
      <c r="O21" s="245">
        <v>0</v>
      </c>
      <c r="P21" s="245">
        <v>0</v>
      </c>
      <c r="Q21" s="245">
        <v>0</v>
      </c>
      <c r="R21" s="245">
        <v>0</v>
      </c>
      <c r="S21" s="245">
        <v>0</v>
      </c>
      <c r="T21" s="199"/>
      <c r="U21" s="241">
        <f t="shared" si="1"/>
        <v>0</v>
      </c>
      <c r="V21" s="240">
        <f t="shared" si="2"/>
        <v>-15145</v>
      </c>
      <c r="W21" s="239">
        <f t="shared" si="3"/>
        <v>-1</v>
      </c>
      <c r="X21" s="238" t="str">
        <f t="shared" si="4"/>
        <v/>
      </c>
      <c r="Y21" s="243" t="s">
        <v>841</v>
      </c>
      <c r="Z21" s="244">
        <v>1</v>
      </c>
      <c r="AA21" s="243" t="s">
        <v>832</v>
      </c>
      <c r="AB21" s="243" t="s">
        <v>831</v>
      </c>
      <c r="AC21" s="194" t="s">
        <v>830</v>
      </c>
    </row>
    <row r="22" spans="1:29" x14ac:dyDescent="0.25">
      <c r="A22" s="209" t="str">
        <f t="shared" si="0"/>
        <v>324239</v>
      </c>
      <c r="B22" s="196" t="s">
        <v>318</v>
      </c>
      <c r="C22" s="194" t="s">
        <v>196</v>
      </c>
      <c r="D22" s="194" t="s">
        <v>774</v>
      </c>
      <c r="E22" s="194" t="s">
        <v>773</v>
      </c>
      <c r="F22" s="200">
        <v>394.1</v>
      </c>
      <c r="G22" s="208">
        <v>1506.45</v>
      </c>
      <c r="H22" s="198">
        <v>0</v>
      </c>
      <c r="I22" s="198">
        <v>1402.43</v>
      </c>
      <c r="J22" s="198">
        <v>0</v>
      </c>
      <c r="K22" s="198">
        <v>0</v>
      </c>
      <c r="L22" s="198">
        <v>0</v>
      </c>
      <c r="M22" s="199">
        <v>0</v>
      </c>
      <c r="N22" s="245">
        <v>0</v>
      </c>
      <c r="O22" s="245">
        <v>0</v>
      </c>
      <c r="P22" s="245">
        <v>0</v>
      </c>
      <c r="Q22" s="245">
        <v>0</v>
      </c>
      <c r="R22" s="245">
        <v>0</v>
      </c>
      <c r="S22" s="245">
        <v>0</v>
      </c>
      <c r="T22" s="199"/>
      <c r="U22" s="241">
        <f t="shared" si="1"/>
        <v>1402.43</v>
      </c>
      <c r="V22" s="240">
        <f t="shared" si="2"/>
        <v>-104.01999999999998</v>
      </c>
      <c r="W22" s="239">
        <f t="shared" si="3"/>
        <v>-6.9049752729927957E-2</v>
      </c>
      <c r="X22" s="238" t="str">
        <f t="shared" si="4"/>
        <v/>
      </c>
      <c r="Y22" s="243" t="s">
        <v>841</v>
      </c>
      <c r="Z22" s="244">
        <v>1</v>
      </c>
      <c r="AA22" s="243" t="s">
        <v>832</v>
      </c>
      <c r="AB22" s="243" t="s">
        <v>831</v>
      </c>
      <c r="AC22" s="194" t="s">
        <v>318</v>
      </c>
    </row>
    <row r="23" spans="1:29" x14ac:dyDescent="0.25">
      <c r="A23" s="209" t="str">
        <f t="shared" si="0"/>
        <v>324273</v>
      </c>
      <c r="B23" s="196" t="s">
        <v>318</v>
      </c>
      <c r="C23" s="194" t="s">
        <v>196</v>
      </c>
      <c r="D23" s="194" t="s">
        <v>772</v>
      </c>
      <c r="E23" s="194" t="s">
        <v>771</v>
      </c>
      <c r="F23" s="200">
        <v>394.1</v>
      </c>
      <c r="G23" s="208">
        <v>1506.45</v>
      </c>
      <c r="H23" s="198">
        <v>0</v>
      </c>
      <c r="I23" s="198">
        <v>1400.39</v>
      </c>
      <c r="J23" s="198">
        <v>0</v>
      </c>
      <c r="K23" s="198">
        <v>0</v>
      </c>
      <c r="L23" s="198">
        <v>0</v>
      </c>
      <c r="M23" s="199">
        <v>0</v>
      </c>
      <c r="N23" s="245">
        <v>0</v>
      </c>
      <c r="O23" s="245">
        <v>0</v>
      </c>
      <c r="P23" s="245">
        <v>0</v>
      </c>
      <c r="Q23" s="245">
        <v>0</v>
      </c>
      <c r="R23" s="245">
        <v>0</v>
      </c>
      <c r="S23" s="245">
        <v>0</v>
      </c>
      <c r="T23" s="199"/>
      <c r="U23" s="241">
        <f t="shared" si="1"/>
        <v>1400.39</v>
      </c>
      <c r="V23" s="240">
        <f t="shared" si="2"/>
        <v>-106.05999999999995</v>
      </c>
      <c r="W23" s="239">
        <f t="shared" si="3"/>
        <v>-7.0403929768661389E-2</v>
      </c>
      <c r="X23" s="238" t="str">
        <f t="shared" si="4"/>
        <v/>
      </c>
      <c r="Y23" s="243" t="s">
        <v>841</v>
      </c>
      <c r="Z23" s="244">
        <v>1</v>
      </c>
      <c r="AA23" s="243" t="s">
        <v>832</v>
      </c>
      <c r="AB23" s="243" t="s">
        <v>831</v>
      </c>
      <c r="AC23" s="194" t="s">
        <v>318</v>
      </c>
    </row>
    <row r="24" spans="1:29" x14ac:dyDescent="0.25">
      <c r="A24" s="209" t="str">
        <f t="shared" si="0"/>
        <v>324274</v>
      </c>
      <c r="B24" s="196" t="s">
        <v>318</v>
      </c>
      <c r="C24" s="194" t="s">
        <v>196</v>
      </c>
      <c r="D24" s="194" t="s">
        <v>770</v>
      </c>
      <c r="E24" s="194" t="s">
        <v>769</v>
      </c>
      <c r="F24" s="200">
        <v>394.1</v>
      </c>
      <c r="G24" s="208">
        <v>1506.45</v>
      </c>
      <c r="H24" s="198">
        <v>0</v>
      </c>
      <c r="I24" s="198">
        <v>1393.73</v>
      </c>
      <c r="J24" s="198">
        <v>0</v>
      </c>
      <c r="K24" s="198">
        <v>0</v>
      </c>
      <c r="L24" s="198">
        <v>0</v>
      </c>
      <c r="M24" s="199">
        <v>0</v>
      </c>
      <c r="N24" s="245">
        <v>0</v>
      </c>
      <c r="O24" s="245">
        <v>0</v>
      </c>
      <c r="P24" s="245">
        <v>0</v>
      </c>
      <c r="Q24" s="245">
        <v>0</v>
      </c>
      <c r="R24" s="245">
        <v>0</v>
      </c>
      <c r="S24" s="245">
        <v>0</v>
      </c>
      <c r="T24" s="199"/>
      <c r="U24" s="241">
        <f t="shared" si="1"/>
        <v>1393.73</v>
      </c>
      <c r="V24" s="240">
        <f t="shared" si="2"/>
        <v>-112.72000000000003</v>
      </c>
      <c r="W24" s="239">
        <f t="shared" si="3"/>
        <v>-7.4824919512761809E-2</v>
      </c>
      <c r="X24" s="238" t="str">
        <f t="shared" si="4"/>
        <v/>
      </c>
      <c r="Y24" s="243" t="s">
        <v>841</v>
      </c>
      <c r="Z24" s="244">
        <v>1</v>
      </c>
      <c r="AA24" s="243" t="s">
        <v>832</v>
      </c>
      <c r="AB24" s="243" t="s">
        <v>831</v>
      </c>
      <c r="AC24" s="194" t="s">
        <v>318</v>
      </c>
    </row>
    <row r="25" spans="1:29" x14ac:dyDescent="0.25">
      <c r="A25" s="209" t="str">
        <f t="shared" si="0"/>
        <v>323443</v>
      </c>
      <c r="B25" s="196" t="s">
        <v>318</v>
      </c>
      <c r="C25" s="194" t="s">
        <v>196</v>
      </c>
      <c r="D25" s="194" t="s">
        <v>768</v>
      </c>
      <c r="E25" s="194" t="s">
        <v>767</v>
      </c>
      <c r="F25" s="200">
        <v>378</v>
      </c>
      <c r="G25" s="208">
        <v>1117240.8899999999</v>
      </c>
      <c r="H25" s="198">
        <v>0</v>
      </c>
      <c r="I25" s="198">
        <v>0</v>
      </c>
      <c r="J25" s="198">
        <v>917567.59</v>
      </c>
      <c r="K25" s="198">
        <v>25223.49</v>
      </c>
      <c r="L25" s="198">
        <v>40103.360000000001</v>
      </c>
      <c r="M25" s="199">
        <v>3383.88</v>
      </c>
      <c r="N25" s="245">
        <v>0</v>
      </c>
      <c r="O25" s="245">
        <v>0</v>
      </c>
      <c r="P25" s="245">
        <v>0</v>
      </c>
      <c r="Q25" s="245">
        <v>0</v>
      </c>
      <c r="R25" s="245">
        <v>0</v>
      </c>
      <c r="S25" s="245">
        <v>0</v>
      </c>
      <c r="T25" s="199"/>
      <c r="U25" s="241">
        <f t="shared" si="1"/>
        <v>986278.32</v>
      </c>
      <c r="V25" s="240">
        <f t="shared" si="2"/>
        <v>-130962.56999999995</v>
      </c>
      <c r="W25" s="239">
        <f t="shared" si="3"/>
        <v>-0.11721963559711815</v>
      </c>
      <c r="X25" s="238" t="str">
        <f t="shared" si="4"/>
        <v/>
      </c>
      <c r="Y25" s="243" t="s">
        <v>842</v>
      </c>
      <c r="Z25" s="244">
        <v>47</v>
      </c>
      <c r="AA25" s="243" t="s">
        <v>832</v>
      </c>
      <c r="AB25" s="243" t="s">
        <v>837</v>
      </c>
      <c r="AC25" s="194" t="s">
        <v>829</v>
      </c>
    </row>
    <row r="26" spans="1:29" x14ac:dyDescent="0.25">
      <c r="A26" s="209" t="str">
        <f t="shared" si="0"/>
        <v>323446</v>
      </c>
      <c r="B26" s="196" t="s">
        <v>318</v>
      </c>
      <c r="C26" s="194" t="s">
        <v>196</v>
      </c>
      <c r="D26" s="194" t="s">
        <v>766</v>
      </c>
      <c r="E26" s="194" t="s">
        <v>765</v>
      </c>
      <c r="F26" s="200">
        <v>378</v>
      </c>
      <c r="G26" s="208">
        <v>365957.98</v>
      </c>
      <c r="H26" s="198">
        <v>0</v>
      </c>
      <c r="I26" s="198">
        <v>267728.45</v>
      </c>
      <c r="J26" s="198">
        <v>2655.27</v>
      </c>
      <c r="K26" s="198">
        <v>18832.88</v>
      </c>
      <c r="L26" s="198">
        <v>280.95999999999998</v>
      </c>
      <c r="M26" s="199">
        <v>290.09000000000003</v>
      </c>
      <c r="N26" s="245">
        <v>0</v>
      </c>
      <c r="O26" s="245">
        <v>0</v>
      </c>
      <c r="P26" s="245">
        <v>0</v>
      </c>
      <c r="Q26" s="245">
        <v>0</v>
      </c>
      <c r="R26" s="245">
        <v>0</v>
      </c>
      <c r="S26" s="245">
        <v>0</v>
      </c>
      <c r="T26" s="199"/>
      <c r="U26" s="241">
        <f t="shared" si="1"/>
        <v>289787.65000000008</v>
      </c>
      <c r="V26" s="240">
        <f t="shared" si="2"/>
        <v>-76170.3299999999</v>
      </c>
      <c r="W26" s="239">
        <f t="shared" si="3"/>
        <v>-0.2081395519780711</v>
      </c>
      <c r="X26" s="238" t="str">
        <f t="shared" si="4"/>
        <v/>
      </c>
      <c r="Y26" s="243" t="s">
        <v>842</v>
      </c>
      <c r="Z26" s="244">
        <v>47</v>
      </c>
      <c r="AA26" s="243" t="s">
        <v>832</v>
      </c>
      <c r="AB26" s="243" t="s">
        <v>837</v>
      </c>
      <c r="AC26" s="194" t="s">
        <v>829</v>
      </c>
    </row>
    <row r="27" spans="1:29" x14ac:dyDescent="0.25">
      <c r="A27" s="209" t="str">
        <f t="shared" si="0"/>
        <v>323452</v>
      </c>
      <c r="B27" s="196" t="s">
        <v>318</v>
      </c>
      <c r="C27" s="194" t="s">
        <v>196</v>
      </c>
      <c r="D27" s="194" t="s">
        <v>764</v>
      </c>
      <c r="E27" s="194" t="s">
        <v>763</v>
      </c>
      <c r="F27" s="200">
        <v>385</v>
      </c>
      <c r="G27" s="208">
        <v>43012.79</v>
      </c>
      <c r="H27" s="198">
        <v>0</v>
      </c>
      <c r="I27" s="198">
        <v>0</v>
      </c>
      <c r="J27" s="198">
        <v>32782.840000000004</v>
      </c>
      <c r="K27" s="198">
        <v>0</v>
      </c>
      <c r="L27" s="198">
        <v>0</v>
      </c>
      <c r="M27" s="199">
        <v>501.43</v>
      </c>
      <c r="N27" s="245">
        <v>0</v>
      </c>
      <c r="O27" s="245">
        <v>0</v>
      </c>
      <c r="P27" s="245">
        <v>0</v>
      </c>
      <c r="Q27" s="245">
        <v>0</v>
      </c>
      <c r="R27" s="245">
        <v>0</v>
      </c>
      <c r="S27" s="245">
        <v>0</v>
      </c>
      <c r="T27" s="199"/>
      <c r="U27" s="241">
        <f t="shared" si="1"/>
        <v>33284.270000000004</v>
      </c>
      <c r="V27" s="240">
        <f t="shared" si="2"/>
        <v>-9728.5199999999968</v>
      </c>
      <c r="W27" s="239">
        <f t="shared" si="3"/>
        <v>-0.22617737654311651</v>
      </c>
      <c r="X27" s="238" t="str">
        <f t="shared" si="4"/>
        <v/>
      </c>
      <c r="Y27" s="243" t="s">
        <v>842</v>
      </c>
      <c r="Z27" s="244">
        <v>47</v>
      </c>
      <c r="AA27" s="243" t="s">
        <v>832</v>
      </c>
      <c r="AB27" s="243" t="s">
        <v>837</v>
      </c>
      <c r="AC27" s="194" t="s">
        <v>829</v>
      </c>
    </row>
    <row r="28" spans="1:29" x14ac:dyDescent="0.25">
      <c r="A28" s="209" t="str">
        <f t="shared" si="0"/>
        <v>319104</v>
      </c>
      <c r="B28" s="196" t="s">
        <v>318</v>
      </c>
      <c r="C28" s="194" t="s">
        <v>196</v>
      </c>
      <c r="D28" s="194" t="s">
        <v>762</v>
      </c>
      <c r="E28" s="194" t="s">
        <v>761</v>
      </c>
      <c r="F28" s="200">
        <v>376.2</v>
      </c>
      <c r="G28" s="208">
        <v>0</v>
      </c>
      <c r="H28" s="198">
        <v>0</v>
      </c>
      <c r="I28" s="198">
        <v>0</v>
      </c>
      <c r="J28" s="198">
        <v>0</v>
      </c>
      <c r="K28" s="198">
        <v>0</v>
      </c>
      <c r="L28" s="198">
        <v>0</v>
      </c>
      <c r="M28" s="199">
        <v>0</v>
      </c>
      <c r="N28" s="245">
        <v>0</v>
      </c>
      <c r="O28" s="245">
        <v>0</v>
      </c>
      <c r="P28" s="245">
        <v>0</v>
      </c>
      <c r="Q28" s="245">
        <v>0</v>
      </c>
      <c r="R28" s="245">
        <v>0</v>
      </c>
      <c r="S28" s="245">
        <v>0</v>
      </c>
      <c r="T28" s="199"/>
      <c r="U28" s="241">
        <f t="shared" si="1"/>
        <v>0</v>
      </c>
      <c r="V28" s="240">
        <f t="shared" si="2"/>
        <v>0</v>
      </c>
      <c r="W28" s="239" t="str">
        <f t="shared" si="3"/>
        <v>100%</v>
      </c>
      <c r="X28" s="238" t="str">
        <f t="shared" si="4"/>
        <v/>
      </c>
      <c r="Y28" s="243" t="s">
        <v>841</v>
      </c>
      <c r="Z28" s="244">
        <v>1</v>
      </c>
      <c r="AA28" s="243" t="s">
        <v>832</v>
      </c>
      <c r="AB28" s="243" t="s">
        <v>831</v>
      </c>
      <c r="AC28" s="194" t="s">
        <v>318</v>
      </c>
    </row>
    <row r="29" spans="1:29" x14ac:dyDescent="0.25">
      <c r="A29" s="209" t="str">
        <f t="shared" si="0"/>
        <v>319107</v>
      </c>
      <c r="B29" s="196" t="s">
        <v>318</v>
      </c>
      <c r="C29" s="194" t="s">
        <v>196</v>
      </c>
      <c r="D29" s="194" t="s">
        <v>760</v>
      </c>
      <c r="E29" s="194" t="s">
        <v>759</v>
      </c>
      <c r="F29" s="200">
        <v>378</v>
      </c>
      <c r="G29" s="208">
        <v>0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9">
        <v>0</v>
      </c>
      <c r="N29" s="245">
        <v>0</v>
      </c>
      <c r="O29" s="245">
        <v>0</v>
      </c>
      <c r="P29" s="245">
        <v>0</v>
      </c>
      <c r="Q29" s="245">
        <v>0</v>
      </c>
      <c r="R29" s="245">
        <v>0</v>
      </c>
      <c r="S29" s="245">
        <v>0</v>
      </c>
      <c r="T29" s="199"/>
      <c r="U29" s="241">
        <f t="shared" si="1"/>
        <v>0</v>
      </c>
      <c r="V29" s="240">
        <f t="shared" si="2"/>
        <v>0</v>
      </c>
      <c r="W29" s="239" t="str">
        <f t="shared" si="3"/>
        <v>100%</v>
      </c>
      <c r="X29" s="238" t="str">
        <f t="shared" si="4"/>
        <v/>
      </c>
      <c r="Y29" s="243" t="s">
        <v>841</v>
      </c>
      <c r="Z29" s="244">
        <v>1</v>
      </c>
      <c r="AA29" s="243" t="s">
        <v>832</v>
      </c>
      <c r="AB29" s="243" t="s">
        <v>831</v>
      </c>
      <c r="AC29" s="194" t="s">
        <v>318</v>
      </c>
    </row>
    <row r="30" spans="1:29" x14ac:dyDescent="0.25">
      <c r="A30" s="209" t="str">
        <f t="shared" si="0"/>
        <v>320223</v>
      </c>
      <c r="B30" s="196" t="s">
        <v>318</v>
      </c>
      <c r="C30" s="194" t="s">
        <v>196</v>
      </c>
      <c r="D30" s="194" t="s">
        <v>758</v>
      </c>
      <c r="E30" s="194" t="s">
        <v>757</v>
      </c>
      <c r="F30" s="200">
        <v>385</v>
      </c>
      <c r="G30" s="208">
        <v>63609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9">
        <v>0</v>
      </c>
      <c r="N30" s="245">
        <v>0</v>
      </c>
      <c r="O30" s="245">
        <v>0</v>
      </c>
      <c r="P30" s="245">
        <v>0</v>
      </c>
      <c r="Q30" s="245">
        <v>0</v>
      </c>
      <c r="R30" s="245">
        <v>0</v>
      </c>
      <c r="S30" s="245">
        <v>0</v>
      </c>
      <c r="T30" s="199"/>
      <c r="U30" s="241">
        <f t="shared" si="1"/>
        <v>0</v>
      </c>
      <c r="V30" s="240">
        <f t="shared" si="2"/>
        <v>-63609</v>
      </c>
      <c r="W30" s="239">
        <f t="shared" si="3"/>
        <v>-1</v>
      </c>
      <c r="X30" s="238" t="str">
        <f t="shared" si="4"/>
        <v/>
      </c>
      <c r="Y30" s="243" t="s">
        <v>841</v>
      </c>
      <c r="Z30" s="244">
        <v>24</v>
      </c>
      <c r="AA30" s="243" t="s">
        <v>836</v>
      </c>
      <c r="AB30" s="243" t="s">
        <v>831</v>
      </c>
      <c r="AC30" s="194" t="s">
        <v>829</v>
      </c>
    </row>
    <row r="31" spans="1:29" x14ac:dyDescent="0.25">
      <c r="A31" s="209" t="str">
        <f t="shared" si="0"/>
        <v>320224</v>
      </c>
      <c r="B31" s="196" t="s">
        <v>318</v>
      </c>
      <c r="C31" s="194" t="s">
        <v>196</v>
      </c>
      <c r="D31" s="194" t="s">
        <v>756</v>
      </c>
      <c r="E31" s="194" t="s">
        <v>755</v>
      </c>
      <c r="F31" s="200">
        <v>385</v>
      </c>
      <c r="G31" s="208">
        <v>60676.625099999997</v>
      </c>
      <c r="H31" s="198">
        <v>0</v>
      </c>
      <c r="I31" s="198">
        <v>4200.3999999999996</v>
      </c>
      <c r="J31" s="198">
        <v>0</v>
      </c>
      <c r="K31" s="198">
        <v>0</v>
      </c>
      <c r="L31" s="198">
        <v>0</v>
      </c>
      <c r="M31" s="199">
        <v>0</v>
      </c>
      <c r="N31" s="245">
        <v>0</v>
      </c>
      <c r="O31" s="245">
        <v>0</v>
      </c>
      <c r="P31" s="245">
        <v>0</v>
      </c>
      <c r="Q31" s="245">
        <v>0</v>
      </c>
      <c r="R31" s="245">
        <v>0</v>
      </c>
      <c r="S31" s="245">
        <v>0</v>
      </c>
      <c r="T31" s="199"/>
      <c r="U31" s="241">
        <f t="shared" si="1"/>
        <v>4200.3999999999996</v>
      </c>
      <c r="V31" s="240">
        <f t="shared" si="2"/>
        <v>-56476.225099999996</v>
      </c>
      <c r="W31" s="239">
        <f t="shared" si="3"/>
        <v>-0.93077400081040429</v>
      </c>
      <c r="X31" s="238" t="str">
        <f t="shared" si="4"/>
        <v/>
      </c>
      <c r="Y31" s="243" t="s">
        <v>841</v>
      </c>
      <c r="Z31" s="244">
        <v>24</v>
      </c>
      <c r="AA31" s="243" t="s">
        <v>836</v>
      </c>
      <c r="AB31" s="243" t="s">
        <v>831</v>
      </c>
      <c r="AC31" s="194" t="s">
        <v>318</v>
      </c>
    </row>
    <row r="32" spans="1:29" x14ac:dyDescent="0.25">
      <c r="A32" s="209" t="str">
        <f t="shared" si="0"/>
        <v>323467</v>
      </c>
      <c r="B32" s="196" t="s">
        <v>318</v>
      </c>
      <c r="C32" s="194" t="s">
        <v>196</v>
      </c>
      <c r="D32" s="194" t="s">
        <v>754</v>
      </c>
      <c r="E32" s="194" t="s">
        <v>753</v>
      </c>
      <c r="F32" s="200">
        <v>385</v>
      </c>
      <c r="G32" s="208">
        <v>56595.090000000004</v>
      </c>
      <c r="H32" s="198">
        <v>0</v>
      </c>
      <c r="I32" s="198">
        <v>0</v>
      </c>
      <c r="J32" s="198">
        <v>0</v>
      </c>
      <c r="K32" s="198">
        <v>41371.29</v>
      </c>
      <c r="L32" s="198">
        <v>0</v>
      </c>
      <c r="M32" s="199">
        <v>0</v>
      </c>
      <c r="N32" s="245">
        <v>0</v>
      </c>
      <c r="O32" s="245">
        <v>0</v>
      </c>
      <c r="P32" s="245">
        <v>0</v>
      </c>
      <c r="Q32" s="245">
        <v>0</v>
      </c>
      <c r="R32" s="245">
        <v>0</v>
      </c>
      <c r="S32" s="245">
        <v>0</v>
      </c>
      <c r="T32" s="199"/>
      <c r="U32" s="241">
        <f t="shared" si="1"/>
        <v>41371.29</v>
      </c>
      <c r="V32" s="240">
        <f t="shared" si="2"/>
        <v>-15223.800000000003</v>
      </c>
      <c r="W32" s="239">
        <f t="shared" si="3"/>
        <v>-0.26899506653315691</v>
      </c>
      <c r="X32" s="238" t="str">
        <f t="shared" si="4"/>
        <v/>
      </c>
      <c r="Y32" s="243" t="s">
        <v>842</v>
      </c>
      <c r="Z32" s="244">
        <v>50</v>
      </c>
      <c r="AA32" s="243" t="s">
        <v>832</v>
      </c>
      <c r="AB32" s="243" t="s">
        <v>837</v>
      </c>
      <c r="AC32" s="194" t="s">
        <v>829</v>
      </c>
    </row>
    <row r="33" spans="1:29" x14ac:dyDescent="0.25">
      <c r="A33" s="209" t="str">
        <f t="shared" si="0"/>
        <v>323469</v>
      </c>
      <c r="B33" s="196" t="s">
        <v>318</v>
      </c>
      <c r="C33" s="194" t="s">
        <v>196</v>
      </c>
      <c r="D33" s="194" t="s">
        <v>752</v>
      </c>
      <c r="E33" s="194" t="s">
        <v>751</v>
      </c>
      <c r="F33" s="200">
        <v>378</v>
      </c>
      <c r="G33" s="208">
        <v>1117315.6200000001</v>
      </c>
      <c r="H33" s="198">
        <v>0</v>
      </c>
      <c r="I33" s="198">
        <v>0</v>
      </c>
      <c r="J33" s="198">
        <v>0</v>
      </c>
      <c r="K33" s="198">
        <v>941390.61</v>
      </c>
      <c r="L33" s="198">
        <v>-5499.41</v>
      </c>
      <c r="M33" s="199">
        <v>488.07</v>
      </c>
      <c r="N33" s="245">
        <v>0</v>
      </c>
      <c r="O33" s="245">
        <v>0</v>
      </c>
      <c r="P33" s="245">
        <v>0</v>
      </c>
      <c r="Q33" s="245">
        <v>0</v>
      </c>
      <c r="R33" s="245">
        <v>0</v>
      </c>
      <c r="S33" s="245">
        <v>0</v>
      </c>
      <c r="T33" s="199"/>
      <c r="U33" s="241">
        <f t="shared" si="1"/>
        <v>936379.2699999999</v>
      </c>
      <c r="V33" s="240">
        <f t="shared" si="2"/>
        <v>-180936.35000000021</v>
      </c>
      <c r="W33" s="239">
        <f t="shared" si="3"/>
        <v>-0.16193844135106622</v>
      </c>
      <c r="X33" s="238" t="str">
        <f t="shared" si="4"/>
        <v/>
      </c>
      <c r="Y33" s="243" t="s">
        <v>842</v>
      </c>
      <c r="Z33" s="244">
        <v>50</v>
      </c>
      <c r="AA33" s="243" t="s">
        <v>832</v>
      </c>
      <c r="AB33" s="243" t="s">
        <v>837</v>
      </c>
      <c r="AC33" s="194" t="s">
        <v>829</v>
      </c>
    </row>
    <row r="34" spans="1:29" x14ac:dyDescent="0.25">
      <c r="A34" s="209" t="str">
        <f t="shared" si="0"/>
        <v>323472</v>
      </c>
      <c r="B34" s="196" t="s">
        <v>318</v>
      </c>
      <c r="C34" s="194" t="s">
        <v>196</v>
      </c>
      <c r="D34" s="194" t="s">
        <v>750</v>
      </c>
      <c r="E34" s="194" t="s">
        <v>749</v>
      </c>
      <c r="F34" s="200">
        <v>378</v>
      </c>
      <c r="G34" s="208">
        <v>540060.30000000005</v>
      </c>
      <c r="H34" s="198">
        <v>0</v>
      </c>
      <c r="I34" s="198">
        <v>0</v>
      </c>
      <c r="J34" s="198">
        <v>0</v>
      </c>
      <c r="K34" s="198">
        <v>433252.61</v>
      </c>
      <c r="L34" s="198">
        <v>2860.9700000000003</v>
      </c>
      <c r="M34" s="199">
        <v>363.56</v>
      </c>
      <c r="N34" s="245">
        <v>0</v>
      </c>
      <c r="O34" s="245">
        <v>0</v>
      </c>
      <c r="P34" s="245">
        <v>0</v>
      </c>
      <c r="Q34" s="245">
        <v>0</v>
      </c>
      <c r="R34" s="245">
        <v>0</v>
      </c>
      <c r="S34" s="245">
        <v>0</v>
      </c>
      <c r="T34" s="199"/>
      <c r="U34" s="241">
        <f t="shared" si="1"/>
        <v>436477.13999999996</v>
      </c>
      <c r="V34" s="240">
        <f t="shared" si="2"/>
        <v>-103583.16000000009</v>
      </c>
      <c r="W34" s="239">
        <f t="shared" si="3"/>
        <v>-0.19179924908385246</v>
      </c>
      <c r="X34" s="238" t="str">
        <f t="shared" si="4"/>
        <v/>
      </c>
      <c r="Y34" s="243" t="s">
        <v>842</v>
      </c>
      <c r="Z34" s="244">
        <v>50</v>
      </c>
      <c r="AA34" s="243" t="s">
        <v>832</v>
      </c>
      <c r="AB34" s="243" t="s">
        <v>837</v>
      </c>
      <c r="AC34" s="194" t="s">
        <v>829</v>
      </c>
    </row>
    <row r="35" spans="1:29" x14ac:dyDescent="0.25">
      <c r="A35" s="209" t="str">
        <f t="shared" si="0"/>
        <v>324619</v>
      </c>
      <c r="B35" s="196" t="s">
        <v>318</v>
      </c>
      <c r="C35" s="194" t="s">
        <v>196</v>
      </c>
      <c r="D35" s="194" t="s">
        <v>748</v>
      </c>
      <c r="E35" s="194" t="s">
        <v>747</v>
      </c>
      <c r="F35" s="200">
        <v>303</v>
      </c>
      <c r="G35" s="208">
        <v>0</v>
      </c>
      <c r="H35" s="198">
        <v>0</v>
      </c>
      <c r="I35" s="198">
        <v>0</v>
      </c>
      <c r="J35" s="198">
        <v>0</v>
      </c>
      <c r="K35" s="198">
        <v>0</v>
      </c>
      <c r="L35" s="198">
        <v>0</v>
      </c>
      <c r="M35" s="199">
        <v>0</v>
      </c>
      <c r="N35" s="245">
        <v>0</v>
      </c>
      <c r="O35" s="245">
        <v>0</v>
      </c>
      <c r="P35" s="245">
        <v>0</v>
      </c>
      <c r="Q35" s="245">
        <v>0</v>
      </c>
      <c r="R35" s="245">
        <v>0</v>
      </c>
      <c r="S35" s="245">
        <v>0</v>
      </c>
      <c r="T35" s="199"/>
      <c r="U35" s="241">
        <f t="shared" si="1"/>
        <v>0</v>
      </c>
      <c r="V35" s="240">
        <f t="shared" si="2"/>
        <v>0</v>
      </c>
      <c r="W35" s="239" t="str">
        <f t="shared" si="3"/>
        <v>100%</v>
      </c>
      <c r="X35" s="238" t="str">
        <f t="shared" si="4"/>
        <v/>
      </c>
      <c r="Y35" s="243" t="s">
        <v>841</v>
      </c>
      <c r="Z35" s="244">
        <v>1</v>
      </c>
      <c r="AA35" s="243" t="s">
        <v>832</v>
      </c>
      <c r="AB35" s="243" t="s">
        <v>831</v>
      </c>
      <c r="AC35" s="194" t="s">
        <v>318</v>
      </c>
    </row>
    <row r="36" spans="1:29" x14ac:dyDescent="0.25">
      <c r="A36" s="209" t="str">
        <f t="shared" si="0"/>
        <v>324624</v>
      </c>
      <c r="B36" s="196" t="s">
        <v>318</v>
      </c>
      <c r="C36" s="194" t="s">
        <v>196</v>
      </c>
      <c r="D36" s="194" t="s">
        <v>746</v>
      </c>
      <c r="E36" s="194" t="s">
        <v>745</v>
      </c>
      <c r="F36" s="200">
        <v>303</v>
      </c>
      <c r="G36" s="208">
        <v>0</v>
      </c>
      <c r="H36" s="198">
        <v>0</v>
      </c>
      <c r="I36" s="198">
        <v>0</v>
      </c>
      <c r="J36" s="198">
        <v>0</v>
      </c>
      <c r="K36" s="198">
        <v>0</v>
      </c>
      <c r="L36" s="198">
        <v>0</v>
      </c>
      <c r="M36" s="199">
        <v>0</v>
      </c>
      <c r="N36" s="245">
        <v>0</v>
      </c>
      <c r="O36" s="245">
        <v>0</v>
      </c>
      <c r="P36" s="245">
        <v>0</v>
      </c>
      <c r="Q36" s="245">
        <v>0</v>
      </c>
      <c r="R36" s="245">
        <v>0</v>
      </c>
      <c r="S36" s="245">
        <v>0</v>
      </c>
      <c r="T36" s="199"/>
      <c r="U36" s="241">
        <f t="shared" si="1"/>
        <v>0</v>
      </c>
      <c r="V36" s="240">
        <f t="shared" si="2"/>
        <v>0</v>
      </c>
      <c r="W36" s="239" t="str">
        <f t="shared" si="3"/>
        <v>100%</v>
      </c>
      <c r="X36" s="238" t="str">
        <f t="shared" si="4"/>
        <v/>
      </c>
      <c r="Y36" s="243" t="s">
        <v>841</v>
      </c>
      <c r="Z36" s="244">
        <v>1</v>
      </c>
      <c r="AA36" s="243" t="s">
        <v>832</v>
      </c>
      <c r="AB36" s="243" t="s">
        <v>831</v>
      </c>
      <c r="AC36" s="194" t="s">
        <v>318</v>
      </c>
    </row>
    <row r="37" spans="1:29" x14ac:dyDescent="0.25">
      <c r="A37" s="209" t="str">
        <f t="shared" si="0"/>
        <v>319111</v>
      </c>
      <c r="B37" s="196" t="s">
        <v>318</v>
      </c>
      <c r="C37" s="194" t="s">
        <v>196</v>
      </c>
      <c r="D37" s="194" t="s">
        <v>744</v>
      </c>
      <c r="E37" s="194" t="s">
        <v>743</v>
      </c>
      <c r="F37" s="200">
        <v>376.3</v>
      </c>
      <c r="G37" s="208">
        <v>3610320.72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9">
        <v>0</v>
      </c>
      <c r="N37" s="245">
        <v>0</v>
      </c>
      <c r="O37" s="245">
        <v>0</v>
      </c>
      <c r="P37" s="245">
        <v>0</v>
      </c>
      <c r="Q37" s="245">
        <v>0</v>
      </c>
      <c r="R37" s="245">
        <v>0</v>
      </c>
      <c r="S37" s="245">
        <v>0</v>
      </c>
      <c r="T37" s="199"/>
      <c r="U37" s="241">
        <f t="shared" si="1"/>
        <v>0</v>
      </c>
      <c r="V37" s="240">
        <f t="shared" si="2"/>
        <v>-3610320.72</v>
      </c>
      <c r="W37" s="239">
        <f t="shared" si="3"/>
        <v>-1</v>
      </c>
      <c r="X37" s="238" t="str">
        <f t="shared" si="4"/>
        <v>yes</v>
      </c>
      <c r="Y37" s="243" t="s">
        <v>842</v>
      </c>
      <c r="Z37" s="244">
        <v>92</v>
      </c>
      <c r="AA37" s="243" t="s">
        <v>836</v>
      </c>
      <c r="AB37" s="243" t="s">
        <v>837</v>
      </c>
      <c r="AC37" s="194" t="s">
        <v>318</v>
      </c>
    </row>
    <row r="38" spans="1:29" x14ac:dyDescent="0.25">
      <c r="A38" s="209" t="str">
        <f t="shared" si="0"/>
        <v>319112</v>
      </c>
      <c r="B38" s="196" t="s">
        <v>318</v>
      </c>
      <c r="C38" s="194" t="s">
        <v>196</v>
      </c>
      <c r="D38" s="194" t="s">
        <v>742</v>
      </c>
      <c r="E38" s="194" t="s">
        <v>741</v>
      </c>
      <c r="F38" s="200">
        <v>380.3</v>
      </c>
      <c r="G38" s="208">
        <v>375340.57199999999</v>
      </c>
      <c r="H38" s="198">
        <v>0</v>
      </c>
      <c r="I38" s="198">
        <v>0</v>
      </c>
      <c r="J38" s="198">
        <v>47578.67</v>
      </c>
      <c r="K38" s="198">
        <v>0</v>
      </c>
      <c r="L38" s="198">
        <v>0</v>
      </c>
      <c r="M38" s="199">
        <v>0</v>
      </c>
      <c r="N38" s="245">
        <v>0</v>
      </c>
      <c r="O38" s="245">
        <v>0</v>
      </c>
      <c r="P38" s="245">
        <v>0</v>
      </c>
      <c r="Q38" s="245">
        <v>0</v>
      </c>
      <c r="R38" s="245">
        <v>0</v>
      </c>
      <c r="S38" s="245">
        <v>0</v>
      </c>
      <c r="T38" s="199"/>
      <c r="U38" s="241">
        <f t="shared" si="1"/>
        <v>47578.67</v>
      </c>
      <c r="V38" s="240">
        <f t="shared" si="2"/>
        <v>-327761.902</v>
      </c>
      <c r="W38" s="239">
        <f t="shared" si="3"/>
        <v>-0.87323867029221669</v>
      </c>
      <c r="X38" s="238" t="str">
        <f t="shared" si="4"/>
        <v/>
      </c>
      <c r="Y38" s="243" t="s">
        <v>842</v>
      </c>
      <c r="Z38" s="244">
        <v>92</v>
      </c>
      <c r="AA38" s="243" t="s">
        <v>836</v>
      </c>
      <c r="AB38" s="243" t="s">
        <v>837</v>
      </c>
      <c r="AC38" s="194" t="s">
        <v>318</v>
      </c>
    </row>
    <row r="39" spans="1:29" x14ac:dyDescent="0.25">
      <c r="A39" s="209" t="str">
        <f t="shared" si="0"/>
        <v>323775</v>
      </c>
      <c r="B39" s="196" t="s">
        <v>318</v>
      </c>
      <c r="C39" s="194" t="s">
        <v>196</v>
      </c>
      <c r="D39" s="194" t="s">
        <v>740</v>
      </c>
      <c r="E39" s="194" t="s">
        <v>739</v>
      </c>
      <c r="F39" s="200">
        <v>385</v>
      </c>
      <c r="G39" s="208">
        <v>200050.77000000002</v>
      </c>
      <c r="H39" s="198">
        <v>0</v>
      </c>
      <c r="I39" s="198">
        <v>0</v>
      </c>
      <c r="J39" s="198">
        <v>0</v>
      </c>
      <c r="K39" s="198">
        <v>0</v>
      </c>
      <c r="L39" s="198">
        <v>0</v>
      </c>
      <c r="M39" s="199">
        <v>0</v>
      </c>
      <c r="N39" s="245">
        <v>0</v>
      </c>
      <c r="O39" s="245">
        <v>0</v>
      </c>
      <c r="P39" s="245">
        <v>0</v>
      </c>
      <c r="Q39" s="245">
        <v>0</v>
      </c>
      <c r="R39" s="245">
        <v>0</v>
      </c>
      <c r="S39" s="245">
        <v>0</v>
      </c>
      <c r="T39" s="199"/>
      <c r="U39" s="241">
        <f t="shared" si="1"/>
        <v>0</v>
      </c>
      <c r="V39" s="240">
        <f t="shared" si="2"/>
        <v>-200050.77000000002</v>
      </c>
      <c r="W39" s="239">
        <f t="shared" si="3"/>
        <v>-1</v>
      </c>
      <c r="X39" s="238" t="str">
        <f t="shared" si="4"/>
        <v/>
      </c>
      <c r="Y39" s="243" t="s">
        <v>842</v>
      </c>
      <c r="Z39" s="244">
        <v>52</v>
      </c>
      <c r="AA39" s="243" t="s">
        <v>832</v>
      </c>
      <c r="AB39" s="243" t="s">
        <v>837</v>
      </c>
      <c r="AC39" s="194" t="s">
        <v>829</v>
      </c>
    </row>
    <row r="40" spans="1:29" x14ac:dyDescent="0.25">
      <c r="A40" s="209" t="str">
        <f t="shared" si="0"/>
        <v>323824</v>
      </c>
      <c r="B40" s="196" t="s">
        <v>318</v>
      </c>
      <c r="C40" s="194" t="s">
        <v>196</v>
      </c>
      <c r="D40" s="194" t="s">
        <v>738</v>
      </c>
      <c r="E40" s="194" t="s">
        <v>737</v>
      </c>
      <c r="F40" s="200">
        <v>376.2</v>
      </c>
      <c r="G40" s="208">
        <v>1934355.9500000002</v>
      </c>
      <c r="H40" s="198">
        <v>0</v>
      </c>
      <c r="I40" s="198">
        <v>0</v>
      </c>
      <c r="J40" s="198">
        <v>0</v>
      </c>
      <c r="K40" s="198">
        <v>0</v>
      </c>
      <c r="L40" s="198">
        <v>0</v>
      </c>
      <c r="M40" s="199">
        <v>0</v>
      </c>
      <c r="N40" s="245">
        <v>0</v>
      </c>
      <c r="O40" s="245">
        <v>0</v>
      </c>
      <c r="P40" s="245">
        <v>0</v>
      </c>
      <c r="Q40" s="245">
        <v>0</v>
      </c>
      <c r="R40" s="245">
        <v>0</v>
      </c>
      <c r="S40" s="245">
        <v>0</v>
      </c>
      <c r="T40" s="199"/>
      <c r="U40" s="241">
        <f t="shared" si="1"/>
        <v>0</v>
      </c>
      <c r="V40" s="240">
        <f t="shared" si="2"/>
        <v>-1934355.9500000002</v>
      </c>
      <c r="W40" s="239">
        <f t="shared" si="3"/>
        <v>-1</v>
      </c>
      <c r="X40" s="238" t="str">
        <f t="shared" si="4"/>
        <v>yes</v>
      </c>
      <c r="Y40" s="243" t="s">
        <v>842</v>
      </c>
      <c r="Z40" s="244">
        <v>52</v>
      </c>
      <c r="AA40" s="243" t="s">
        <v>832</v>
      </c>
      <c r="AB40" s="243" t="s">
        <v>837</v>
      </c>
      <c r="AC40" s="194" t="s">
        <v>829</v>
      </c>
    </row>
    <row r="41" spans="1:29" x14ac:dyDescent="0.25">
      <c r="A41" s="209" t="str">
        <f t="shared" si="0"/>
        <v>323840</v>
      </c>
      <c r="B41" s="196" t="s">
        <v>318</v>
      </c>
      <c r="C41" s="194" t="s">
        <v>196</v>
      </c>
      <c r="D41" s="194" t="s">
        <v>736</v>
      </c>
      <c r="E41" s="194" t="s">
        <v>735</v>
      </c>
      <c r="F41" s="200">
        <v>378</v>
      </c>
      <c r="G41" s="20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9">
        <v>0</v>
      </c>
      <c r="N41" s="245">
        <v>0</v>
      </c>
      <c r="O41" s="245">
        <v>0</v>
      </c>
      <c r="P41" s="245">
        <v>0</v>
      </c>
      <c r="Q41" s="245">
        <v>0</v>
      </c>
      <c r="R41" s="245">
        <v>0</v>
      </c>
      <c r="S41" s="245">
        <v>0</v>
      </c>
      <c r="T41" s="199"/>
      <c r="U41" s="241">
        <f t="shared" si="1"/>
        <v>0</v>
      </c>
      <c r="V41" s="240">
        <f t="shared" si="2"/>
        <v>0</v>
      </c>
      <c r="W41" s="239" t="str">
        <f t="shared" si="3"/>
        <v>100%</v>
      </c>
      <c r="X41" s="238" t="str">
        <f t="shared" si="4"/>
        <v/>
      </c>
      <c r="Y41" s="243" t="s">
        <v>842</v>
      </c>
      <c r="Z41" s="244">
        <v>52</v>
      </c>
      <c r="AA41" s="243" t="s">
        <v>832</v>
      </c>
      <c r="AB41" s="243" t="s">
        <v>837</v>
      </c>
      <c r="AC41" s="194" t="s">
        <v>829</v>
      </c>
    </row>
    <row r="42" spans="1:29" x14ac:dyDescent="0.25">
      <c r="A42" s="215">
        <v>323481</v>
      </c>
      <c r="B42" s="196" t="s">
        <v>318</v>
      </c>
      <c r="C42" s="194" t="s">
        <v>196</v>
      </c>
      <c r="D42" s="194" t="s">
        <v>734</v>
      </c>
      <c r="E42" s="194" t="s">
        <v>733</v>
      </c>
      <c r="F42" s="200">
        <v>378</v>
      </c>
      <c r="G42" s="208">
        <v>789230.02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9">
        <v>0</v>
      </c>
      <c r="N42" s="245">
        <v>0</v>
      </c>
      <c r="O42" s="245">
        <v>0</v>
      </c>
      <c r="P42" s="245">
        <v>0</v>
      </c>
      <c r="Q42" s="245">
        <v>0</v>
      </c>
      <c r="R42" s="245">
        <v>0</v>
      </c>
      <c r="S42" s="245">
        <v>0</v>
      </c>
      <c r="T42" s="199"/>
      <c r="U42" s="241">
        <f t="shared" si="1"/>
        <v>0</v>
      </c>
      <c r="V42" s="240">
        <f t="shared" si="2"/>
        <v>-789230.02</v>
      </c>
      <c r="W42" s="239">
        <f t="shared" si="3"/>
        <v>-1</v>
      </c>
      <c r="X42" s="238" t="str">
        <f t="shared" si="4"/>
        <v>yes</v>
      </c>
      <c r="Y42" s="243" t="s">
        <v>842</v>
      </c>
      <c r="Z42" s="244">
        <v>52</v>
      </c>
      <c r="AA42" s="243" t="s">
        <v>832</v>
      </c>
      <c r="AB42" s="243" t="s">
        <v>837</v>
      </c>
      <c r="AC42" s="194" t="s">
        <v>829</v>
      </c>
    </row>
    <row r="43" spans="1:29" x14ac:dyDescent="0.25">
      <c r="A43" s="209" t="str">
        <f t="shared" ref="A43:A74" si="5">RIGHT(D43,LEN(D43)-3)</f>
        <v>320144</v>
      </c>
      <c r="B43" s="196" t="s">
        <v>318</v>
      </c>
      <c r="C43" s="194" t="s">
        <v>196</v>
      </c>
      <c r="D43" s="194" t="s">
        <v>732</v>
      </c>
      <c r="E43" s="194" t="s">
        <v>731</v>
      </c>
      <c r="F43" s="200">
        <v>379</v>
      </c>
      <c r="G43" s="208">
        <v>0</v>
      </c>
      <c r="H43" s="198">
        <v>0</v>
      </c>
      <c r="I43" s="198">
        <v>0</v>
      </c>
      <c r="J43" s="198">
        <v>0</v>
      </c>
      <c r="K43" s="198">
        <v>0</v>
      </c>
      <c r="L43" s="198">
        <v>0</v>
      </c>
      <c r="M43" s="199">
        <v>0</v>
      </c>
      <c r="N43" s="245">
        <v>0</v>
      </c>
      <c r="O43" s="245">
        <v>0</v>
      </c>
      <c r="P43" s="245">
        <v>0</v>
      </c>
      <c r="Q43" s="245">
        <v>0</v>
      </c>
      <c r="R43" s="245">
        <v>0</v>
      </c>
      <c r="S43" s="245">
        <v>0</v>
      </c>
      <c r="T43" s="199"/>
      <c r="U43" s="241">
        <f t="shared" si="1"/>
        <v>0</v>
      </c>
      <c r="V43" s="240">
        <f t="shared" si="2"/>
        <v>0</v>
      </c>
      <c r="W43" s="239" t="str">
        <f t="shared" si="3"/>
        <v>100%</v>
      </c>
      <c r="X43" s="238" t="str">
        <f t="shared" si="4"/>
        <v/>
      </c>
      <c r="Y43" s="243" t="s">
        <v>842</v>
      </c>
      <c r="Z43" s="244">
        <v>54</v>
      </c>
      <c r="AA43" s="243" t="s">
        <v>832</v>
      </c>
      <c r="AB43" s="243" t="s">
        <v>837</v>
      </c>
      <c r="AC43" s="194" t="s">
        <v>830</v>
      </c>
    </row>
    <row r="44" spans="1:29" x14ac:dyDescent="0.25">
      <c r="A44" s="209" t="str">
        <f t="shared" si="5"/>
        <v>320155</v>
      </c>
      <c r="B44" s="196" t="s">
        <v>318</v>
      </c>
      <c r="C44" s="194" t="s">
        <v>196</v>
      </c>
      <c r="D44" s="194" t="s">
        <v>730</v>
      </c>
      <c r="E44" s="194" t="s">
        <v>729</v>
      </c>
      <c r="F44" s="200">
        <v>303</v>
      </c>
      <c r="G44" s="20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9">
        <v>0</v>
      </c>
      <c r="N44" s="245">
        <v>0</v>
      </c>
      <c r="O44" s="245">
        <v>0</v>
      </c>
      <c r="P44" s="245">
        <v>0</v>
      </c>
      <c r="Q44" s="245">
        <v>0</v>
      </c>
      <c r="R44" s="245">
        <v>0</v>
      </c>
      <c r="S44" s="245">
        <v>0</v>
      </c>
      <c r="T44" s="199"/>
      <c r="U44" s="241">
        <f t="shared" si="1"/>
        <v>0</v>
      </c>
      <c r="V44" s="240">
        <f t="shared" si="2"/>
        <v>0</v>
      </c>
      <c r="W44" s="239" t="str">
        <f t="shared" si="3"/>
        <v>100%</v>
      </c>
      <c r="X44" s="238" t="str">
        <f t="shared" si="4"/>
        <v/>
      </c>
      <c r="Y44" s="243" t="s">
        <v>842</v>
      </c>
      <c r="Z44" s="244">
        <v>54</v>
      </c>
      <c r="AA44" s="243" t="s">
        <v>832</v>
      </c>
      <c r="AB44" s="243" t="s">
        <v>837</v>
      </c>
      <c r="AC44" s="194" t="s">
        <v>830</v>
      </c>
    </row>
    <row r="45" spans="1:29" x14ac:dyDescent="0.25">
      <c r="A45" s="209" t="str">
        <f t="shared" si="5"/>
        <v>320159</v>
      </c>
      <c r="B45" s="196" t="s">
        <v>318</v>
      </c>
      <c r="C45" s="194" t="s">
        <v>196</v>
      </c>
      <c r="D45" s="194" t="s">
        <v>728</v>
      </c>
      <c r="E45" s="194" t="s">
        <v>727</v>
      </c>
      <c r="F45" s="200">
        <v>376.2</v>
      </c>
      <c r="G45" s="208">
        <v>0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9">
        <v>0</v>
      </c>
      <c r="N45" s="245">
        <v>0</v>
      </c>
      <c r="O45" s="245">
        <v>0</v>
      </c>
      <c r="P45" s="245">
        <v>0</v>
      </c>
      <c r="Q45" s="245">
        <v>0</v>
      </c>
      <c r="R45" s="245">
        <v>0</v>
      </c>
      <c r="S45" s="245">
        <v>0</v>
      </c>
      <c r="T45" s="199"/>
      <c r="U45" s="241">
        <f t="shared" si="1"/>
        <v>0</v>
      </c>
      <c r="V45" s="240">
        <f t="shared" si="2"/>
        <v>0</v>
      </c>
      <c r="W45" s="239" t="str">
        <f t="shared" si="3"/>
        <v>100%</v>
      </c>
      <c r="X45" s="238" t="str">
        <f t="shared" si="4"/>
        <v/>
      </c>
      <c r="Y45" s="243" t="s">
        <v>842</v>
      </c>
      <c r="Z45" s="244">
        <v>54</v>
      </c>
      <c r="AA45" s="243" t="s">
        <v>832</v>
      </c>
      <c r="AB45" s="243" t="s">
        <v>837</v>
      </c>
      <c r="AC45" s="194" t="s">
        <v>830</v>
      </c>
    </row>
    <row r="46" spans="1:29" x14ac:dyDescent="0.25">
      <c r="A46" s="209" t="str">
        <f t="shared" si="5"/>
        <v>324823</v>
      </c>
      <c r="B46" s="196" t="s">
        <v>318</v>
      </c>
      <c r="C46" s="194" t="s">
        <v>196</v>
      </c>
      <c r="D46" s="194" t="s">
        <v>726</v>
      </c>
      <c r="E46" s="194" t="s">
        <v>725</v>
      </c>
      <c r="F46" s="200">
        <v>379</v>
      </c>
      <c r="G46" s="208">
        <v>4024.9238160000004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9">
        <v>0</v>
      </c>
      <c r="N46" s="245">
        <v>0</v>
      </c>
      <c r="O46" s="245">
        <v>0</v>
      </c>
      <c r="P46" s="245">
        <v>0</v>
      </c>
      <c r="Q46" s="245">
        <v>0</v>
      </c>
      <c r="R46" s="245">
        <v>0</v>
      </c>
      <c r="S46" s="245">
        <v>0</v>
      </c>
      <c r="T46" s="199"/>
      <c r="U46" s="241">
        <f t="shared" si="1"/>
        <v>0</v>
      </c>
      <c r="V46" s="240">
        <f t="shared" si="2"/>
        <v>-4024.9238160000004</v>
      </c>
      <c r="W46" s="239">
        <f t="shared" si="3"/>
        <v>-1</v>
      </c>
      <c r="X46" s="238" t="str">
        <f t="shared" si="4"/>
        <v/>
      </c>
      <c r="Y46" s="243" t="s">
        <v>841</v>
      </c>
      <c r="Z46" s="244">
        <v>1</v>
      </c>
      <c r="AA46" s="243" t="s">
        <v>832</v>
      </c>
      <c r="AB46" s="243" t="s">
        <v>831</v>
      </c>
      <c r="AC46" s="194" t="s">
        <v>318</v>
      </c>
    </row>
    <row r="47" spans="1:29" x14ac:dyDescent="0.25">
      <c r="A47" s="209" t="str">
        <f t="shared" si="5"/>
        <v>324827</v>
      </c>
      <c r="B47" s="196" t="s">
        <v>318</v>
      </c>
      <c r="C47" s="194" t="s">
        <v>196</v>
      </c>
      <c r="D47" s="194" t="s">
        <v>724</v>
      </c>
      <c r="E47" s="194" t="s">
        <v>723</v>
      </c>
      <c r="F47" s="200">
        <v>379</v>
      </c>
      <c r="G47" s="208">
        <v>3930.4877160000005</v>
      </c>
      <c r="H47" s="198">
        <v>0</v>
      </c>
      <c r="I47" s="198">
        <v>0</v>
      </c>
      <c r="J47" s="198">
        <v>0</v>
      </c>
      <c r="K47" s="198">
        <v>0</v>
      </c>
      <c r="L47" s="198">
        <v>0</v>
      </c>
      <c r="M47" s="199">
        <v>0</v>
      </c>
      <c r="N47" s="245">
        <v>0</v>
      </c>
      <c r="O47" s="245">
        <v>0</v>
      </c>
      <c r="P47" s="245">
        <v>0</v>
      </c>
      <c r="Q47" s="245">
        <v>0</v>
      </c>
      <c r="R47" s="245">
        <v>0</v>
      </c>
      <c r="S47" s="245">
        <v>0</v>
      </c>
      <c r="T47" s="199"/>
      <c r="U47" s="241">
        <f t="shared" si="1"/>
        <v>0</v>
      </c>
      <c r="V47" s="240">
        <f t="shared" si="2"/>
        <v>-3930.4877160000005</v>
      </c>
      <c r="W47" s="239">
        <f t="shared" si="3"/>
        <v>-1</v>
      </c>
      <c r="X47" s="238" t="str">
        <f t="shared" si="4"/>
        <v/>
      </c>
      <c r="Y47" s="243" t="s">
        <v>841</v>
      </c>
      <c r="Z47" s="244">
        <v>1</v>
      </c>
      <c r="AA47" s="243" t="s">
        <v>832</v>
      </c>
      <c r="AB47" s="243" t="s">
        <v>831</v>
      </c>
      <c r="AC47" s="194" t="s">
        <v>318</v>
      </c>
    </row>
    <row r="48" spans="1:29" x14ac:dyDescent="0.25">
      <c r="A48" s="209" t="str">
        <f t="shared" si="5"/>
        <v>324828</v>
      </c>
      <c r="B48" s="196" t="s">
        <v>318</v>
      </c>
      <c r="C48" s="194" t="s">
        <v>196</v>
      </c>
      <c r="D48" s="194" t="s">
        <v>722</v>
      </c>
      <c r="E48" s="194" t="s">
        <v>721</v>
      </c>
      <c r="F48" s="200">
        <v>379</v>
      </c>
      <c r="G48" s="208">
        <v>4024.9238160000004</v>
      </c>
      <c r="H48" s="198">
        <v>0</v>
      </c>
      <c r="I48" s="198">
        <v>0</v>
      </c>
      <c r="J48" s="198">
        <v>0</v>
      </c>
      <c r="K48" s="198">
        <v>0</v>
      </c>
      <c r="L48" s="198">
        <v>0</v>
      </c>
      <c r="M48" s="199">
        <v>0</v>
      </c>
      <c r="N48" s="245">
        <v>0</v>
      </c>
      <c r="O48" s="245">
        <v>0</v>
      </c>
      <c r="P48" s="245">
        <v>0</v>
      </c>
      <c r="Q48" s="245">
        <v>0</v>
      </c>
      <c r="R48" s="245">
        <v>0</v>
      </c>
      <c r="S48" s="245">
        <v>0</v>
      </c>
      <c r="T48" s="199"/>
      <c r="U48" s="241">
        <f t="shared" si="1"/>
        <v>0</v>
      </c>
      <c r="V48" s="240">
        <f t="shared" si="2"/>
        <v>-4024.9238160000004</v>
      </c>
      <c r="W48" s="239">
        <f t="shared" si="3"/>
        <v>-1</v>
      </c>
      <c r="X48" s="238" t="str">
        <f t="shared" si="4"/>
        <v/>
      </c>
      <c r="Y48" s="243" t="s">
        <v>841</v>
      </c>
      <c r="Z48" s="244">
        <v>1</v>
      </c>
      <c r="AA48" s="243" t="s">
        <v>832</v>
      </c>
      <c r="AB48" s="243" t="s">
        <v>831</v>
      </c>
      <c r="AC48" s="194" t="s">
        <v>318</v>
      </c>
    </row>
    <row r="49" spans="1:29" x14ac:dyDescent="0.25">
      <c r="A49" s="209" t="str">
        <f t="shared" si="5"/>
        <v>324829</v>
      </c>
      <c r="B49" s="196" t="s">
        <v>318</v>
      </c>
      <c r="C49" s="194" t="s">
        <v>196</v>
      </c>
      <c r="D49" s="194" t="s">
        <v>720</v>
      </c>
      <c r="E49" s="194" t="s">
        <v>719</v>
      </c>
      <c r="F49" s="200">
        <v>379</v>
      </c>
      <c r="G49" s="208">
        <v>4024.9238160000004</v>
      </c>
      <c r="H49" s="198">
        <v>0</v>
      </c>
      <c r="I49" s="198">
        <v>0</v>
      </c>
      <c r="J49" s="198">
        <v>0</v>
      </c>
      <c r="K49" s="198">
        <v>0</v>
      </c>
      <c r="L49" s="198">
        <v>0</v>
      </c>
      <c r="M49" s="199">
        <v>0</v>
      </c>
      <c r="N49" s="245">
        <v>0</v>
      </c>
      <c r="O49" s="245">
        <v>0</v>
      </c>
      <c r="P49" s="245">
        <v>0</v>
      </c>
      <c r="Q49" s="245">
        <v>0</v>
      </c>
      <c r="R49" s="245">
        <v>0</v>
      </c>
      <c r="S49" s="245">
        <v>0</v>
      </c>
      <c r="T49" s="199"/>
      <c r="U49" s="241">
        <f t="shared" si="1"/>
        <v>0</v>
      </c>
      <c r="V49" s="240">
        <f t="shared" si="2"/>
        <v>-4024.9238160000004</v>
      </c>
      <c r="W49" s="239">
        <f t="shared" si="3"/>
        <v>-1</v>
      </c>
      <c r="X49" s="238" t="str">
        <f t="shared" si="4"/>
        <v/>
      </c>
      <c r="Y49" s="243" t="s">
        <v>841</v>
      </c>
      <c r="Z49" s="244">
        <v>1</v>
      </c>
      <c r="AA49" s="243" t="s">
        <v>832</v>
      </c>
      <c r="AB49" s="243" t="s">
        <v>831</v>
      </c>
      <c r="AC49" s="194" t="s">
        <v>318</v>
      </c>
    </row>
    <row r="50" spans="1:29" x14ac:dyDescent="0.25">
      <c r="A50" s="209" t="str">
        <f t="shared" si="5"/>
        <v>324830</v>
      </c>
      <c r="B50" s="196" t="s">
        <v>318</v>
      </c>
      <c r="C50" s="194" t="s">
        <v>196</v>
      </c>
      <c r="D50" s="194" t="s">
        <v>718</v>
      </c>
      <c r="E50" s="194" t="s">
        <v>717</v>
      </c>
      <c r="F50" s="200">
        <v>379</v>
      </c>
      <c r="G50" s="208">
        <v>4024.9238160000004</v>
      </c>
      <c r="H50" s="198">
        <v>0</v>
      </c>
      <c r="I50" s="198">
        <v>0</v>
      </c>
      <c r="J50" s="198">
        <v>0</v>
      </c>
      <c r="K50" s="198">
        <v>0</v>
      </c>
      <c r="L50" s="198">
        <v>0</v>
      </c>
      <c r="M50" s="199">
        <v>0</v>
      </c>
      <c r="N50" s="245">
        <v>0</v>
      </c>
      <c r="O50" s="245">
        <v>0</v>
      </c>
      <c r="P50" s="245">
        <v>0</v>
      </c>
      <c r="Q50" s="245">
        <v>0</v>
      </c>
      <c r="R50" s="245">
        <v>0</v>
      </c>
      <c r="S50" s="245">
        <v>0</v>
      </c>
      <c r="T50" s="199"/>
      <c r="U50" s="241">
        <f t="shared" si="1"/>
        <v>0</v>
      </c>
      <c r="V50" s="240">
        <f t="shared" si="2"/>
        <v>-4024.9238160000004</v>
      </c>
      <c r="W50" s="239">
        <f t="shared" si="3"/>
        <v>-1</v>
      </c>
      <c r="X50" s="238" t="str">
        <f t="shared" si="4"/>
        <v/>
      </c>
      <c r="Y50" s="243" t="s">
        <v>841</v>
      </c>
      <c r="Z50" s="244">
        <v>1</v>
      </c>
      <c r="AA50" s="243" t="s">
        <v>832</v>
      </c>
      <c r="AB50" s="243" t="s">
        <v>831</v>
      </c>
      <c r="AC50" s="194" t="s">
        <v>318</v>
      </c>
    </row>
    <row r="51" spans="1:29" x14ac:dyDescent="0.25">
      <c r="A51" s="209" t="str">
        <f t="shared" si="5"/>
        <v>324831</v>
      </c>
      <c r="B51" s="196" t="s">
        <v>318</v>
      </c>
      <c r="C51" s="194" t="s">
        <v>196</v>
      </c>
      <c r="D51" s="194" t="s">
        <v>716</v>
      </c>
      <c r="E51" s="194" t="s">
        <v>715</v>
      </c>
      <c r="F51" s="200">
        <v>379</v>
      </c>
      <c r="G51" s="208">
        <v>4024.9238160000004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199">
        <v>0</v>
      </c>
      <c r="N51" s="245">
        <v>0</v>
      </c>
      <c r="O51" s="245">
        <v>0</v>
      </c>
      <c r="P51" s="245">
        <v>0</v>
      </c>
      <c r="Q51" s="245">
        <v>0</v>
      </c>
      <c r="R51" s="245">
        <v>0</v>
      </c>
      <c r="S51" s="245">
        <v>0</v>
      </c>
      <c r="T51" s="199"/>
      <c r="U51" s="241">
        <f t="shared" si="1"/>
        <v>0</v>
      </c>
      <c r="V51" s="240">
        <f t="shared" si="2"/>
        <v>-4024.9238160000004</v>
      </c>
      <c r="W51" s="239">
        <f t="shared" si="3"/>
        <v>-1</v>
      </c>
      <c r="X51" s="238" t="str">
        <f t="shared" si="4"/>
        <v/>
      </c>
      <c r="Y51" s="243" t="s">
        <v>841</v>
      </c>
      <c r="Z51" s="244">
        <v>1</v>
      </c>
      <c r="AA51" s="243" t="s">
        <v>832</v>
      </c>
      <c r="AB51" s="243" t="s">
        <v>831</v>
      </c>
      <c r="AC51" s="194" t="s">
        <v>318</v>
      </c>
    </row>
    <row r="52" spans="1:29" x14ac:dyDescent="0.25">
      <c r="A52" s="209" t="str">
        <f t="shared" si="5"/>
        <v>324832</v>
      </c>
      <c r="B52" s="196" t="s">
        <v>318</v>
      </c>
      <c r="C52" s="194" t="s">
        <v>196</v>
      </c>
      <c r="D52" s="194" t="s">
        <v>714</v>
      </c>
      <c r="E52" s="194" t="s">
        <v>713</v>
      </c>
      <c r="F52" s="200">
        <v>379</v>
      </c>
      <c r="G52" s="208">
        <v>4024.9238160000004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9">
        <v>0</v>
      </c>
      <c r="N52" s="245">
        <v>0</v>
      </c>
      <c r="O52" s="245">
        <v>0</v>
      </c>
      <c r="P52" s="245">
        <v>0</v>
      </c>
      <c r="Q52" s="245">
        <v>0</v>
      </c>
      <c r="R52" s="245">
        <v>0</v>
      </c>
      <c r="S52" s="245">
        <v>0</v>
      </c>
      <c r="T52" s="199"/>
      <c r="U52" s="241">
        <f t="shared" si="1"/>
        <v>0</v>
      </c>
      <c r="V52" s="240">
        <f t="shared" si="2"/>
        <v>-4024.9238160000004</v>
      </c>
      <c r="W52" s="239">
        <f t="shared" si="3"/>
        <v>-1</v>
      </c>
      <c r="X52" s="238" t="str">
        <f t="shared" si="4"/>
        <v/>
      </c>
      <c r="Y52" s="243" t="s">
        <v>841</v>
      </c>
      <c r="Z52" s="244">
        <v>1</v>
      </c>
      <c r="AA52" s="243" t="s">
        <v>832</v>
      </c>
      <c r="AB52" s="243" t="s">
        <v>831</v>
      </c>
      <c r="AC52" s="194" t="s">
        <v>318</v>
      </c>
    </row>
    <row r="53" spans="1:29" x14ac:dyDescent="0.25">
      <c r="A53" s="209" t="str">
        <f t="shared" si="5"/>
        <v>324833</v>
      </c>
      <c r="B53" s="196" t="s">
        <v>318</v>
      </c>
      <c r="C53" s="194" t="s">
        <v>196</v>
      </c>
      <c r="D53" s="194" t="s">
        <v>712</v>
      </c>
      <c r="E53" s="194" t="s">
        <v>711</v>
      </c>
      <c r="F53" s="200">
        <v>379</v>
      </c>
      <c r="G53" s="208">
        <v>4024.9238160000004</v>
      </c>
      <c r="H53" s="198">
        <v>0</v>
      </c>
      <c r="I53" s="198">
        <v>0</v>
      </c>
      <c r="J53" s="198">
        <v>0</v>
      </c>
      <c r="K53" s="198">
        <v>0</v>
      </c>
      <c r="L53" s="198">
        <v>0</v>
      </c>
      <c r="M53" s="199">
        <v>0</v>
      </c>
      <c r="N53" s="245">
        <v>0</v>
      </c>
      <c r="O53" s="245">
        <v>0</v>
      </c>
      <c r="P53" s="245">
        <v>0</v>
      </c>
      <c r="Q53" s="245">
        <v>0</v>
      </c>
      <c r="R53" s="245">
        <v>0</v>
      </c>
      <c r="S53" s="245">
        <v>0</v>
      </c>
      <c r="T53" s="199"/>
      <c r="U53" s="241">
        <f t="shared" si="1"/>
        <v>0</v>
      </c>
      <c r="V53" s="240">
        <f t="shared" si="2"/>
        <v>-4024.9238160000004</v>
      </c>
      <c r="W53" s="239">
        <f t="shared" si="3"/>
        <v>-1</v>
      </c>
      <c r="X53" s="238" t="str">
        <f t="shared" si="4"/>
        <v/>
      </c>
      <c r="Y53" s="243" t="s">
        <v>841</v>
      </c>
      <c r="Z53" s="244">
        <v>1</v>
      </c>
      <c r="AA53" s="243" t="s">
        <v>832</v>
      </c>
      <c r="AB53" s="243" t="s">
        <v>831</v>
      </c>
      <c r="AC53" s="194" t="s">
        <v>318</v>
      </c>
    </row>
    <row r="54" spans="1:29" x14ac:dyDescent="0.25">
      <c r="A54" s="209" t="str">
        <f t="shared" si="5"/>
        <v>324834</v>
      </c>
      <c r="B54" s="196" t="s">
        <v>318</v>
      </c>
      <c r="C54" s="194" t="s">
        <v>196</v>
      </c>
      <c r="D54" s="194" t="s">
        <v>710</v>
      </c>
      <c r="E54" s="194" t="s">
        <v>709</v>
      </c>
      <c r="F54" s="200">
        <v>379</v>
      </c>
      <c r="G54" s="208">
        <v>4024.9238160000004</v>
      </c>
      <c r="H54" s="198">
        <v>0</v>
      </c>
      <c r="I54" s="198">
        <v>0</v>
      </c>
      <c r="J54" s="198">
        <v>0</v>
      </c>
      <c r="K54" s="198">
        <v>0</v>
      </c>
      <c r="L54" s="198">
        <v>0</v>
      </c>
      <c r="M54" s="199">
        <v>0</v>
      </c>
      <c r="N54" s="245">
        <v>0</v>
      </c>
      <c r="O54" s="245">
        <v>0</v>
      </c>
      <c r="P54" s="245">
        <v>0</v>
      </c>
      <c r="Q54" s="245">
        <v>0</v>
      </c>
      <c r="R54" s="245">
        <v>0</v>
      </c>
      <c r="S54" s="245">
        <v>0</v>
      </c>
      <c r="T54" s="199"/>
      <c r="U54" s="241">
        <f t="shared" si="1"/>
        <v>0</v>
      </c>
      <c r="V54" s="240">
        <f t="shared" si="2"/>
        <v>-4024.9238160000004</v>
      </c>
      <c r="W54" s="239">
        <f t="shared" si="3"/>
        <v>-1</v>
      </c>
      <c r="X54" s="238" t="str">
        <f t="shared" si="4"/>
        <v/>
      </c>
      <c r="Y54" s="243" t="s">
        <v>841</v>
      </c>
      <c r="Z54" s="244">
        <v>1</v>
      </c>
      <c r="AA54" s="243" t="s">
        <v>832</v>
      </c>
      <c r="AB54" s="243" t="s">
        <v>831</v>
      </c>
      <c r="AC54" s="194" t="s">
        <v>318</v>
      </c>
    </row>
    <row r="55" spans="1:29" x14ac:dyDescent="0.25">
      <c r="A55" s="209" t="str">
        <f t="shared" si="5"/>
        <v>324835</v>
      </c>
      <c r="B55" s="196" t="s">
        <v>318</v>
      </c>
      <c r="C55" s="194" t="s">
        <v>196</v>
      </c>
      <c r="D55" s="194" t="s">
        <v>708</v>
      </c>
      <c r="E55" s="194" t="s">
        <v>707</v>
      </c>
      <c r="F55" s="200">
        <v>379</v>
      </c>
      <c r="G55" s="208">
        <v>4024.9238160000004</v>
      </c>
      <c r="H55" s="198">
        <v>0</v>
      </c>
      <c r="I55" s="198">
        <v>0</v>
      </c>
      <c r="J55" s="198">
        <v>0</v>
      </c>
      <c r="K55" s="198">
        <v>0</v>
      </c>
      <c r="L55" s="198">
        <v>0</v>
      </c>
      <c r="M55" s="199">
        <v>0</v>
      </c>
      <c r="N55" s="245">
        <v>0</v>
      </c>
      <c r="O55" s="245">
        <v>0</v>
      </c>
      <c r="P55" s="245">
        <v>0</v>
      </c>
      <c r="Q55" s="245">
        <v>0</v>
      </c>
      <c r="R55" s="245">
        <v>0</v>
      </c>
      <c r="S55" s="245">
        <v>0</v>
      </c>
      <c r="T55" s="199"/>
      <c r="U55" s="241">
        <f t="shared" si="1"/>
        <v>0</v>
      </c>
      <c r="V55" s="240">
        <f t="shared" si="2"/>
        <v>-4024.9238160000004</v>
      </c>
      <c r="W55" s="239">
        <f t="shared" si="3"/>
        <v>-1</v>
      </c>
      <c r="X55" s="238" t="str">
        <f t="shared" si="4"/>
        <v/>
      </c>
      <c r="Y55" s="243" t="s">
        <v>841</v>
      </c>
      <c r="Z55" s="244">
        <v>1</v>
      </c>
      <c r="AA55" s="243" t="s">
        <v>832</v>
      </c>
      <c r="AB55" s="243" t="s">
        <v>831</v>
      </c>
      <c r="AC55" s="194" t="s">
        <v>318</v>
      </c>
    </row>
    <row r="56" spans="1:29" x14ac:dyDescent="0.25">
      <c r="A56" s="209" t="str">
        <f t="shared" si="5"/>
        <v>324836</v>
      </c>
      <c r="B56" s="196" t="s">
        <v>318</v>
      </c>
      <c r="C56" s="194" t="s">
        <v>196</v>
      </c>
      <c r="D56" s="194" t="s">
        <v>706</v>
      </c>
      <c r="E56" s="194" t="s">
        <v>705</v>
      </c>
      <c r="F56" s="200">
        <v>379</v>
      </c>
      <c r="G56" s="208">
        <v>4024.9238160000004</v>
      </c>
      <c r="H56" s="198">
        <v>0</v>
      </c>
      <c r="I56" s="198">
        <v>0</v>
      </c>
      <c r="J56" s="198">
        <v>0</v>
      </c>
      <c r="K56" s="198">
        <v>0</v>
      </c>
      <c r="L56" s="198">
        <v>0</v>
      </c>
      <c r="M56" s="199">
        <v>0</v>
      </c>
      <c r="N56" s="245">
        <v>0</v>
      </c>
      <c r="O56" s="245">
        <v>0</v>
      </c>
      <c r="P56" s="245">
        <v>0</v>
      </c>
      <c r="Q56" s="245">
        <v>0</v>
      </c>
      <c r="R56" s="245">
        <v>0</v>
      </c>
      <c r="S56" s="245">
        <v>0</v>
      </c>
      <c r="T56" s="199"/>
      <c r="U56" s="241">
        <f t="shared" si="1"/>
        <v>0</v>
      </c>
      <c r="V56" s="240">
        <f t="shared" si="2"/>
        <v>-4024.9238160000004</v>
      </c>
      <c r="W56" s="239">
        <f t="shared" si="3"/>
        <v>-1</v>
      </c>
      <c r="X56" s="238" t="str">
        <f t="shared" si="4"/>
        <v/>
      </c>
      <c r="Y56" s="243" t="s">
        <v>841</v>
      </c>
      <c r="Z56" s="244">
        <v>1</v>
      </c>
      <c r="AA56" s="243" t="s">
        <v>832</v>
      </c>
      <c r="AB56" s="243" t="s">
        <v>831</v>
      </c>
      <c r="AC56" s="194" t="s">
        <v>318</v>
      </c>
    </row>
    <row r="57" spans="1:29" x14ac:dyDescent="0.25">
      <c r="A57" s="209" t="str">
        <f t="shared" si="5"/>
        <v>325160</v>
      </c>
      <c r="B57" s="196" t="s">
        <v>318</v>
      </c>
      <c r="C57" s="194" t="s">
        <v>196</v>
      </c>
      <c r="D57" s="194" t="s">
        <v>704</v>
      </c>
      <c r="E57" s="194" t="s">
        <v>703</v>
      </c>
      <c r="F57" s="200">
        <v>379</v>
      </c>
      <c r="G57" s="208">
        <v>4582.6119119999994</v>
      </c>
      <c r="H57" s="198">
        <v>0</v>
      </c>
      <c r="I57" s="198">
        <v>0</v>
      </c>
      <c r="J57" s="198">
        <v>0</v>
      </c>
      <c r="K57" s="198">
        <v>0</v>
      </c>
      <c r="L57" s="198">
        <v>0</v>
      </c>
      <c r="M57" s="199">
        <v>0</v>
      </c>
      <c r="N57" s="245">
        <v>0</v>
      </c>
      <c r="O57" s="245">
        <v>0</v>
      </c>
      <c r="P57" s="245">
        <v>0</v>
      </c>
      <c r="Q57" s="245">
        <v>0</v>
      </c>
      <c r="R57" s="245">
        <v>0</v>
      </c>
      <c r="S57" s="245">
        <v>0</v>
      </c>
      <c r="T57" s="199"/>
      <c r="U57" s="241">
        <f t="shared" si="1"/>
        <v>0</v>
      </c>
      <c r="V57" s="240">
        <f t="shared" si="2"/>
        <v>-4582.6119119999994</v>
      </c>
      <c r="W57" s="239">
        <f t="shared" si="3"/>
        <v>-1</v>
      </c>
      <c r="X57" s="238" t="str">
        <f t="shared" si="4"/>
        <v/>
      </c>
      <c r="Y57" s="243" t="s">
        <v>841</v>
      </c>
      <c r="Z57" s="244">
        <v>1</v>
      </c>
      <c r="AA57" s="243" t="s">
        <v>832</v>
      </c>
      <c r="AB57" s="243" t="s">
        <v>831</v>
      </c>
      <c r="AC57" s="194" t="s">
        <v>318</v>
      </c>
    </row>
    <row r="58" spans="1:29" x14ac:dyDescent="0.25">
      <c r="A58" s="209" t="str">
        <f t="shared" si="5"/>
        <v>325161</v>
      </c>
      <c r="B58" s="196" t="s">
        <v>318</v>
      </c>
      <c r="C58" s="194" t="s">
        <v>196</v>
      </c>
      <c r="D58" s="194" t="s">
        <v>702</v>
      </c>
      <c r="E58" s="194" t="s">
        <v>701</v>
      </c>
      <c r="F58" s="200">
        <v>379</v>
      </c>
      <c r="G58" s="208">
        <v>4582.6119119999994</v>
      </c>
      <c r="H58" s="198">
        <v>0</v>
      </c>
      <c r="I58" s="198">
        <v>0</v>
      </c>
      <c r="J58" s="198">
        <v>0</v>
      </c>
      <c r="K58" s="198">
        <v>0</v>
      </c>
      <c r="L58" s="198">
        <v>0</v>
      </c>
      <c r="M58" s="199">
        <v>0</v>
      </c>
      <c r="N58" s="245">
        <v>0</v>
      </c>
      <c r="O58" s="245">
        <v>0</v>
      </c>
      <c r="P58" s="245">
        <v>0</v>
      </c>
      <c r="Q58" s="245">
        <v>0</v>
      </c>
      <c r="R58" s="245">
        <v>0</v>
      </c>
      <c r="S58" s="245">
        <v>0</v>
      </c>
      <c r="T58" s="199"/>
      <c r="U58" s="241">
        <f t="shared" si="1"/>
        <v>0</v>
      </c>
      <c r="V58" s="240">
        <f t="shared" si="2"/>
        <v>-4582.6119119999994</v>
      </c>
      <c r="W58" s="239">
        <f t="shared" si="3"/>
        <v>-1</v>
      </c>
      <c r="X58" s="238" t="str">
        <f t="shared" si="4"/>
        <v/>
      </c>
      <c r="Y58" s="243" t="s">
        <v>841</v>
      </c>
      <c r="Z58" s="244">
        <v>1</v>
      </c>
      <c r="AA58" s="243" t="s">
        <v>832</v>
      </c>
      <c r="AB58" s="243" t="s">
        <v>831</v>
      </c>
      <c r="AC58" s="194" t="s">
        <v>318</v>
      </c>
    </row>
    <row r="59" spans="1:29" x14ac:dyDescent="0.25">
      <c r="A59" s="209" t="str">
        <f t="shared" si="5"/>
        <v>325162</v>
      </c>
      <c r="B59" s="196" t="s">
        <v>318</v>
      </c>
      <c r="C59" s="194" t="s">
        <v>196</v>
      </c>
      <c r="D59" s="194" t="s">
        <v>700</v>
      </c>
      <c r="E59" s="194" t="s">
        <v>699</v>
      </c>
      <c r="F59" s="200">
        <v>379</v>
      </c>
      <c r="G59" s="208">
        <v>4591.8647419999998</v>
      </c>
      <c r="H59" s="198">
        <v>0</v>
      </c>
      <c r="I59" s="198">
        <v>0</v>
      </c>
      <c r="J59" s="198">
        <v>0</v>
      </c>
      <c r="K59" s="198">
        <v>0</v>
      </c>
      <c r="L59" s="198">
        <v>0</v>
      </c>
      <c r="M59" s="199">
        <v>0</v>
      </c>
      <c r="N59" s="245">
        <v>0</v>
      </c>
      <c r="O59" s="245">
        <v>0</v>
      </c>
      <c r="P59" s="245">
        <v>0</v>
      </c>
      <c r="Q59" s="245">
        <v>0</v>
      </c>
      <c r="R59" s="245">
        <v>0</v>
      </c>
      <c r="S59" s="245">
        <v>0</v>
      </c>
      <c r="T59" s="199"/>
      <c r="U59" s="241">
        <f t="shared" si="1"/>
        <v>0</v>
      </c>
      <c r="V59" s="240">
        <f t="shared" si="2"/>
        <v>-4591.8647419999998</v>
      </c>
      <c r="W59" s="239">
        <f t="shared" si="3"/>
        <v>-1</v>
      </c>
      <c r="X59" s="238" t="str">
        <f t="shared" si="4"/>
        <v/>
      </c>
      <c r="Y59" s="243" t="s">
        <v>841</v>
      </c>
      <c r="Z59" s="244">
        <v>1</v>
      </c>
      <c r="AA59" s="243" t="s">
        <v>832</v>
      </c>
      <c r="AB59" s="243" t="s">
        <v>831</v>
      </c>
      <c r="AC59" s="194" t="s">
        <v>318</v>
      </c>
    </row>
    <row r="60" spans="1:29" x14ac:dyDescent="0.25">
      <c r="A60" s="209" t="str">
        <f t="shared" si="5"/>
        <v>325163</v>
      </c>
      <c r="B60" s="196" t="s">
        <v>318</v>
      </c>
      <c r="C60" s="194" t="s">
        <v>196</v>
      </c>
      <c r="D60" s="194" t="s">
        <v>698</v>
      </c>
      <c r="E60" s="194" t="s">
        <v>697</v>
      </c>
      <c r="F60" s="200">
        <v>379</v>
      </c>
      <c r="G60" s="208">
        <v>4582.6119119999994</v>
      </c>
      <c r="H60" s="198">
        <v>0</v>
      </c>
      <c r="I60" s="198">
        <v>0</v>
      </c>
      <c r="J60" s="198">
        <v>0</v>
      </c>
      <c r="K60" s="198">
        <v>0</v>
      </c>
      <c r="L60" s="198">
        <v>0</v>
      </c>
      <c r="M60" s="199">
        <v>0</v>
      </c>
      <c r="N60" s="245">
        <v>0</v>
      </c>
      <c r="O60" s="245">
        <v>0</v>
      </c>
      <c r="P60" s="245">
        <v>0</v>
      </c>
      <c r="Q60" s="245">
        <v>0</v>
      </c>
      <c r="R60" s="245">
        <v>0</v>
      </c>
      <c r="S60" s="245">
        <v>0</v>
      </c>
      <c r="T60" s="199"/>
      <c r="U60" s="241">
        <f t="shared" si="1"/>
        <v>0</v>
      </c>
      <c r="V60" s="240">
        <f t="shared" si="2"/>
        <v>-4582.6119119999994</v>
      </c>
      <c r="W60" s="239">
        <f t="shared" si="3"/>
        <v>-1</v>
      </c>
      <c r="X60" s="238" t="str">
        <f t="shared" si="4"/>
        <v/>
      </c>
      <c r="Y60" s="243" t="s">
        <v>841</v>
      </c>
      <c r="Z60" s="244">
        <v>1</v>
      </c>
      <c r="AA60" s="243" t="s">
        <v>832</v>
      </c>
      <c r="AB60" s="243" t="s">
        <v>831</v>
      </c>
      <c r="AC60" s="194" t="s">
        <v>318</v>
      </c>
    </row>
    <row r="61" spans="1:29" x14ac:dyDescent="0.25">
      <c r="A61" s="209" t="str">
        <f t="shared" si="5"/>
        <v>323636</v>
      </c>
      <c r="B61" s="196" t="s">
        <v>318</v>
      </c>
      <c r="C61" s="194" t="s">
        <v>196</v>
      </c>
      <c r="D61" s="194" t="s">
        <v>696</v>
      </c>
      <c r="E61" s="194" t="s">
        <v>695</v>
      </c>
      <c r="F61" s="200">
        <v>376.2</v>
      </c>
      <c r="G61" s="208">
        <v>63627.04733899999</v>
      </c>
      <c r="H61" s="198">
        <v>0</v>
      </c>
      <c r="I61" s="198">
        <v>0</v>
      </c>
      <c r="J61" s="198">
        <v>0</v>
      </c>
      <c r="K61" s="198">
        <v>0</v>
      </c>
      <c r="L61" s="198">
        <v>0</v>
      </c>
      <c r="M61" s="199">
        <v>0</v>
      </c>
      <c r="N61" s="245">
        <v>0</v>
      </c>
      <c r="O61" s="245">
        <v>0</v>
      </c>
      <c r="P61" s="245">
        <v>0</v>
      </c>
      <c r="Q61" s="245">
        <v>0</v>
      </c>
      <c r="R61" s="245">
        <v>0</v>
      </c>
      <c r="S61" s="245">
        <v>0</v>
      </c>
      <c r="T61" s="199"/>
      <c r="U61" s="241">
        <f t="shared" si="1"/>
        <v>0</v>
      </c>
      <c r="V61" s="240">
        <f t="shared" si="2"/>
        <v>-63627.04733899999</v>
      </c>
      <c r="W61" s="239">
        <f t="shared" si="3"/>
        <v>-1</v>
      </c>
      <c r="X61" s="238" t="str">
        <f t="shared" si="4"/>
        <v/>
      </c>
      <c r="Y61" s="243" t="s">
        <v>841</v>
      </c>
      <c r="Z61" s="244">
        <v>1</v>
      </c>
      <c r="AA61" s="243" t="s">
        <v>832</v>
      </c>
      <c r="AB61" s="243" t="s">
        <v>831</v>
      </c>
      <c r="AC61" s="194" t="s">
        <v>318</v>
      </c>
    </row>
    <row r="62" spans="1:29" x14ac:dyDescent="0.25">
      <c r="A62" s="209" t="str">
        <f t="shared" si="5"/>
        <v>323730</v>
      </c>
      <c r="B62" s="196" t="s">
        <v>318</v>
      </c>
      <c r="C62" s="194" t="s">
        <v>196</v>
      </c>
      <c r="D62" s="194" t="s">
        <v>694</v>
      </c>
      <c r="E62" s="194" t="s">
        <v>693</v>
      </c>
      <c r="F62" s="200">
        <v>378</v>
      </c>
      <c r="G62" s="208">
        <v>206332.31882699998</v>
      </c>
      <c r="H62" s="198">
        <v>0</v>
      </c>
      <c r="I62" s="198">
        <v>0</v>
      </c>
      <c r="J62" s="198">
        <v>0</v>
      </c>
      <c r="K62" s="198">
        <v>0</v>
      </c>
      <c r="L62" s="198">
        <v>0</v>
      </c>
      <c r="M62" s="199">
        <v>0</v>
      </c>
      <c r="N62" s="245">
        <v>0</v>
      </c>
      <c r="O62" s="245">
        <v>0</v>
      </c>
      <c r="P62" s="245">
        <v>0</v>
      </c>
      <c r="Q62" s="245">
        <v>0</v>
      </c>
      <c r="R62" s="245">
        <v>0</v>
      </c>
      <c r="S62" s="245">
        <v>0</v>
      </c>
      <c r="T62" s="199"/>
      <c r="U62" s="241">
        <f t="shared" si="1"/>
        <v>0</v>
      </c>
      <c r="V62" s="240">
        <f t="shared" si="2"/>
        <v>-206332.31882699998</v>
      </c>
      <c r="W62" s="239">
        <f t="shared" si="3"/>
        <v>-1</v>
      </c>
      <c r="X62" s="238" t="str">
        <f t="shared" si="4"/>
        <v/>
      </c>
      <c r="Y62" s="243" t="s">
        <v>841</v>
      </c>
      <c r="Z62" s="244">
        <v>1</v>
      </c>
      <c r="AA62" s="243" t="s">
        <v>832</v>
      </c>
      <c r="AB62" s="243" t="s">
        <v>831</v>
      </c>
      <c r="AC62" s="194" t="s">
        <v>318</v>
      </c>
    </row>
    <row r="63" spans="1:29" x14ac:dyDescent="0.25">
      <c r="A63" s="209" t="str">
        <f t="shared" si="5"/>
        <v>324475</v>
      </c>
      <c r="B63" s="196" t="s">
        <v>318</v>
      </c>
      <c r="C63" s="194" t="s">
        <v>196</v>
      </c>
      <c r="D63" s="194" t="s">
        <v>692</v>
      </c>
      <c r="E63" s="194" t="s">
        <v>691</v>
      </c>
      <c r="F63" s="200">
        <v>394.1</v>
      </c>
      <c r="G63" s="208">
        <v>15078.5602</v>
      </c>
      <c r="H63" s="198">
        <v>0</v>
      </c>
      <c r="I63" s="198">
        <v>0</v>
      </c>
      <c r="J63" s="198">
        <v>0</v>
      </c>
      <c r="K63" s="198">
        <v>0</v>
      </c>
      <c r="L63" s="198">
        <v>0</v>
      </c>
      <c r="M63" s="199">
        <v>0</v>
      </c>
      <c r="N63" s="245">
        <v>0</v>
      </c>
      <c r="O63" s="245">
        <v>0</v>
      </c>
      <c r="P63" s="245">
        <v>0</v>
      </c>
      <c r="Q63" s="245">
        <v>0</v>
      </c>
      <c r="R63" s="245">
        <v>0</v>
      </c>
      <c r="S63" s="245">
        <v>0</v>
      </c>
      <c r="T63" s="199"/>
      <c r="U63" s="241">
        <f t="shared" si="1"/>
        <v>0</v>
      </c>
      <c r="V63" s="240">
        <f t="shared" si="2"/>
        <v>-15078.5602</v>
      </c>
      <c r="W63" s="239">
        <f t="shared" si="3"/>
        <v>-1</v>
      </c>
      <c r="X63" s="238" t="str">
        <f t="shared" si="4"/>
        <v/>
      </c>
      <c r="Y63" s="243" t="s">
        <v>841</v>
      </c>
      <c r="Z63" s="244">
        <v>1</v>
      </c>
      <c r="AA63" s="243" t="s">
        <v>832</v>
      </c>
      <c r="AB63" s="243" t="s">
        <v>831</v>
      </c>
      <c r="AC63" s="194" t="s">
        <v>318</v>
      </c>
    </row>
    <row r="64" spans="1:29" x14ac:dyDescent="0.25">
      <c r="A64" s="209" t="str">
        <f t="shared" si="5"/>
        <v>324778</v>
      </c>
      <c r="B64" s="196" t="s">
        <v>318</v>
      </c>
      <c r="C64" s="194" t="s">
        <v>196</v>
      </c>
      <c r="D64" s="194" t="s">
        <v>690</v>
      </c>
      <c r="E64" s="194" t="s">
        <v>689</v>
      </c>
      <c r="F64" s="200">
        <v>390.1</v>
      </c>
      <c r="G64" s="208">
        <v>155213.86869500001</v>
      </c>
      <c r="H64" s="198">
        <v>0</v>
      </c>
      <c r="I64" s="198">
        <v>0</v>
      </c>
      <c r="J64" s="198">
        <v>0</v>
      </c>
      <c r="K64" s="198">
        <v>0</v>
      </c>
      <c r="L64" s="198">
        <v>0</v>
      </c>
      <c r="M64" s="199">
        <v>0</v>
      </c>
      <c r="N64" s="245">
        <v>0</v>
      </c>
      <c r="O64" s="245">
        <v>0</v>
      </c>
      <c r="P64" s="245">
        <v>0</v>
      </c>
      <c r="Q64" s="245">
        <v>0</v>
      </c>
      <c r="R64" s="245">
        <v>0</v>
      </c>
      <c r="S64" s="245">
        <v>0</v>
      </c>
      <c r="T64" s="199"/>
      <c r="U64" s="241">
        <f t="shared" si="1"/>
        <v>0</v>
      </c>
      <c r="V64" s="240">
        <f t="shared" si="2"/>
        <v>-155213.86869500001</v>
      </c>
      <c r="W64" s="239">
        <f t="shared" si="3"/>
        <v>-1</v>
      </c>
      <c r="X64" s="238" t="str">
        <f t="shared" si="4"/>
        <v/>
      </c>
      <c r="Y64" s="243" t="s">
        <v>841</v>
      </c>
      <c r="Z64" s="244">
        <v>1</v>
      </c>
      <c r="AA64" s="243" t="s">
        <v>832</v>
      </c>
      <c r="AB64" s="243" t="s">
        <v>831</v>
      </c>
      <c r="AC64" s="194" t="s">
        <v>318</v>
      </c>
    </row>
    <row r="65" spans="1:29" x14ac:dyDescent="0.25">
      <c r="A65" s="209" t="str">
        <f t="shared" si="5"/>
        <v>319057</v>
      </c>
      <c r="B65" s="196" t="s">
        <v>318</v>
      </c>
      <c r="C65" s="194" t="s">
        <v>196</v>
      </c>
      <c r="D65" s="194" t="s">
        <v>688</v>
      </c>
      <c r="E65" s="194" t="s">
        <v>687</v>
      </c>
      <c r="F65" s="200">
        <v>378</v>
      </c>
      <c r="G65" s="208">
        <v>1901518.06</v>
      </c>
      <c r="H65" s="198">
        <v>0</v>
      </c>
      <c r="I65" s="198">
        <v>0</v>
      </c>
      <c r="J65" s="198">
        <v>0</v>
      </c>
      <c r="K65" s="198">
        <v>0</v>
      </c>
      <c r="L65" s="198">
        <v>0</v>
      </c>
      <c r="M65" s="199">
        <v>0</v>
      </c>
      <c r="N65" s="245">
        <v>0</v>
      </c>
      <c r="O65" s="245">
        <v>0</v>
      </c>
      <c r="P65" s="245">
        <v>0</v>
      </c>
      <c r="Q65" s="245">
        <v>0</v>
      </c>
      <c r="R65" s="245">
        <v>0</v>
      </c>
      <c r="S65" s="245">
        <v>0</v>
      </c>
      <c r="T65" s="199"/>
      <c r="U65" s="241">
        <f t="shared" si="1"/>
        <v>0</v>
      </c>
      <c r="V65" s="240">
        <f t="shared" si="2"/>
        <v>-1901518.06</v>
      </c>
      <c r="W65" s="239">
        <f t="shared" si="3"/>
        <v>-1</v>
      </c>
      <c r="X65" s="238" t="str">
        <f t="shared" si="4"/>
        <v>yes</v>
      </c>
      <c r="Y65" s="243" t="s">
        <v>842</v>
      </c>
      <c r="Z65" s="244">
        <v>57</v>
      </c>
      <c r="AA65" s="243" t="s">
        <v>832</v>
      </c>
      <c r="AB65" s="243" t="s">
        <v>837</v>
      </c>
      <c r="AC65" s="194" t="s">
        <v>830</v>
      </c>
    </row>
    <row r="66" spans="1:29" x14ac:dyDescent="0.25">
      <c r="A66" s="209" t="str">
        <f t="shared" si="5"/>
        <v>319061</v>
      </c>
      <c r="B66" s="196" t="s">
        <v>318</v>
      </c>
      <c r="C66" s="194" t="s">
        <v>196</v>
      </c>
      <c r="D66" s="194" t="s">
        <v>686</v>
      </c>
      <c r="E66" s="194" t="s">
        <v>685</v>
      </c>
      <c r="F66" s="200">
        <v>376.3</v>
      </c>
      <c r="G66" s="208">
        <v>2258569</v>
      </c>
      <c r="H66" s="198">
        <v>0</v>
      </c>
      <c r="I66" s="198">
        <v>0</v>
      </c>
      <c r="J66" s="198">
        <v>0</v>
      </c>
      <c r="K66" s="198">
        <v>0</v>
      </c>
      <c r="L66" s="198">
        <v>0</v>
      </c>
      <c r="M66" s="199">
        <v>0</v>
      </c>
      <c r="N66" s="245">
        <v>0</v>
      </c>
      <c r="O66" s="245">
        <v>0</v>
      </c>
      <c r="P66" s="245">
        <v>0</v>
      </c>
      <c r="Q66" s="245">
        <v>0</v>
      </c>
      <c r="R66" s="245">
        <v>0</v>
      </c>
      <c r="S66" s="245">
        <v>0</v>
      </c>
      <c r="T66" s="199"/>
      <c r="U66" s="241">
        <f t="shared" si="1"/>
        <v>0</v>
      </c>
      <c r="V66" s="240">
        <f t="shared" si="2"/>
        <v>-2258569</v>
      </c>
      <c r="W66" s="239">
        <f t="shared" si="3"/>
        <v>-1</v>
      </c>
      <c r="X66" s="238" t="str">
        <f t="shared" si="4"/>
        <v>yes</v>
      </c>
      <c r="Y66" s="243" t="s">
        <v>842</v>
      </c>
      <c r="Z66" s="244">
        <v>57</v>
      </c>
      <c r="AA66" s="243" t="s">
        <v>832</v>
      </c>
      <c r="AB66" s="243" t="s">
        <v>837</v>
      </c>
      <c r="AC66" s="194" t="s">
        <v>830</v>
      </c>
    </row>
    <row r="67" spans="1:29" x14ac:dyDescent="0.25">
      <c r="A67" s="209" t="str">
        <f t="shared" si="5"/>
        <v>320034</v>
      </c>
      <c r="B67" s="196" t="s">
        <v>318</v>
      </c>
      <c r="C67" s="194" t="s">
        <v>196</v>
      </c>
      <c r="D67" s="194" t="s">
        <v>684</v>
      </c>
      <c r="E67" s="194" t="s">
        <v>683</v>
      </c>
      <c r="F67" s="200">
        <v>303</v>
      </c>
      <c r="G67" s="208">
        <v>3016751.45</v>
      </c>
      <c r="H67" s="198">
        <v>0</v>
      </c>
      <c r="I67" s="198">
        <v>0</v>
      </c>
      <c r="J67" s="198">
        <v>0</v>
      </c>
      <c r="K67" s="198">
        <v>0</v>
      </c>
      <c r="L67" s="198">
        <v>0</v>
      </c>
      <c r="M67" s="199">
        <v>0</v>
      </c>
      <c r="N67" s="245">
        <v>0</v>
      </c>
      <c r="O67" s="245">
        <v>0</v>
      </c>
      <c r="P67" s="245">
        <v>0</v>
      </c>
      <c r="Q67" s="245">
        <v>0</v>
      </c>
      <c r="R67" s="245">
        <v>0</v>
      </c>
      <c r="S67" s="245">
        <v>0</v>
      </c>
      <c r="T67" s="199"/>
      <c r="U67" s="241">
        <f t="shared" si="1"/>
        <v>0</v>
      </c>
      <c r="V67" s="240">
        <f t="shared" si="2"/>
        <v>-3016751.45</v>
      </c>
      <c r="W67" s="239">
        <f t="shared" si="3"/>
        <v>-1</v>
      </c>
      <c r="X67" s="238" t="str">
        <f t="shared" si="4"/>
        <v>yes</v>
      </c>
      <c r="Y67" s="243" t="s">
        <v>842</v>
      </c>
      <c r="Z67" s="244">
        <v>57</v>
      </c>
      <c r="AA67" s="243" t="s">
        <v>832</v>
      </c>
      <c r="AB67" s="243" t="s">
        <v>837</v>
      </c>
      <c r="AC67" s="194" t="s">
        <v>830</v>
      </c>
    </row>
    <row r="68" spans="1:29" x14ac:dyDescent="0.25">
      <c r="A68" s="209" t="str">
        <f t="shared" si="5"/>
        <v>318186</v>
      </c>
      <c r="B68" s="196" t="s">
        <v>318</v>
      </c>
      <c r="C68" s="194" t="s">
        <v>196</v>
      </c>
      <c r="D68" s="194" t="s">
        <v>682</v>
      </c>
      <c r="E68" s="194" t="s">
        <v>681</v>
      </c>
      <c r="F68" s="200">
        <v>376.3</v>
      </c>
      <c r="G68" s="208">
        <v>3504094.9597229999</v>
      </c>
      <c r="H68" s="198">
        <v>140682.49</v>
      </c>
      <c r="I68" s="198">
        <v>51640.45</v>
      </c>
      <c r="J68" s="198">
        <v>299750.56</v>
      </c>
      <c r="K68" s="198">
        <v>320004.99</v>
      </c>
      <c r="L68" s="198">
        <v>99889.37</v>
      </c>
      <c r="M68" s="199">
        <v>67341.14</v>
      </c>
      <c r="N68" s="245">
        <v>0</v>
      </c>
      <c r="O68" s="245">
        <v>0</v>
      </c>
      <c r="P68" s="245">
        <v>0</v>
      </c>
      <c r="Q68" s="245">
        <v>0</v>
      </c>
      <c r="R68" s="245">
        <v>0</v>
      </c>
      <c r="S68" s="245">
        <v>0</v>
      </c>
      <c r="T68" s="199"/>
      <c r="U68" s="241">
        <f t="shared" ref="U68:U131" si="6">SUM(H68:T68)</f>
        <v>979309</v>
      </c>
      <c r="V68" s="240">
        <f t="shared" ref="V68:V131" si="7">U68-G68</f>
        <v>-2524785.9597229999</v>
      </c>
      <c r="W68" s="239">
        <f t="shared" ref="W68:W131" si="8">+IFERROR(V68/G68,"100%")</f>
        <v>-0.7205244117935049</v>
      </c>
      <c r="X68" s="238" t="str">
        <f t="shared" ref="X68:X131" si="9">IFERROR(IF(AND(ABS(V68)&gt;=500000,ABS(W68)&gt;=10%),"yes",""),"")</f>
        <v>yes</v>
      </c>
      <c r="Y68" s="243" t="s">
        <v>842</v>
      </c>
      <c r="Z68" s="244">
        <v>94</v>
      </c>
      <c r="AA68" s="243" t="s">
        <v>836</v>
      </c>
      <c r="AB68" s="243" t="s">
        <v>837</v>
      </c>
      <c r="AC68" s="194" t="s">
        <v>318</v>
      </c>
    </row>
    <row r="69" spans="1:29" x14ac:dyDescent="0.25">
      <c r="A69" s="209" t="str">
        <f t="shared" si="5"/>
        <v>318187</v>
      </c>
      <c r="B69" s="196" t="s">
        <v>318</v>
      </c>
      <c r="C69" s="194" t="s">
        <v>196</v>
      </c>
      <c r="D69" s="194" t="s">
        <v>680</v>
      </c>
      <c r="E69" s="194" t="s">
        <v>679</v>
      </c>
      <c r="F69" s="200">
        <v>380.3</v>
      </c>
      <c r="G69" s="208">
        <v>3511692.4775140001</v>
      </c>
      <c r="H69" s="198">
        <v>75666.570000000007</v>
      </c>
      <c r="I69" s="198">
        <v>-21631.660000000003</v>
      </c>
      <c r="J69" s="198">
        <v>0</v>
      </c>
      <c r="K69" s="198">
        <v>434.5</v>
      </c>
      <c r="L69" s="198">
        <v>24.52</v>
      </c>
      <c r="M69" s="199">
        <v>7118.71</v>
      </c>
      <c r="N69" s="245">
        <v>0</v>
      </c>
      <c r="O69" s="245">
        <v>0</v>
      </c>
      <c r="P69" s="245">
        <v>0</v>
      </c>
      <c r="Q69" s="245">
        <v>0</v>
      </c>
      <c r="R69" s="245">
        <v>0</v>
      </c>
      <c r="S69" s="245">
        <v>0</v>
      </c>
      <c r="T69" s="199"/>
      <c r="U69" s="241">
        <f t="shared" si="6"/>
        <v>61612.639999999999</v>
      </c>
      <c r="V69" s="240">
        <f t="shared" si="7"/>
        <v>-3450079.837514</v>
      </c>
      <c r="W69" s="239">
        <f t="shared" si="8"/>
        <v>-0.98245500128655427</v>
      </c>
      <c r="X69" s="238" t="str">
        <f t="shared" si="9"/>
        <v>yes</v>
      </c>
      <c r="Y69" s="243" t="s">
        <v>842</v>
      </c>
      <c r="Z69" s="244">
        <v>94</v>
      </c>
      <c r="AA69" s="243" t="s">
        <v>836</v>
      </c>
      <c r="AB69" s="243" t="s">
        <v>837</v>
      </c>
      <c r="AC69" s="194" t="s">
        <v>318</v>
      </c>
    </row>
    <row r="70" spans="1:29" x14ac:dyDescent="0.25">
      <c r="A70" s="209" t="str">
        <f t="shared" si="5"/>
        <v>324804</v>
      </c>
      <c r="B70" s="196" t="s">
        <v>318</v>
      </c>
      <c r="C70" s="194" t="s">
        <v>196</v>
      </c>
      <c r="D70" s="194" t="s">
        <v>678</v>
      </c>
      <c r="E70" s="194" t="s">
        <v>677</v>
      </c>
      <c r="F70" s="200">
        <v>394.1</v>
      </c>
      <c r="G70" s="208">
        <v>30129</v>
      </c>
      <c r="H70" s="198">
        <v>0</v>
      </c>
      <c r="I70" s="198">
        <v>0</v>
      </c>
      <c r="J70" s="198">
        <v>25129.98</v>
      </c>
      <c r="K70" s="198">
        <v>0</v>
      </c>
      <c r="L70" s="198">
        <v>0</v>
      </c>
      <c r="M70" s="199">
        <v>0</v>
      </c>
      <c r="N70" s="245">
        <v>0</v>
      </c>
      <c r="O70" s="245">
        <v>0</v>
      </c>
      <c r="P70" s="245">
        <v>0</v>
      </c>
      <c r="Q70" s="245">
        <v>0</v>
      </c>
      <c r="R70" s="245">
        <v>0</v>
      </c>
      <c r="S70" s="245">
        <v>0</v>
      </c>
      <c r="T70" s="199"/>
      <c r="U70" s="241">
        <f t="shared" si="6"/>
        <v>25129.98</v>
      </c>
      <c r="V70" s="240">
        <f t="shared" si="7"/>
        <v>-4999.0200000000004</v>
      </c>
      <c r="W70" s="239">
        <f t="shared" si="8"/>
        <v>-0.16592054167081552</v>
      </c>
      <c r="X70" s="238" t="str">
        <f t="shared" si="9"/>
        <v/>
      </c>
      <c r="Y70" s="243" t="s">
        <v>841</v>
      </c>
      <c r="Z70" s="244">
        <v>1</v>
      </c>
      <c r="AA70" s="243" t="s">
        <v>832</v>
      </c>
      <c r="AB70" s="243" t="s">
        <v>831</v>
      </c>
      <c r="AC70" s="194" t="s">
        <v>318</v>
      </c>
    </row>
    <row r="71" spans="1:29" x14ac:dyDescent="0.25">
      <c r="A71" s="209" t="str">
        <f t="shared" si="5"/>
        <v>324806</v>
      </c>
      <c r="B71" s="196" t="s">
        <v>318</v>
      </c>
      <c r="C71" s="194" t="s">
        <v>196</v>
      </c>
      <c r="D71" s="194" t="s">
        <v>676</v>
      </c>
      <c r="E71" s="194" t="s">
        <v>675</v>
      </c>
      <c r="F71" s="200">
        <v>394.1</v>
      </c>
      <c r="G71" s="208">
        <v>30129</v>
      </c>
      <c r="H71" s="198">
        <v>0</v>
      </c>
      <c r="I71" s="198">
        <v>0</v>
      </c>
      <c r="J71" s="198">
        <v>25245.09</v>
      </c>
      <c r="K71" s="198">
        <v>0</v>
      </c>
      <c r="L71" s="198">
        <v>0</v>
      </c>
      <c r="M71" s="199">
        <v>0</v>
      </c>
      <c r="N71" s="245">
        <v>0</v>
      </c>
      <c r="O71" s="245">
        <v>0</v>
      </c>
      <c r="P71" s="245">
        <v>0</v>
      </c>
      <c r="Q71" s="245">
        <v>0</v>
      </c>
      <c r="R71" s="245">
        <v>0</v>
      </c>
      <c r="S71" s="245">
        <v>0</v>
      </c>
      <c r="T71" s="199"/>
      <c r="U71" s="241">
        <f t="shared" si="6"/>
        <v>25245.09</v>
      </c>
      <c r="V71" s="240">
        <f t="shared" si="7"/>
        <v>-4883.91</v>
      </c>
      <c r="W71" s="239">
        <f t="shared" si="8"/>
        <v>-0.16209997012844768</v>
      </c>
      <c r="X71" s="238" t="str">
        <f t="shared" si="9"/>
        <v/>
      </c>
      <c r="Y71" s="243" t="s">
        <v>841</v>
      </c>
      <c r="Z71" s="244">
        <v>1</v>
      </c>
      <c r="AA71" s="243" t="s">
        <v>832</v>
      </c>
      <c r="AB71" s="243" t="s">
        <v>831</v>
      </c>
      <c r="AC71" s="194" t="s">
        <v>318</v>
      </c>
    </row>
    <row r="72" spans="1:29" x14ac:dyDescent="0.25">
      <c r="A72" s="209" t="str">
        <f t="shared" si="5"/>
        <v>322165</v>
      </c>
      <c r="B72" s="196" t="s">
        <v>318</v>
      </c>
      <c r="C72" s="194" t="s">
        <v>196</v>
      </c>
      <c r="D72" s="194" t="s">
        <v>674</v>
      </c>
      <c r="E72" s="194" t="s">
        <v>673</v>
      </c>
      <c r="F72" s="200">
        <v>378</v>
      </c>
      <c r="G72" s="208">
        <v>103522.560301</v>
      </c>
      <c r="H72" s="198">
        <v>0</v>
      </c>
      <c r="I72" s="198">
        <v>0</v>
      </c>
      <c r="J72" s="198">
        <v>0</v>
      </c>
      <c r="K72" s="198">
        <v>0</v>
      </c>
      <c r="L72" s="198">
        <v>0</v>
      </c>
      <c r="M72" s="199">
        <v>0</v>
      </c>
      <c r="N72" s="245">
        <v>0</v>
      </c>
      <c r="O72" s="245">
        <v>0</v>
      </c>
      <c r="P72" s="245">
        <v>0</v>
      </c>
      <c r="Q72" s="245">
        <v>0</v>
      </c>
      <c r="R72" s="245">
        <v>0</v>
      </c>
      <c r="S72" s="245">
        <v>0</v>
      </c>
      <c r="T72" s="199"/>
      <c r="U72" s="241">
        <f t="shared" si="6"/>
        <v>0</v>
      </c>
      <c r="V72" s="240">
        <f t="shared" si="7"/>
        <v>-103522.560301</v>
      </c>
      <c r="W72" s="239">
        <f t="shared" si="8"/>
        <v>-1</v>
      </c>
      <c r="X72" s="238" t="str">
        <f t="shared" si="9"/>
        <v/>
      </c>
      <c r="Y72" s="243" t="s">
        <v>841</v>
      </c>
      <c r="Z72" s="244">
        <v>1</v>
      </c>
      <c r="AA72" s="243" t="s">
        <v>832</v>
      </c>
      <c r="AB72" s="243" t="s">
        <v>831</v>
      </c>
      <c r="AC72" s="194" t="s">
        <v>318</v>
      </c>
    </row>
    <row r="73" spans="1:29" x14ac:dyDescent="0.25">
      <c r="A73" s="209" t="str">
        <f t="shared" si="5"/>
        <v>322173</v>
      </c>
      <c r="B73" s="196" t="s">
        <v>318</v>
      </c>
      <c r="C73" s="194" t="s">
        <v>196</v>
      </c>
      <c r="D73" s="194" t="s">
        <v>672</v>
      </c>
      <c r="E73" s="194" t="s">
        <v>671</v>
      </c>
      <c r="F73" s="200">
        <v>378</v>
      </c>
      <c r="G73" s="208">
        <v>200464.85</v>
      </c>
      <c r="H73" s="198">
        <v>0</v>
      </c>
      <c r="I73" s="198">
        <v>0</v>
      </c>
      <c r="J73" s="198">
        <v>0</v>
      </c>
      <c r="K73" s="198">
        <v>0</v>
      </c>
      <c r="L73" s="198">
        <v>0</v>
      </c>
      <c r="M73" s="199">
        <v>0</v>
      </c>
      <c r="N73" s="245">
        <v>0</v>
      </c>
      <c r="O73" s="245">
        <v>0</v>
      </c>
      <c r="P73" s="245">
        <v>0</v>
      </c>
      <c r="Q73" s="245">
        <v>0</v>
      </c>
      <c r="R73" s="245">
        <v>0</v>
      </c>
      <c r="S73" s="245">
        <v>0</v>
      </c>
      <c r="T73" s="199"/>
      <c r="U73" s="241">
        <f t="shared" si="6"/>
        <v>0</v>
      </c>
      <c r="V73" s="240">
        <f t="shared" si="7"/>
        <v>-200464.85</v>
      </c>
      <c r="W73" s="239">
        <f t="shared" si="8"/>
        <v>-1</v>
      </c>
      <c r="X73" s="238" t="str">
        <f t="shared" si="9"/>
        <v/>
      </c>
      <c r="Y73" s="243" t="s">
        <v>841</v>
      </c>
      <c r="Z73" s="244">
        <v>1</v>
      </c>
      <c r="AA73" s="243" t="s">
        <v>832</v>
      </c>
      <c r="AB73" s="243" t="s">
        <v>831</v>
      </c>
      <c r="AC73" s="194" t="s">
        <v>318</v>
      </c>
    </row>
    <row r="74" spans="1:29" x14ac:dyDescent="0.25">
      <c r="A74" s="209" t="str">
        <f t="shared" si="5"/>
        <v>101194</v>
      </c>
      <c r="B74" s="196" t="s">
        <v>318</v>
      </c>
      <c r="C74" s="194" t="s">
        <v>196</v>
      </c>
      <c r="D74" s="194" t="s">
        <v>670</v>
      </c>
      <c r="E74" s="194" t="s">
        <v>669</v>
      </c>
      <c r="F74" s="200">
        <v>378</v>
      </c>
      <c r="G74" s="208">
        <v>242320</v>
      </c>
      <c r="H74" s="198">
        <v>627.94000000000005</v>
      </c>
      <c r="I74" s="198">
        <v>0</v>
      </c>
      <c r="J74" s="198">
        <v>1899.68</v>
      </c>
      <c r="K74" s="198">
        <v>405.11</v>
      </c>
      <c r="L74" s="198">
        <v>5019.8</v>
      </c>
      <c r="M74" s="199">
        <v>19357.3</v>
      </c>
      <c r="N74" s="245">
        <v>0</v>
      </c>
      <c r="O74" s="245">
        <v>0</v>
      </c>
      <c r="P74" s="245">
        <v>0</v>
      </c>
      <c r="Q74" s="245">
        <v>0</v>
      </c>
      <c r="R74" s="245">
        <v>0</v>
      </c>
      <c r="S74" s="245">
        <v>0</v>
      </c>
      <c r="T74" s="199"/>
      <c r="U74" s="241">
        <f t="shared" si="6"/>
        <v>27309.83</v>
      </c>
      <c r="V74" s="240">
        <f t="shared" si="7"/>
        <v>-215010.16999999998</v>
      </c>
      <c r="W74" s="239">
        <f t="shared" si="8"/>
        <v>-0.88729848960052815</v>
      </c>
      <c r="X74" s="238" t="str">
        <f t="shared" si="9"/>
        <v/>
      </c>
      <c r="Y74" s="243" t="s">
        <v>841</v>
      </c>
      <c r="Z74" s="244">
        <v>24</v>
      </c>
      <c r="AA74" s="243" t="s">
        <v>836</v>
      </c>
      <c r="AB74" s="243" t="s">
        <v>831</v>
      </c>
      <c r="AC74" s="194" t="s">
        <v>829</v>
      </c>
    </row>
    <row r="75" spans="1:29" x14ac:dyDescent="0.25">
      <c r="A75" s="209" t="str">
        <f t="shared" ref="A75:A106" si="10">RIGHT(D75,LEN(D75)-3)</f>
        <v>101196</v>
      </c>
      <c r="B75" s="196" t="s">
        <v>318</v>
      </c>
      <c r="C75" s="194" t="s">
        <v>196</v>
      </c>
      <c r="D75" s="194" t="s">
        <v>668</v>
      </c>
      <c r="E75" s="194" t="s">
        <v>667</v>
      </c>
      <c r="F75" s="200">
        <v>378</v>
      </c>
      <c r="G75" s="208">
        <v>498617.41878399998</v>
      </c>
      <c r="H75" s="198">
        <v>1072.55</v>
      </c>
      <c r="I75" s="198">
        <v>-277.54000000000002</v>
      </c>
      <c r="J75" s="198">
        <v>0</v>
      </c>
      <c r="K75" s="198">
        <v>4003.41</v>
      </c>
      <c r="L75" s="198">
        <v>0</v>
      </c>
      <c r="M75" s="199">
        <v>161894</v>
      </c>
      <c r="N75" s="245">
        <v>0</v>
      </c>
      <c r="O75" s="245">
        <v>0</v>
      </c>
      <c r="P75" s="245">
        <v>0</v>
      </c>
      <c r="Q75" s="245">
        <v>0</v>
      </c>
      <c r="R75" s="245">
        <v>0</v>
      </c>
      <c r="S75" s="245">
        <v>0</v>
      </c>
      <c r="T75" s="199"/>
      <c r="U75" s="241">
        <f t="shared" si="6"/>
        <v>166692.42000000001</v>
      </c>
      <c r="V75" s="240">
        <f t="shared" si="7"/>
        <v>-331924.99878399994</v>
      </c>
      <c r="W75" s="239">
        <f t="shared" si="8"/>
        <v>-0.66569074059522404</v>
      </c>
      <c r="X75" s="238" t="str">
        <f t="shared" si="9"/>
        <v/>
      </c>
      <c r="Y75" s="243" t="s">
        <v>841</v>
      </c>
      <c r="Z75" s="244">
        <v>24</v>
      </c>
      <c r="AA75" s="243" t="s">
        <v>836</v>
      </c>
      <c r="AB75" s="243" t="s">
        <v>831</v>
      </c>
      <c r="AC75" s="194" t="s">
        <v>318</v>
      </c>
    </row>
    <row r="76" spans="1:29" x14ac:dyDescent="0.25">
      <c r="A76" s="209" t="str">
        <f t="shared" si="10"/>
        <v>302369</v>
      </c>
      <c r="B76" s="196" t="s">
        <v>318</v>
      </c>
      <c r="C76" s="194" t="s">
        <v>196</v>
      </c>
      <c r="D76" s="194" t="s">
        <v>666</v>
      </c>
      <c r="E76" s="194" t="s">
        <v>665</v>
      </c>
      <c r="F76" s="200">
        <v>376.1</v>
      </c>
      <c r="G76" s="208">
        <v>602782.14000000013</v>
      </c>
      <c r="H76" s="198">
        <v>58874.39</v>
      </c>
      <c r="I76" s="198">
        <v>0</v>
      </c>
      <c r="J76" s="198">
        <v>-58041.19</v>
      </c>
      <c r="K76" s="198">
        <v>0</v>
      </c>
      <c r="L76" s="198">
        <v>0</v>
      </c>
      <c r="M76" s="199">
        <v>0</v>
      </c>
      <c r="N76" s="245">
        <v>0</v>
      </c>
      <c r="O76" s="245">
        <v>0</v>
      </c>
      <c r="P76" s="245">
        <v>0</v>
      </c>
      <c r="Q76" s="245">
        <v>0</v>
      </c>
      <c r="R76" s="245">
        <v>0</v>
      </c>
      <c r="S76" s="245">
        <v>0</v>
      </c>
      <c r="T76" s="199"/>
      <c r="U76" s="241">
        <f t="shared" si="6"/>
        <v>833.19999999999709</v>
      </c>
      <c r="V76" s="240">
        <f t="shared" si="7"/>
        <v>-601948.94000000018</v>
      </c>
      <c r="W76" s="239">
        <f t="shared" si="8"/>
        <v>-0.99861774272210524</v>
      </c>
      <c r="X76" s="238" t="str">
        <f t="shared" si="9"/>
        <v>yes</v>
      </c>
      <c r="Y76" s="243" t="s">
        <v>841</v>
      </c>
      <c r="Z76" s="244">
        <v>1</v>
      </c>
      <c r="AA76" s="243" t="s">
        <v>832</v>
      </c>
      <c r="AB76" s="243" t="s">
        <v>831</v>
      </c>
      <c r="AC76" s="194" t="s">
        <v>830</v>
      </c>
    </row>
    <row r="77" spans="1:29" x14ac:dyDescent="0.25">
      <c r="A77" s="209" t="str">
        <f t="shared" si="10"/>
        <v>302595</v>
      </c>
      <c r="B77" s="196"/>
      <c r="C77" s="194" t="s">
        <v>196</v>
      </c>
      <c r="D77" s="194" t="s">
        <v>663</v>
      </c>
      <c r="E77" s="194" t="s">
        <v>662</v>
      </c>
      <c r="F77" s="200">
        <v>376.2</v>
      </c>
      <c r="G77" s="208">
        <v>0</v>
      </c>
      <c r="H77" s="198">
        <v>0</v>
      </c>
      <c r="I77" s="198">
        <v>0</v>
      </c>
      <c r="J77" s="198">
        <v>0</v>
      </c>
      <c r="K77" s="198">
        <v>0</v>
      </c>
      <c r="L77" s="198">
        <v>0</v>
      </c>
      <c r="M77" s="199">
        <v>0</v>
      </c>
      <c r="N77" s="245">
        <v>0</v>
      </c>
      <c r="O77" s="245">
        <v>0</v>
      </c>
      <c r="P77" s="245">
        <v>0</v>
      </c>
      <c r="Q77" s="245">
        <v>0</v>
      </c>
      <c r="R77" s="245">
        <v>0</v>
      </c>
      <c r="S77" s="245">
        <v>0</v>
      </c>
      <c r="T77" s="199"/>
      <c r="U77" s="241">
        <f t="shared" si="6"/>
        <v>0</v>
      </c>
      <c r="V77" s="240">
        <f t="shared" si="7"/>
        <v>0</v>
      </c>
      <c r="W77" s="239" t="str">
        <f t="shared" si="8"/>
        <v>100%</v>
      </c>
      <c r="X77" s="238" t="str">
        <f t="shared" si="9"/>
        <v/>
      </c>
      <c r="Y77" s="243" t="s">
        <v>842</v>
      </c>
      <c r="Z77" s="244">
        <v>58</v>
      </c>
      <c r="AA77" s="243" t="s">
        <v>832</v>
      </c>
      <c r="AB77" s="243" t="s">
        <v>837</v>
      </c>
      <c r="AC77" s="194" t="s">
        <v>830</v>
      </c>
    </row>
    <row r="78" spans="1:29" x14ac:dyDescent="0.25">
      <c r="A78" s="209" t="str">
        <f t="shared" si="10"/>
        <v>316018</v>
      </c>
      <c r="B78" s="196" t="s">
        <v>318</v>
      </c>
      <c r="C78" s="194" t="s">
        <v>196</v>
      </c>
      <c r="D78" s="194" t="s">
        <v>660</v>
      </c>
      <c r="E78" s="194" t="s">
        <v>659</v>
      </c>
      <c r="F78" s="200">
        <v>376.2</v>
      </c>
      <c r="G78" s="208">
        <v>2430742.7749890001</v>
      </c>
      <c r="H78" s="198">
        <v>0</v>
      </c>
      <c r="I78" s="198">
        <v>2435986.46</v>
      </c>
      <c r="J78" s="198">
        <v>552365.11</v>
      </c>
      <c r="K78" s="198">
        <v>-82961.66</v>
      </c>
      <c r="L78" s="198">
        <v>-18213.82</v>
      </c>
      <c r="M78" s="199">
        <v>0</v>
      </c>
      <c r="N78" s="245">
        <v>0</v>
      </c>
      <c r="O78" s="245">
        <v>0</v>
      </c>
      <c r="P78" s="245">
        <v>0</v>
      </c>
      <c r="Q78" s="245">
        <v>0</v>
      </c>
      <c r="R78" s="245">
        <v>0</v>
      </c>
      <c r="S78" s="245">
        <v>0</v>
      </c>
      <c r="T78" s="199"/>
      <c r="U78" s="241">
        <f t="shared" si="6"/>
        <v>2887176.09</v>
      </c>
      <c r="V78" s="240">
        <f t="shared" si="7"/>
        <v>456433.3150109998</v>
      </c>
      <c r="W78" s="239">
        <f t="shared" si="8"/>
        <v>0.18777524290412231</v>
      </c>
      <c r="X78" s="238" t="str">
        <f t="shared" si="9"/>
        <v/>
      </c>
      <c r="Y78" s="243" t="s">
        <v>842</v>
      </c>
      <c r="Z78" s="244">
        <v>60</v>
      </c>
      <c r="AA78" s="243" t="s">
        <v>832</v>
      </c>
      <c r="AB78" s="243" t="s">
        <v>837</v>
      </c>
      <c r="AC78" s="194" t="s">
        <v>318</v>
      </c>
    </row>
    <row r="79" spans="1:29" x14ac:dyDescent="0.25">
      <c r="A79" s="209" t="str">
        <f t="shared" si="10"/>
        <v>316032</v>
      </c>
      <c r="B79" s="196" t="s">
        <v>318</v>
      </c>
      <c r="C79" s="194" t="s">
        <v>196</v>
      </c>
      <c r="D79" s="194" t="s">
        <v>658</v>
      </c>
      <c r="E79" s="194" t="s">
        <v>657</v>
      </c>
      <c r="F79" s="200">
        <v>376.2</v>
      </c>
      <c r="G79" s="208">
        <v>427000</v>
      </c>
      <c r="H79" s="198">
        <v>387717.21</v>
      </c>
      <c r="I79" s="198">
        <v>45779</v>
      </c>
      <c r="J79" s="198">
        <v>3370</v>
      </c>
      <c r="K79" s="198">
        <v>84559.77</v>
      </c>
      <c r="L79" s="198">
        <v>-3601.42</v>
      </c>
      <c r="M79" s="199">
        <v>0</v>
      </c>
      <c r="N79" s="245">
        <v>0</v>
      </c>
      <c r="O79" s="245">
        <v>0</v>
      </c>
      <c r="P79" s="245">
        <v>0</v>
      </c>
      <c r="Q79" s="245">
        <v>0</v>
      </c>
      <c r="R79" s="245">
        <v>0</v>
      </c>
      <c r="S79" s="245">
        <v>0</v>
      </c>
      <c r="T79" s="199"/>
      <c r="U79" s="241">
        <f t="shared" si="6"/>
        <v>517824.56000000006</v>
      </c>
      <c r="V79" s="240">
        <f t="shared" si="7"/>
        <v>90824.560000000056</v>
      </c>
      <c r="W79" s="239">
        <f t="shared" si="8"/>
        <v>0.21270388758782213</v>
      </c>
      <c r="X79" s="238" t="str">
        <f t="shared" si="9"/>
        <v/>
      </c>
      <c r="Y79" s="243" t="s">
        <v>841</v>
      </c>
      <c r="Z79" s="244">
        <v>1</v>
      </c>
      <c r="AA79" s="243" t="s">
        <v>832</v>
      </c>
      <c r="AB79" s="243" t="s">
        <v>831</v>
      </c>
      <c r="AC79" s="194" t="s">
        <v>318</v>
      </c>
    </row>
    <row r="80" spans="1:29" x14ac:dyDescent="0.25">
      <c r="A80" s="209" t="str">
        <f t="shared" si="10"/>
        <v>316041</v>
      </c>
      <c r="B80" s="196" t="s">
        <v>318</v>
      </c>
      <c r="C80" s="194" t="s">
        <v>196</v>
      </c>
      <c r="D80" s="194" t="s">
        <v>656</v>
      </c>
      <c r="E80" s="194" t="s">
        <v>655</v>
      </c>
      <c r="F80" s="200">
        <v>376.2</v>
      </c>
      <c r="G80" s="208">
        <v>0</v>
      </c>
      <c r="H80" s="198">
        <v>0</v>
      </c>
      <c r="I80" s="198">
        <v>0</v>
      </c>
      <c r="J80" s="198">
        <v>0</v>
      </c>
      <c r="K80" s="198">
        <v>0</v>
      </c>
      <c r="L80" s="198">
        <v>0</v>
      </c>
      <c r="M80" s="199">
        <v>0</v>
      </c>
      <c r="N80" s="245">
        <v>0</v>
      </c>
      <c r="O80" s="245">
        <v>0</v>
      </c>
      <c r="P80" s="245">
        <v>0</v>
      </c>
      <c r="Q80" s="245">
        <v>0</v>
      </c>
      <c r="R80" s="245">
        <v>0</v>
      </c>
      <c r="S80" s="245">
        <v>0</v>
      </c>
      <c r="T80" s="199"/>
      <c r="U80" s="241">
        <f t="shared" si="6"/>
        <v>0</v>
      </c>
      <c r="V80" s="240">
        <f t="shared" si="7"/>
        <v>0</v>
      </c>
      <c r="W80" s="239" t="str">
        <f t="shared" si="8"/>
        <v>100%</v>
      </c>
      <c r="X80" s="238" t="str">
        <f t="shared" si="9"/>
        <v/>
      </c>
      <c r="Y80" s="243" t="s">
        <v>842</v>
      </c>
      <c r="Z80" s="244">
        <v>62</v>
      </c>
      <c r="AA80" s="243" t="s">
        <v>832</v>
      </c>
      <c r="AB80" s="243" t="s">
        <v>837</v>
      </c>
      <c r="AC80" s="194" t="s">
        <v>318</v>
      </c>
    </row>
    <row r="81" spans="1:29" x14ac:dyDescent="0.25">
      <c r="A81" s="209" t="str">
        <f t="shared" si="10"/>
        <v>316046</v>
      </c>
      <c r="B81" s="196" t="s">
        <v>318</v>
      </c>
      <c r="C81" s="194" t="s">
        <v>196</v>
      </c>
      <c r="D81" s="194" t="s">
        <v>654</v>
      </c>
      <c r="E81" s="194" t="s">
        <v>653</v>
      </c>
      <c r="F81" s="200">
        <v>376.2</v>
      </c>
      <c r="G81" s="208">
        <v>3037182.6014089999</v>
      </c>
      <c r="H81" s="198">
        <v>0</v>
      </c>
      <c r="I81" s="198">
        <v>0</v>
      </c>
      <c r="J81" s="198">
        <v>0</v>
      </c>
      <c r="K81" s="198">
        <v>0</v>
      </c>
      <c r="L81" s="198">
        <v>0</v>
      </c>
      <c r="M81" s="199">
        <v>0</v>
      </c>
      <c r="N81" s="245">
        <v>0</v>
      </c>
      <c r="O81" s="245">
        <v>0</v>
      </c>
      <c r="P81" s="245">
        <v>0</v>
      </c>
      <c r="Q81" s="245">
        <v>0</v>
      </c>
      <c r="R81" s="245">
        <v>0</v>
      </c>
      <c r="S81" s="245">
        <v>0</v>
      </c>
      <c r="T81" s="199"/>
      <c r="U81" s="241">
        <f t="shared" si="6"/>
        <v>0</v>
      </c>
      <c r="V81" s="240">
        <f t="shared" si="7"/>
        <v>-3037182.6014089999</v>
      </c>
      <c r="W81" s="239">
        <f t="shared" si="8"/>
        <v>-1</v>
      </c>
      <c r="X81" s="238" t="str">
        <f t="shared" si="9"/>
        <v>yes</v>
      </c>
      <c r="Y81" s="243" t="s">
        <v>842</v>
      </c>
      <c r="Z81" s="244">
        <v>64</v>
      </c>
      <c r="AA81" s="243" t="s">
        <v>832</v>
      </c>
      <c r="AB81" s="243" t="s">
        <v>837</v>
      </c>
      <c r="AC81" s="194" t="s">
        <v>318</v>
      </c>
    </row>
    <row r="82" spans="1:29" x14ac:dyDescent="0.25">
      <c r="A82" s="209" t="str">
        <f t="shared" si="10"/>
        <v>316429</v>
      </c>
      <c r="B82" s="196" t="s">
        <v>318</v>
      </c>
      <c r="C82" s="194" t="s">
        <v>196</v>
      </c>
      <c r="D82" s="194" t="s">
        <v>652</v>
      </c>
      <c r="E82" s="194" t="s">
        <v>651</v>
      </c>
      <c r="F82" s="200">
        <v>376.2</v>
      </c>
      <c r="G82" s="208">
        <v>750000</v>
      </c>
      <c r="H82" s="198">
        <v>0</v>
      </c>
      <c r="I82" s="198">
        <v>0</v>
      </c>
      <c r="J82" s="198">
        <v>0</v>
      </c>
      <c r="K82" s="198">
        <v>0</v>
      </c>
      <c r="L82" s="198">
        <v>0</v>
      </c>
      <c r="M82" s="199">
        <v>1522172.22</v>
      </c>
      <c r="N82" s="245">
        <v>0</v>
      </c>
      <c r="O82" s="245">
        <v>0</v>
      </c>
      <c r="P82" s="245">
        <v>0</v>
      </c>
      <c r="Q82" s="245">
        <v>0</v>
      </c>
      <c r="R82" s="245">
        <v>0</v>
      </c>
      <c r="S82" s="245">
        <v>0</v>
      </c>
      <c r="T82" s="199"/>
      <c r="U82" s="241">
        <f t="shared" si="6"/>
        <v>1522172.22</v>
      </c>
      <c r="V82" s="240">
        <f t="shared" si="7"/>
        <v>772172.22</v>
      </c>
      <c r="W82" s="239">
        <f t="shared" si="8"/>
        <v>1.02956296</v>
      </c>
      <c r="X82" s="238" t="str">
        <f t="shared" si="9"/>
        <v>yes</v>
      </c>
      <c r="Y82" s="243" t="s">
        <v>841</v>
      </c>
      <c r="Z82" s="244">
        <v>1</v>
      </c>
      <c r="AA82" s="243" t="s">
        <v>832</v>
      </c>
      <c r="AB82" s="243" t="s">
        <v>831</v>
      </c>
      <c r="AC82" s="194" t="s">
        <v>830</v>
      </c>
    </row>
    <row r="83" spans="1:29" x14ac:dyDescent="0.25">
      <c r="A83" s="209" t="str">
        <f t="shared" si="10"/>
        <v>317744</v>
      </c>
      <c r="B83" s="196" t="s">
        <v>318</v>
      </c>
      <c r="C83" s="194" t="s">
        <v>196</v>
      </c>
      <c r="D83" s="194" t="s">
        <v>650</v>
      </c>
      <c r="E83" s="194" t="s">
        <v>649</v>
      </c>
      <c r="F83" s="200">
        <v>394.1</v>
      </c>
      <c r="G83" s="208">
        <v>163538.84</v>
      </c>
      <c r="H83" s="198">
        <v>0</v>
      </c>
      <c r="I83" s="198">
        <v>0</v>
      </c>
      <c r="J83" s="198">
        <v>0</v>
      </c>
      <c r="K83" s="198">
        <v>0</v>
      </c>
      <c r="L83" s="198">
        <v>0</v>
      </c>
      <c r="M83" s="199">
        <v>0</v>
      </c>
      <c r="N83" s="245">
        <v>0</v>
      </c>
      <c r="O83" s="245">
        <v>0</v>
      </c>
      <c r="P83" s="245">
        <v>0</v>
      </c>
      <c r="Q83" s="245">
        <v>0</v>
      </c>
      <c r="R83" s="245">
        <v>0</v>
      </c>
      <c r="S83" s="245">
        <v>0</v>
      </c>
      <c r="T83" s="199"/>
      <c r="U83" s="241">
        <f t="shared" si="6"/>
        <v>0</v>
      </c>
      <c r="V83" s="240">
        <f t="shared" si="7"/>
        <v>-163538.84</v>
      </c>
      <c r="W83" s="239">
        <f t="shared" si="8"/>
        <v>-1</v>
      </c>
      <c r="X83" s="238" t="str">
        <f t="shared" si="9"/>
        <v/>
      </c>
      <c r="Y83" s="243" t="s">
        <v>841</v>
      </c>
      <c r="Z83" s="244">
        <v>24</v>
      </c>
      <c r="AA83" s="243" t="s">
        <v>836</v>
      </c>
      <c r="AB83" s="243" t="s">
        <v>831</v>
      </c>
      <c r="AC83" s="194" t="s">
        <v>318</v>
      </c>
    </row>
    <row r="84" spans="1:29" x14ac:dyDescent="0.25">
      <c r="A84" s="209" t="str">
        <f t="shared" si="10"/>
        <v>318092</v>
      </c>
      <c r="B84" s="249" t="s">
        <v>318</v>
      </c>
      <c r="C84" s="194" t="s">
        <v>196</v>
      </c>
      <c r="D84" s="194" t="s">
        <v>648</v>
      </c>
      <c r="E84" s="194" t="s">
        <v>647</v>
      </c>
      <c r="F84" s="200">
        <v>376.3</v>
      </c>
      <c r="G84" s="208">
        <v>111603.304754</v>
      </c>
      <c r="H84" s="198">
        <v>120.61999999999999</v>
      </c>
      <c r="I84" s="198">
        <v>22990.95</v>
      </c>
      <c r="J84" s="198">
        <v>12277.99</v>
      </c>
      <c r="K84" s="198">
        <v>0</v>
      </c>
      <c r="L84" s="198">
        <v>6029.52</v>
      </c>
      <c r="M84" s="199">
        <v>0</v>
      </c>
      <c r="N84" s="245">
        <v>0</v>
      </c>
      <c r="O84" s="245">
        <v>0</v>
      </c>
      <c r="P84" s="245">
        <v>0</v>
      </c>
      <c r="Q84" s="245">
        <v>0</v>
      </c>
      <c r="R84" s="245">
        <v>0</v>
      </c>
      <c r="S84" s="245">
        <v>0</v>
      </c>
      <c r="T84" s="199"/>
      <c r="U84" s="241">
        <f t="shared" si="6"/>
        <v>41419.08</v>
      </c>
      <c r="V84" s="240">
        <f t="shared" si="7"/>
        <v>-70184.224753999995</v>
      </c>
      <c r="W84" s="239">
        <f t="shared" si="8"/>
        <v>-0.62887228033885356</v>
      </c>
      <c r="X84" s="238" t="str">
        <f t="shared" si="9"/>
        <v/>
      </c>
      <c r="Y84" s="243" t="s">
        <v>841</v>
      </c>
      <c r="Z84" s="244">
        <v>24</v>
      </c>
      <c r="AA84" s="243" t="s">
        <v>836</v>
      </c>
      <c r="AB84" s="243" t="s">
        <v>831</v>
      </c>
      <c r="AC84" s="194" t="s">
        <v>318</v>
      </c>
    </row>
    <row r="85" spans="1:29" x14ac:dyDescent="0.25">
      <c r="A85" s="209" t="str">
        <f t="shared" si="10"/>
        <v>318192</v>
      </c>
      <c r="B85" s="196" t="s">
        <v>318</v>
      </c>
      <c r="C85" s="194" t="s">
        <v>196</v>
      </c>
      <c r="D85" s="194" t="s">
        <v>646</v>
      </c>
      <c r="E85" s="194" t="s">
        <v>645</v>
      </c>
      <c r="F85" s="200">
        <v>397.2</v>
      </c>
      <c r="G85" s="208">
        <v>1387227.5384</v>
      </c>
      <c r="H85" s="198">
        <v>1644.48</v>
      </c>
      <c r="I85" s="198">
        <v>-743.45</v>
      </c>
      <c r="J85" s="198">
        <v>0</v>
      </c>
      <c r="K85" s="198">
        <v>0</v>
      </c>
      <c r="L85" s="198">
        <v>1229.17</v>
      </c>
      <c r="M85" s="199">
        <v>0</v>
      </c>
      <c r="N85" s="245">
        <v>0</v>
      </c>
      <c r="O85" s="245">
        <v>0</v>
      </c>
      <c r="P85" s="245">
        <v>0</v>
      </c>
      <c r="Q85" s="245">
        <v>0</v>
      </c>
      <c r="R85" s="245">
        <v>0</v>
      </c>
      <c r="S85" s="245">
        <v>0</v>
      </c>
      <c r="T85" s="199"/>
      <c r="U85" s="241">
        <f t="shared" si="6"/>
        <v>2130.1999999999998</v>
      </c>
      <c r="V85" s="240">
        <f t="shared" si="7"/>
        <v>-1385097.3384</v>
      </c>
      <c r="W85" s="239">
        <f t="shared" si="8"/>
        <v>-0.99846441918067974</v>
      </c>
      <c r="X85" s="238" t="str">
        <f t="shared" si="9"/>
        <v>yes</v>
      </c>
      <c r="Y85" s="243" t="s">
        <v>842</v>
      </c>
      <c r="Z85" s="244">
        <v>99</v>
      </c>
      <c r="AA85" s="243" t="s">
        <v>836</v>
      </c>
      <c r="AB85" s="243" t="s">
        <v>837</v>
      </c>
      <c r="AC85" s="194" t="s">
        <v>318</v>
      </c>
    </row>
    <row r="86" spans="1:29" x14ac:dyDescent="0.25">
      <c r="A86" s="209" t="str">
        <f t="shared" si="10"/>
        <v>318197</v>
      </c>
      <c r="B86" s="196" t="s">
        <v>318</v>
      </c>
      <c r="C86" s="194" t="s">
        <v>196</v>
      </c>
      <c r="D86" s="194" t="s">
        <v>644</v>
      </c>
      <c r="E86" s="194" t="s">
        <v>643</v>
      </c>
      <c r="F86" s="200">
        <v>397.2</v>
      </c>
      <c r="G86" s="208">
        <v>52022.181260999998</v>
      </c>
      <c r="H86" s="198">
        <v>0</v>
      </c>
      <c r="I86" s="198">
        <v>0</v>
      </c>
      <c r="J86" s="198">
        <v>4900.34</v>
      </c>
      <c r="K86" s="198">
        <v>0</v>
      </c>
      <c r="L86" s="198">
        <v>0</v>
      </c>
      <c r="M86" s="199">
        <v>0</v>
      </c>
      <c r="N86" s="245">
        <v>0</v>
      </c>
      <c r="O86" s="245">
        <v>0</v>
      </c>
      <c r="P86" s="245">
        <v>0</v>
      </c>
      <c r="Q86" s="245">
        <v>0</v>
      </c>
      <c r="R86" s="245">
        <v>0</v>
      </c>
      <c r="S86" s="245">
        <v>0</v>
      </c>
      <c r="T86" s="199"/>
      <c r="U86" s="241">
        <f t="shared" si="6"/>
        <v>4900.34</v>
      </c>
      <c r="V86" s="240">
        <f t="shared" si="7"/>
        <v>-47121.841260999994</v>
      </c>
      <c r="W86" s="239">
        <f t="shared" si="8"/>
        <v>-0.90580287328948095</v>
      </c>
      <c r="X86" s="238" t="str">
        <f t="shared" si="9"/>
        <v/>
      </c>
      <c r="Y86" s="243" t="s">
        <v>841</v>
      </c>
      <c r="Z86" s="244">
        <v>1</v>
      </c>
      <c r="AA86" s="243" t="s">
        <v>832</v>
      </c>
      <c r="AB86" s="243" t="s">
        <v>831</v>
      </c>
      <c r="AC86" s="194" t="s">
        <v>318</v>
      </c>
    </row>
    <row r="87" spans="1:29" x14ac:dyDescent="0.25">
      <c r="A87" s="209" t="str">
        <f t="shared" si="10"/>
        <v>318656</v>
      </c>
      <c r="B87" s="196" t="s">
        <v>318</v>
      </c>
      <c r="C87" s="194" t="s">
        <v>196</v>
      </c>
      <c r="D87" s="194" t="s">
        <v>642</v>
      </c>
      <c r="E87" s="194" t="s">
        <v>641</v>
      </c>
      <c r="F87" s="200">
        <v>376.3</v>
      </c>
      <c r="G87" s="208">
        <v>1403134.75</v>
      </c>
      <c r="H87" s="198">
        <v>0</v>
      </c>
      <c r="I87" s="198">
        <v>0</v>
      </c>
      <c r="J87" s="198">
        <v>0</v>
      </c>
      <c r="K87" s="198">
        <v>0</v>
      </c>
      <c r="L87" s="198">
        <v>0</v>
      </c>
      <c r="M87" s="199">
        <v>0</v>
      </c>
      <c r="N87" s="245">
        <v>0</v>
      </c>
      <c r="O87" s="245">
        <v>0</v>
      </c>
      <c r="P87" s="245">
        <v>0</v>
      </c>
      <c r="Q87" s="245">
        <v>0</v>
      </c>
      <c r="R87" s="245">
        <v>0</v>
      </c>
      <c r="S87" s="245">
        <v>0</v>
      </c>
      <c r="T87" s="199"/>
      <c r="U87" s="241">
        <f t="shared" si="6"/>
        <v>0</v>
      </c>
      <c r="V87" s="240">
        <f t="shared" si="7"/>
        <v>-1403134.75</v>
      </c>
      <c r="W87" s="239">
        <f t="shared" si="8"/>
        <v>-1</v>
      </c>
      <c r="X87" s="238" t="str">
        <f t="shared" si="9"/>
        <v>yes</v>
      </c>
      <c r="Y87" s="243" t="s">
        <v>842</v>
      </c>
      <c r="Z87" s="244">
        <v>66</v>
      </c>
      <c r="AA87" s="243" t="s">
        <v>832</v>
      </c>
      <c r="AB87" s="243" t="s">
        <v>837</v>
      </c>
      <c r="AC87" s="194" t="s">
        <v>830</v>
      </c>
    </row>
    <row r="88" spans="1:29" x14ac:dyDescent="0.25">
      <c r="A88" s="209" t="str">
        <f t="shared" si="10"/>
        <v>319021</v>
      </c>
      <c r="B88" s="196" t="s">
        <v>318</v>
      </c>
      <c r="C88" s="194" t="s">
        <v>196</v>
      </c>
      <c r="D88" s="194" t="s">
        <v>640</v>
      </c>
      <c r="E88" s="194" t="s">
        <v>639</v>
      </c>
      <c r="F88" s="200">
        <v>376.1</v>
      </c>
      <c r="G88" s="208">
        <v>0</v>
      </c>
      <c r="H88" s="198">
        <v>0</v>
      </c>
      <c r="I88" s="198">
        <v>0</v>
      </c>
      <c r="J88" s="198">
        <v>0</v>
      </c>
      <c r="K88" s="198">
        <v>0</v>
      </c>
      <c r="L88" s="198">
        <v>0</v>
      </c>
      <c r="M88" s="199">
        <v>0</v>
      </c>
      <c r="N88" s="245">
        <v>0</v>
      </c>
      <c r="O88" s="245">
        <v>0</v>
      </c>
      <c r="P88" s="245">
        <v>0</v>
      </c>
      <c r="Q88" s="245">
        <v>0</v>
      </c>
      <c r="R88" s="245">
        <v>0</v>
      </c>
      <c r="S88" s="245">
        <v>0</v>
      </c>
      <c r="T88" s="199"/>
      <c r="U88" s="241">
        <f t="shared" si="6"/>
        <v>0</v>
      </c>
      <c r="V88" s="240">
        <f t="shared" si="7"/>
        <v>0</v>
      </c>
      <c r="W88" s="239" t="str">
        <f t="shared" si="8"/>
        <v>100%</v>
      </c>
      <c r="X88" s="238" t="str">
        <f t="shared" si="9"/>
        <v/>
      </c>
      <c r="Y88" s="243" t="s">
        <v>841</v>
      </c>
      <c r="Z88" s="244">
        <v>1</v>
      </c>
      <c r="AA88" s="243" t="s">
        <v>832</v>
      </c>
      <c r="AB88" s="243" t="s">
        <v>831</v>
      </c>
      <c r="AC88" s="194" t="s">
        <v>318</v>
      </c>
    </row>
    <row r="89" spans="1:29" x14ac:dyDescent="0.25">
      <c r="A89" s="209" t="str">
        <f t="shared" si="10"/>
        <v>319027</v>
      </c>
      <c r="B89" s="196" t="s">
        <v>318</v>
      </c>
      <c r="C89" s="194" t="s">
        <v>196</v>
      </c>
      <c r="D89" s="194" t="s">
        <v>638</v>
      </c>
      <c r="E89" s="194" t="s">
        <v>637</v>
      </c>
      <c r="F89" s="200">
        <v>367.1</v>
      </c>
      <c r="G89" s="208">
        <v>533956.21821900003</v>
      </c>
      <c r="H89" s="198">
        <v>0</v>
      </c>
      <c r="I89" s="198">
        <v>0</v>
      </c>
      <c r="J89" s="198">
        <v>0</v>
      </c>
      <c r="K89" s="198">
        <v>0</v>
      </c>
      <c r="L89" s="198">
        <v>0</v>
      </c>
      <c r="M89" s="199">
        <v>0</v>
      </c>
      <c r="N89" s="245">
        <v>0</v>
      </c>
      <c r="O89" s="245">
        <v>0</v>
      </c>
      <c r="P89" s="245">
        <v>0</v>
      </c>
      <c r="Q89" s="245">
        <v>0</v>
      </c>
      <c r="R89" s="245">
        <v>0</v>
      </c>
      <c r="S89" s="245">
        <v>0</v>
      </c>
      <c r="T89" s="199"/>
      <c r="U89" s="241">
        <f t="shared" si="6"/>
        <v>0</v>
      </c>
      <c r="V89" s="240">
        <f t="shared" si="7"/>
        <v>-533956.21821900003</v>
      </c>
      <c r="W89" s="239">
        <f t="shared" si="8"/>
        <v>-1</v>
      </c>
      <c r="X89" s="238" t="str">
        <f t="shared" si="9"/>
        <v>yes</v>
      </c>
      <c r="Y89" s="243" t="s">
        <v>841</v>
      </c>
      <c r="Z89" s="244">
        <v>1</v>
      </c>
      <c r="AA89" s="243" t="s">
        <v>832</v>
      </c>
      <c r="AB89" s="243" t="s">
        <v>831</v>
      </c>
      <c r="AC89" s="194" t="s">
        <v>318</v>
      </c>
    </row>
    <row r="90" spans="1:29" x14ac:dyDescent="0.25">
      <c r="A90" s="209" t="str">
        <f t="shared" si="10"/>
        <v>319992</v>
      </c>
      <c r="B90" s="196" t="s">
        <v>318</v>
      </c>
      <c r="C90" s="194" t="s">
        <v>196</v>
      </c>
      <c r="D90" s="194" t="s">
        <v>636</v>
      </c>
      <c r="E90" s="194" t="s">
        <v>635</v>
      </c>
      <c r="F90" s="200">
        <v>376.2</v>
      </c>
      <c r="G90" s="208">
        <v>0</v>
      </c>
      <c r="H90" s="198">
        <v>0</v>
      </c>
      <c r="I90" s="198">
        <v>0</v>
      </c>
      <c r="J90" s="198">
        <v>0</v>
      </c>
      <c r="K90" s="198">
        <v>0</v>
      </c>
      <c r="L90" s="198">
        <v>0</v>
      </c>
      <c r="M90" s="199">
        <v>0</v>
      </c>
      <c r="N90" s="245">
        <v>0</v>
      </c>
      <c r="O90" s="245">
        <v>0</v>
      </c>
      <c r="P90" s="245">
        <v>0</v>
      </c>
      <c r="Q90" s="245">
        <v>0</v>
      </c>
      <c r="R90" s="245">
        <v>0</v>
      </c>
      <c r="S90" s="245">
        <v>0</v>
      </c>
      <c r="T90" s="199"/>
      <c r="U90" s="241">
        <f t="shared" si="6"/>
        <v>0</v>
      </c>
      <c r="V90" s="240">
        <f t="shared" si="7"/>
        <v>0</v>
      </c>
      <c r="W90" s="239" t="str">
        <f t="shared" si="8"/>
        <v>100%</v>
      </c>
      <c r="X90" s="238" t="str">
        <f t="shared" si="9"/>
        <v/>
      </c>
      <c r="Y90" s="243" t="s">
        <v>842</v>
      </c>
      <c r="Z90" s="244">
        <v>67</v>
      </c>
      <c r="AA90" s="243" t="s">
        <v>832</v>
      </c>
      <c r="AB90" s="243" t="s">
        <v>837</v>
      </c>
      <c r="AC90" s="194" t="s">
        <v>318</v>
      </c>
    </row>
    <row r="91" spans="1:29" x14ac:dyDescent="0.25">
      <c r="A91" s="209" t="str">
        <f t="shared" si="10"/>
        <v>320004</v>
      </c>
      <c r="B91" s="196" t="s">
        <v>318</v>
      </c>
      <c r="C91" s="194" t="s">
        <v>196</v>
      </c>
      <c r="D91" s="194" t="s">
        <v>634</v>
      </c>
      <c r="E91" s="194" t="s">
        <v>633</v>
      </c>
      <c r="F91" s="200">
        <v>376.2</v>
      </c>
      <c r="G91" s="208">
        <v>1069397.6491989999</v>
      </c>
      <c r="H91" s="198">
        <v>0</v>
      </c>
      <c r="I91" s="198">
        <v>0</v>
      </c>
      <c r="J91" s="198">
        <v>0</v>
      </c>
      <c r="K91" s="198">
        <v>0</v>
      </c>
      <c r="L91" s="198">
        <v>0</v>
      </c>
      <c r="M91" s="199">
        <v>0</v>
      </c>
      <c r="N91" s="245">
        <v>0</v>
      </c>
      <c r="O91" s="245">
        <v>0</v>
      </c>
      <c r="P91" s="245">
        <v>0</v>
      </c>
      <c r="Q91" s="245">
        <v>0</v>
      </c>
      <c r="R91" s="245">
        <v>0</v>
      </c>
      <c r="S91" s="245">
        <v>0</v>
      </c>
      <c r="T91" s="199"/>
      <c r="U91" s="241">
        <f t="shared" si="6"/>
        <v>0</v>
      </c>
      <c r="V91" s="240">
        <f t="shared" si="7"/>
        <v>-1069397.6491989999</v>
      </c>
      <c r="W91" s="239">
        <f t="shared" si="8"/>
        <v>-1</v>
      </c>
      <c r="X91" s="238" t="str">
        <f t="shared" si="9"/>
        <v>yes</v>
      </c>
      <c r="Y91" s="243" t="s">
        <v>842</v>
      </c>
      <c r="Z91" s="244">
        <v>69</v>
      </c>
      <c r="AA91" s="243" t="s">
        <v>832</v>
      </c>
      <c r="AB91" s="243" t="s">
        <v>837</v>
      </c>
      <c r="AC91" s="194" t="s">
        <v>318</v>
      </c>
    </row>
    <row r="92" spans="1:29" x14ac:dyDescent="0.25">
      <c r="A92" s="209" t="str">
        <f t="shared" si="10"/>
        <v>320006</v>
      </c>
      <c r="B92" s="196" t="s">
        <v>318</v>
      </c>
      <c r="C92" s="194" t="s">
        <v>196</v>
      </c>
      <c r="D92" s="194" t="s">
        <v>632</v>
      </c>
      <c r="E92" s="194" t="s">
        <v>631</v>
      </c>
      <c r="F92" s="200">
        <v>376.2</v>
      </c>
      <c r="G92" s="208">
        <v>930867.84602499998</v>
      </c>
      <c r="H92" s="198">
        <v>0</v>
      </c>
      <c r="I92" s="198">
        <v>0</v>
      </c>
      <c r="J92" s="198">
        <v>0</v>
      </c>
      <c r="K92" s="198">
        <v>0</v>
      </c>
      <c r="L92" s="198">
        <v>0</v>
      </c>
      <c r="M92" s="199">
        <v>0</v>
      </c>
      <c r="N92" s="245">
        <v>0</v>
      </c>
      <c r="O92" s="245">
        <v>0</v>
      </c>
      <c r="P92" s="245">
        <v>0</v>
      </c>
      <c r="Q92" s="245">
        <v>0</v>
      </c>
      <c r="R92" s="245">
        <v>0</v>
      </c>
      <c r="S92" s="245">
        <v>0</v>
      </c>
      <c r="T92" s="199"/>
      <c r="U92" s="241">
        <f t="shared" si="6"/>
        <v>0</v>
      </c>
      <c r="V92" s="240">
        <f t="shared" si="7"/>
        <v>-930867.84602499998</v>
      </c>
      <c r="W92" s="239">
        <f t="shared" si="8"/>
        <v>-1</v>
      </c>
      <c r="X92" s="238" t="str">
        <f t="shared" si="9"/>
        <v>yes</v>
      </c>
      <c r="Y92" s="243" t="s">
        <v>841</v>
      </c>
      <c r="Z92" s="244">
        <v>1</v>
      </c>
      <c r="AA92" s="243" t="s">
        <v>832</v>
      </c>
      <c r="AB92" s="243" t="s">
        <v>831</v>
      </c>
      <c r="AC92" s="194" t="s">
        <v>318</v>
      </c>
    </row>
    <row r="93" spans="1:29" x14ac:dyDescent="0.25">
      <c r="A93" s="209" t="str">
        <f t="shared" si="10"/>
        <v>320106</v>
      </c>
      <c r="B93" s="196" t="s">
        <v>318</v>
      </c>
      <c r="C93" s="194" t="s">
        <v>196</v>
      </c>
      <c r="D93" s="194" t="s">
        <v>630</v>
      </c>
      <c r="E93" s="194" t="s">
        <v>629</v>
      </c>
      <c r="F93" s="200">
        <v>376.2</v>
      </c>
      <c r="G93" s="208">
        <v>1829249.22</v>
      </c>
      <c r="H93" s="198">
        <v>0</v>
      </c>
      <c r="I93" s="198">
        <v>0</v>
      </c>
      <c r="J93" s="198">
        <v>0</v>
      </c>
      <c r="K93" s="198">
        <v>0</v>
      </c>
      <c r="L93" s="198">
        <v>0</v>
      </c>
      <c r="M93" s="199">
        <v>0</v>
      </c>
      <c r="N93" s="245">
        <v>0</v>
      </c>
      <c r="O93" s="245">
        <v>0</v>
      </c>
      <c r="P93" s="245">
        <v>0</v>
      </c>
      <c r="Q93" s="245">
        <v>0</v>
      </c>
      <c r="R93" s="245">
        <v>0</v>
      </c>
      <c r="S93" s="245">
        <v>0</v>
      </c>
      <c r="T93" s="199"/>
      <c r="U93" s="241">
        <f t="shared" si="6"/>
        <v>0</v>
      </c>
      <c r="V93" s="240">
        <f t="shared" si="7"/>
        <v>-1829249.22</v>
      </c>
      <c r="W93" s="239">
        <f t="shared" si="8"/>
        <v>-1</v>
      </c>
      <c r="X93" s="238" t="str">
        <f t="shared" si="9"/>
        <v>yes</v>
      </c>
      <c r="Y93" s="243" t="s">
        <v>842</v>
      </c>
      <c r="Z93" s="244">
        <v>71</v>
      </c>
      <c r="AA93" s="243" t="s">
        <v>832</v>
      </c>
      <c r="AB93" s="243" t="s">
        <v>837</v>
      </c>
      <c r="AC93" s="194" t="s">
        <v>830</v>
      </c>
    </row>
    <row r="94" spans="1:29" x14ac:dyDescent="0.25">
      <c r="A94" s="209" t="str">
        <f t="shared" si="10"/>
        <v>320114</v>
      </c>
      <c r="B94" s="196" t="s">
        <v>318</v>
      </c>
      <c r="C94" s="194" t="s">
        <v>196</v>
      </c>
      <c r="D94" s="194" t="s">
        <v>628</v>
      </c>
      <c r="E94" s="194" t="s">
        <v>627</v>
      </c>
      <c r="F94" s="200">
        <v>378</v>
      </c>
      <c r="G94" s="208">
        <v>240690.43274999998</v>
      </c>
      <c r="H94" s="198">
        <v>0</v>
      </c>
      <c r="I94" s="198">
        <v>0</v>
      </c>
      <c r="J94" s="198">
        <v>0</v>
      </c>
      <c r="K94" s="198">
        <v>0</v>
      </c>
      <c r="L94" s="198">
        <v>0</v>
      </c>
      <c r="M94" s="199">
        <v>0</v>
      </c>
      <c r="N94" s="245">
        <v>0</v>
      </c>
      <c r="O94" s="245">
        <v>0</v>
      </c>
      <c r="P94" s="245">
        <v>0</v>
      </c>
      <c r="Q94" s="245">
        <v>0</v>
      </c>
      <c r="R94" s="245">
        <v>0</v>
      </c>
      <c r="S94" s="245">
        <v>0</v>
      </c>
      <c r="T94" s="199"/>
      <c r="U94" s="241">
        <f t="shared" si="6"/>
        <v>0</v>
      </c>
      <c r="V94" s="240">
        <f t="shared" si="7"/>
        <v>-240690.43274999998</v>
      </c>
      <c r="W94" s="239">
        <f t="shared" si="8"/>
        <v>-1</v>
      </c>
      <c r="X94" s="238" t="str">
        <f t="shared" si="9"/>
        <v/>
      </c>
      <c r="Y94" s="243" t="s">
        <v>841</v>
      </c>
      <c r="Z94" s="244">
        <v>1</v>
      </c>
      <c r="AA94" s="243" t="s">
        <v>832</v>
      </c>
      <c r="AB94" s="243" t="s">
        <v>831</v>
      </c>
      <c r="AC94" s="194" t="s">
        <v>318</v>
      </c>
    </row>
    <row r="95" spans="1:29" x14ac:dyDescent="0.25">
      <c r="A95" s="209" t="str">
        <f t="shared" si="10"/>
        <v>321116</v>
      </c>
      <c r="B95" s="196" t="s">
        <v>318</v>
      </c>
      <c r="C95" s="194" t="s">
        <v>196</v>
      </c>
      <c r="D95" s="194" t="s">
        <v>626</v>
      </c>
      <c r="E95" s="194" t="s">
        <v>625</v>
      </c>
      <c r="F95" s="200">
        <v>376.2</v>
      </c>
      <c r="G95" s="208">
        <v>16645248.84</v>
      </c>
      <c r="H95" s="198">
        <v>0</v>
      </c>
      <c r="I95" s="198">
        <v>0</v>
      </c>
      <c r="J95" s="198">
        <v>0</v>
      </c>
      <c r="K95" s="198">
        <v>0</v>
      </c>
      <c r="L95" s="198">
        <v>0</v>
      </c>
      <c r="M95" s="199">
        <v>0</v>
      </c>
      <c r="N95" s="245">
        <v>0</v>
      </c>
      <c r="O95" s="245">
        <v>0</v>
      </c>
      <c r="P95" s="245">
        <v>0</v>
      </c>
      <c r="Q95" s="245">
        <v>0</v>
      </c>
      <c r="R95" s="245">
        <v>0</v>
      </c>
      <c r="S95" s="245">
        <v>0</v>
      </c>
      <c r="T95" s="199"/>
      <c r="U95" s="241">
        <f t="shared" si="6"/>
        <v>0</v>
      </c>
      <c r="V95" s="240">
        <f t="shared" si="7"/>
        <v>-16645248.84</v>
      </c>
      <c r="W95" s="239">
        <f t="shared" si="8"/>
        <v>-1</v>
      </c>
      <c r="X95" s="238" t="str">
        <f t="shared" si="9"/>
        <v>yes</v>
      </c>
      <c r="Y95" s="243" t="s">
        <v>842</v>
      </c>
      <c r="Z95" s="244">
        <v>72</v>
      </c>
      <c r="AA95" s="243" t="s">
        <v>832</v>
      </c>
      <c r="AB95" s="243" t="s">
        <v>837</v>
      </c>
      <c r="AC95" s="194" t="s">
        <v>830</v>
      </c>
    </row>
    <row r="96" spans="1:29" x14ac:dyDescent="0.25">
      <c r="A96" s="209" t="str">
        <f t="shared" si="10"/>
        <v>321468</v>
      </c>
      <c r="B96" s="196" t="s">
        <v>318</v>
      </c>
      <c r="C96" s="194" t="s">
        <v>196</v>
      </c>
      <c r="D96" s="194" t="s">
        <v>624</v>
      </c>
      <c r="E96" s="194" t="s">
        <v>623</v>
      </c>
      <c r="F96" s="200">
        <v>376.2</v>
      </c>
      <c r="G96" s="208">
        <v>1111422.142954</v>
      </c>
      <c r="H96" s="198">
        <v>917283.8</v>
      </c>
      <c r="I96" s="198">
        <v>162711.49</v>
      </c>
      <c r="J96" s="198">
        <v>456427.24</v>
      </c>
      <c r="K96" s="198">
        <v>0</v>
      </c>
      <c r="L96" s="198">
        <v>355856.14</v>
      </c>
      <c r="M96" s="199">
        <v>26834.73</v>
      </c>
      <c r="N96" s="245">
        <v>0</v>
      </c>
      <c r="O96" s="245">
        <v>0</v>
      </c>
      <c r="P96" s="245">
        <v>0</v>
      </c>
      <c r="Q96" s="245">
        <v>0</v>
      </c>
      <c r="R96" s="245">
        <v>0</v>
      </c>
      <c r="S96" s="245">
        <v>0</v>
      </c>
      <c r="T96" s="199"/>
      <c r="U96" s="241">
        <f t="shared" si="6"/>
        <v>1919113.4</v>
      </c>
      <c r="V96" s="240">
        <f t="shared" si="7"/>
        <v>807691.25704599987</v>
      </c>
      <c r="W96" s="239">
        <f t="shared" si="8"/>
        <v>0.72671870194998345</v>
      </c>
      <c r="X96" s="238" t="str">
        <f t="shared" si="9"/>
        <v>yes</v>
      </c>
      <c r="Y96" s="243" t="s">
        <v>842</v>
      </c>
      <c r="Z96" s="244">
        <v>74</v>
      </c>
      <c r="AA96" s="243" t="s">
        <v>832</v>
      </c>
      <c r="AB96" s="243" t="s">
        <v>837</v>
      </c>
      <c r="AC96" s="194" t="s">
        <v>318</v>
      </c>
    </row>
    <row r="97" spans="1:29" x14ac:dyDescent="0.25">
      <c r="A97" s="209" t="str">
        <f t="shared" si="10"/>
        <v>321511</v>
      </c>
      <c r="B97" s="196" t="s">
        <v>318</v>
      </c>
      <c r="C97" s="194" t="s">
        <v>196</v>
      </c>
      <c r="D97" s="194" t="s">
        <v>622</v>
      </c>
      <c r="E97" s="194" t="s">
        <v>621</v>
      </c>
      <c r="F97" s="200">
        <v>376.2</v>
      </c>
      <c r="G97" s="208">
        <v>0</v>
      </c>
      <c r="H97" s="198">
        <v>0</v>
      </c>
      <c r="I97" s="198">
        <v>0</v>
      </c>
      <c r="J97" s="198">
        <v>0</v>
      </c>
      <c r="K97" s="198">
        <v>0</v>
      </c>
      <c r="L97" s="198">
        <v>0</v>
      </c>
      <c r="M97" s="199">
        <v>0</v>
      </c>
      <c r="N97" s="245">
        <v>0</v>
      </c>
      <c r="O97" s="245">
        <v>0</v>
      </c>
      <c r="P97" s="245">
        <v>0</v>
      </c>
      <c r="Q97" s="245">
        <v>0</v>
      </c>
      <c r="R97" s="245">
        <v>0</v>
      </c>
      <c r="S97" s="245">
        <v>0</v>
      </c>
      <c r="T97" s="199"/>
      <c r="U97" s="241">
        <f t="shared" si="6"/>
        <v>0</v>
      </c>
      <c r="V97" s="240">
        <f t="shared" si="7"/>
        <v>0</v>
      </c>
      <c r="W97" s="239" t="str">
        <f t="shared" si="8"/>
        <v>100%</v>
      </c>
      <c r="X97" s="238" t="str">
        <f t="shared" si="9"/>
        <v/>
      </c>
      <c r="Y97" s="243" t="s">
        <v>842</v>
      </c>
      <c r="Z97" s="244">
        <v>76</v>
      </c>
      <c r="AA97" s="243" t="s">
        <v>832</v>
      </c>
      <c r="AB97" s="243" t="s">
        <v>837</v>
      </c>
      <c r="AC97" s="194" t="s">
        <v>830</v>
      </c>
    </row>
    <row r="98" spans="1:29" x14ac:dyDescent="0.25">
      <c r="A98" s="209" t="str">
        <f t="shared" si="10"/>
        <v>321879</v>
      </c>
      <c r="B98" s="196" t="s">
        <v>620</v>
      </c>
      <c r="C98" s="248" t="s">
        <v>196</v>
      </c>
      <c r="D98" s="248" t="s">
        <v>619</v>
      </c>
      <c r="E98" s="248" t="s">
        <v>618</v>
      </c>
      <c r="F98" s="247">
        <v>376.2</v>
      </c>
      <c r="G98" s="246">
        <v>3973423.27</v>
      </c>
      <c r="H98" s="198">
        <v>0</v>
      </c>
      <c r="I98" s="198">
        <v>0</v>
      </c>
      <c r="J98" s="198">
        <v>0</v>
      </c>
      <c r="K98" s="198">
        <v>0</v>
      </c>
      <c r="L98" s="198">
        <v>0</v>
      </c>
      <c r="M98" s="199">
        <v>0</v>
      </c>
      <c r="N98" s="245">
        <v>0</v>
      </c>
      <c r="O98" s="245">
        <v>0</v>
      </c>
      <c r="P98" s="245">
        <v>0</v>
      </c>
      <c r="Q98" s="245">
        <v>0</v>
      </c>
      <c r="R98" s="245">
        <v>0</v>
      </c>
      <c r="S98" s="245">
        <v>0</v>
      </c>
      <c r="T98" s="199"/>
      <c r="U98" s="241">
        <f t="shared" si="6"/>
        <v>0</v>
      </c>
      <c r="V98" s="240">
        <f t="shared" si="7"/>
        <v>-3973423.27</v>
      </c>
      <c r="W98" s="239">
        <f t="shared" si="8"/>
        <v>-1</v>
      </c>
      <c r="X98" s="238" t="str">
        <f t="shared" si="9"/>
        <v>yes</v>
      </c>
      <c r="Y98" s="243" t="s">
        <v>842</v>
      </c>
      <c r="Z98" s="244">
        <v>77</v>
      </c>
      <c r="AA98" s="243" t="s">
        <v>832</v>
      </c>
      <c r="AB98" s="243" t="s">
        <v>837</v>
      </c>
      <c r="AC98" s="194" t="s">
        <v>830</v>
      </c>
    </row>
    <row r="99" spans="1:29" x14ac:dyDescent="0.25">
      <c r="A99" s="209" t="str">
        <f t="shared" si="10"/>
        <v>322143</v>
      </c>
      <c r="B99" s="196" t="s">
        <v>318</v>
      </c>
      <c r="C99" s="194" t="s">
        <v>196</v>
      </c>
      <c r="D99" s="194" t="s">
        <v>616</v>
      </c>
      <c r="E99" s="194" t="s">
        <v>615</v>
      </c>
      <c r="F99" s="200">
        <v>376.2</v>
      </c>
      <c r="G99" s="208">
        <v>340437.40915599995</v>
      </c>
      <c r="H99" s="198">
        <v>0</v>
      </c>
      <c r="I99" s="198">
        <v>0</v>
      </c>
      <c r="J99" s="198">
        <v>0</v>
      </c>
      <c r="K99" s="198">
        <v>0</v>
      </c>
      <c r="L99" s="198">
        <v>0</v>
      </c>
      <c r="M99" s="199">
        <v>0</v>
      </c>
      <c r="N99" s="245">
        <v>0</v>
      </c>
      <c r="O99" s="245">
        <v>0</v>
      </c>
      <c r="P99" s="245">
        <v>0</v>
      </c>
      <c r="Q99" s="245">
        <v>0</v>
      </c>
      <c r="R99" s="245">
        <v>0</v>
      </c>
      <c r="S99" s="245">
        <v>0</v>
      </c>
      <c r="T99" s="199"/>
      <c r="U99" s="241">
        <f t="shared" si="6"/>
        <v>0</v>
      </c>
      <c r="V99" s="240">
        <f t="shared" si="7"/>
        <v>-340437.40915599995</v>
      </c>
      <c r="W99" s="239">
        <f t="shared" si="8"/>
        <v>-1</v>
      </c>
      <c r="X99" s="238" t="str">
        <f t="shared" si="9"/>
        <v/>
      </c>
      <c r="Y99" s="243" t="s">
        <v>841</v>
      </c>
      <c r="Z99" s="244">
        <v>1</v>
      </c>
      <c r="AA99" s="243" t="s">
        <v>832</v>
      </c>
      <c r="AB99" s="243" t="s">
        <v>831</v>
      </c>
      <c r="AC99" s="194" t="s">
        <v>318</v>
      </c>
    </row>
    <row r="100" spans="1:29" x14ac:dyDescent="0.25">
      <c r="A100" s="209" t="str">
        <f t="shared" si="10"/>
        <v>322144</v>
      </c>
      <c r="B100" s="196" t="s">
        <v>318</v>
      </c>
      <c r="C100" s="194" t="s">
        <v>196</v>
      </c>
      <c r="D100" s="194" t="s">
        <v>614</v>
      </c>
      <c r="E100" s="194" t="s">
        <v>613</v>
      </c>
      <c r="F100" s="200">
        <v>376.3</v>
      </c>
      <c r="G100" s="208">
        <v>377277.10000000003</v>
      </c>
      <c r="H100" s="198">
        <v>0</v>
      </c>
      <c r="I100" s="198">
        <v>0</v>
      </c>
      <c r="J100" s="198">
        <v>0</v>
      </c>
      <c r="K100" s="198">
        <v>0</v>
      </c>
      <c r="L100" s="198">
        <v>0</v>
      </c>
      <c r="M100" s="199">
        <v>0</v>
      </c>
      <c r="N100" s="245">
        <v>0</v>
      </c>
      <c r="O100" s="245">
        <v>0</v>
      </c>
      <c r="P100" s="245">
        <v>0</v>
      </c>
      <c r="Q100" s="245">
        <v>0</v>
      </c>
      <c r="R100" s="245">
        <v>0</v>
      </c>
      <c r="S100" s="245">
        <v>0</v>
      </c>
      <c r="T100" s="199"/>
      <c r="U100" s="241">
        <f t="shared" si="6"/>
        <v>0</v>
      </c>
      <c r="V100" s="240">
        <f t="shared" si="7"/>
        <v>-377277.10000000003</v>
      </c>
      <c r="W100" s="239">
        <f t="shared" si="8"/>
        <v>-1</v>
      </c>
      <c r="X100" s="238" t="str">
        <f t="shared" si="9"/>
        <v/>
      </c>
      <c r="Y100" s="243" t="s">
        <v>841</v>
      </c>
      <c r="Z100" s="244">
        <v>1</v>
      </c>
      <c r="AA100" s="243" t="s">
        <v>832</v>
      </c>
      <c r="AB100" s="243" t="s">
        <v>831</v>
      </c>
      <c r="AC100" s="194" t="s">
        <v>830</v>
      </c>
    </row>
    <row r="101" spans="1:29" x14ac:dyDescent="0.25">
      <c r="A101" s="209" t="str">
        <f t="shared" si="10"/>
        <v>322391</v>
      </c>
      <c r="B101" s="196" t="s">
        <v>318</v>
      </c>
      <c r="C101" s="194" t="s">
        <v>196</v>
      </c>
      <c r="D101" s="194" t="s">
        <v>612</v>
      </c>
      <c r="E101" s="194" t="s">
        <v>611</v>
      </c>
      <c r="F101" s="200">
        <v>376.2</v>
      </c>
      <c r="G101" s="208">
        <v>0</v>
      </c>
      <c r="H101" s="198">
        <v>0</v>
      </c>
      <c r="I101" s="198">
        <v>0</v>
      </c>
      <c r="J101" s="198">
        <v>0</v>
      </c>
      <c r="K101" s="198">
        <v>0</v>
      </c>
      <c r="L101" s="198">
        <v>0</v>
      </c>
      <c r="M101" s="199">
        <v>0</v>
      </c>
      <c r="N101" s="245">
        <v>0</v>
      </c>
      <c r="O101" s="245">
        <v>0</v>
      </c>
      <c r="P101" s="245">
        <v>0</v>
      </c>
      <c r="Q101" s="245">
        <v>0</v>
      </c>
      <c r="R101" s="245">
        <v>0</v>
      </c>
      <c r="S101" s="245">
        <v>0</v>
      </c>
      <c r="T101" s="199"/>
      <c r="U101" s="241">
        <f t="shared" si="6"/>
        <v>0</v>
      </c>
      <c r="V101" s="240">
        <f t="shared" si="7"/>
        <v>0</v>
      </c>
      <c r="W101" s="239" t="str">
        <f t="shared" si="8"/>
        <v>100%</v>
      </c>
      <c r="X101" s="238" t="str">
        <f t="shared" si="9"/>
        <v/>
      </c>
      <c r="Y101" s="243" t="s">
        <v>842</v>
      </c>
      <c r="Z101" s="244">
        <v>79</v>
      </c>
      <c r="AA101" s="243" t="s">
        <v>832</v>
      </c>
      <c r="AB101" s="243" t="s">
        <v>837</v>
      </c>
      <c r="AC101" s="194" t="s">
        <v>830</v>
      </c>
    </row>
    <row r="102" spans="1:29" x14ac:dyDescent="0.25">
      <c r="A102" s="209" t="str">
        <f t="shared" si="10"/>
        <v>322504</v>
      </c>
      <c r="B102" s="196" t="s">
        <v>318</v>
      </c>
      <c r="C102" s="194" t="s">
        <v>196</v>
      </c>
      <c r="D102" s="194" t="s">
        <v>610</v>
      </c>
      <c r="E102" s="194" t="s">
        <v>609</v>
      </c>
      <c r="F102" s="200">
        <v>376.2</v>
      </c>
      <c r="G102" s="208">
        <v>212141.98</v>
      </c>
      <c r="H102" s="198">
        <v>0</v>
      </c>
      <c r="I102" s="198">
        <v>0</v>
      </c>
      <c r="J102" s="198">
        <v>0</v>
      </c>
      <c r="K102" s="198">
        <v>0</v>
      </c>
      <c r="L102" s="198">
        <v>0</v>
      </c>
      <c r="M102" s="199">
        <v>0</v>
      </c>
      <c r="N102" s="245">
        <v>0</v>
      </c>
      <c r="O102" s="245">
        <v>0</v>
      </c>
      <c r="P102" s="245">
        <v>0</v>
      </c>
      <c r="Q102" s="245">
        <v>0</v>
      </c>
      <c r="R102" s="245">
        <v>0</v>
      </c>
      <c r="S102" s="245">
        <v>0</v>
      </c>
      <c r="T102" s="199"/>
      <c r="U102" s="241">
        <f t="shared" si="6"/>
        <v>0</v>
      </c>
      <c r="V102" s="240">
        <f t="shared" si="7"/>
        <v>-212141.98</v>
      </c>
      <c r="W102" s="239">
        <f t="shared" si="8"/>
        <v>-1</v>
      </c>
      <c r="X102" s="238" t="str">
        <f t="shared" si="9"/>
        <v/>
      </c>
      <c r="Y102" s="243" t="s">
        <v>841</v>
      </c>
      <c r="Z102" s="244">
        <v>1</v>
      </c>
      <c r="AA102" s="243" t="s">
        <v>832</v>
      </c>
      <c r="AB102" s="243" t="s">
        <v>831</v>
      </c>
      <c r="AC102" s="194" t="s">
        <v>830</v>
      </c>
    </row>
    <row r="103" spans="1:29" x14ac:dyDescent="0.25">
      <c r="A103" s="209" t="str">
        <f t="shared" si="10"/>
        <v>322639</v>
      </c>
      <c r="B103" s="196" t="s">
        <v>318</v>
      </c>
      <c r="C103" s="194" t="s">
        <v>196</v>
      </c>
      <c r="D103" s="194" t="s">
        <v>608</v>
      </c>
      <c r="E103" s="194" t="s">
        <v>607</v>
      </c>
      <c r="F103" s="200">
        <v>376.2</v>
      </c>
      <c r="G103" s="208">
        <v>0</v>
      </c>
      <c r="H103" s="198">
        <v>0</v>
      </c>
      <c r="I103" s="198">
        <v>0</v>
      </c>
      <c r="J103" s="198">
        <v>0</v>
      </c>
      <c r="K103" s="198">
        <v>0</v>
      </c>
      <c r="L103" s="198">
        <v>0</v>
      </c>
      <c r="M103" s="199">
        <v>0</v>
      </c>
      <c r="N103" s="245">
        <v>0</v>
      </c>
      <c r="O103" s="245">
        <v>0</v>
      </c>
      <c r="P103" s="245">
        <v>0</v>
      </c>
      <c r="Q103" s="245">
        <v>0</v>
      </c>
      <c r="R103" s="245">
        <v>0</v>
      </c>
      <c r="S103" s="245">
        <v>0</v>
      </c>
      <c r="T103" s="199"/>
      <c r="U103" s="241">
        <f t="shared" si="6"/>
        <v>0</v>
      </c>
      <c r="V103" s="240">
        <f t="shared" si="7"/>
        <v>0</v>
      </c>
      <c r="W103" s="239" t="str">
        <f t="shared" si="8"/>
        <v>100%</v>
      </c>
      <c r="X103" s="238" t="str">
        <f t="shared" si="9"/>
        <v/>
      </c>
      <c r="Y103" s="243" t="s">
        <v>842</v>
      </c>
      <c r="Z103" s="244">
        <v>81</v>
      </c>
      <c r="AA103" s="243" t="s">
        <v>832</v>
      </c>
      <c r="AB103" s="243" t="s">
        <v>837</v>
      </c>
      <c r="AC103" s="194" t="s">
        <v>318</v>
      </c>
    </row>
    <row r="104" spans="1:29" x14ac:dyDescent="0.25">
      <c r="A104" s="209" t="str">
        <f t="shared" si="10"/>
        <v>322677</v>
      </c>
      <c r="B104" s="196" t="s">
        <v>318</v>
      </c>
      <c r="C104" s="194" t="s">
        <v>196</v>
      </c>
      <c r="D104" s="194" t="s">
        <v>606</v>
      </c>
      <c r="E104" s="194" t="s">
        <v>605</v>
      </c>
      <c r="F104" s="200">
        <v>333</v>
      </c>
      <c r="G104" s="208">
        <v>0</v>
      </c>
      <c r="H104" s="198">
        <v>0</v>
      </c>
      <c r="I104" s="198">
        <v>0</v>
      </c>
      <c r="J104" s="198">
        <v>0</v>
      </c>
      <c r="K104" s="198">
        <v>0</v>
      </c>
      <c r="L104" s="198">
        <v>0</v>
      </c>
      <c r="M104" s="199">
        <v>0</v>
      </c>
      <c r="N104" s="245">
        <v>0</v>
      </c>
      <c r="O104" s="245">
        <v>0</v>
      </c>
      <c r="P104" s="245">
        <v>0</v>
      </c>
      <c r="Q104" s="245">
        <v>0</v>
      </c>
      <c r="R104" s="245">
        <v>0</v>
      </c>
      <c r="S104" s="245">
        <v>0</v>
      </c>
      <c r="T104" s="199"/>
      <c r="U104" s="241">
        <f t="shared" si="6"/>
        <v>0</v>
      </c>
      <c r="V104" s="240">
        <f t="shared" si="7"/>
        <v>0</v>
      </c>
      <c r="W104" s="239" t="str">
        <f t="shared" si="8"/>
        <v>100%</v>
      </c>
      <c r="X104" s="238" t="str">
        <f t="shared" si="9"/>
        <v/>
      </c>
      <c r="Y104" s="243" t="s">
        <v>842</v>
      </c>
      <c r="Z104" s="244">
        <v>83</v>
      </c>
      <c r="AA104" s="243" t="s">
        <v>832</v>
      </c>
      <c r="AB104" s="243" t="s">
        <v>837</v>
      </c>
      <c r="AC104" s="194" t="s">
        <v>830</v>
      </c>
    </row>
    <row r="105" spans="1:29" x14ac:dyDescent="0.25">
      <c r="A105" s="209" t="str">
        <f t="shared" si="10"/>
        <v>322752</v>
      </c>
      <c r="B105" s="196" t="s">
        <v>318</v>
      </c>
      <c r="C105" s="194" t="s">
        <v>196</v>
      </c>
      <c r="D105" s="194" t="s">
        <v>604</v>
      </c>
      <c r="E105" s="194" t="s">
        <v>603</v>
      </c>
      <c r="F105" s="200">
        <v>303</v>
      </c>
      <c r="G105" s="208">
        <v>0</v>
      </c>
      <c r="H105" s="198">
        <v>0</v>
      </c>
      <c r="I105" s="198">
        <v>0</v>
      </c>
      <c r="J105" s="198">
        <v>0</v>
      </c>
      <c r="K105" s="198">
        <v>0</v>
      </c>
      <c r="L105" s="198">
        <v>0</v>
      </c>
      <c r="M105" s="199">
        <v>0</v>
      </c>
      <c r="N105" s="245">
        <v>0</v>
      </c>
      <c r="O105" s="245">
        <v>0</v>
      </c>
      <c r="P105" s="245">
        <v>0</v>
      </c>
      <c r="Q105" s="245">
        <v>0</v>
      </c>
      <c r="R105" s="245">
        <v>0</v>
      </c>
      <c r="S105" s="245">
        <v>0</v>
      </c>
      <c r="T105" s="199"/>
      <c r="U105" s="241">
        <f t="shared" si="6"/>
        <v>0</v>
      </c>
      <c r="V105" s="240">
        <f t="shared" si="7"/>
        <v>0</v>
      </c>
      <c r="W105" s="239" t="str">
        <f t="shared" si="8"/>
        <v>100%</v>
      </c>
      <c r="X105" s="238" t="str">
        <f t="shared" si="9"/>
        <v/>
      </c>
      <c r="Y105" s="243" t="s">
        <v>841</v>
      </c>
      <c r="Z105" s="244">
        <v>1</v>
      </c>
      <c r="AA105" s="243" t="s">
        <v>832</v>
      </c>
      <c r="AB105" s="243" t="s">
        <v>831</v>
      </c>
      <c r="AC105" s="194" t="s">
        <v>318</v>
      </c>
    </row>
    <row r="106" spans="1:29" x14ac:dyDescent="0.25">
      <c r="A106" s="209" t="str">
        <f t="shared" si="10"/>
        <v>322765</v>
      </c>
      <c r="B106" s="196" t="s">
        <v>318</v>
      </c>
      <c r="C106" s="194" t="s">
        <v>196</v>
      </c>
      <c r="D106" s="194" t="s">
        <v>602</v>
      </c>
      <c r="E106" s="194" t="s">
        <v>601</v>
      </c>
      <c r="F106" s="200">
        <v>378</v>
      </c>
      <c r="G106" s="208">
        <v>0</v>
      </c>
      <c r="H106" s="198">
        <v>0</v>
      </c>
      <c r="I106" s="198">
        <v>0</v>
      </c>
      <c r="J106" s="198">
        <v>0</v>
      </c>
      <c r="K106" s="198">
        <v>0</v>
      </c>
      <c r="L106" s="198">
        <v>0</v>
      </c>
      <c r="M106" s="199">
        <v>0</v>
      </c>
      <c r="N106" s="245">
        <v>0</v>
      </c>
      <c r="O106" s="245">
        <v>0</v>
      </c>
      <c r="P106" s="245">
        <v>0</v>
      </c>
      <c r="Q106" s="245">
        <v>0</v>
      </c>
      <c r="R106" s="245">
        <v>0</v>
      </c>
      <c r="S106" s="245">
        <v>0</v>
      </c>
      <c r="T106" s="199"/>
      <c r="U106" s="241">
        <f t="shared" si="6"/>
        <v>0</v>
      </c>
      <c r="V106" s="240">
        <f t="shared" si="7"/>
        <v>0</v>
      </c>
      <c r="W106" s="239" t="str">
        <f t="shared" si="8"/>
        <v>100%</v>
      </c>
      <c r="X106" s="238" t="str">
        <f t="shared" si="9"/>
        <v/>
      </c>
      <c r="Y106" s="243" t="s">
        <v>841</v>
      </c>
      <c r="Z106" s="244">
        <v>1</v>
      </c>
      <c r="AA106" s="243" t="s">
        <v>832</v>
      </c>
      <c r="AB106" s="243" t="s">
        <v>831</v>
      </c>
      <c r="AC106" s="194" t="s">
        <v>318</v>
      </c>
    </row>
    <row r="107" spans="1:29" x14ac:dyDescent="0.25">
      <c r="A107" s="209" t="str">
        <f t="shared" ref="A107:A138" si="11">RIGHT(D107,LEN(D107)-3)</f>
        <v>323166</v>
      </c>
      <c r="B107" s="196" t="s">
        <v>318</v>
      </c>
      <c r="C107" s="194" t="s">
        <v>196</v>
      </c>
      <c r="D107" s="194" t="s">
        <v>600</v>
      </c>
      <c r="E107" s="194" t="s">
        <v>599</v>
      </c>
      <c r="F107" s="200">
        <v>378</v>
      </c>
      <c r="G107" s="208">
        <v>67326.149999999994</v>
      </c>
      <c r="H107" s="198">
        <v>0</v>
      </c>
      <c r="I107" s="198">
        <v>0</v>
      </c>
      <c r="J107" s="198">
        <v>0</v>
      </c>
      <c r="K107" s="198">
        <v>0</v>
      </c>
      <c r="L107" s="198">
        <v>0</v>
      </c>
      <c r="M107" s="199">
        <v>471278.69</v>
      </c>
      <c r="N107" s="245">
        <v>0</v>
      </c>
      <c r="O107" s="245">
        <v>0</v>
      </c>
      <c r="P107" s="245">
        <v>0</v>
      </c>
      <c r="Q107" s="245">
        <v>0</v>
      </c>
      <c r="R107" s="245">
        <v>0</v>
      </c>
      <c r="S107" s="245">
        <v>0</v>
      </c>
      <c r="T107" s="199"/>
      <c r="U107" s="241">
        <f t="shared" si="6"/>
        <v>471278.69</v>
      </c>
      <c r="V107" s="240">
        <f t="shared" si="7"/>
        <v>403952.54000000004</v>
      </c>
      <c r="W107" s="239">
        <f t="shared" si="8"/>
        <v>5.9999352406160176</v>
      </c>
      <c r="X107" s="238" t="str">
        <f t="shared" si="9"/>
        <v/>
      </c>
      <c r="Y107" s="243" t="s">
        <v>841</v>
      </c>
      <c r="Z107" s="244">
        <v>1</v>
      </c>
      <c r="AA107" s="243" t="s">
        <v>832</v>
      </c>
      <c r="AB107" s="243" t="s">
        <v>831</v>
      </c>
      <c r="AC107" s="194" t="s">
        <v>830</v>
      </c>
    </row>
    <row r="108" spans="1:29" x14ac:dyDescent="0.25">
      <c r="A108" s="209" t="str">
        <f t="shared" si="11"/>
        <v>323236</v>
      </c>
      <c r="B108" s="196" t="s">
        <v>318</v>
      </c>
      <c r="C108" s="194" t="s">
        <v>196</v>
      </c>
      <c r="D108" s="194" t="s">
        <v>598</v>
      </c>
      <c r="E108" s="194" t="s">
        <v>597</v>
      </c>
      <c r="F108" s="200">
        <v>376.1</v>
      </c>
      <c r="G108" s="208">
        <v>344834.96446800005</v>
      </c>
      <c r="H108" s="198">
        <v>-40.18</v>
      </c>
      <c r="I108" s="198">
        <v>0</v>
      </c>
      <c r="J108" s="198">
        <v>0</v>
      </c>
      <c r="K108" s="198">
        <v>0</v>
      </c>
      <c r="L108" s="198">
        <v>0</v>
      </c>
      <c r="M108" s="199">
        <v>0</v>
      </c>
      <c r="N108" s="245">
        <v>0</v>
      </c>
      <c r="O108" s="245">
        <v>0</v>
      </c>
      <c r="P108" s="245">
        <v>0</v>
      </c>
      <c r="Q108" s="245">
        <v>0</v>
      </c>
      <c r="R108" s="245">
        <v>0</v>
      </c>
      <c r="S108" s="245">
        <v>0</v>
      </c>
      <c r="T108" s="199"/>
      <c r="U108" s="241">
        <f t="shared" si="6"/>
        <v>-40.18</v>
      </c>
      <c r="V108" s="240">
        <f t="shared" si="7"/>
        <v>-344875.14446800004</v>
      </c>
      <c r="W108" s="239">
        <f t="shared" si="8"/>
        <v>-1.0001165195068371</v>
      </c>
      <c r="X108" s="238" t="str">
        <f t="shared" si="9"/>
        <v/>
      </c>
      <c r="Y108" s="243" t="s">
        <v>841</v>
      </c>
      <c r="Z108" s="244">
        <v>24</v>
      </c>
      <c r="AA108" s="243" t="s">
        <v>836</v>
      </c>
      <c r="AB108" s="243" t="s">
        <v>831</v>
      </c>
      <c r="AC108" s="194" t="s">
        <v>318</v>
      </c>
    </row>
    <row r="109" spans="1:29" x14ac:dyDescent="0.25">
      <c r="A109" s="209" t="str">
        <f t="shared" si="11"/>
        <v>323595</v>
      </c>
      <c r="B109" s="196" t="s">
        <v>318</v>
      </c>
      <c r="C109" s="194" t="s">
        <v>196</v>
      </c>
      <c r="D109" s="194" t="s">
        <v>596</v>
      </c>
      <c r="E109" s="194" t="s">
        <v>595</v>
      </c>
      <c r="F109" s="200">
        <v>376.3</v>
      </c>
      <c r="G109" s="208">
        <v>343875.48</v>
      </c>
      <c r="H109" s="198">
        <v>0</v>
      </c>
      <c r="I109" s="198">
        <v>0</v>
      </c>
      <c r="J109" s="198">
        <v>0</v>
      </c>
      <c r="K109" s="198">
        <v>0</v>
      </c>
      <c r="L109" s="198">
        <v>0</v>
      </c>
      <c r="M109" s="199">
        <v>0</v>
      </c>
      <c r="N109" s="245">
        <v>0</v>
      </c>
      <c r="O109" s="245">
        <v>0</v>
      </c>
      <c r="P109" s="245">
        <v>0</v>
      </c>
      <c r="Q109" s="245">
        <v>0</v>
      </c>
      <c r="R109" s="245">
        <v>0</v>
      </c>
      <c r="S109" s="245">
        <v>0</v>
      </c>
      <c r="T109" s="199"/>
      <c r="U109" s="241">
        <f t="shared" si="6"/>
        <v>0</v>
      </c>
      <c r="V109" s="240">
        <f t="shared" si="7"/>
        <v>-343875.48</v>
      </c>
      <c r="W109" s="239">
        <f t="shared" si="8"/>
        <v>-1</v>
      </c>
      <c r="X109" s="238" t="str">
        <f t="shared" si="9"/>
        <v/>
      </c>
      <c r="Y109" s="243" t="s">
        <v>841</v>
      </c>
      <c r="Z109" s="244">
        <v>1</v>
      </c>
      <c r="AA109" s="243" t="s">
        <v>832</v>
      </c>
      <c r="AB109" s="243" t="s">
        <v>831</v>
      </c>
      <c r="AC109" s="194" t="s">
        <v>830</v>
      </c>
    </row>
    <row r="110" spans="1:29" x14ac:dyDescent="0.25">
      <c r="A110" s="209" t="str">
        <f t="shared" si="11"/>
        <v>323823</v>
      </c>
      <c r="B110" s="196" t="s">
        <v>318</v>
      </c>
      <c r="C110" s="194" t="s">
        <v>196</v>
      </c>
      <c r="D110" s="194" t="s">
        <v>594</v>
      </c>
      <c r="E110" s="194" t="s">
        <v>593</v>
      </c>
      <c r="F110" s="200">
        <v>378</v>
      </c>
      <c r="G110" s="208">
        <v>55851.398262000002</v>
      </c>
      <c r="H110" s="198">
        <v>0</v>
      </c>
      <c r="I110" s="198">
        <v>78431.95</v>
      </c>
      <c r="J110" s="198">
        <v>23332.100000000002</v>
      </c>
      <c r="K110" s="198">
        <v>50.34</v>
      </c>
      <c r="L110" s="198">
        <v>6028.56</v>
      </c>
      <c r="M110" s="199">
        <v>0</v>
      </c>
      <c r="N110" s="245">
        <v>0</v>
      </c>
      <c r="O110" s="245">
        <v>0</v>
      </c>
      <c r="P110" s="245">
        <v>0</v>
      </c>
      <c r="Q110" s="245">
        <v>0</v>
      </c>
      <c r="R110" s="245">
        <v>0</v>
      </c>
      <c r="S110" s="245">
        <v>0</v>
      </c>
      <c r="T110" s="199"/>
      <c r="U110" s="241">
        <f t="shared" si="6"/>
        <v>107842.95</v>
      </c>
      <c r="V110" s="240">
        <f t="shared" si="7"/>
        <v>51991.551737999995</v>
      </c>
      <c r="W110" s="239">
        <f t="shared" si="8"/>
        <v>0.93089078081996457</v>
      </c>
      <c r="X110" s="238" t="str">
        <f t="shared" si="9"/>
        <v/>
      </c>
      <c r="Y110" s="243" t="s">
        <v>841</v>
      </c>
      <c r="Z110" s="244">
        <v>1</v>
      </c>
      <c r="AA110" s="243" t="s">
        <v>832</v>
      </c>
      <c r="AB110" s="243" t="s">
        <v>831</v>
      </c>
      <c r="AC110" s="194" t="s">
        <v>318</v>
      </c>
    </row>
    <row r="111" spans="1:29" x14ac:dyDescent="0.25">
      <c r="A111" s="209" t="str">
        <f t="shared" si="11"/>
        <v>323909</v>
      </c>
      <c r="B111" s="196" t="s">
        <v>318</v>
      </c>
      <c r="C111" s="194" t="s">
        <v>196</v>
      </c>
      <c r="D111" s="194" t="s">
        <v>592</v>
      </c>
      <c r="E111" s="194" t="s">
        <v>591</v>
      </c>
      <c r="F111" s="200">
        <v>390.1</v>
      </c>
      <c r="G111" s="208">
        <v>37696.400500000003</v>
      </c>
      <c r="H111" s="198">
        <v>0</v>
      </c>
      <c r="I111" s="198">
        <v>0</v>
      </c>
      <c r="J111" s="198">
        <v>33723.57</v>
      </c>
      <c r="K111" s="198">
        <v>0</v>
      </c>
      <c r="L111" s="198">
        <v>0</v>
      </c>
      <c r="M111" s="199">
        <v>0</v>
      </c>
      <c r="N111" s="245">
        <v>0</v>
      </c>
      <c r="O111" s="245">
        <v>0</v>
      </c>
      <c r="P111" s="245">
        <v>0</v>
      </c>
      <c r="Q111" s="245">
        <v>0</v>
      </c>
      <c r="R111" s="245">
        <v>0</v>
      </c>
      <c r="S111" s="245">
        <v>0</v>
      </c>
      <c r="T111" s="199"/>
      <c r="U111" s="241">
        <f t="shared" si="6"/>
        <v>33723.57</v>
      </c>
      <c r="V111" s="240">
        <f t="shared" si="7"/>
        <v>-3972.8305000000037</v>
      </c>
      <c r="W111" s="239">
        <f t="shared" si="8"/>
        <v>-0.10539018174958119</v>
      </c>
      <c r="X111" s="238" t="str">
        <f t="shared" si="9"/>
        <v/>
      </c>
      <c r="Y111" s="243" t="s">
        <v>841</v>
      </c>
      <c r="Z111" s="244">
        <v>1</v>
      </c>
      <c r="AA111" s="243" t="s">
        <v>832</v>
      </c>
      <c r="AB111" s="243" t="s">
        <v>831</v>
      </c>
      <c r="AC111" s="194" t="s">
        <v>318</v>
      </c>
    </row>
    <row r="112" spans="1:29" x14ac:dyDescent="0.25">
      <c r="A112" s="209" t="str">
        <f t="shared" si="11"/>
        <v>323926</v>
      </c>
      <c r="B112" s="196" t="s">
        <v>318</v>
      </c>
      <c r="C112" s="194" t="s">
        <v>196</v>
      </c>
      <c r="D112" s="194" t="s">
        <v>590</v>
      </c>
      <c r="E112" s="194" t="s">
        <v>589</v>
      </c>
      <c r="F112" s="200">
        <v>394.1</v>
      </c>
      <c r="G112" s="208">
        <v>102940.75</v>
      </c>
      <c r="H112" s="198">
        <v>0</v>
      </c>
      <c r="I112" s="198">
        <v>0</v>
      </c>
      <c r="J112" s="198">
        <v>0</v>
      </c>
      <c r="K112" s="198">
        <v>0</v>
      </c>
      <c r="L112" s="198">
        <v>0</v>
      </c>
      <c r="M112" s="199">
        <v>0</v>
      </c>
      <c r="N112" s="245">
        <v>0</v>
      </c>
      <c r="O112" s="245">
        <v>0</v>
      </c>
      <c r="P112" s="245">
        <v>0</v>
      </c>
      <c r="Q112" s="245">
        <v>0</v>
      </c>
      <c r="R112" s="245">
        <v>0</v>
      </c>
      <c r="S112" s="245">
        <v>0</v>
      </c>
      <c r="T112" s="199"/>
      <c r="U112" s="241">
        <f t="shared" si="6"/>
        <v>0</v>
      </c>
      <c r="V112" s="240">
        <f t="shared" si="7"/>
        <v>-102940.75</v>
      </c>
      <c r="W112" s="239">
        <f t="shared" si="8"/>
        <v>-1</v>
      </c>
      <c r="X112" s="238" t="str">
        <f t="shared" si="9"/>
        <v/>
      </c>
      <c r="Y112" s="243" t="s">
        <v>841</v>
      </c>
      <c r="Z112" s="244">
        <v>24</v>
      </c>
      <c r="AA112" s="243" t="s">
        <v>836</v>
      </c>
      <c r="AB112" s="243" t="s">
        <v>831</v>
      </c>
      <c r="AC112" s="194" t="s">
        <v>318</v>
      </c>
    </row>
    <row r="113" spans="1:29" x14ac:dyDescent="0.25">
      <c r="A113" s="209" t="str">
        <f t="shared" si="11"/>
        <v>324005</v>
      </c>
      <c r="B113" s="196" t="s">
        <v>318</v>
      </c>
      <c r="C113" s="194" t="s">
        <v>196</v>
      </c>
      <c r="D113" s="194" t="s">
        <v>588</v>
      </c>
      <c r="E113" s="194" t="s">
        <v>587</v>
      </c>
      <c r="F113" s="200">
        <v>376.2</v>
      </c>
      <c r="G113" s="208">
        <v>306877.8</v>
      </c>
      <c r="H113" s="198">
        <v>0</v>
      </c>
      <c r="I113" s="198">
        <v>0</v>
      </c>
      <c r="J113" s="198">
        <v>0</v>
      </c>
      <c r="K113" s="198">
        <v>0</v>
      </c>
      <c r="L113" s="198">
        <v>0</v>
      </c>
      <c r="M113" s="199">
        <v>0</v>
      </c>
      <c r="N113" s="245">
        <v>0</v>
      </c>
      <c r="O113" s="245">
        <v>0</v>
      </c>
      <c r="P113" s="245">
        <v>0</v>
      </c>
      <c r="Q113" s="245">
        <v>0</v>
      </c>
      <c r="R113" s="245">
        <v>0</v>
      </c>
      <c r="S113" s="245">
        <v>0</v>
      </c>
      <c r="T113" s="199"/>
      <c r="U113" s="241">
        <f t="shared" si="6"/>
        <v>0</v>
      </c>
      <c r="V113" s="240">
        <f t="shared" si="7"/>
        <v>-306877.8</v>
      </c>
      <c r="W113" s="239">
        <f t="shared" si="8"/>
        <v>-1</v>
      </c>
      <c r="X113" s="238" t="str">
        <f t="shared" si="9"/>
        <v/>
      </c>
      <c r="Y113" s="243" t="s">
        <v>841</v>
      </c>
      <c r="Z113" s="244">
        <v>1</v>
      </c>
      <c r="AA113" s="243" t="s">
        <v>832</v>
      </c>
      <c r="AB113" s="243" t="s">
        <v>831</v>
      </c>
      <c r="AC113" s="194" t="s">
        <v>830</v>
      </c>
    </row>
    <row r="114" spans="1:29" x14ac:dyDescent="0.25">
      <c r="A114" s="209" t="str">
        <f t="shared" si="11"/>
        <v>324007</v>
      </c>
      <c r="B114" s="196" t="s">
        <v>318</v>
      </c>
      <c r="C114" s="194" t="s">
        <v>196</v>
      </c>
      <c r="D114" s="194" t="s">
        <v>586</v>
      </c>
      <c r="E114" s="194" t="s">
        <v>585</v>
      </c>
      <c r="F114" s="200">
        <v>376.3</v>
      </c>
      <c r="G114" s="208">
        <v>0</v>
      </c>
      <c r="H114" s="198">
        <v>0</v>
      </c>
      <c r="I114" s="198">
        <v>0</v>
      </c>
      <c r="J114" s="198">
        <v>0</v>
      </c>
      <c r="K114" s="198">
        <v>0</v>
      </c>
      <c r="L114" s="198">
        <v>0</v>
      </c>
      <c r="M114" s="199">
        <v>0</v>
      </c>
      <c r="N114" s="245">
        <v>0</v>
      </c>
      <c r="O114" s="245">
        <v>0</v>
      </c>
      <c r="P114" s="245">
        <v>0</v>
      </c>
      <c r="Q114" s="245">
        <v>0</v>
      </c>
      <c r="R114" s="245">
        <v>0</v>
      </c>
      <c r="S114" s="245">
        <v>0</v>
      </c>
      <c r="T114" s="199"/>
      <c r="U114" s="241">
        <f t="shared" si="6"/>
        <v>0</v>
      </c>
      <c r="V114" s="240">
        <f t="shared" si="7"/>
        <v>0</v>
      </c>
      <c r="W114" s="239" t="str">
        <f t="shared" si="8"/>
        <v>100%</v>
      </c>
      <c r="X114" s="238" t="str">
        <f t="shared" si="9"/>
        <v/>
      </c>
      <c r="Y114" s="243" t="s">
        <v>841</v>
      </c>
      <c r="Z114" s="244">
        <v>1</v>
      </c>
      <c r="AA114" s="243" t="s">
        <v>832</v>
      </c>
      <c r="AB114" s="243" t="s">
        <v>831</v>
      </c>
      <c r="AC114" s="194" t="s">
        <v>830</v>
      </c>
    </row>
    <row r="115" spans="1:29" x14ac:dyDescent="0.25">
      <c r="A115" s="209" t="str">
        <f t="shared" si="11"/>
        <v>324021</v>
      </c>
      <c r="B115" s="196" t="s">
        <v>318</v>
      </c>
      <c r="C115" s="194" t="s">
        <v>196</v>
      </c>
      <c r="D115" s="194" t="s">
        <v>584</v>
      </c>
      <c r="E115" s="194" t="s">
        <v>583</v>
      </c>
      <c r="F115" s="200">
        <v>378</v>
      </c>
      <c r="G115" s="208">
        <v>292793.29972100002</v>
      </c>
      <c r="H115" s="198">
        <v>0</v>
      </c>
      <c r="I115" s="198">
        <v>0</v>
      </c>
      <c r="J115" s="198">
        <v>0</v>
      </c>
      <c r="K115" s="198">
        <v>0</v>
      </c>
      <c r="L115" s="198">
        <v>0</v>
      </c>
      <c r="M115" s="199">
        <v>0</v>
      </c>
      <c r="N115" s="245">
        <v>0</v>
      </c>
      <c r="O115" s="245">
        <v>0</v>
      </c>
      <c r="P115" s="245">
        <v>0</v>
      </c>
      <c r="Q115" s="245">
        <v>0</v>
      </c>
      <c r="R115" s="245">
        <v>0</v>
      </c>
      <c r="S115" s="245">
        <v>0</v>
      </c>
      <c r="T115" s="199"/>
      <c r="U115" s="241">
        <f t="shared" si="6"/>
        <v>0</v>
      </c>
      <c r="V115" s="240">
        <f t="shared" si="7"/>
        <v>-292793.29972100002</v>
      </c>
      <c r="W115" s="239">
        <f t="shared" si="8"/>
        <v>-1</v>
      </c>
      <c r="X115" s="238" t="str">
        <f t="shared" si="9"/>
        <v/>
      </c>
      <c r="Y115" s="243" t="s">
        <v>841</v>
      </c>
      <c r="Z115" s="244">
        <v>1</v>
      </c>
      <c r="AA115" s="243" t="s">
        <v>832</v>
      </c>
      <c r="AB115" s="243" t="s">
        <v>831</v>
      </c>
      <c r="AC115" s="194" t="s">
        <v>318</v>
      </c>
    </row>
    <row r="116" spans="1:29" x14ac:dyDescent="0.25">
      <c r="A116" s="209" t="str">
        <f t="shared" si="11"/>
        <v>324101</v>
      </c>
      <c r="B116" s="196" t="s">
        <v>318</v>
      </c>
      <c r="C116" s="194" t="s">
        <v>196</v>
      </c>
      <c r="D116" s="194" t="s">
        <v>582</v>
      </c>
      <c r="E116" s="194" t="s">
        <v>581</v>
      </c>
      <c r="F116" s="200">
        <v>367.1</v>
      </c>
      <c r="G116" s="208">
        <v>2632121.5674279998</v>
      </c>
      <c r="H116" s="198">
        <v>0</v>
      </c>
      <c r="I116" s="198">
        <v>0</v>
      </c>
      <c r="J116" s="198">
        <v>0</v>
      </c>
      <c r="K116" s="198">
        <v>0</v>
      </c>
      <c r="L116" s="198">
        <v>0</v>
      </c>
      <c r="M116" s="199">
        <v>0</v>
      </c>
      <c r="N116" s="245">
        <v>0</v>
      </c>
      <c r="O116" s="245">
        <v>0</v>
      </c>
      <c r="P116" s="245">
        <v>0</v>
      </c>
      <c r="Q116" s="245">
        <v>0</v>
      </c>
      <c r="R116" s="245">
        <v>0</v>
      </c>
      <c r="S116" s="245">
        <v>0</v>
      </c>
      <c r="T116" s="199"/>
      <c r="U116" s="241">
        <f t="shared" si="6"/>
        <v>0</v>
      </c>
      <c r="V116" s="240">
        <f t="shared" si="7"/>
        <v>-2632121.5674279998</v>
      </c>
      <c r="W116" s="239">
        <f t="shared" si="8"/>
        <v>-1</v>
      </c>
      <c r="X116" s="238" t="str">
        <f t="shared" si="9"/>
        <v>yes</v>
      </c>
      <c r="Y116" s="243" t="s">
        <v>842</v>
      </c>
      <c r="Z116" s="244">
        <v>85</v>
      </c>
      <c r="AA116" s="243" t="s">
        <v>832</v>
      </c>
      <c r="AB116" s="243" t="s">
        <v>837</v>
      </c>
      <c r="AC116" s="194" t="s">
        <v>318</v>
      </c>
    </row>
    <row r="117" spans="1:29" x14ac:dyDescent="0.25">
      <c r="A117" s="209" t="str">
        <f t="shared" si="11"/>
        <v>324150</v>
      </c>
      <c r="B117" s="196" t="s">
        <v>318</v>
      </c>
      <c r="C117" s="194" t="s">
        <v>196</v>
      </c>
      <c r="D117" s="194" t="s">
        <v>580</v>
      </c>
      <c r="E117" s="194" t="s">
        <v>579</v>
      </c>
      <c r="F117" s="200">
        <v>378</v>
      </c>
      <c r="G117" s="208">
        <v>0</v>
      </c>
      <c r="H117" s="198">
        <v>0</v>
      </c>
      <c r="I117" s="198">
        <v>0</v>
      </c>
      <c r="J117" s="198">
        <v>0</v>
      </c>
      <c r="K117" s="198">
        <v>0</v>
      </c>
      <c r="L117" s="198">
        <v>0</v>
      </c>
      <c r="M117" s="199">
        <v>0</v>
      </c>
      <c r="N117" s="245">
        <v>0</v>
      </c>
      <c r="O117" s="245">
        <v>0</v>
      </c>
      <c r="P117" s="245">
        <v>0</v>
      </c>
      <c r="Q117" s="245">
        <v>0</v>
      </c>
      <c r="R117" s="245">
        <v>0</v>
      </c>
      <c r="S117" s="245">
        <v>0</v>
      </c>
      <c r="T117" s="199"/>
      <c r="U117" s="241">
        <f t="shared" si="6"/>
        <v>0</v>
      </c>
      <c r="V117" s="240">
        <f t="shared" si="7"/>
        <v>0</v>
      </c>
      <c r="W117" s="239" t="str">
        <f t="shared" si="8"/>
        <v>100%</v>
      </c>
      <c r="X117" s="238" t="str">
        <f t="shared" si="9"/>
        <v/>
      </c>
      <c r="Y117" s="243" t="s">
        <v>841</v>
      </c>
      <c r="Z117" s="244">
        <v>1</v>
      </c>
      <c r="AA117" s="243" t="s">
        <v>832</v>
      </c>
      <c r="AB117" s="243" t="s">
        <v>831</v>
      </c>
      <c r="AC117" s="194" t="s">
        <v>318</v>
      </c>
    </row>
    <row r="118" spans="1:29" x14ac:dyDescent="0.25">
      <c r="A118" s="209" t="str">
        <f t="shared" si="11"/>
        <v>324276</v>
      </c>
      <c r="B118" s="196" t="s">
        <v>318</v>
      </c>
      <c r="C118" s="194" t="s">
        <v>196</v>
      </c>
      <c r="D118" s="194" t="s">
        <v>578</v>
      </c>
      <c r="E118" s="194" t="s">
        <v>577</v>
      </c>
      <c r="F118" s="200">
        <v>394.1</v>
      </c>
      <c r="G118" s="208">
        <v>9800.418528000002</v>
      </c>
      <c r="H118" s="198">
        <v>0</v>
      </c>
      <c r="I118" s="198">
        <v>0</v>
      </c>
      <c r="J118" s="198">
        <v>0</v>
      </c>
      <c r="K118" s="198">
        <v>0</v>
      </c>
      <c r="L118" s="198">
        <v>0</v>
      </c>
      <c r="M118" s="199">
        <v>0</v>
      </c>
      <c r="N118" s="245">
        <v>0</v>
      </c>
      <c r="O118" s="245">
        <v>0</v>
      </c>
      <c r="P118" s="245">
        <v>0</v>
      </c>
      <c r="Q118" s="245">
        <v>0</v>
      </c>
      <c r="R118" s="245">
        <v>0</v>
      </c>
      <c r="S118" s="245">
        <v>0</v>
      </c>
      <c r="T118" s="199"/>
      <c r="U118" s="241">
        <f t="shared" si="6"/>
        <v>0</v>
      </c>
      <c r="V118" s="240">
        <f t="shared" si="7"/>
        <v>-9800.418528000002</v>
      </c>
      <c r="W118" s="239">
        <f t="shared" si="8"/>
        <v>-1</v>
      </c>
      <c r="X118" s="238" t="str">
        <f t="shared" si="9"/>
        <v/>
      </c>
      <c r="Y118" s="243" t="s">
        <v>841</v>
      </c>
      <c r="Z118" s="244">
        <v>1</v>
      </c>
      <c r="AA118" s="243" t="s">
        <v>832</v>
      </c>
      <c r="AB118" s="243" t="s">
        <v>831</v>
      </c>
      <c r="AC118" s="194" t="s">
        <v>318</v>
      </c>
    </row>
    <row r="119" spans="1:29" x14ac:dyDescent="0.25">
      <c r="A119" s="209" t="str">
        <f t="shared" si="11"/>
        <v>324281</v>
      </c>
      <c r="B119" s="196" t="s">
        <v>318</v>
      </c>
      <c r="C119" s="194" t="s">
        <v>196</v>
      </c>
      <c r="D119" s="194" t="s">
        <v>576</v>
      </c>
      <c r="E119" s="194" t="s">
        <v>575</v>
      </c>
      <c r="F119" s="200">
        <v>394.1</v>
      </c>
      <c r="G119" s="208">
        <v>3769.64005</v>
      </c>
      <c r="H119" s="198">
        <v>0</v>
      </c>
      <c r="I119" s="198">
        <v>1376.77</v>
      </c>
      <c r="J119" s="198">
        <v>0</v>
      </c>
      <c r="K119" s="198">
        <v>0</v>
      </c>
      <c r="L119" s="198">
        <v>0</v>
      </c>
      <c r="M119" s="199">
        <v>0</v>
      </c>
      <c r="N119" s="245">
        <v>0</v>
      </c>
      <c r="O119" s="245">
        <v>0</v>
      </c>
      <c r="P119" s="245">
        <v>0</v>
      </c>
      <c r="Q119" s="245">
        <v>0</v>
      </c>
      <c r="R119" s="245">
        <v>0</v>
      </c>
      <c r="S119" s="245">
        <v>0</v>
      </c>
      <c r="T119" s="199"/>
      <c r="U119" s="241">
        <f t="shared" si="6"/>
        <v>1376.77</v>
      </c>
      <c r="V119" s="240">
        <f t="shared" si="7"/>
        <v>-2392.87005</v>
      </c>
      <c r="W119" s="239">
        <f t="shared" si="8"/>
        <v>-0.63477414773328289</v>
      </c>
      <c r="X119" s="238" t="str">
        <f t="shared" si="9"/>
        <v/>
      </c>
      <c r="Y119" s="243" t="s">
        <v>841</v>
      </c>
      <c r="Z119" s="244">
        <v>1</v>
      </c>
      <c r="AA119" s="243" t="s">
        <v>832</v>
      </c>
      <c r="AB119" s="243" t="s">
        <v>831</v>
      </c>
      <c r="AC119" s="194" t="s">
        <v>318</v>
      </c>
    </row>
    <row r="120" spans="1:29" x14ac:dyDescent="0.25">
      <c r="A120" s="209" t="str">
        <f t="shared" si="11"/>
        <v>324556</v>
      </c>
      <c r="B120" s="196" t="s">
        <v>318</v>
      </c>
      <c r="C120" s="194" t="s">
        <v>196</v>
      </c>
      <c r="D120" s="194" t="s">
        <v>574</v>
      </c>
      <c r="E120" s="194" t="s">
        <v>572</v>
      </c>
      <c r="F120" s="200">
        <v>394.1</v>
      </c>
      <c r="G120" s="208">
        <v>904713.61200000008</v>
      </c>
      <c r="H120" s="198">
        <v>0</v>
      </c>
      <c r="I120" s="198">
        <v>0</v>
      </c>
      <c r="J120" s="198">
        <v>0</v>
      </c>
      <c r="K120" s="198">
        <v>0</v>
      </c>
      <c r="L120" s="198">
        <v>0</v>
      </c>
      <c r="M120" s="199">
        <v>0</v>
      </c>
      <c r="N120" s="245">
        <v>0</v>
      </c>
      <c r="O120" s="245">
        <v>0</v>
      </c>
      <c r="P120" s="245">
        <v>0</v>
      </c>
      <c r="Q120" s="245">
        <v>0</v>
      </c>
      <c r="R120" s="245">
        <v>0</v>
      </c>
      <c r="S120" s="245">
        <v>0</v>
      </c>
      <c r="T120" s="199"/>
      <c r="U120" s="241">
        <f t="shared" si="6"/>
        <v>0</v>
      </c>
      <c r="V120" s="240">
        <f t="shared" si="7"/>
        <v>-904713.61200000008</v>
      </c>
      <c r="W120" s="239">
        <f t="shared" si="8"/>
        <v>-1</v>
      </c>
      <c r="X120" s="238" t="str">
        <f t="shared" si="9"/>
        <v>yes</v>
      </c>
      <c r="Y120" s="243" t="s">
        <v>841</v>
      </c>
      <c r="Z120" s="244">
        <v>1</v>
      </c>
      <c r="AA120" s="243" t="s">
        <v>832</v>
      </c>
      <c r="AB120" s="243" t="s">
        <v>831</v>
      </c>
      <c r="AC120" s="194" t="s">
        <v>318</v>
      </c>
    </row>
    <row r="121" spans="1:29" x14ac:dyDescent="0.25">
      <c r="A121" s="209" t="str">
        <f t="shared" si="11"/>
        <v>324560</v>
      </c>
      <c r="B121" s="196" t="s">
        <v>318</v>
      </c>
      <c r="C121" s="194" t="s">
        <v>196</v>
      </c>
      <c r="D121" s="194" t="s">
        <v>573</v>
      </c>
      <c r="E121" s="194" t="s">
        <v>572</v>
      </c>
      <c r="F121" s="200">
        <v>394.1</v>
      </c>
      <c r="G121" s="208">
        <v>0</v>
      </c>
      <c r="H121" s="198">
        <v>0</v>
      </c>
      <c r="I121" s="198">
        <v>0</v>
      </c>
      <c r="J121" s="198">
        <v>0</v>
      </c>
      <c r="K121" s="198">
        <v>0</v>
      </c>
      <c r="L121" s="198">
        <v>0</v>
      </c>
      <c r="M121" s="199">
        <v>0</v>
      </c>
      <c r="N121" s="245">
        <v>0</v>
      </c>
      <c r="O121" s="245">
        <v>0</v>
      </c>
      <c r="P121" s="245">
        <v>0</v>
      </c>
      <c r="Q121" s="245">
        <v>0</v>
      </c>
      <c r="R121" s="245">
        <v>0</v>
      </c>
      <c r="S121" s="245">
        <v>0</v>
      </c>
      <c r="T121" s="199"/>
      <c r="U121" s="241">
        <f t="shared" si="6"/>
        <v>0</v>
      </c>
      <c r="V121" s="240">
        <f t="shared" si="7"/>
        <v>0</v>
      </c>
      <c r="W121" s="239" t="str">
        <f t="shared" si="8"/>
        <v>100%</v>
      </c>
      <c r="X121" s="238" t="str">
        <f t="shared" si="9"/>
        <v/>
      </c>
      <c r="Y121" s="243" t="s">
        <v>842</v>
      </c>
      <c r="Z121" s="244">
        <v>87</v>
      </c>
      <c r="AA121" s="243" t="s">
        <v>832</v>
      </c>
      <c r="AB121" s="243" t="s">
        <v>837</v>
      </c>
      <c r="AC121" s="194" t="s">
        <v>318</v>
      </c>
    </row>
    <row r="122" spans="1:29" x14ac:dyDescent="0.25">
      <c r="A122" s="209" t="str">
        <f t="shared" si="11"/>
        <v>324581</v>
      </c>
      <c r="B122" s="196" t="s">
        <v>318</v>
      </c>
      <c r="C122" s="194" t="s">
        <v>196</v>
      </c>
      <c r="D122" s="194" t="s">
        <v>571</v>
      </c>
      <c r="E122" s="194" t="s">
        <v>570</v>
      </c>
      <c r="F122" s="200">
        <v>376.3</v>
      </c>
      <c r="G122" s="208">
        <v>343625.52</v>
      </c>
      <c r="H122" s="198">
        <v>0</v>
      </c>
      <c r="I122" s="198">
        <v>0</v>
      </c>
      <c r="J122" s="198">
        <v>0</v>
      </c>
      <c r="K122" s="198">
        <v>0</v>
      </c>
      <c r="L122" s="198">
        <v>0</v>
      </c>
      <c r="M122" s="199">
        <v>0</v>
      </c>
      <c r="N122" s="245">
        <v>0</v>
      </c>
      <c r="O122" s="245">
        <v>0</v>
      </c>
      <c r="P122" s="245">
        <v>0</v>
      </c>
      <c r="Q122" s="245">
        <v>0</v>
      </c>
      <c r="R122" s="245">
        <v>0</v>
      </c>
      <c r="S122" s="245">
        <v>0</v>
      </c>
      <c r="T122" s="199"/>
      <c r="U122" s="241">
        <f t="shared" si="6"/>
        <v>0</v>
      </c>
      <c r="V122" s="240">
        <f t="shared" si="7"/>
        <v>-343625.52</v>
      </c>
      <c r="W122" s="239">
        <f t="shared" si="8"/>
        <v>-1</v>
      </c>
      <c r="X122" s="238" t="str">
        <f t="shared" si="9"/>
        <v/>
      </c>
      <c r="Y122" s="243" t="s">
        <v>841</v>
      </c>
      <c r="Z122" s="244">
        <v>1</v>
      </c>
      <c r="AA122" s="243" t="s">
        <v>832</v>
      </c>
      <c r="AB122" s="243" t="s">
        <v>831</v>
      </c>
      <c r="AC122" s="194" t="s">
        <v>830</v>
      </c>
    </row>
    <row r="123" spans="1:29" x14ac:dyDescent="0.25">
      <c r="A123" s="209" t="str">
        <f t="shared" si="11"/>
        <v>324689</v>
      </c>
      <c r="B123" s="196" t="s">
        <v>318</v>
      </c>
      <c r="C123" s="194" t="s">
        <v>196</v>
      </c>
      <c r="D123" s="194" t="s">
        <v>569</v>
      </c>
      <c r="E123" s="194" t="s">
        <v>568</v>
      </c>
      <c r="F123" s="200">
        <v>376.2</v>
      </c>
      <c r="G123" s="208">
        <v>1634772.280938</v>
      </c>
      <c r="H123" s="198">
        <v>0</v>
      </c>
      <c r="I123" s="198">
        <v>0</v>
      </c>
      <c r="J123" s="198">
        <v>0</v>
      </c>
      <c r="K123" s="198">
        <v>0</v>
      </c>
      <c r="L123" s="198">
        <v>0</v>
      </c>
      <c r="M123" s="199">
        <v>0</v>
      </c>
      <c r="N123" s="245">
        <v>0</v>
      </c>
      <c r="O123" s="245">
        <v>0</v>
      </c>
      <c r="P123" s="245">
        <v>0</v>
      </c>
      <c r="Q123" s="245">
        <v>0</v>
      </c>
      <c r="R123" s="245">
        <v>0</v>
      </c>
      <c r="S123" s="245">
        <v>0</v>
      </c>
      <c r="T123" s="199"/>
      <c r="U123" s="241">
        <f t="shared" si="6"/>
        <v>0</v>
      </c>
      <c r="V123" s="240">
        <f t="shared" si="7"/>
        <v>-1634772.280938</v>
      </c>
      <c r="W123" s="239">
        <f t="shared" si="8"/>
        <v>-1</v>
      </c>
      <c r="X123" s="238" t="str">
        <f t="shared" si="9"/>
        <v>yes</v>
      </c>
      <c r="Y123" s="243" t="s">
        <v>842</v>
      </c>
      <c r="Z123" s="244">
        <v>89</v>
      </c>
      <c r="AA123" s="243" t="s">
        <v>832</v>
      </c>
      <c r="AB123" s="243" t="s">
        <v>837</v>
      </c>
      <c r="AC123" s="194" t="s">
        <v>318</v>
      </c>
    </row>
    <row r="124" spans="1:29" x14ac:dyDescent="0.25">
      <c r="A124" s="209" t="str">
        <f t="shared" si="11"/>
        <v>324799</v>
      </c>
      <c r="B124" s="196" t="s">
        <v>318</v>
      </c>
      <c r="C124" s="194" t="s">
        <v>196</v>
      </c>
      <c r="D124" s="194" t="s">
        <v>567</v>
      </c>
      <c r="E124" s="194" t="s">
        <v>566</v>
      </c>
      <c r="F124" s="200">
        <v>376.2</v>
      </c>
      <c r="G124" s="208">
        <v>512719.18003699998</v>
      </c>
      <c r="H124" s="198">
        <v>0</v>
      </c>
      <c r="I124" s="198">
        <v>0</v>
      </c>
      <c r="J124" s="198">
        <v>0</v>
      </c>
      <c r="K124" s="198">
        <v>0</v>
      </c>
      <c r="L124" s="198">
        <v>0</v>
      </c>
      <c r="M124" s="199">
        <v>0</v>
      </c>
      <c r="N124" s="245">
        <v>0</v>
      </c>
      <c r="O124" s="245">
        <v>0</v>
      </c>
      <c r="P124" s="245">
        <v>0</v>
      </c>
      <c r="Q124" s="245">
        <v>0</v>
      </c>
      <c r="R124" s="245">
        <v>0</v>
      </c>
      <c r="S124" s="245">
        <v>0</v>
      </c>
      <c r="T124" s="199"/>
      <c r="U124" s="241">
        <f t="shared" si="6"/>
        <v>0</v>
      </c>
      <c r="V124" s="240">
        <f t="shared" si="7"/>
        <v>-512719.18003699998</v>
      </c>
      <c r="W124" s="239">
        <f t="shared" si="8"/>
        <v>-1</v>
      </c>
      <c r="X124" s="238" t="str">
        <f t="shared" si="9"/>
        <v>yes</v>
      </c>
      <c r="Y124" s="243" t="s">
        <v>841</v>
      </c>
      <c r="Z124" s="244">
        <v>1</v>
      </c>
      <c r="AA124" s="243" t="s">
        <v>832</v>
      </c>
      <c r="AB124" s="243" t="s">
        <v>831</v>
      </c>
      <c r="AC124" s="194" t="s">
        <v>318</v>
      </c>
    </row>
    <row r="125" spans="1:29" x14ac:dyDescent="0.25">
      <c r="A125" s="209" t="str">
        <f t="shared" si="11"/>
        <v>324932</v>
      </c>
      <c r="B125" s="196" t="s">
        <v>318</v>
      </c>
      <c r="C125" s="194" t="s">
        <v>196</v>
      </c>
      <c r="D125" s="194" t="s">
        <v>565</v>
      </c>
      <c r="E125" s="194" t="s">
        <v>564</v>
      </c>
      <c r="F125" s="200">
        <v>376.1</v>
      </c>
      <c r="G125" s="208">
        <v>1001332.753812</v>
      </c>
      <c r="H125" s="198">
        <v>0</v>
      </c>
      <c r="I125" s="198">
        <v>0</v>
      </c>
      <c r="J125" s="198">
        <v>0</v>
      </c>
      <c r="K125" s="198">
        <v>0</v>
      </c>
      <c r="L125" s="198">
        <v>0</v>
      </c>
      <c r="M125" s="199">
        <v>0</v>
      </c>
      <c r="N125" s="245">
        <v>0</v>
      </c>
      <c r="O125" s="245">
        <v>0</v>
      </c>
      <c r="P125" s="245">
        <v>0</v>
      </c>
      <c r="Q125" s="245">
        <v>0</v>
      </c>
      <c r="R125" s="245">
        <v>0</v>
      </c>
      <c r="S125" s="245">
        <v>0</v>
      </c>
      <c r="T125" s="199"/>
      <c r="U125" s="241">
        <f t="shared" si="6"/>
        <v>0</v>
      </c>
      <c r="V125" s="240">
        <f t="shared" si="7"/>
        <v>-1001332.753812</v>
      </c>
      <c r="W125" s="239">
        <f t="shared" si="8"/>
        <v>-1</v>
      </c>
      <c r="X125" s="238" t="str">
        <f t="shared" si="9"/>
        <v>yes</v>
      </c>
      <c r="Y125" s="243" t="s">
        <v>842</v>
      </c>
      <c r="Z125" s="244">
        <v>91</v>
      </c>
      <c r="AA125" s="243" t="s">
        <v>832</v>
      </c>
      <c r="AB125" s="243" t="s">
        <v>837</v>
      </c>
      <c r="AC125" s="194" t="s">
        <v>318</v>
      </c>
    </row>
    <row r="126" spans="1:29" x14ac:dyDescent="0.25">
      <c r="A126" s="209" t="str">
        <f t="shared" si="11"/>
        <v>324988</v>
      </c>
      <c r="B126" s="196" t="s">
        <v>318</v>
      </c>
      <c r="C126" s="194" t="s">
        <v>196</v>
      </c>
      <c r="D126" s="194" t="s">
        <v>563</v>
      </c>
      <c r="E126" s="194" t="s">
        <v>562</v>
      </c>
      <c r="F126" s="200">
        <v>376.1</v>
      </c>
      <c r="G126" s="208">
        <v>754871.91</v>
      </c>
      <c r="H126" s="198">
        <v>0</v>
      </c>
      <c r="I126" s="198">
        <v>0</v>
      </c>
      <c r="J126" s="198">
        <v>0</v>
      </c>
      <c r="K126" s="198">
        <v>0</v>
      </c>
      <c r="L126" s="198">
        <v>0</v>
      </c>
      <c r="M126" s="199">
        <v>0</v>
      </c>
      <c r="N126" s="245">
        <v>0</v>
      </c>
      <c r="O126" s="245">
        <v>0</v>
      </c>
      <c r="P126" s="245">
        <v>0</v>
      </c>
      <c r="Q126" s="245">
        <v>0</v>
      </c>
      <c r="R126" s="245">
        <v>0</v>
      </c>
      <c r="S126" s="245">
        <v>0</v>
      </c>
      <c r="T126" s="199"/>
      <c r="U126" s="241">
        <f t="shared" si="6"/>
        <v>0</v>
      </c>
      <c r="V126" s="240">
        <f t="shared" si="7"/>
        <v>-754871.91</v>
      </c>
      <c r="W126" s="239">
        <f t="shared" si="8"/>
        <v>-1</v>
      </c>
      <c r="X126" s="238" t="str">
        <f t="shared" si="9"/>
        <v>yes</v>
      </c>
      <c r="Y126" s="243" t="s">
        <v>841</v>
      </c>
      <c r="Z126" s="244">
        <v>1</v>
      </c>
      <c r="AA126" s="243" t="s">
        <v>832</v>
      </c>
      <c r="AB126" s="243" t="s">
        <v>831</v>
      </c>
      <c r="AC126" s="194" t="s">
        <v>830</v>
      </c>
    </row>
    <row r="127" spans="1:29" x14ac:dyDescent="0.25">
      <c r="A127" s="209" t="str">
        <f t="shared" si="11"/>
        <v>324995</v>
      </c>
      <c r="B127" s="196" t="s">
        <v>318</v>
      </c>
      <c r="C127" s="194" t="s">
        <v>196</v>
      </c>
      <c r="D127" s="194" t="s">
        <v>561</v>
      </c>
      <c r="E127" s="194" t="s">
        <v>560</v>
      </c>
      <c r="F127" s="200">
        <v>378</v>
      </c>
      <c r="G127" s="208">
        <v>98907.725646999999</v>
      </c>
      <c r="H127" s="198">
        <v>0</v>
      </c>
      <c r="I127" s="198">
        <v>0</v>
      </c>
      <c r="J127" s="198">
        <v>0</v>
      </c>
      <c r="K127" s="198">
        <v>0</v>
      </c>
      <c r="L127" s="198">
        <v>0</v>
      </c>
      <c r="M127" s="199">
        <v>0</v>
      </c>
      <c r="N127" s="245">
        <v>0</v>
      </c>
      <c r="O127" s="245">
        <v>0</v>
      </c>
      <c r="P127" s="245">
        <v>0</v>
      </c>
      <c r="Q127" s="245">
        <v>0</v>
      </c>
      <c r="R127" s="245">
        <v>0</v>
      </c>
      <c r="S127" s="245">
        <v>0</v>
      </c>
      <c r="T127" s="199"/>
      <c r="U127" s="241">
        <f t="shared" si="6"/>
        <v>0</v>
      </c>
      <c r="V127" s="240">
        <f t="shared" si="7"/>
        <v>-98907.725646999999</v>
      </c>
      <c r="W127" s="239">
        <f t="shared" si="8"/>
        <v>-1</v>
      </c>
      <c r="X127" s="238" t="str">
        <f t="shared" si="9"/>
        <v/>
      </c>
      <c r="Y127" s="243" t="s">
        <v>841</v>
      </c>
      <c r="Z127" s="244">
        <v>1</v>
      </c>
      <c r="AA127" s="243" t="s">
        <v>832</v>
      </c>
      <c r="AB127" s="243" t="s">
        <v>831</v>
      </c>
      <c r="AC127" s="194" t="s">
        <v>318</v>
      </c>
    </row>
    <row r="128" spans="1:29" x14ac:dyDescent="0.25">
      <c r="A128" s="209" t="str">
        <f t="shared" si="11"/>
        <v>325037</v>
      </c>
      <c r="B128" s="196" t="s">
        <v>318</v>
      </c>
      <c r="C128" s="194" t="s">
        <v>196</v>
      </c>
      <c r="D128" s="194" t="s">
        <v>559</v>
      </c>
      <c r="E128" s="194" t="s">
        <v>558</v>
      </c>
      <c r="F128" s="200">
        <v>376.3</v>
      </c>
      <c r="G128" s="208">
        <v>122656.28</v>
      </c>
      <c r="H128" s="198">
        <v>0</v>
      </c>
      <c r="I128" s="198">
        <v>0</v>
      </c>
      <c r="J128" s="198">
        <v>0</v>
      </c>
      <c r="K128" s="198">
        <v>0</v>
      </c>
      <c r="L128" s="198">
        <v>0</v>
      </c>
      <c r="M128" s="199">
        <v>0</v>
      </c>
      <c r="N128" s="245">
        <v>0</v>
      </c>
      <c r="O128" s="245">
        <v>0</v>
      </c>
      <c r="P128" s="245">
        <v>0</v>
      </c>
      <c r="Q128" s="245">
        <v>0</v>
      </c>
      <c r="R128" s="245">
        <v>0</v>
      </c>
      <c r="S128" s="245">
        <v>0</v>
      </c>
      <c r="T128" s="199"/>
      <c r="U128" s="241">
        <f t="shared" si="6"/>
        <v>0</v>
      </c>
      <c r="V128" s="240">
        <f t="shared" si="7"/>
        <v>-122656.28</v>
      </c>
      <c r="W128" s="239">
        <f t="shared" si="8"/>
        <v>-1</v>
      </c>
      <c r="X128" s="238" t="str">
        <f t="shared" si="9"/>
        <v/>
      </c>
      <c r="Y128" s="243" t="s">
        <v>841</v>
      </c>
      <c r="Z128" s="244">
        <v>1</v>
      </c>
      <c r="AA128" s="243" t="s">
        <v>832</v>
      </c>
      <c r="AB128" s="243" t="s">
        <v>831</v>
      </c>
      <c r="AC128" s="194" t="s">
        <v>830</v>
      </c>
    </row>
    <row r="129" spans="1:29" x14ac:dyDescent="0.25">
      <c r="A129" s="209" t="str">
        <f t="shared" si="11"/>
        <v>323967</v>
      </c>
      <c r="B129" s="196" t="s">
        <v>318</v>
      </c>
      <c r="C129" s="194" t="s">
        <v>247</v>
      </c>
      <c r="D129" s="194" t="s">
        <v>557</v>
      </c>
      <c r="E129" s="194" t="s">
        <v>556</v>
      </c>
      <c r="F129" s="200">
        <v>303</v>
      </c>
      <c r="G129" s="208">
        <v>41466.040550000005</v>
      </c>
      <c r="H129" s="198">
        <v>0</v>
      </c>
      <c r="I129" s="198">
        <v>0</v>
      </c>
      <c r="J129" s="198">
        <v>0</v>
      </c>
      <c r="K129" s="198">
        <v>0</v>
      </c>
      <c r="L129" s="198">
        <v>0</v>
      </c>
      <c r="M129" s="199">
        <v>0</v>
      </c>
      <c r="N129" s="245">
        <v>0</v>
      </c>
      <c r="O129" s="245">
        <v>0</v>
      </c>
      <c r="P129" s="245">
        <v>0</v>
      </c>
      <c r="Q129" s="245">
        <v>0</v>
      </c>
      <c r="R129" s="245">
        <v>0</v>
      </c>
      <c r="S129" s="245">
        <v>0</v>
      </c>
      <c r="T129" s="199"/>
      <c r="U129" s="241">
        <f t="shared" si="6"/>
        <v>0</v>
      </c>
      <c r="V129" s="240">
        <f t="shared" si="7"/>
        <v>-41466.040550000005</v>
      </c>
      <c r="W129" s="239">
        <f t="shared" si="8"/>
        <v>-1</v>
      </c>
      <c r="X129" s="238" t="str">
        <f t="shared" si="9"/>
        <v/>
      </c>
      <c r="Y129" s="243" t="s">
        <v>839</v>
      </c>
      <c r="Z129" s="244">
        <v>1</v>
      </c>
      <c r="AA129" s="243" t="s">
        <v>832</v>
      </c>
      <c r="AB129" s="243" t="s">
        <v>831</v>
      </c>
      <c r="AC129" s="194" t="s">
        <v>318</v>
      </c>
    </row>
    <row r="130" spans="1:29" x14ac:dyDescent="0.25">
      <c r="A130" s="209" t="str">
        <f t="shared" si="11"/>
        <v>323968</v>
      </c>
      <c r="B130" s="196" t="s">
        <v>318</v>
      </c>
      <c r="C130" s="194" t="s">
        <v>247</v>
      </c>
      <c r="D130" s="194" t="s">
        <v>555</v>
      </c>
      <c r="E130" s="194" t="s">
        <v>554</v>
      </c>
      <c r="F130" s="200">
        <v>303</v>
      </c>
      <c r="G130" s="208">
        <v>7539.2800999999999</v>
      </c>
      <c r="H130" s="198">
        <v>0</v>
      </c>
      <c r="I130" s="198">
        <v>0</v>
      </c>
      <c r="J130" s="198">
        <v>0</v>
      </c>
      <c r="K130" s="198">
        <v>0</v>
      </c>
      <c r="L130" s="198">
        <v>0</v>
      </c>
      <c r="M130" s="199">
        <v>0</v>
      </c>
      <c r="N130" s="245">
        <v>0</v>
      </c>
      <c r="O130" s="245">
        <v>0</v>
      </c>
      <c r="P130" s="245">
        <v>0</v>
      </c>
      <c r="Q130" s="245">
        <v>0</v>
      </c>
      <c r="R130" s="245">
        <v>0</v>
      </c>
      <c r="S130" s="245">
        <v>0</v>
      </c>
      <c r="T130" s="199"/>
      <c r="U130" s="241">
        <f t="shared" si="6"/>
        <v>0</v>
      </c>
      <c r="V130" s="240">
        <f t="shared" si="7"/>
        <v>-7539.2800999999999</v>
      </c>
      <c r="W130" s="239">
        <f t="shared" si="8"/>
        <v>-1</v>
      </c>
      <c r="X130" s="238" t="str">
        <f t="shared" si="9"/>
        <v/>
      </c>
      <c r="Y130" s="243" t="s">
        <v>839</v>
      </c>
      <c r="Z130" s="244">
        <v>1</v>
      </c>
      <c r="AA130" s="243" t="s">
        <v>832</v>
      </c>
      <c r="AB130" s="243" t="s">
        <v>831</v>
      </c>
      <c r="AC130" s="194" t="s">
        <v>318</v>
      </c>
    </row>
    <row r="131" spans="1:29" x14ac:dyDescent="0.25">
      <c r="A131" s="209" t="str">
        <f t="shared" si="11"/>
        <v>101480</v>
      </c>
      <c r="B131" s="196" t="s">
        <v>318</v>
      </c>
      <c r="C131" s="194" t="s">
        <v>247</v>
      </c>
      <c r="D131" s="194" t="s">
        <v>553</v>
      </c>
      <c r="E131" s="194" t="s">
        <v>552</v>
      </c>
      <c r="F131" s="200">
        <v>303</v>
      </c>
      <c r="G131" s="208">
        <v>3980874.5233380003</v>
      </c>
      <c r="H131" s="198">
        <v>0</v>
      </c>
      <c r="I131" s="198">
        <v>0</v>
      </c>
      <c r="J131" s="198">
        <v>1724160.15</v>
      </c>
      <c r="K131" s="198">
        <v>0</v>
      </c>
      <c r="L131" s="198">
        <v>1919018.46</v>
      </c>
      <c r="M131" s="199">
        <v>0</v>
      </c>
      <c r="N131" s="245">
        <v>0</v>
      </c>
      <c r="O131" s="245">
        <v>0</v>
      </c>
      <c r="P131" s="245">
        <v>0</v>
      </c>
      <c r="Q131" s="245">
        <v>0</v>
      </c>
      <c r="R131" s="245">
        <v>0</v>
      </c>
      <c r="S131" s="245">
        <v>0</v>
      </c>
      <c r="T131" s="199"/>
      <c r="U131" s="241">
        <f t="shared" si="6"/>
        <v>3643178.61</v>
      </c>
      <c r="V131" s="240">
        <f t="shared" si="7"/>
        <v>-337695.91333800042</v>
      </c>
      <c r="W131" s="239">
        <f t="shared" si="8"/>
        <v>-8.4829579872022512E-2</v>
      </c>
      <c r="X131" s="238" t="str">
        <f t="shared" si="9"/>
        <v/>
      </c>
      <c r="Y131" s="243" t="s">
        <v>840</v>
      </c>
      <c r="Z131" s="244">
        <v>2</v>
      </c>
      <c r="AA131" s="243" t="s">
        <v>832</v>
      </c>
      <c r="AB131" s="243" t="s">
        <v>837</v>
      </c>
      <c r="AC131" s="194" t="s">
        <v>318</v>
      </c>
    </row>
    <row r="132" spans="1:29" x14ac:dyDescent="0.25">
      <c r="A132" s="209" t="str">
        <f t="shared" si="11"/>
        <v>317565</v>
      </c>
      <c r="B132" s="196" t="s">
        <v>318</v>
      </c>
      <c r="C132" s="194" t="s">
        <v>247</v>
      </c>
      <c r="D132" s="194" t="s">
        <v>551</v>
      </c>
      <c r="E132" s="194" t="s">
        <v>550</v>
      </c>
      <c r="F132" s="200">
        <v>391.3</v>
      </c>
      <c r="G132" s="208">
        <v>136058.75</v>
      </c>
      <c r="H132" s="198">
        <v>0</v>
      </c>
      <c r="I132" s="198">
        <v>0</v>
      </c>
      <c r="J132" s="198">
        <v>0</v>
      </c>
      <c r="K132" s="198">
        <v>0</v>
      </c>
      <c r="L132" s="198">
        <v>0</v>
      </c>
      <c r="M132" s="199">
        <v>0</v>
      </c>
      <c r="N132" s="245">
        <v>0</v>
      </c>
      <c r="O132" s="245">
        <v>0</v>
      </c>
      <c r="P132" s="245">
        <v>0</v>
      </c>
      <c r="Q132" s="245">
        <v>0</v>
      </c>
      <c r="R132" s="245">
        <v>0</v>
      </c>
      <c r="S132" s="245">
        <v>0</v>
      </c>
      <c r="T132" s="199"/>
      <c r="U132" s="241">
        <f t="shared" ref="U132:U195" si="12">SUM(H132:T132)</f>
        <v>0</v>
      </c>
      <c r="V132" s="240">
        <f t="shared" ref="V132:V195" si="13">U132-G132</f>
        <v>-136058.75</v>
      </c>
      <c r="W132" s="239">
        <f t="shared" ref="W132:W195" si="14">+IFERROR(V132/G132,"100%")</f>
        <v>-1</v>
      </c>
      <c r="X132" s="238" t="str">
        <f t="shared" ref="X132:X195" si="15">IFERROR(IF(AND(ABS(V132)&gt;=500000,ABS(W132)&gt;=10%),"yes",""),"")</f>
        <v/>
      </c>
      <c r="Y132" s="243" t="s">
        <v>840</v>
      </c>
      <c r="Z132" s="244">
        <v>2</v>
      </c>
      <c r="AA132" s="243" t="s">
        <v>832</v>
      </c>
      <c r="AB132" s="243" t="s">
        <v>837</v>
      </c>
      <c r="AC132" s="194" t="s">
        <v>318</v>
      </c>
    </row>
    <row r="133" spans="1:29" x14ac:dyDescent="0.25">
      <c r="A133" s="209" t="str">
        <f t="shared" si="11"/>
        <v>324020</v>
      </c>
      <c r="B133" s="196" t="s">
        <v>318</v>
      </c>
      <c r="C133" s="194" t="s">
        <v>247</v>
      </c>
      <c r="D133" s="194" t="s">
        <v>549</v>
      </c>
      <c r="E133" s="194" t="s">
        <v>548</v>
      </c>
      <c r="F133" s="200">
        <v>303</v>
      </c>
      <c r="G133" s="208">
        <v>810507.85611499997</v>
      </c>
      <c r="H133" s="198">
        <v>0</v>
      </c>
      <c r="I133" s="198">
        <v>0</v>
      </c>
      <c r="J133" s="198">
        <v>0</v>
      </c>
      <c r="K133" s="198">
        <v>0</v>
      </c>
      <c r="L133" s="198">
        <v>1141248.95</v>
      </c>
      <c r="M133" s="199">
        <v>0</v>
      </c>
      <c r="N133" s="245">
        <v>0</v>
      </c>
      <c r="O133" s="245">
        <v>0</v>
      </c>
      <c r="P133" s="245">
        <v>0</v>
      </c>
      <c r="Q133" s="245">
        <v>0</v>
      </c>
      <c r="R133" s="245">
        <v>0</v>
      </c>
      <c r="S133" s="245">
        <v>0</v>
      </c>
      <c r="T133" s="199"/>
      <c r="U133" s="241">
        <f t="shared" si="12"/>
        <v>1141248.95</v>
      </c>
      <c r="V133" s="240">
        <f t="shared" si="13"/>
        <v>330741.09388499998</v>
      </c>
      <c r="W133" s="239">
        <f t="shared" si="14"/>
        <v>0.40806648743707225</v>
      </c>
      <c r="X133" s="238" t="str">
        <f t="shared" si="15"/>
        <v/>
      </c>
      <c r="Y133" s="243" t="s">
        <v>840</v>
      </c>
      <c r="Z133" s="244">
        <v>2</v>
      </c>
      <c r="AA133" s="243" t="s">
        <v>832</v>
      </c>
      <c r="AB133" s="243" t="s">
        <v>837</v>
      </c>
      <c r="AC133" s="194" t="s">
        <v>318</v>
      </c>
    </row>
    <row r="134" spans="1:29" x14ac:dyDescent="0.25">
      <c r="A134" s="209" t="str">
        <f t="shared" si="11"/>
        <v>324029</v>
      </c>
      <c r="B134" s="196" t="s">
        <v>318</v>
      </c>
      <c r="C134" s="194" t="s">
        <v>247</v>
      </c>
      <c r="D134" s="194" t="s">
        <v>547</v>
      </c>
      <c r="E134" s="194" t="s">
        <v>546</v>
      </c>
      <c r="F134" s="200">
        <v>303</v>
      </c>
      <c r="G134" s="208">
        <v>0</v>
      </c>
      <c r="H134" s="198">
        <v>0</v>
      </c>
      <c r="I134" s="198">
        <v>0</v>
      </c>
      <c r="J134" s="198">
        <v>0</v>
      </c>
      <c r="K134" s="198">
        <v>0</v>
      </c>
      <c r="L134" s="198">
        <v>0</v>
      </c>
      <c r="M134" s="199">
        <v>0</v>
      </c>
      <c r="N134" s="245">
        <v>0</v>
      </c>
      <c r="O134" s="245">
        <v>0</v>
      </c>
      <c r="P134" s="245">
        <v>0</v>
      </c>
      <c r="Q134" s="245">
        <v>0</v>
      </c>
      <c r="R134" s="245">
        <v>0</v>
      </c>
      <c r="S134" s="245">
        <v>0</v>
      </c>
      <c r="T134" s="199"/>
      <c r="U134" s="241">
        <f t="shared" si="12"/>
        <v>0</v>
      </c>
      <c r="V134" s="240">
        <f t="shared" si="13"/>
        <v>0</v>
      </c>
      <c r="W134" s="239" t="str">
        <f t="shared" si="14"/>
        <v>100%</v>
      </c>
      <c r="X134" s="238" t="str">
        <f t="shared" si="15"/>
        <v/>
      </c>
      <c r="Y134" s="243" t="s">
        <v>840</v>
      </c>
      <c r="Z134" s="244">
        <v>2</v>
      </c>
      <c r="AA134" s="243" t="s">
        <v>832</v>
      </c>
      <c r="AB134" s="243" t="s">
        <v>837</v>
      </c>
      <c r="AC134" s="194" t="s">
        <v>318</v>
      </c>
    </row>
    <row r="135" spans="1:29" x14ac:dyDescent="0.25">
      <c r="A135" s="209" t="str">
        <f t="shared" si="11"/>
        <v>324035</v>
      </c>
      <c r="B135" s="196" t="s">
        <v>318</v>
      </c>
      <c r="C135" s="194" t="s">
        <v>247</v>
      </c>
      <c r="D135" s="194" t="s">
        <v>545</v>
      </c>
      <c r="E135" s="194" t="s">
        <v>544</v>
      </c>
      <c r="F135" s="200">
        <v>303</v>
      </c>
      <c r="G135" s="208">
        <v>52501.443155000008</v>
      </c>
      <c r="H135" s="198">
        <v>0</v>
      </c>
      <c r="I135" s="198">
        <v>0</v>
      </c>
      <c r="J135" s="198">
        <v>0</v>
      </c>
      <c r="K135" s="198">
        <v>0</v>
      </c>
      <c r="L135" s="198">
        <v>0</v>
      </c>
      <c r="M135" s="199">
        <v>0</v>
      </c>
      <c r="N135" s="245">
        <v>0</v>
      </c>
      <c r="O135" s="245">
        <v>0</v>
      </c>
      <c r="P135" s="245">
        <v>0</v>
      </c>
      <c r="Q135" s="245">
        <v>0</v>
      </c>
      <c r="R135" s="245">
        <v>0</v>
      </c>
      <c r="S135" s="245">
        <v>0</v>
      </c>
      <c r="T135" s="199"/>
      <c r="U135" s="241">
        <f t="shared" si="12"/>
        <v>0</v>
      </c>
      <c r="V135" s="240">
        <f t="shared" si="13"/>
        <v>-52501.443155000008</v>
      </c>
      <c r="W135" s="239">
        <f t="shared" si="14"/>
        <v>-1</v>
      </c>
      <c r="X135" s="238" t="str">
        <f t="shared" si="15"/>
        <v/>
      </c>
      <c r="Y135" s="243" t="s">
        <v>840</v>
      </c>
      <c r="Z135" s="244">
        <v>2</v>
      </c>
      <c r="AA135" s="243" t="s">
        <v>832</v>
      </c>
      <c r="AB135" s="243" t="s">
        <v>837</v>
      </c>
      <c r="AC135" s="194" t="s">
        <v>318</v>
      </c>
    </row>
    <row r="136" spans="1:29" x14ac:dyDescent="0.25">
      <c r="A136" s="209" t="str">
        <f t="shared" si="11"/>
        <v>320934</v>
      </c>
      <c r="B136" s="196" t="s">
        <v>318</v>
      </c>
      <c r="C136" s="194" t="s">
        <v>247</v>
      </c>
      <c r="D136" s="194" t="s">
        <v>543</v>
      </c>
      <c r="E136" s="194" t="s">
        <v>542</v>
      </c>
      <c r="F136" s="200">
        <v>394.1</v>
      </c>
      <c r="G136" s="208">
        <v>16945.670000000002</v>
      </c>
      <c r="H136" s="198">
        <v>0</v>
      </c>
      <c r="I136" s="198">
        <v>0</v>
      </c>
      <c r="J136" s="198">
        <v>0</v>
      </c>
      <c r="K136" s="198">
        <v>0</v>
      </c>
      <c r="L136" s="198">
        <v>0</v>
      </c>
      <c r="M136" s="199">
        <v>0</v>
      </c>
      <c r="N136" s="245">
        <v>0</v>
      </c>
      <c r="O136" s="245">
        <v>0</v>
      </c>
      <c r="P136" s="245">
        <v>0</v>
      </c>
      <c r="Q136" s="245">
        <v>0</v>
      </c>
      <c r="R136" s="245">
        <v>0</v>
      </c>
      <c r="S136" s="245">
        <v>0</v>
      </c>
      <c r="T136" s="199"/>
      <c r="U136" s="241">
        <f t="shared" si="12"/>
        <v>0</v>
      </c>
      <c r="V136" s="240">
        <f t="shared" si="13"/>
        <v>-16945.670000000002</v>
      </c>
      <c r="W136" s="239">
        <f t="shared" si="14"/>
        <v>-1</v>
      </c>
      <c r="X136" s="238" t="str">
        <f t="shared" si="15"/>
        <v/>
      </c>
      <c r="Y136" s="243" t="s">
        <v>839</v>
      </c>
      <c r="Z136" s="244">
        <v>1</v>
      </c>
      <c r="AA136" s="243" t="s">
        <v>832</v>
      </c>
      <c r="AB136" s="243" t="s">
        <v>831</v>
      </c>
      <c r="AC136" s="194" t="s">
        <v>318</v>
      </c>
    </row>
    <row r="137" spans="1:29" x14ac:dyDescent="0.25">
      <c r="A137" s="209" t="str">
        <f t="shared" si="11"/>
        <v>320935</v>
      </c>
      <c r="B137" s="196" t="s">
        <v>318</v>
      </c>
      <c r="C137" s="194" t="s">
        <v>247</v>
      </c>
      <c r="D137" s="194" t="s">
        <v>541</v>
      </c>
      <c r="E137" s="194" t="s">
        <v>540</v>
      </c>
      <c r="F137" s="200">
        <v>394.1</v>
      </c>
      <c r="G137" s="208">
        <v>14987.11</v>
      </c>
      <c r="H137" s="198">
        <v>0</v>
      </c>
      <c r="I137" s="198">
        <v>0</v>
      </c>
      <c r="J137" s="198">
        <v>0</v>
      </c>
      <c r="K137" s="198">
        <v>0</v>
      </c>
      <c r="L137" s="198">
        <v>0</v>
      </c>
      <c r="M137" s="199">
        <v>0</v>
      </c>
      <c r="N137" s="245">
        <v>0</v>
      </c>
      <c r="O137" s="245">
        <v>0</v>
      </c>
      <c r="P137" s="245">
        <v>0</v>
      </c>
      <c r="Q137" s="245">
        <v>0</v>
      </c>
      <c r="R137" s="245">
        <v>0</v>
      </c>
      <c r="S137" s="245">
        <v>0</v>
      </c>
      <c r="T137" s="199"/>
      <c r="U137" s="241">
        <f t="shared" si="12"/>
        <v>0</v>
      </c>
      <c r="V137" s="240">
        <f t="shared" si="13"/>
        <v>-14987.11</v>
      </c>
      <c r="W137" s="239">
        <f t="shared" si="14"/>
        <v>-1</v>
      </c>
      <c r="X137" s="238" t="str">
        <f t="shared" si="15"/>
        <v/>
      </c>
      <c r="Y137" s="243" t="s">
        <v>839</v>
      </c>
      <c r="Z137" s="244">
        <v>1</v>
      </c>
      <c r="AA137" s="243" t="s">
        <v>832</v>
      </c>
      <c r="AB137" s="243" t="s">
        <v>831</v>
      </c>
      <c r="AC137" s="194" t="s">
        <v>318</v>
      </c>
    </row>
    <row r="138" spans="1:29" x14ac:dyDescent="0.25">
      <c r="A138" s="209" t="str">
        <f t="shared" si="11"/>
        <v>ital Lease</v>
      </c>
      <c r="B138" s="196" t="s">
        <v>318</v>
      </c>
      <c r="C138" s="194" t="s">
        <v>247</v>
      </c>
      <c r="D138" s="194" t="s">
        <v>539</v>
      </c>
      <c r="E138" s="194" t="s">
        <v>538</v>
      </c>
      <c r="F138" s="200">
        <v>397.4</v>
      </c>
      <c r="G138" s="208">
        <v>398580.42</v>
      </c>
      <c r="H138" s="198">
        <v>0</v>
      </c>
      <c r="I138" s="198">
        <v>0</v>
      </c>
      <c r="J138" s="198">
        <v>0</v>
      </c>
      <c r="K138" s="198">
        <v>0</v>
      </c>
      <c r="L138" s="198">
        <v>0</v>
      </c>
      <c r="M138" s="199">
        <v>0</v>
      </c>
      <c r="N138" s="245">
        <v>0</v>
      </c>
      <c r="O138" s="245">
        <v>0</v>
      </c>
      <c r="P138" s="245">
        <v>0</v>
      </c>
      <c r="Q138" s="245">
        <v>0</v>
      </c>
      <c r="R138" s="245">
        <v>0</v>
      </c>
      <c r="S138" s="245">
        <v>0</v>
      </c>
      <c r="T138" s="199"/>
      <c r="U138" s="241">
        <f t="shared" si="12"/>
        <v>0</v>
      </c>
      <c r="V138" s="240">
        <f t="shared" si="13"/>
        <v>-398580.42</v>
      </c>
      <c r="W138" s="239">
        <f t="shared" si="14"/>
        <v>-1</v>
      </c>
      <c r="X138" s="238" t="str">
        <f t="shared" si="15"/>
        <v/>
      </c>
      <c r="Y138" s="243" t="s">
        <v>840</v>
      </c>
      <c r="Z138" s="244">
        <v>2</v>
      </c>
      <c r="AA138" s="243" t="s">
        <v>832</v>
      </c>
      <c r="AB138" s="243" t="s">
        <v>837</v>
      </c>
      <c r="AC138" s="194" t="s">
        <v>318</v>
      </c>
    </row>
    <row r="139" spans="1:29" x14ac:dyDescent="0.25">
      <c r="A139" s="209" t="str">
        <f t="shared" ref="A139:A172" si="16">RIGHT(D139,LEN(D139)-3)</f>
        <v>316019</v>
      </c>
      <c r="B139" s="196" t="s">
        <v>318</v>
      </c>
      <c r="C139" s="194" t="s">
        <v>247</v>
      </c>
      <c r="D139" s="194" t="s">
        <v>537</v>
      </c>
      <c r="E139" s="194" t="s">
        <v>536</v>
      </c>
      <c r="F139" s="200">
        <v>303</v>
      </c>
      <c r="G139" s="208">
        <v>0</v>
      </c>
      <c r="H139" s="198">
        <v>0</v>
      </c>
      <c r="I139" s="198">
        <v>0</v>
      </c>
      <c r="J139" s="198">
        <v>0</v>
      </c>
      <c r="K139" s="198">
        <v>0</v>
      </c>
      <c r="L139" s="198">
        <v>0</v>
      </c>
      <c r="M139" s="199">
        <v>0</v>
      </c>
      <c r="N139" s="245">
        <v>0</v>
      </c>
      <c r="O139" s="245">
        <v>0</v>
      </c>
      <c r="P139" s="245">
        <v>0</v>
      </c>
      <c r="Q139" s="245">
        <v>0</v>
      </c>
      <c r="R139" s="245">
        <v>0</v>
      </c>
      <c r="S139" s="245">
        <v>0</v>
      </c>
      <c r="T139" s="199"/>
      <c r="U139" s="241">
        <f t="shared" si="12"/>
        <v>0</v>
      </c>
      <c r="V139" s="240">
        <f t="shared" si="13"/>
        <v>0</v>
      </c>
      <c r="W139" s="239" t="str">
        <f t="shared" si="14"/>
        <v>100%</v>
      </c>
      <c r="X139" s="238" t="str">
        <f t="shared" si="15"/>
        <v/>
      </c>
      <c r="Y139" s="243" t="s">
        <v>840</v>
      </c>
      <c r="Z139" s="244">
        <v>8</v>
      </c>
      <c r="AA139" s="243" t="s">
        <v>832</v>
      </c>
      <c r="AB139" s="243" t="s">
        <v>837</v>
      </c>
      <c r="AC139" s="194" t="s">
        <v>318</v>
      </c>
    </row>
    <row r="140" spans="1:29" x14ac:dyDescent="0.25">
      <c r="A140" s="209" t="str">
        <f t="shared" si="16"/>
        <v>316451</v>
      </c>
      <c r="B140" s="196" t="s">
        <v>318</v>
      </c>
      <c r="C140" s="194" t="s">
        <v>247</v>
      </c>
      <c r="D140" s="194" t="s">
        <v>535</v>
      </c>
      <c r="E140" s="194" t="s">
        <v>534</v>
      </c>
      <c r="F140" s="200">
        <v>303</v>
      </c>
      <c r="G140" s="208">
        <v>109304.12705800001</v>
      </c>
      <c r="H140" s="198">
        <v>0</v>
      </c>
      <c r="I140" s="198">
        <v>0</v>
      </c>
      <c r="J140" s="198">
        <v>0</v>
      </c>
      <c r="K140" s="198">
        <v>0</v>
      </c>
      <c r="L140" s="198">
        <v>0</v>
      </c>
      <c r="M140" s="199">
        <v>0</v>
      </c>
      <c r="N140" s="245">
        <v>0</v>
      </c>
      <c r="O140" s="245">
        <v>0</v>
      </c>
      <c r="P140" s="245">
        <v>0</v>
      </c>
      <c r="Q140" s="245">
        <v>0</v>
      </c>
      <c r="R140" s="245">
        <v>0</v>
      </c>
      <c r="S140" s="245">
        <v>0</v>
      </c>
      <c r="T140" s="199"/>
      <c r="U140" s="241">
        <f t="shared" si="12"/>
        <v>0</v>
      </c>
      <c r="V140" s="240">
        <f t="shared" si="13"/>
        <v>-109304.12705800001</v>
      </c>
      <c r="W140" s="239">
        <f t="shared" si="14"/>
        <v>-1</v>
      </c>
      <c r="X140" s="238" t="str">
        <f t="shared" si="15"/>
        <v/>
      </c>
      <c r="Y140" s="243" t="s">
        <v>839</v>
      </c>
      <c r="Z140" s="244">
        <v>1</v>
      </c>
      <c r="AA140" s="243" t="s">
        <v>832</v>
      </c>
      <c r="AB140" s="243" t="s">
        <v>831</v>
      </c>
      <c r="AC140" s="194" t="s">
        <v>318</v>
      </c>
    </row>
    <row r="141" spans="1:29" x14ac:dyDescent="0.25">
      <c r="A141" s="209" t="str">
        <f t="shared" si="16"/>
        <v>324053</v>
      </c>
      <c r="B141" s="196" t="s">
        <v>318</v>
      </c>
      <c r="C141" s="194" t="s">
        <v>247</v>
      </c>
      <c r="D141" s="194" t="s">
        <v>533</v>
      </c>
      <c r="E141" s="194" t="s">
        <v>532</v>
      </c>
      <c r="F141" s="200">
        <v>394.1</v>
      </c>
      <c r="G141" s="208">
        <v>50215</v>
      </c>
      <c r="H141" s="198">
        <v>0</v>
      </c>
      <c r="I141" s="198">
        <v>0</v>
      </c>
      <c r="J141" s="198">
        <v>0</v>
      </c>
      <c r="K141" s="198">
        <v>0</v>
      </c>
      <c r="L141" s="198">
        <v>0</v>
      </c>
      <c r="M141" s="199">
        <v>0</v>
      </c>
      <c r="N141" s="245">
        <v>0</v>
      </c>
      <c r="O141" s="245">
        <v>0</v>
      </c>
      <c r="P141" s="245">
        <v>0</v>
      </c>
      <c r="Q141" s="245">
        <v>0</v>
      </c>
      <c r="R141" s="245">
        <v>0</v>
      </c>
      <c r="S141" s="245">
        <v>0</v>
      </c>
      <c r="T141" s="199"/>
      <c r="U141" s="241">
        <f t="shared" si="12"/>
        <v>0</v>
      </c>
      <c r="V141" s="240">
        <f t="shared" si="13"/>
        <v>-50215</v>
      </c>
      <c r="W141" s="239">
        <f t="shared" si="14"/>
        <v>-1</v>
      </c>
      <c r="X141" s="238" t="str">
        <f t="shared" si="15"/>
        <v/>
      </c>
      <c r="Y141" s="243" t="s">
        <v>839</v>
      </c>
      <c r="Z141" s="244">
        <v>1</v>
      </c>
      <c r="AA141" s="243" t="s">
        <v>832</v>
      </c>
      <c r="AB141" s="243" t="s">
        <v>831</v>
      </c>
      <c r="AC141" s="194" t="s">
        <v>318</v>
      </c>
    </row>
    <row r="142" spans="1:29" x14ac:dyDescent="0.25">
      <c r="A142" s="209" t="str">
        <f t="shared" si="16"/>
        <v>324251</v>
      </c>
      <c r="B142" s="196" t="s">
        <v>318</v>
      </c>
      <c r="C142" s="194" t="s">
        <v>247</v>
      </c>
      <c r="D142" s="194" t="s">
        <v>531</v>
      </c>
      <c r="E142" s="194" t="s">
        <v>530</v>
      </c>
      <c r="F142" s="200">
        <v>398</v>
      </c>
      <c r="G142" s="208">
        <v>2008.6000000000001</v>
      </c>
      <c r="H142" s="198">
        <v>0</v>
      </c>
      <c r="I142" s="198">
        <v>0</v>
      </c>
      <c r="J142" s="198">
        <v>0</v>
      </c>
      <c r="K142" s="198">
        <v>0</v>
      </c>
      <c r="L142" s="198">
        <v>0</v>
      </c>
      <c r="M142" s="199">
        <v>0</v>
      </c>
      <c r="N142" s="245">
        <v>0</v>
      </c>
      <c r="O142" s="245">
        <v>0</v>
      </c>
      <c r="P142" s="245">
        <v>0</v>
      </c>
      <c r="Q142" s="245">
        <v>0</v>
      </c>
      <c r="R142" s="245">
        <v>0</v>
      </c>
      <c r="S142" s="245">
        <v>0</v>
      </c>
      <c r="T142" s="199"/>
      <c r="U142" s="241">
        <f t="shared" si="12"/>
        <v>0</v>
      </c>
      <c r="V142" s="240">
        <f t="shared" si="13"/>
        <v>-2008.6000000000001</v>
      </c>
      <c r="W142" s="239">
        <f t="shared" si="14"/>
        <v>-1</v>
      </c>
      <c r="X142" s="238" t="str">
        <f t="shared" si="15"/>
        <v/>
      </c>
      <c r="Y142" s="243" t="s">
        <v>839</v>
      </c>
      <c r="Z142" s="244">
        <v>1</v>
      </c>
      <c r="AA142" s="243" t="s">
        <v>832</v>
      </c>
      <c r="AB142" s="243" t="s">
        <v>831</v>
      </c>
      <c r="AC142" s="194" t="s">
        <v>318</v>
      </c>
    </row>
    <row r="143" spans="1:29" x14ac:dyDescent="0.25">
      <c r="A143" s="209" t="str">
        <f t="shared" si="16"/>
        <v>324253</v>
      </c>
      <c r="B143" s="196" t="s">
        <v>318</v>
      </c>
      <c r="C143" s="194" t="s">
        <v>247</v>
      </c>
      <c r="D143" s="194" t="s">
        <v>529</v>
      </c>
      <c r="E143" s="194" t="s">
        <v>528</v>
      </c>
      <c r="F143" s="200">
        <v>394.1</v>
      </c>
      <c r="G143" s="208">
        <v>10043</v>
      </c>
      <c r="H143" s="198">
        <v>0</v>
      </c>
      <c r="I143" s="198">
        <v>0</v>
      </c>
      <c r="J143" s="198">
        <v>0</v>
      </c>
      <c r="K143" s="198">
        <v>0</v>
      </c>
      <c r="L143" s="198">
        <v>0</v>
      </c>
      <c r="M143" s="199">
        <v>0</v>
      </c>
      <c r="N143" s="245">
        <v>0</v>
      </c>
      <c r="O143" s="245">
        <v>0</v>
      </c>
      <c r="P143" s="245">
        <v>0</v>
      </c>
      <c r="Q143" s="245">
        <v>0</v>
      </c>
      <c r="R143" s="245">
        <v>0</v>
      </c>
      <c r="S143" s="245">
        <v>0</v>
      </c>
      <c r="T143" s="199"/>
      <c r="U143" s="241">
        <f t="shared" si="12"/>
        <v>0</v>
      </c>
      <c r="V143" s="240">
        <f t="shared" si="13"/>
        <v>-10043</v>
      </c>
      <c r="W143" s="239">
        <f t="shared" si="14"/>
        <v>-1</v>
      </c>
      <c r="X143" s="238" t="str">
        <f t="shared" si="15"/>
        <v/>
      </c>
      <c r="Y143" s="243" t="s">
        <v>839</v>
      </c>
      <c r="Z143" s="244">
        <v>1</v>
      </c>
      <c r="AA143" s="243" t="s">
        <v>832</v>
      </c>
      <c r="AB143" s="243" t="s">
        <v>831</v>
      </c>
      <c r="AC143" s="194" t="s">
        <v>318</v>
      </c>
    </row>
    <row r="144" spans="1:29" x14ac:dyDescent="0.25">
      <c r="A144" s="209" t="str">
        <f t="shared" si="16"/>
        <v>322468</v>
      </c>
      <c r="B144" s="196" t="s">
        <v>318</v>
      </c>
      <c r="C144" s="194" t="s">
        <v>133</v>
      </c>
      <c r="D144" s="194" t="s">
        <v>527</v>
      </c>
      <c r="E144" s="194" t="s">
        <v>526</v>
      </c>
      <c r="F144" s="200">
        <v>394.1</v>
      </c>
      <c r="G144" s="208">
        <v>16755.97</v>
      </c>
      <c r="H144" s="198">
        <v>0</v>
      </c>
      <c r="I144" s="198">
        <v>0</v>
      </c>
      <c r="J144" s="198">
        <v>0</v>
      </c>
      <c r="K144" s="198">
        <v>0</v>
      </c>
      <c r="L144" s="198">
        <v>0</v>
      </c>
      <c r="M144" s="199">
        <v>0</v>
      </c>
      <c r="N144" s="245">
        <v>0</v>
      </c>
      <c r="O144" s="245">
        <v>0</v>
      </c>
      <c r="P144" s="245">
        <v>0</v>
      </c>
      <c r="Q144" s="245">
        <v>0</v>
      </c>
      <c r="R144" s="245">
        <v>0</v>
      </c>
      <c r="S144" s="245">
        <v>0</v>
      </c>
      <c r="T144" s="199"/>
      <c r="U144" s="241">
        <f t="shared" si="12"/>
        <v>0</v>
      </c>
      <c r="V144" s="240">
        <f t="shared" si="13"/>
        <v>-16755.97</v>
      </c>
      <c r="W144" s="239">
        <f t="shared" si="14"/>
        <v>-1</v>
      </c>
      <c r="X144" s="238" t="str">
        <f t="shared" si="15"/>
        <v/>
      </c>
      <c r="Y144" s="243" t="s">
        <v>835</v>
      </c>
      <c r="Z144" s="244">
        <v>13</v>
      </c>
      <c r="AA144" s="243" t="s">
        <v>836</v>
      </c>
      <c r="AB144" s="243" t="s">
        <v>831</v>
      </c>
      <c r="AC144" s="194" t="s">
        <v>318</v>
      </c>
    </row>
    <row r="145" spans="1:29" x14ac:dyDescent="0.25">
      <c r="A145" s="209" t="str">
        <f t="shared" si="16"/>
        <v>322488</v>
      </c>
      <c r="B145" s="196" t="s">
        <v>318</v>
      </c>
      <c r="C145" s="194" t="s">
        <v>133</v>
      </c>
      <c r="D145" s="194" t="s">
        <v>525</v>
      </c>
      <c r="E145" s="194" t="s">
        <v>524</v>
      </c>
      <c r="F145" s="200">
        <v>394.1</v>
      </c>
      <c r="G145" s="208">
        <v>3970.1</v>
      </c>
      <c r="H145" s="198">
        <v>0</v>
      </c>
      <c r="I145" s="198">
        <v>0</v>
      </c>
      <c r="J145" s="198">
        <v>0</v>
      </c>
      <c r="K145" s="198">
        <v>0</v>
      </c>
      <c r="L145" s="198">
        <v>0</v>
      </c>
      <c r="M145" s="199">
        <v>0</v>
      </c>
      <c r="N145" s="245">
        <v>0</v>
      </c>
      <c r="O145" s="245">
        <v>0</v>
      </c>
      <c r="P145" s="245">
        <v>0</v>
      </c>
      <c r="Q145" s="245">
        <v>0</v>
      </c>
      <c r="R145" s="245">
        <v>0</v>
      </c>
      <c r="S145" s="245">
        <v>0</v>
      </c>
      <c r="T145" s="199"/>
      <c r="U145" s="241">
        <f t="shared" si="12"/>
        <v>0</v>
      </c>
      <c r="V145" s="240">
        <f t="shared" si="13"/>
        <v>-3970.1</v>
      </c>
      <c r="W145" s="239">
        <f t="shared" si="14"/>
        <v>-1</v>
      </c>
      <c r="X145" s="238" t="str">
        <f t="shared" si="15"/>
        <v/>
      </c>
      <c r="Y145" s="243" t="s">
        <v>835</v>
      </c>
      <c r="Z145" s="244">
        <v>13</v>
      </c>
      <c r="AA145" s="243" t="s">
        <v>836</v>
      </c>
      <c r="AB145" s="243" t="s">
        <v>831</v>
      </c>
      <c r="AC145" s="194" t="s">
        <v>318</v>
      </c>
    </row>
    <row r="146" spans="1:29" x14ac:dyDescent="0.25">
      <c r="A146" s="209" t="str">
        <f t="shared" si="16"/>
        <v>322580</v>
      </c>
      <c r="B146" s="196" t="s">
        <v>318</v>
      </c>
      <c r="C146" s="194" t="s">
        <v>133</v>
      </c>
      <c r="D146" s="194" t="s">
        <v>523</v>
      </c>
      <c r="E146" s="194" t="s">
        <v>522</v>
      </c>
      <c r="F146" s="200">
        <v>394.1</v>
      </c>
      <c r="G146" s="208">
        <v>10597.83</v>
      </c>
      <c r="H146" s="198">
        <v>0</v>
      </c>
      <c r="I146" s="198">
        <v>0</v>
      </c>
      <c r="J146" s="198">
        <v>0</v>
      </c>
      <c r="K146" s="198">
        <v>0</v>
      </c>
      <c r="L146" s="198">
        <v>0</v>
      </c>
      <c r="M146" s="199">
        <v>0</v>
      </c>
      <c r="N146" s="245">
        <v>0</v>
      </c>
      <c r="O146" s="245">
        <v>0</v>
      </c>
      <c r="P146" s="245">
        <v>0</v>
      </c>
      <c r="Q146" s="245">
        <v>0</v>
      </c>
      <c r="R146" s="245">
        <v>0</v>
      </c>
      <c r="S146" s="245">
        <v>0</v>
      </c>
      <c r="T146" s="199"/>
      <c r="U146" s="241">
        <f t="shared" si="12"/>
        <v>0</v>
      </c>
      <c r="V146" s="240">
        <f t="shared" si="13"/>
        <v>-10597.83</v>
      </c>
      <c r="W146" s="239">
        <f t="shared" si="14"/>
        <v>-1</v>
      </c>
      <c r="X146" s="238" t="str">
        <f t="shared" si="15"/>
        <v/>
      </c>
      <c r="Y146" s="243" t="s">
        <v>835</v>
      </c>
      <c r="Z146" s="244">
        <v>13</v>
      </c>
      <c r="AA146" s="243" t="s">
        <v>836</v>
      </c>
      <c r="AB146" s="243" t="s">
        <v>831</v>
      </c>
      <c r="AC146" s="194" t="s">
        <v>318</v>
      </c>
    </row>
    <row r="147" spans="1:29" x14ac:dyDescent="0.25">
      <c r="A147" s="209" t="str">
        <f t="shared" si="16"/>
        <v>322655</v>
      </c>
      <c r="B147" s="196" t="s">
        <v>318</v>
      </c>
      <c r="C147" s="194" t="s">
        <v>133</v>
      </c>
      <c r="D147" s="194" t="s">
        <v>521</v>
      </c>
      <c r="E147" s="194" t="s">
        <v>520</v>
      </c>
      <c r="F147" s="200">
        <v>394.1</v>
      </c>
      <c r="G147" s="208">
        <v>20141.350000000002</v>
      </c>
      <c r="H147" s="198">
        <v>0</v>
      </c>
      <c r="I147" s="198">
        <v>0</v>
      </c>
      <c r="J147" s="198">
        <v>0</v>
      </c>
      <c r="K147" s="198">
        <v>0</v>
      </c>
      <c r="L147" s="198">
        <v>0</v>
      </c>
      <c r="M147" s="199">
        <v>0</v>
      </c>
      <c r="N147" s="245">
        <v>0</v>
      </c>
      <c r="O147" s="245">
        <v>0</v>
      </c>
      <c r="P147" s="245">
        <v>0</v>
      </c>
      <c r="Q147" s="245">
        <v>0</v>
      </c>
      <c r="R147" s="245">
        <v>0</v>
      </c>
      <c r="S147" s="245">
        <v>0</v>
      </c>
      <c r="T147" s="199"/>
      <c r="U147" s="241">
        <f t="shared" si="12"/>
        <v>0</v>
      </c>
      <c r="V147" s="240">
        <f t="shared" si="13"/>
        <v>-20141.350000000002</v>
      </c>
      <c r="W147" s="239">
        <f t="shared" si="14"/>
        <v>-1</v>
      </c>
      <c r="X147" s="238" t="str">
        <f t="shared" si="15"/>
        <v/>
      </c>
      <c r="Y147" s="243" t="s">
        <v>835</v>
      </c>
      <c r="Z147" s="244">
        <v>13</v>
      </c>
      <c r="AA147" s="243" t="s">
        <v>836</v>
      </c>
      <c r="AB147" s="243" t="s">
        <v>831</v>
      </c>
      <c r="AC147" s="194" t="s">
        <v>318</v>
      </c>
    </row>
    <row r="148" spans="1:29" x14ac:dyDescent="0.25">
      <c r="A148" s="209" t="str">
        <f t="shared" si="16"/>
        <v>323791</v>
      </c>
      <c r="B148" s="196" t="s">
        <v>318</v>
      </c>
      <c r="C148" s="194" t="s">
        <v>133</v>
      </c>
      <c r="D148" s="194" t="s">
        <v>519</v>
      </c>
      <c r="E148" s="194" t="s">
        <v>518</v>
      </c>
      <c r="F148" s="200">
        <v>394.1</v>
      </c>
      <c r="G148" s="208">
        <v>12729.9</v>
      </c>
      <c r="H148" s="198">
        <v>0</v>
      </c>
      <c r="I148" s="198">
        <v>0</v>
      </c>
      <c r="J148" s="198">
        <v>0</v>
      </c>
      <c r="K148" s="198">
        <v>0</v>
      </c>
      <c r="L148" s="198">
        <v>0</v>
      </c>
      <c r="M148" s="199">
        <v>0</v>
      </c>
      <c r="N148" s="245">
        <v>0</v>
      </c>
      <c r="O148" s="245">
        <v>0</v>
      </c>
      <c r="P148" s="245">
        <v>0</v>
      </c>
      <c r="Q148" s="245">
        <v>0</v>
      </c>
      <c r="R148" s="245">
        <v>0</v>
      </c>
      <c r="S148" s="245">
        <v>0</v>
      </c>
      <c r="T148" s="199"/>
      <c r="U148" s="241">
        <f t="shared" si="12"/>
        <v>0</v>
      </c>
      <c r="V148" s="240">
        <f t="shared" si="13"/>
        <v>-12729.9</v>
      </c>
      <c r="W148" s="239">
        <f t="shared" si="14"/>
        <v>-1</v>
      </c>
      <c r="X148" s="238" t="str">
        <f t="shared" si="15"/>
        <v/>
      </c>
      <c r="Y148" s="243" t="s">
        <v>835</v>
      </c>
      <c r="Z148" s="244">
        <v>13</v>
      </c>
      <c r="AA148" s="243" t="s">
        <v>836</v>
      </c>
      <c r="AB148" s="243" t="s">
        <v>831</v>
      </c>
      <c r="AC148" s="194" t="s">
        <v>318</v>
      </c>
    </row>
    <row r="149" spans="1:29" x14ac:dyDescent="0.25">
      <c r="A149" s="209" t="str">
        <f t="shared" si="16"/>
        <v>323917</v>
      </c>
      <c r="B149" s="196" t="s">
        <v>318</v>
      </c>
      <c r="C149" s="194" t="s">
        <v>133</v>
      </c>
      <c r="D149" s="194" t="s">
        <v>517</v>
      </c>
      <c r="E149" s="194" t="s">
        <v>516</v>
      </c>
      <c r="F149" s="200">
        <v>394.1</v>
      </c>
      <c r="G149" s="208">
        <v>1592.8</v>
      </c>
      <c r="H149" s="198">
        <v>0</v>
      </c>
      <c r="I149" s="198">
        <v>0</v>
      </c>
      <c r="J149" s="198">
        <v>0</v>
      </c>
      <c r="K149" s="198">
        <v>0</v>
      </c>
      <c r="L149" s="198">
        <v>0</v>
      </c>
      <c r="M149" s="199">
        <v>0</v>
      </c>
      <c r="N149" s="245">
        <v>0</v>
      </c>
      <c r="O149" s="245">
        <v>0</v>
      </c>
      <c r="P149" s="245">
        <v>0</v>
      </c>
      <c r="Q149" s="245">
        <v>0</v>
      </c>
      <c r="R149" s="245">
        <v>0</v>
      </c>
      <c r="S149" s="245">
        <v>0</v>
      </c>
      <c r="T149" s="199"/>
      <c r="U149" s="241">
        <f t="shared" si="12"/>
        <v>0</v>
      </c>
      <c r="V149" s="240">
        <f t="shared" si="13"/>
        <v>-1592.8</v>
      </c>
      <c r="W149" s="239">
        <f t="shared" si="14"/>
        <v>-1</v>
      </c>
      <c r="X149" s="238" t="str">
        <f t="shared" si="15"/>
        <v/>
      </c>
      <c r="Y149" s="243" t="s">
        <v>835</v>
      </c>
      <c r="Z149" s="244">
        <v>13</v>
      </c>
      <c r="AA149" s="243" t="s">
        <v>836</v>
      </c>
      <c r="AB149" s="243" t="s">
        <v>831</v>
      </c>
      <c r="AC149" s="194" t="s">
        <v>318</v>
      </c>
    </row>
    <row r="150" spans="1:29" x14ac:dyDescent="0.25">
      <c r="A150" s="209" t="str">
        <f t="shared" si="16"/>
        <v>323918</v>
      </c>
      <c r="B150" s="196" t="s">
        <v>318</v>
      </c>
      <c r="C150" s="194" t="s">
        <v>133</v>
      </c>
      <c r="D150" s="194" t="s">
        <v>515</v>
      </c>
      <c r="E150" s="194" t="s">
        <v>514</v>
      </c>
      <c r="F150" s="200">
        <v>394.1</v>
      </c>
      <c r="G150" s="208">
        <v>10082.290000000001</v>
      </c>
      <c r="H150" s="198">
        <v>0</v>
      </c>
      <c r="I150" s="198">
        <v>0</v>
      </c>
      <c r="J150" s="198">
        <v>0</v>
      </c>
      <c r="K150" s="198">
        <v>0</v>
      </c>
      <c r="L150" s="198">
        <v>0</v>
      </c>
      <c r="M150" s="199">
        <v>0</v>
      </c>
      <c r="N150" s="245">
        <v>0</v>
      </c>
      <c r="O150" s="245">
        <v>0</v>
      </c>
      <c r="P150" s="245">
        <v>0</v>
      </c>
      <c r="Q150" s="245">
        <v>0</v>
      </c>
      <c r="R150" s="245">
        <v>0</v>
      </c>
      <c r="S150" s="245">
        <v>0</v>
      </c>
      <c r="T150" s="199"/>
      <c r="U150" s="241">
        <f t="shared" si="12"/>
        <v>0</v>
      </c>
      <c r="V150" s="240">
        <f t="shared" si="13"/>
        <v>-10082.290000000001</v>
      </c>
      <c r="W150" s="239">
        <f t="shared" si="14"/>
        <v>-1</v>
      </c>
      <c r="X150" s="238" t="str">
        <f t="shared" si="15"/>
        <v/>
      </c>
      <c r="Y150" s="243" t="s">
        <v>835</v>
      </c>
      <c r="Z150" s="244">
        <v>13</v>
      </c>
      <c r="AA150" s="243" t="s">
        <v>836</v>
      </c>
      <c r="AB150" s="243" t="s">
        <v>831</v>
      </c>
      <c r="AC150" s="194" t="s">
        <v>318</v>
      </c>
    </row>
    <row r="151" spans="1:29" x14ac:dyDescent="0.25">
      <c r="A151" s="209" t="str">
        <f t="shared" si="16"/>
        <v>323951</v>
      </c>
      <c r="B151" s="196" t="s">
        <v>318</v>
      </c>
      <c r="C151" s="194" t="s">
        <v>133</v>
      </c>
      <c r="D151" s="194" t="s">
        <v>513</v>
      </c>
      <c r="E151" s="194" t="s">
        <v>472</v>
      </c>
      <c r="F151" s="200">
        <v>394.1</v>
      </c>
      <c r="G151" s="208">
        <v>32137.600000000002</v>
      </c>
      <c r="H151" s="198">
        <v>0</v>
      </c>
      <c r="I151" s="198">
        <v>0</v>
      </c>
      <c r="J151" s="198">
        <v>0</v>
      </c>
      <c r="K151" s="198">
        <v>0</v>
      </c>
      <c r="L151" s="198">
        <v>0</v>
      </c>
      <c r="M151" s="199">
        <v>37850.03</v>
      </c>
      <c r="N151" s="245">
        <v>0</v>
      </c>
      <c r="O151" s="245">
        <v>0</v>
      </c>
      <c r="P151" s="245">
        <v>0</v>
      </c>
      <c r="Q151" s="245">
        <v>0</v>
      </c>
      <c r="R151" s="245">
        <v>0</v>
      </c>
      <c r="S151" s="245">
        <v>0</v>
      </c>
      <c r="T151" s="199"/>
      <c r="U151" s="241">
        <f t="shared" si="12"/>
        <v>37850.03</v>
      </c>
      <c r="V151" s="240">
        <f t="shared" si="13"/>
        <v>5712.4299999999967</v>
      </c>
      <c r="W151" s="239">
        <f t="shared" si="14"/>
        <v>0.17774911629991028</v>
      </c>
      <c r="X151" s="238" t="str">
        <f t="shared" si="15"/>
        <v/>
      </c>
      <c r="Y151" s="243" t="s">
        <v>835</v>
      </c>
      <c r="Z151" s="244">
        <v>13</v>
      </c>
      <c r="AA151" s="243" t="s">
        <v>836</v>
      </c>
      <c r="AB151" s="243" t="s">
        <v>831</v>
      </c>
      <c r="AC151" s="194" t="s">
        <v>318</v>
      </c>
    </row>
    <row r="152" spans="1:29" x14ac:dyDescent="0.25">
      <c r="A152" s="209" t="str">
        <f t="shared" si="16"/>
        <v>324015</v>
      </c>
      <c r="B152" s="196" t="s">
        <v>318</v>
      </c>
      <c r="C152" s="194" t="s">
        <v>133</v>
      </c>
      <c r="D152" s="194" t="s">
        <v>512</v>
      </c>
      <c r="E152" s="194" t="s">
        <v>511</v>
      </c>
      <c r="F152" s="200">
        <v>394.1</v>
      </c>
      <c r="G152" s="208">
        <v>3439.73</v>
      </c>
      <c r="H152" s="198">
        <v>0</v>
      </c>
      <c r="I152" s="198">
        <v>0</v>
      </c>
      <c r="J152" s="198">
        <v>0</v>
      </c>
      <c r="K152" s="198">
        <v>0</v>
      </c>
      <c r="L152" s="198">
        <v>0</v>
      </c>
      <c r="M152" s="199">
        <v>0</v>
      </c>
      <c r="N152" s="245">
        <v>0</v>
      </c>
      <c r="O152" s="245">
        <v>0</v>
      </c>
      <c r="P152" s="245">
        <v>0</v>
      </c>
      <c r="Q152" s="245">
        <v>0</v>
      </c>
      <c r="R152" s="245">
        <v>0</v>
      </c>
      <c r="S152" s="245">
        <v>0</v>
      </c>
      <c r="T152" s="199"/>
      <c r="U152" s="241">
        <f t="shared" si="12"/>
        <v>0</v>
      </c>
      <c r="V152" s="240">
        <f t="shared" si="13"/>
        <v>-3439.73</v>
      </c>
      <c r="W152" s="239">
        <f t="shared" si="14"/>
        <v>-1</v>
      </c>
      <c r="X152" s="238" t="str">
        <f t="shared" si="15"/>
        <v/>
      </c>
      <c r="Y152" s="243" t="s">
        <v>835</v>
      </c>
      <c r="Z152" s="244">
        <v>13</v>
      </c>
      <c r="AA152" s="243" t="s">
        <v>836</v>
      </c>
      <c r="AB152" s="243" t="s">
        <v>831</v>
      </c>
      <c r="AC152" s="194" t="s">
        <v>318</v>
      </c>
    </row>
    <row r="153" spans="1:29" x14ac:dyDescent="0.25">
      <c r="A153" s="209" t="str">
        <f t="shared" si="16"/>
        <v>324018</v>
      </c>
      <c r="B153" s="196" t="s">
        <v>318</v>
      </c>
      <c r="C153" s="194" t="s">
        <v>133</v>
      </c>
      <c r="D153" s="194" t="s">
        <v>510</v>
      </c>
      <c r="E153" s="194" t="s">
        <v>509</v>
      </c>
      <c r="F153" s="200">
        <v>394.1</v>
      </c>
      <c r="G153" s="208">
        <v>7532.25</v>
      </c>
      <c r="H153" s="198">
        <v>0</v>
      </c>
      <c r="I153" s="198">
        <v>0</v>
      </c>
      <c r="J153" s="198">
        <v>0</v>
      </c>
      <c r="K153" s="198">
        <v>0</v>
      </c>
      <c r="L153" s="198">
        <v>0</v>
      </c>
      <c r="M153" s="199">
        <v>0</v>
      </c>
      <c r="N153" s="245">
        <v>0</v>
      </c>
      <c r="O153" s="245">
        <v>0</v>
      </c>
      <c r="P153" s="245">
        <v>0</v>
      </c>
      <c r="Q153" s="245">
        <v>0</v>
      </c>
      <c r="R153" s="245">
        <v>0</v>
      </c>
      <c r="S153" s="245">
        <v>0</v>
      </c>
      <c r="T153" s="199"/>
      <c r="U153" s="241">
        <f t="shared" si="12"/>
        <v>0</v>
      </c>
      <c r="V153" s="240">
        <f t="shared" si="13"/>
        <v>-7532.25</v>
      </c>
      <c r="W153" s="239">
        <f t="shared" si="14"/>
        <v>-1</v>
      </c>
      <c r="X153" s="238" t="str">
        <f t="shared" si="15"/>
        <v/>
      </c>
      <c r="Y153" s="243" t="s">
        <v>835</v>
      </c>
      <c r="Z153" s="244">
        <v>13</v>
      </c>
      <c r="AA153" s="243" t="s">
        <v>836</v>
      </c>
      <c r="AB153" s="243" t="s">
        <v>831</v>
      </c>
      <c r="AC153" s="194" t="s">
        <v>318</v>
      </c>
    </row>
    <row r="154" spans="1:29" x14ac:dyDescent="0.25">
      <c r="A154" s="209" t="str">
        <f t="shared" si="16"/>
        <v>324134</v>
      </c>
      <c r="B154" s="196" t="s">
        <v>318</v>
      </c>
      <c r="C154" s="194" t="s">
        <v>133</v>
      </c>
      <c r="D154" s="194" t="s">
        <v>508</v>
      </c>
      <c r="E154" s="194" t="s">
        <v>507</v>
      </c>
      <c r="F154" s="200">
        <v>394.1</v>
      </c>
      <c r="G154" s="208">
        <v>4017.2000000000003</v>
      </c>
      <c r="H154" s="198">
        <v>0</v>
      </c>
      <c r="I154" s="198">
        <v>0</v>
      </c>
      <c r="J154" s="198">
        <v>0</v>
      </c>
      <c r="K154" s="198">
        <v>0</v>
      </c>
      <c r="L154" s="198">
        <v>0</v>
      </c>
      <c r="M154" s="199">
        <v>3568.77</v>
      </c>
      <c r="N154" s="245">
        <v>0</v>
      </c>
      <c r="O154" s="245">
        <v>0</v>
      </c>
      <c r="P154" s="245">
        <v>0</v>
      </c>
      <c r="Q154" s="245">
        <v>0</v>
      </c>
      <c r="R154" s="245">
        <v>0</v>
      </c>
      <c r="S154" s="245">
        <v>0</v>
      </c>
      <c r="T154" s="199"/>
      <c r="U154" s="241">
        <f t="shared" si="12"/>
        <v>3568.77</v>
      </c>
      <c r="V154" s="240">
        <f t="shared" si="13"/>
        <v>-448.43000000000029</v>
      </c>
      <c r="W154" s="239">
        <f t="shared" si="14"/>
        <v>-0.11162750174250728</v>
      </c>
      <c r="X154" s="238" t="str">
        <f t="shared" si="15"/>
        <v/>
      </c>
      <c r="Y154" s="243" t="s">
        <v>835</v>
      </c>
      <c r="Z154" s="244">
        <v>13</v>
      </c>
      <c r="AA154" s="243" t="s">
        <v>836</v>
      </c>
      <c r="AB154" s="243" t="s">
        <v>831</v>
      </c>
      <c r="AC154" s="194" t="s">
        <v>318</v>
      </c>
    </row>
    <row r="155" spans="1:29" x14ac:dyDescent="0.25">
      <c r="A155" s="209" t="str">
        <f t="shared" si="16"/>
        <v>324146</v>
      </c>
      <c r="B155" s="196" t="s">
        <v>318</v>
      </c>
      <c r="C155" s="194" t="s">
        <v>133</v>
      </c>
      <c r="D155" s="194" t="s">
        <v>506</v>
      </c>
      <c r="E155" s="194" t="s">
        <v>505</v>
      </c>
      <c r="F155" s="200">
        <v>394.1</v>
      </c>
      <c r="G155" s="208">
        <v>2510.75</v>
      </c>
      <c r="H155" s="198">
        <v>0</v>
      </c>
      <c r="I155" s="198">
        <v>2813.88</v>
      </c>
      <c r="J155" s="198">
        <v>0</v>
      </c>
      <c r="K155" s="198">
        <v>0</v>
      </c>
      <c r="L155" s="198">
        <v>0</v>
      </c>
      <c r="M155" s="199">
        <v>0</v>
      </c>
      <c r="N155" s="245">
        <v>0</v>
      </c>
      <c r="O155" s="245">
        <v>0</v>
      </c>
      <c r="P155" s="245">
        <v>0</v>
      </c>
      <c r="Q155" s="245">
        <v>0</v>
      </c>
      <c r="R155" s="245">
        <v>0</v>
      </c>
      <c r="S155" s="245">
        <v>0</v>
      </c>
      <c r="T155" s="199"/>
      <c r="U155" s="241">
        <f t="shared" si="12"/>
        <v>2813.88</v>
      </c>
      <c r="V155" s="240">
        <f t="shared" si="13"/>
        <v>303.13000000000011</v>
      </c>
      <c r="W155" s="239">
        <f t="shared" si="14"/>
        <v>0.12073284875037343</v>
      </c>
      <c r="X155" s="238" t="str">
        <f t="shared" si="15"/>
        <v/>
      </c>
      <c r="Y155" s="243" t="s">
        <v>835</v>
      </c>
      <c r="Z155" s="244">
        <v>13</v>
      </c>
      <c r="AA155" s="243" t="s">
        <v>836</v>
      </c>
      <c r="AB155" s="243" t="s">
        <v>831</v>
      </c>
      <c r="AC155" s="194" t="s">
        <v>318</v>
      </c>
    </row>
    <row r="156" spans="1:29" x14ac:dyDescent="0.25">
      <c r="A156" s="209" t="str">
        <f t="shared" si="16"/>
        <v>324503</v>
      </c>
      <c r="B156" s="196" t="s">
        <v>318</v>
      </c>
      <c r="C156" s="194" t="s">
        <v>133</v>
      </c>
      <c r="D156" s="194" t="s">
        <v>504</v>
      </c>
      <c r="E156" s="194" t="s">
        <v>503</v>
      </c>
      <c r="F156" s="200">
        <v>394.1</v>
      </c>
      <c r="G156" s="208">
        <v>6527.95</v>
      </c>
      <c r="H156" s="198">
        <v>0</v>
      </c>
      <c r="I156" s="198">
        <v>0</v>
      </c>
      <c r="J156" s="198">
        <v>0</v>
      </c>
      <c r="K156" s="198">
        <v>0</v>
      </c>
      <c r="L156" s="198">
        <v>0</v>
      </c>
      <c r="M156" s="199">
        <v>7021.09</v>
      </c>
      <c r="N156" s="245">
        <v>0</v>
      </c>
      <c r="O156" s="245">
        <v>0</v>
      </c>
      <c r="P156" s="245">
        <v>0</v>
      </c>
      <c r="Q156" s="245">
        <v>0</v>
      </c>
      <c r="R156" s="245">
        <v>0</v>
      </c>
      <c r="S156" s="245">
        <v>0</v>
      </c>
      <c r="T156" s="199"/>
      <c r="U156" s="241">
        <f t="shared" si="12"/>
        <v>7021.09</v>
      </c>
      <c r="V156" s="240">
        <f t="shared" si="13"/>
        <v>493.14000000000033</v>
      </c>
      <c r="W156" s="239">
        <f t="shared" si="14"/>
        <v>7.5542858018214046E-2</v>
      </c>
      <c r="X156" s="238" t="str">
        <f t="shared" si="15"/>
        <v/>
      </c>
      <c r="Y156" s="243" t="s">
        <v>835</v>
      </c>
      <c r="Z156" s="244">
        <v>13</v>
      </c>
      <c r="AA156" s="243" t="s">
        <v>836</v>
      </c>
      <c r="AB156" s="243" t="s">
        <v>831</v>
      </c>
      <c r="AC156" s="194" t="s">
        <v>318</v>
      </c>
    </row>
    <row r="157" spans="1:29" x14ac:dyDescent="0.25">
      <c r="A157" s="209" t="str">
        <f t="shared" si="16"/>
        <v>324524</v>
      </c>
      <c r="B157" s="196" t="s">
        <v>318</v>
      </c>
      <c r="C157" s="194" t="s">
        <v>133</v>
      </c>
      <c r="D157" s="194" t="s">
        <v>502</v>
      </c>
      <c r="E157" s="194" t="s">
        <v>501</v>
      </c>
      <c r="F157" s="200">
        <v>394.1</v>
      </c>
      <c r="G157" s="208">
        <v>4017.2000000000003</v>
      </c>
      <c r="H157" s="198">
        <v>0</v>
      </c>
      <c r="I157" s="198">
        <v>0</v>
      </c>
      <c r="J157" s="198">
        <v>0</v>
      </c>
      <c r="K157" s="198">
        <v>0</v>
      </c>
      <c r="L157" s="198">
        <v>0</v>
      </c>
      <c r="M157" s="199">
        <v>3539.3</v>
      </c>
      <c r="N157" s="245">
        <v>0</v>
      </c>
      <c r="O157" s="245">
        <v>0</v>
      </c>
      <c r="P157" s="245">
        <v>0</v>
      </c>
      <c r="Q157" s="245">
        <v>0</v>
      </c>
      <c r="R157" s="245">
        <v>0</v>
      </c>
      <c r="S157" s="245">
        <v>0</v>
      </c>
      <c r="T157" s="199"/>
      <c r="U157" s="241">
        <f t="shared" si="12"/>
        <v>3539.3</v>
      </c>
      <c r="V157" s="240">
        <f t="shared" si="13"/>
        <v>-477.90000000000009</v>
      </c>
      <c r="W157" s="239">
        <f t="shared" si="14"/>
        <v>-0.11896345713432242</v>
      </c>
      <c r="X157" s="238" t="str">
        <f t="shared" si="15"/>
        <v/>
      </c>
      <c r="Y157" s="243" t="s">
        <v>835</v>
      </c>
      <c r="Z157" s="244">
        <v>13</v>
      </c>
      <c r="AA157" s="243" t="s">
        <v>836</v>
      </c>
      <c r="AB157" s="243" t="s">
        <v>831</v>
      </c>
      <c r="AC157" s="194" t="s">
        <v>318</v>
      </c>
    </row>
    <row r="158" spans="1:29" x14ac:dyDescent="0.25">
      <c r="A158" s="209" t="str">
        <f t="shared" si="16"/>
        <v>324527</v>
      </c>
      <c r="B158" s="196" t="s">
        <v>318</v>
      </c>
      <c r="C158" s="194" t="s">
        <v>133</v>
      </c>
      <c r="D158" s="194" t="s">
        <v>500</v>
      </c>
      <c r="E158" s="194" t="s">
        <v>499</v>
      </c>
      <c r="F158" s="200">
        <v>394.1</v>
      </c>
      <c r="G158" s="208">
        <v>4017.2000000000003</v>
      </c>
      <c r="H158" s="198">
        <v>0</v>
      </c>
      <c r="I158" s="198">
        <v>0</v>
      </c>
      <c r="J158" s="198">
        <v>0</v>
      </c>
      <c r="K158" s="198">
        <v>0</v>
      </c>
      <c r="L158" s="198">
        <v>0</v>
      </c>
      <c r="M158" s="199">
        <v>3565.4900000000002</v>
      </c>
      <c r="N158" s="245">
        <v>0</v>
      </c>
      <c r="O158" s="245">
        <v>0</v>
      </c>
      <c r="P158" s="245">
        <v>0</v>
      </c>
      <c r="Q158" s="245">
        <v>0</v>
      </c>
      <c r="R158" s="245">
        <v>0</v>
      </c>
      <c r="S158" s="245">
        <v>0</v>
      </c>
      <c r="T158" s="199"/>
      <c r="U158" s="241">
        <f t="shared" si="12"/>
        <v>3565.4900000000002</v>
      </c>
      <c r="V158" s="240">
        <f t="shared" si="13"/>
        <v>-451.71000000000004</v>
      </c>
      <c r="W158" s="239">
        <f t="shared" si="14"/>
        <v>-0.11244399083939062</v>
      </c>
      <c r="X158" s="238" t="str">
        <f t="shared" si="15"/>
        <v/>
      </c>
      <c r="Y158" s="243" t="s">
        <v>835</v>
      </c>
      <c r="Z158" s="244">
        <v>13</v>
      </c>
      <c r="AA158" s="243" t="s">
        <v>836</v>
      </c>
      <c r="AB158" s="243" t="s">
        <v>831</v>
      </c>
      <c r="AC158" s="194" t="s">
        <v>318</v>
      </c>
    </row>
    <row r="159" spans="1:29" x14ac:dyDescent="0.25">
      <c r="A159" s="209" t="str">
        <f t="shared" si="16"/>
        <v>324530</v>
      </c>
      <c r="B159" s="196" t="s">
        <v>318</v>
      </c>
      <c r="C159" s="194" t="s">
        <v>133</v>
      </c>
      <c r="D159" s="194" t="s">
        <v>498</v>
      </c>
      <c r="E159" s="194" t="s">
        <v>497</v>
      </c>
      <c r="F159" s="200">
        <v>394.1</v>
      </c>
      <c r="G159" s="208">
        <v>4441.3</v>
      </c>
      <c r="H159" s="198">
        <v>0</v>
      </c>
      <c r="I159" s="198">
        <v>0</v>
      </c>
      <c r="J159" s="198">
        <v>0</v>
      </c>
      <c r="K159" s="198">
        <v>0</v>
      </c>
      <c r="L159" s="198">
        <v>0</v>
      </c>
      <c r="M159" s="199">
        <v>0</v>
      </c>
      <c r="N159" s="245">
        <v>0</v>
      </c>
      <c r="O159" s="245">
        <v>0</v>
      </c>
      <c r="P159" s="245">
        <v>0</v>
      </c>
      <c r="Q159" s="245">
        <v>0</v>
      </c>
      <c r="R159" s="245">
        <v>0</v>
      </c>
      <c r="S159" s="245">
        <v>0</v>
      </c>
      <c r="T159" s="199"/>
      <c r="U159" s="241">
        <f t="shared" si="12"/>
        <v>0</v>
      </c>
      <c r="V159" s="240">
        <f t="shared" si="13"/>
        <v>-4441.3</v>
      </c>
      <c r="W159" s="239">
        <f t="shared" si="14"/>
        <v>-1</v>
      </c>
      <c r="X159" s="238" t="str">
        <f t="shared" si="15"/>
        <v/>
      </c>
      <c r="Y159" s="243" t="s">
        <v>835</v>
      </c>
      <c r="Z159" s="244">
        <v>13</v>
      </c>
      <c r="AA159" s="243" t="s">
        <v>836</v>
      </c>
      <c r="AB159" s="243" t="s">
        <v>831</v>
      </c>
      <c r="AC159" s="194" t="s">
        <v>318</v>
      </c>
    </row>
    <row r="160" spans="1:29" x14ac:dyDescent="0.25">
      <c r="A160" s="209" t="str">
        <f t="shared" si="16"/>
        <v>324559</v>
      </c>
      <c r="B160" s="196" t="s">
        <v>318</v>
      </c>
      <c r="C160" s="194" t="s">
        <v>133</v>
      </c>
      <c r="D160" s="194" t="s">
        <v>496</v>
      </c>
      <c r="E160" s="194" t="s">
        <v>495</v>
      </c>
      <c r="F160" s="200">
        <v>394.1</v>
      </c>
      <c r="G160" s="208">
        <v>7906.85</v>
      </c>
      <c r="H160" s="198">
        <v>0</v>
      </c>
      <c r="I160" s="198">
        <v>0</v>
      </c>
      <c r="J160" s="198">
        <v>8591.41</v>
      </c>
      <c r="K160" s="198">
        <v>0</v>
      </c>
      <c r="L160" s="198">
        <v>532.76</v>
      </c>
      <c r="M160" s="199">
        <v>0</v>
      </c>
      <c r="N160" s="245">
        <v>0</v>
      </c>
      <c r="O160" s="245">
        <v>0</v>
      </c>
      <c r="P160" s="245">
        <v>0</v>
      </c>
      <c r="Q160" s="245">
        <v>0</v>
      </c>
      <c r="R160" s="245">
        <v>0</v>
      </c>
      <c r="S160" s="245">
        <v>0</v>
      </c>
      <c r="T160" s="199"/>
      <c r="U160" s="241">
        <f t="shared" si="12"/>
        <v>9124.17</v>
      </c>
      <c r="V160" s="240">
        <f t="shared" si="13"/>
        <v>1217.3199999999997</v>
      </c>
      <c r="W160" s="239">
        <f t="shared" si="14"/>
        <v>0.15395764432106335</v>
      </c>
      <c r="X160" s="238" t="str">
        <f t="shared" si="15"/>
        <v/>
      </c>
      <c r="Y160" s="243" t="s">
        <v>835</v>
      </c>
      <c r="Z160" s="244">
        <v>13</v>
      </c>
      <c r="AA160" s="243" t="s">
        <v>836</v>
      </c>
      <c r="AB160" s="243" t="s">
        <v>831</v>
      </c>
      <c r="AC160" s="194" t="s">
        <v>318</v>
      </c>
    </row>
    <row r="161" spans="1:29" x14ac:dyDescent="0.25">
      <c r="A161" s="209" t="str">
        <f t="shared" si="16"/>
        <v>324690</v>
      </c>
      <c r="B161" s="196" t="s">
        <v>318</v>
      </c>
      <c r="C161" s="194" t="s">
        <v>133</v>
      </c>
      <c r="D161" s="194" t="s">
        <v>494</v>
      </c>
      <c r="E161" s="194" t="s">
        <v>493</v>
      </c>
      <c r="F161" s="200">
        <v>394.1</v>
      </c>
      <c r="G161" s="208">
        <v>5021.5</v>
      </c>
      <c r="H161" s="198">
        <v>0</v>
      </c>
      <c r="I161" s="198">
        <v>0</v>
      </c>
      <c r="J161" s="198">
        <v>0</v>
      </c>
      <c r="K161" s="198">
        <v>0</v>
      </c>
      <c r="L161" s="198">
        <v>0</v>
      </c>
      <c r="M161" s="199">
        <v>0</v>
      </c>
      <c r="N161" s="245">
        <v>0</v>
      </c>
      <c r="O161" s="245">
        <v>0</v>
      </c>
      <c r="P161" s="245">
        <v>0</v>
      </c>
      <c r="Q161" s="245">
        <v>0</v>
      </c>
      <c r="R161" s="245">
        <v>0</v>
      </c>
      <c r="S161" s="245">
        <v>0</v>
      </c>
      <c r="T161" s="199"/>
      <c r="U161" s="241">
        <f t="shared" si="12"/>
        <v>0</v>
      </c>
      <c r="V161" s="240">
        <f t="shared" si="13"/>
        <v>-5021.5</v>
      </c>
      <c r="W161" s="239">
        <f t="shared" si="14"/>
        <v>-1</v>
      </c>
      <c r="X161" s="238" t="str">
        <f t="shared" si="15"/>
        <v/>
      </c>
      <c r="Y161" s="243" t="s">
        <v>835</v>
      </c>
      <c r="Z161" s="244">
        <v>13</v>
      </c>
      <c r="AA161" s="243" t="s">
        <v>836</v>
      </c>
      <c r="AB161" s="243" t="s">
        <v>831</v>
      </c>
      <c r="AC161" s="194" t="s">
        <v>318</v>
      </c>
    </row>
    <row r="162" spans="1:29" x14ac:dyDescent="0.25">
      <c r="A162" s="209" t="str">
        <f t="shared" si="16"/>
        <v>324695</v>
      </c>
      <c r="B162" s="196" t="s">
        <v>318</v>
      </c>
      <c r="C162" s="194" t="s">
        <v>133</v>
      </c>
      <c r="D162" s="194" t="s">
        <v>492</v>
      </c>
      <c r="E162" s="194" t="s">
        <v>472</v>
      </c>
      <c r="F162" s="200">
        <v>394.1</v>
      </c>
      <c r="G162" s="208">
        <v>42682.75</v>
      </c>
      <c r="H162" s="198">
        <v>0</v>
      </c>
      <c r="I162" s="198">
        <v>0</v>
      </c>
      <c r="J162" s="198">
        <v>0</v>
      </c>
      <c r="K162" s="198">
        <v>0</v>
      </c>
      <c r="L162" s="198">
        <v>0</v>
      </c>
      <c r="M162" s="199">
        <v>0</v>
      </c>
      <c r="N162" s="245">
        <v>0</v>
      </c>
      <c r="O162" s="245">
        <v>0</v>
      </c>
      <c r="P162" s="245">
        <v>0</v>
      </c>
      <c r="Q162" s="245">
        <v>0</v>
      </c>
      <c r="R162" s="245">
        <v>0</v>
      </c>
      <c r="S162" s="245">
        <v>0</v>
      </c>
      <c r="T162" s="199"/>
      <c r="U162" s="241">
        <f t="shared" si="12"/>
        <v>0</v>
      </c>
      <c r="V162" s="240">
        <f t="shared" si="13"/>
        <v>-42682.75</v>
      </c>
      <c r="W162" s="239">
        <f t="shared" si="14"/>
        <v>-1</v>
      </c>
      <c r="X162" s="238" t="str">
        <f t="shared" si="15"/>
        <v/>
      </c>
      <c r="Y162" s="243" t="s">
        <v>835</v>
      </c>
      <c r="Z162" s="244">
        <v>13</v>
      </c>
      <c r="AA162" s="243" t="s">
        <v>836</v>
      </c>
      <c r="AB162" s="243" t="s">
        <v>831</v>
      </c>
      <c r="AC162" s="194" t="s">
        <v>318</v>
      </c>
    </row>
    <row r="163" spans="1:29" x14ac:dyDescent="0.25">
      <c r="A163" s="209" t="str">
        <f t="shared" si="16"/>
        <v>325059</v>
      </c>
      <c r="B163" s="196" t="s">
        <v>318</v>
      </c>
      <c r="C163" s="194" t="s">
        <v>133</v>
      </c>
      <c r="D163" s="194" t="s">
        <v>491</v>
      </c>
      <c r="E163" s="194" t="s">
        <v>490</v>
      </c>
      <c r="F163" s="200">
        <v>394.1</v>
      </c>
      <c r="G163" s="208">
        <v>3136.7400000000002</v>
      </c>
      <c r="H163" s="198">
        <v>0</v>
      </c>
      <c r="I163" s="198">
        <v>0</v>
      </c>
      <c r="J163" s="198">
        <v>0</v>
      </c>
      <c r="K163" s="198">
        <v>0</v>
      </c>
      <c r="L163" s="198">
        <v>0</v>
      </c>
      <c r="M163" s="199">
        <v>0</v>
      </c>
      <c r="N163" s="245">
        <v>0</v>
      </c>
      <c r="O163" s="245">
        <v>0</v>
      </c>
      <c r="P163" s="245">
        <v>0</v>
      </c>
      <c r="Q163" s="245">
        <v>0</v>
      </c>
      <c r="R163" s="245">
        <v>0</v>
      </c>
      <c r="S163" s="245">
        <v>0</v>
      </c>
      <c r="T163" s="199"/>
      <c r="U163" s="241">
        <f t="shared" si="12"/>
        <v>0</v>
      </c>
      <c r="V163" s="240">
        <f t="shared" si="13"/>
        <v>-3136.7400000000002</v>
      </c>
      <c r="W163" s="239">
        <f t="shared" si="14"/>
        <v>-1</v>
      </c>
      <c r="X163" s="238" t="str">
        <f t="shared" si="15"/>
        <v/>
      </c>
      <c r="Y163" s="243" t="s">
        <v>835</v>
      </c>
      <c r="Z163" s="244">
        <v>13</v>
      </c>
      <c r="AA163" s="243" t="s">
        <v>836</v>
      </c>
      <c r="AB163" s="243" t="s">
        <v>831</v>
      </c>
      <c r="AC163" s="194" t="s">
        <v>318</v>
      </c>
    </row>
    <row r="164" spans="1:29" x14ac:dyDescent="0.25">
      <c r="A164" s="209" t="str">
        <f t="shared" si="16"/>
        <v>325186</v>
      </c>
      <c r="B164" s="196" t="s">
        <v>318</v>
      </c>
      <c r="C164" s="194" t="s">
        <v>133</v>
      </c>
      <c r="D164" s="194" t="s">
        <v>489</v>
      </c>
      <c r="E164" s="194" t="s">
        <v>488</v>
      </c>
      <c r="F164" s="200">
        <v>394.1</v>
      </c>
      <c r="G164" s="208">
        <v>3799.31</v>
      </c>
      <c r="H164" s="198">
        <v>3813.9300000000003</v>
      </c>
      <c r="I164" s="198">
        <v>0</v>
      </c>
      <c r="J164" s="198">
        <v>0</v>
      </c>
      <c r="K164" s="198">
        <v>0</v>
      </c>
      <c r="L164" s="198">
        <v>0</v>
      </c>
      <c r="M164" s="199">
        <v>0</v>
      </c>
      <c r="N164" s="245">
        <v>0</v>
      </c>
      <c r="O164" s="245">
        <v>0</v>
      </c>
      <c r="P164" s="245">
        <v>0</v>
      </c>
      <c r="Q164" s="245">
        <v>0</v>
      </c>
      <c r="R164" s="245">
        <v>0</v>
      </c>
      <c r="S164" s="245">
        <v>0</v>
      </c>
      <c r="T164" s="199"/>
      <c r="U164" s="241">
        <f t="shared" si="12"/>
        <v>3813.9300000000003</v>
      </c>
      <c r="V164" s="240">
        <f t="shared" si="13"/>
        <v>14.620000000000346</v>
      </c>
      <c r="W164" s="239">
        <f t="shared" si="14"/>
        <v>3.8480671490350475E-3</v>
      </c>
      <c r="X164" s="238" t="str">
        <f t="shared" si="15"/>
        <v/>
      </c>
      <c r="Y164" s="243" t="s">
        <v>835</v>
      </c>
      <c r="Z164" s="244">
        <v>13</v>
      </c>
      <c r="AA164" s="243" t="s">
        <v>836</v>
      </c>
      <c r="AB164" s="243" t="s">
        <v>831</v>
      </c>
      <c r="AC164" s="194" t="s">
        <v>318</v>
      </c>
    </row>
    <row r="165" spans="1:29" x14ac:dyDescent="0.25">
      <c r="A165" s="209" t="str">
        <f t="shared" si="16"/>
        <v>325218</v>
      </c>
      <c r="B165" s="196" t="s">
        <v>318</v>
      </c>
      <c r="C165" s="194" t="s">
        <v>133</v>
      </c>
      <c r="D165" s="194" t="s">
        <v>487</v>
      </c>
      <c r="E165" s="194" t="s">
        <v>486</v>
      </c>
      <c r="F165" s="200">
        <v>394.1</v>
      </c>
      <c r="G165" s="208">
        <v>1584.38</v>
      </c>
      <c r="H165" s="198">
        <v>0</v>
      </c>
      <c r="I165" s="198">
        <v>1588.01</v>
      </c>
      <c r="J165" s="198">
        <v>0</v>
      </c>
      <c r="K165" s="198">
        <v>0</v>
      </c>
      <c r="L165" s="198">
        <v>0</v>
      </c>
      <c r="M165" s="199">
        <v>0</v>
      </c>
      <c r="N165" s="245">
        <v>0</v>
      </c>
      <c r="O165" s="245">
        <v>0</v>
      </c>
      <c r="P165" s="245">
        <v>0</v>
      </c>
      <c r="Q165" s="245">
        <v>0</v>
      </c>
      <c r="R165" s="245">
        <v>0</v>
      </c>
      <c r="S165" s="245">
        <v>0</v>
      </c>
      <c r="T165" s="199"/>
      <c r="U165" s="241">
        <f t="shared" si="12"/>
        <v>1588.01</v>
      </c>
      <c r="V165" s="240">
        <f t="shared" si="13"/>
        <v>3.6299999999998818</v>
      </c>
      <c r="W165" s="239">
        <f t="shared" si="14"/>
        <v>2.2911170300053533E-3</v>
      </c>
      <c r="X165" s="238" t="str">
        <f t="shared" si="15"/>
        <v/>
      </c>
      <c r="Y165" s="243" t="s">
        <v>835</v>
      </c>
      <c r="Z165" s="244">
        <v>13</v>
      </c>
      <c r="AA165" s="243" t="s">
        <v>836</v>
      </c>
      <c r="AB165" s="243" t="s">
        <v>831</v>
      </c>
      <c r="AC165" s="194" t="s">
        <v>318</v>
      </c>
    </row>
    <row r="166" spans="1:29" x14ac:dyDescent="0.25">
      <c r="A166" s="209" t="str">
        <f t="shared" si="16"/>
        <v>323914</v>
      </c>
      <c r="B166" s="196" t="s">
        <v>318</v>
      </c>
      <c r="C166" s="194" t="s">
        <v>133</v>
      </c>
      <c r="D166" s="194" t="s">
        <v>485</v>
      </c>
      <c r="E166" s="194" t="s">
        <v>484</v>
      </c>
      <c r="F166" s="200">
        <v>394.1</v>
      </c>
      <c r="G166" s="208">
        <v>0</v>
      </c>
      <c r="H166" s="198">
        <v>0</v>
      </c>
      <c r="I166" s="198">
        <v>0</v>
      </c>
      <c r="J166" s="198">
        <v>0</v>
      </c>
      <c r="K166" s="198">
        <v>0</v>
      </c>
      <c r="L166" s="198">
        <v>0</v>
      </c>
      <c r="M166" s="199">
        <v>0</v>
      </c>
      <c r="N166" s="245">
        <v>0</v>
      </c>
      <c r="O166" s="245">
        <v>0</v>
      </c>
      <c r="P166" s="245">
        <v>0</v>
      </c>
      <c r="Q166" s="245">
        <v>0</v>
      </c>
      <c r="R166" s="245">
        <v>0</v>
      </c>
      <c r="S166" s="245">
        <v>0</v>
      </c>
      <c r="T166" s="199"/>
      <c r="U166" s="241">
        <f t="shared" si="12"/>
        <v>0</v>
      </c>
      <c r="V166" s="240">
        <f t="shared" si="13"/>
        <v>0</v>
      </c>
      <c r="W166" s="239" t="str">
        <f t="shared" si="14"/>
        <v>100%</v>
      </c>
      <c r="X166" s="238" t="str">
        <f t="shared" si="15"/>
        <v/>
      </c>
      <c r="Y166" s="243" t="s">
        <v>835</v>
      </c>
      <c r="Z166" s="244">
        <v>13</v>
      </c>
      <c r="AA166" s="243" t="s">
        <v>836</v>
      </c>
      <c r="AB166" s="243" t="s">
        <v>831</v>
      </c>
      <c r="AC166" s="194" t="s">
        <v>318</v>
      </c>
    </row>
    <row r="167" spans="1:29" x14ac:dyDescent="0.25">
      <c r="A167" s="209" t="str">
        <f t="shared" si="16"/>
        <v>323953</v>
      </c>
      <c r="B167" s="196" t="s">
        <v>318</v>
      </c>
      <c r="C167" s="194" t="s">
        <v>133</v>
      </c>
      <c r="D167" s="194" t="s">
        <v>483</v>
      </c>
      <c r="E167" s="194" t="s">
        <v>482</v>
      </c>
      <c r="F167" s="200">
        <v>394.1</v>
      </c>
      <c r="G167" s="208">
        <v>0</v>
      </c>
      <c r="H167" s="198">
        <v>0</v>
      </c>
      <c r="I167" s="198">
        <v>0</v>
      </c>
      <c r="J167" s="198">
        <v>0</v>
      </c>
      <c r="K167" s="198">
        <v>0</v>
      </c>
      <c r="L167" s="198">
        <v>0</v>
      </c>
      <c r="M167" s="199">
        <v>0</v>
      </c>
      <c r="N167" s="245">
        <v>0</v>
      </c>
      <c r="O167" s="245">
        <v>0</v>
      </c>
      <c r="P167" s="245">
        <v>0</v>
      </c>
      <c r="Q167" s="245">
        <v>0</v>
      </c>
      <c r="R167" s="245">
        <v>0</v>
      </c>
      <c r="S167" s="245">
        <v>0</v>
      </c>
      <c r="T167" s="199"/>
      <c r="U167" s="241">
        <f t="shared" si="12"/>
        <v>0</v>
      </c>
      <c r="V167" s="240">
        <f t="shared" si="13"/>
        <v>0</v>
      </c>
      <c r="W167" s="239" t="str">
        <f t="shared" si="14"/>
        <v>100%</v>
      </c>
      <c r="X167" s="238" t="str">
        <f t="shared" si="15"/>
        <v/>
      </c>
      <c r="Y167" s="243" t="s">
        <v>835</v>
      </c>
      <c r="Z167" s="244">
        <v>13</v>
      </c>
      <c r="AA167" s="243" t="s">
        <v>836</v>
      </c>
      <c r="AB167" s="243" t="s">
        <v>831</v>
      </c>
      <c r="AC167" s="194" t="s">
        <v>318</v>
      </c>
    </row>
    <row r="168" spans="1:29" x14ac:dyDescent="0.25">
      <c r="A168" s="209" t="str">
        <f t="shared" si="16"/>
        <v>323956</v>
      </c>
      <c r="B168" s="196" t="s">
        <v>318</v>
      </c>
      <c r="C168" s="194" t="s">
        <v>133</v>
      </c>
      <c r="D168" s="194" t="s">
        <v>481</v>
      </c>
      <c r="E168" s="194" t="s">
        <v>480</v>
      </c>
      <c r="F168" s="200">
        <v>394.1</v>
      </c>
      <c r="G168" s="208">
        <v>0</v>
      </c>
      <c r="H168" s="198">
        <v>0</v>
      </c>
      <c r="I168" s="198">
        <v>0</v>
      </c>
      <c r="J168" s="198">
        <v>0</v>
      </c>
      <c r="K168" s="198">
        <v>0</v>
      </c>
      <c r="L168" s="198">
        <v>0</v>
      </c>
      <c r="M168" s="199">
        <v>0</v>
      </c>
      <c r="N168" s="245">
        <v>0</v>
      </c>
      <c r="O168" s="245">
        <v>0</v>
      </c>
      <c r="P168" s="245">
        <v>0</v>
      </c>
      <c r="Q168" s="245">
        <v>0</v>
      </c>
      <c r="R168" s="245">
        <v>0</v>
      </c>
      <c r="S168" s="245">
        <v>0</v>
      </c>
      <c r="T168" s="199"/>
      <c r="U168" s="241">
        <f t="shared" si="12"/>
        <v>0</v>
      </c>
      <c r="V168" s="240">
        <f t="shared" si="13"/>
        <v>0</v>
      </c>
      <c r="W168" s="239" t="str">
        <f t="shared" si="14"/>
        <v>100%</v>
      </c>
      <c r="X168" s="238" t="str">
        <f t="shared" si="15"/>
        <v/>
      </c>
      <c r="Y168" s="243" t="s">
        <v>835</v>
      </c>
      <c r="Z168" s="244">
        <v>13</v>
      </c>
      <c r="AA168" s="243" t="s">
        <v>836</v>
      </c>
      <c r="AB168" s="243" t="s">
        <v>831</v>
      </c>
      <c r="AC168" s="194" t="s">
        <v>318</v>
      </c>
    </row>
    <row r="169" spans="1:29" x14ac:dyDescent="0.25">
      <c r="A169" s="209" t="str">
        <f t="shared" si="16"/>
        <v>324128</v>
      </c>
      <c r="B169" s="196" t="s">
        <v>318</v>
      </c>
      <c r="C169" s="194" t="s">
        <v>133</v>
      </c>
      <c r="D169" s="194" t="s">
        <v>479</v>
      </c>
      <c r="E169" s="194" t="s">
        <v>478</v>
      </c>
      <c r="F169" s="200">
        <v>398</v>
      </c>
      <c r="G169" s="208">
        <v>0</v>
      </c>
      <c r="H169" s="198">
        <v>0</v>
      </c>
      <c r="I169" s="198">
        <v>0</v>
      </c>
      <c r="J169" s="198">
        <v>0</v>
      </c>
      <c r="K169" s="198">
        <v>0</v>
      </c>
      <c r="L169" s="198">
        <v>0</v>
      </c>
      <c r="M169" s="199">
        <v>0</v>
      </c>
      <c r="N169" s="245">
        <v>0</v>
      </c>
      <c r="O169" s="245">
        <v>0</v>
      </c>
      <c r="P169" s="245">
        <v>0</v>
      </c>
      <c r="Q169" s="245">
        <v>0</v>
      </c>
      <c r="R169" s="245">
        <v>0</v>
      </c>
      <c r="S169" s="245">
        <v>0</v>
      </c>
      <c r="T169" s="199"/>
      <c r="U169" s="241">
        <f t="shared" si="12"/>
        <v>0</v>
      </c>
      <c r="V169" s="240">
        <f t="shared" si="13"/>
        <v>0</v>
      </c>
      <c r="W169" s="239" t="str">
        <f t="shared" si="14"/>
        <v>100%</v>
      </c>
      <c r="X169" s="238" t="str">
        <f t="shared" si="15"/>
        <v/>
      </c>
      <c r="Y169" s="243" t="s">
        <v>835</v>
      </c>
      <c r="Z169" s="244">
        <v>13</v>
      </c>
      <c r="AA169" s="243" t="s">
        <v>836</v>
      </c>
      <c r="AB169" s="243" t="s">
        <v>831</v>
      </c>
      <c r="AC169" s="194" t="s">
        <v>318</v>
      </c>
    </row>
    <row r="170" spans="1:29" x14ac:dyDescent="0.25">
      <c r="A170" s="209" t="str">
        <f t="shared" si="16"/>
        <v>324378</v>
      </c>
      <c r="B170" s="196" t="s">
        <v>318</v>
      </c>
      <c r="C170" s="194" t="s">
        <v>133</v>
      </c>
      <c r="D170" s="194" t="s">
        <v>477</v>
      </c>
      <c r="E170" s="194" t="s">
        <v>476</v>
      </c>
      <c r="F170" s="200">
        <v>394.1</v>
      </c>
      <c r="G170" s="208">
        <v>0</v>
      </c>
      <c r="H170" s="198">
        <v>0</v>
      </c>
      <c r="I170" s="198">
        <v>0</v>
      </c>
      <c r="J170" s="198">
        <v>0</v>
      </c>
      <c r="K170" s="198">
        <v>0</v>
      </c>
      <c r="L170" s="198">
        <v>0</v>
      </c>
      <c r="M170" s="199">
        <v>0</v>
      </c>
      <c r="N170" s="245">
        <v>0</v>
      </c>
      <c r="O170" s="245">
        <v>0</v>
      </c>
      <c r="P170" s="245">
        <v>0</v>
      </c>
      <c r="Q170" s="245">
        <v>0</v>
      </c>
      <c r="R170" s="245">
        <v>0</v>
      </c>
      <c r="S170" s="245">
        <v>0</v>
      </c>
      <c r="T170" s="199"/>
      <c r="U170" s="241">
        <f t="shared" si="12"/>
        <v>0</v>
      </c>
      <c r="V170" s="240">
        <f t="shared" si="13"/>
        <v>0</v>
      </c>
      <c r="W170" s="239" t="str">
        <f t="shared" si="14"/>
        <v>100%</v>
      </c>
      <c r="X170" s="238" t="str">
        <f t="shared" si="15"/>
        <v/>
      </c>
      <c r="Y170" s="243" t="s">
        <v>835</v>
      </c>
      <c r="Z170" s="244">
        <v>13</v>
      </c>
      <c r="AA170" s="243" t="s">
        <v>836</v>
      </c>
      <c r="AB170" s="243" t="s">
        <v>831</v>
      </c>
      <c r="AC170" s="194" t="s">
        <v>318</v>
      </c>
    </row>
    <row r="171" spans="1:29" x14ac:dyDescent="0.25">
      <c r="A171" s="209" t="str">
        <f t="shared" si="16"/>
        <v>324500</v>
      </c>
      <c r="B171" s="196" t="s">
        <v>318</v>
      </c>
      <c r="C171" s="194" t="s">
        <v>133</v>
      </c>
      <c r="D171" s="194" t="s">
        <v>475</v>
      </c>
      <c r="E171" s="194" t="s">
        <v>474</v>
      </c>
      <c r="F171" s="200">
        <v>394.1</v>
      </c>
      <c r="G171" s="208">
        <v>0</v>
      </c>
      <c r="H171" s="198">
        <v>0</v>
      </c>
      <c r="I171" s="198">
        <v>0</v>
      </c>
      <c r="J171" s="198">
        <v>0</v>
      </c>
      <c r="K171" s="198">
        <v>0</v>
      </c>
      <c r="L171" s="198">
        <v>0</v>
      </c>
      <c r="M171" s="199">
        <v>0</v>
      </c>
      <c r="N171" s="245">
        <v>0</v>
      </c>
      <c r="O171" s="245">
        <v>0</v>
      </c>
      <c r="P171" s="245">
        <v>0</v>
      </c>
      <c r="Q171" s="245">
        <v>0</v>
      </c>
      <c r="R171" s="245">
        <v>0</v>
      </c>
      <c r="S171" s="245">
        <v>0</v>
      </c>
      <c r="T171" s="199"/>
      <c r="U171" s="241">
        <f t="shared" si="12"/>
        <v>0</v>
      </c>
      <c r="V171" s="240">
        <f t="shared" si="13"/>
        <v>0</v>
      </c>
      <c r="W171" s="239" t="str">
        <f t="shared" si="14"/>
        <v>100%</v>
      </c>
      <c r="X171" s="238" t="str">
        <f t="shared" si="15"/>
        <v/>
      </c>
      <c r="Y171" s="243" t="s">
        <v>835</v>
      </c>
      <c r="Z171" s="244">
        <v>13</v>
      </c>
      <c r="AA171" s="243" t="s">
        <v>836</v>
      </c>
      <c r="AB171" s="243" t="s">
        <v>831</v>
      </c>
      <c r="AC171" s="194" t="s">
        <v>318</v>
      </c>
    </row>
    <row r="172" spans="1:29" x14ac:dyDescent="0.25">
      <c r="A172" s="209" t="str">
        <f t="shared" si="16"/>
        <v>324711</v>
      </c>
      <c r="B172" s="196" t="s">
        <v>318</v>
      </c>
      <c r="C172" s="194" t="s">
        <v>133</v>
      </c>
      <c r="D172" s="194" t="s">
        <v>473</v>
      </c>
      <c r="E172" s="194" t="s">
        <v>472</v>
      </c>
      <c r="F172" s="200">
        <v>394.1</v>
      </c>
      <c r="G172" s="208">
        <v>0</v>
      </c>
      <c r="H172" s="198">
        <v>0</v>
      </c>
      <c r="I172" s="198">
        <v>0</v>
      </c>
      <c r="J172" s="198">
        <v>0</v>
      </c>
      <c r="K172" s="198">
        <v>0</v>
      </c>
      <c r="L172" s="198">
        <v>0</v>
      </c>
      <c r="M172" s="199">
        <v>0</v>
      </c>
      <c r="N172" s="245">
        <v>0</v>
      </c>
      <c r="O172" s="245">
        <v>0</v>
      </c>
      <c r="P172" s="245">
        <v>0</v>
      </c>
      <c r="Q172" s="245">
        <v>0</v>
      </c>
      <c r="R172" s="245">
        <v>0</v>
      </c>
      <c r="S172" s="245">
        <v>0</v>
      </c>
      <c r="T172" s="199"/>
      <c r="U172" s="241">
        <f t="shared" si="12"/>
        <v>0</v>
      </c>
      <c r="V172" s="240">
        <f t="shared" si="13"/>
        <v>0</v>
      </c>
      <c r="W172" s="239" t="str">
        <f t="shared" si="14"/>
        <v>100%</v>
      </c>
      <c r="X172" s="238" t="str">
        <f t="shared" si="15"/>
        <v/>
      </c>
      <c r="Y172" s="243" t="s">
        <v>835</v>
      </c>
      <c r="Z172" s="244">
        <v>13</v>
      </c>
      <c r="AA172" s="243" t="s">
        <v>836</v>
      </c>
      <c r="AB172" s="243" t="s">
        <v>831</v>
      </c>
      <c r="AC172" s="194" t="s">
        <v>318</v>
      </c>
    </row>
    <row r="173" spans="1:29" x14ac:dyDescent="0.25">
      <c r="A173" s="209" t="s">
        <v>455</v>
      </c>
      <c r="B173" s="196" t="s">
        <v>318</v>
      </c>
      <c r="C173" s="194" t="s">
        <v>133</v>
      </c>
      <c r="D173" s="194" t="s">
        <v>471</v>
      </c>
      <c r="E173" s="194" t="s">
        <v>470</v>
      </c>
      <c r="F173" s="200">
        <v>376.3</v>
      </c>
      <c r="G173" s="208">
        <v>87598.680000000008</v>
      </c>
      <c r="H173" s="198">
        <v>0</v>
      </c>
      <c r="I173" s="198">
        <v>0</v>
      </c>
      <c r="J173" s="198">
        <v>0</v>
      </c>
      <c r="K173" s="198">
        <v>2146.17</v>
      </c>
      <c r="L173" s="198">
        <v>0</v>
      </c>
      <c r="M173" s="199">
        <v>0</v>
      </c>
      <c r="N173" s="245">
        <v>0</v>
      </c>
      <c r="O173" s="245">
        <v>0</v>
      </c>
      <c r="P173" s="245">
        <v>0</v>
      </c>
      <c r="Q173" s="245">
        <v>0</v>
      </c>
      <c r="R173" s="245">
        <v>0</v>
      </c>
      <c r="S173" s="245">
        <v>0</v>
      </c>
      <c r="T173" s="199"/>
      <c r="U173" s="241">
        <f t="shared" si="12"/>
        <v>2146.17</v>
      </c>
      <c r="V173" s="240">
        <f t="shared" si="13"/>
        <v>-85452.510000000009</v>
      </c>
      <c r="W173" s="239">
        <f t="shared" si="14"/>
        <v>-0.97549997328726878</v>
      </c>
      <c r="X173" s="238" t="str">
        <f t="shared" si="15"/>
        <v/>
      </c>
      <c r="Y173" s="243" t="s">
        <v>838</v>
      </c>
      <c r="Z173" s="244">
        <v>22</v>
      </c>
      <c r="AA173" s="243" t="s">
        <v>836</v>
      </c>
      <c r="AB173" s="243" t="s">
        <v>837</v>
      </c>
      <c r="AC173" s="194" t="s">
        <v>829</v>
      </c>
    </row>
    <row r="174" spans="1:29" x14ac:dyDescent="0.25">
      <c r="A174" s="209" t="s">
        <v>455</v>
      </c>
      <c r="B174" s="196" t="s">
        <v>318</v>
      </c>
      <c r="C174" s="194" t="s">
        <v>133</v>
      </c>
      <c r="D174" s="194" t="s">
        <v>469</v>
      </c>
      <c r="E174" s="194" t="s">
        <v>468</v>
      </c>
      <c r="F174" s="200">
        <v>376.3</v>
      </c>
      <c r="G174" s="208">
        <v>14539.2</v>
      </c>
      <c r="H174" s="198">
        <v>-11.73</v>
      </c>
      <c r="I174" s="198">
        <v>0</v>
      </c>
      <c r="J174" s="198">
        <v>0</v>
      </c>
      <c r="K174" s="198">
        <v>0</v>
      </c>
      <c r="L174" s="198">
        <v>0</v>
      </c>
      <c r="M174" s="199">
        <v>0</v>
      </c>
      <c r="N174" s="245">
        <v>0</v>
      </c>
      <c r="O174" s="245">
        <v>0</v>
      </c>
      <c r="P174" s="245">
        <v>0</v>
      </c>
      <c r="Q174" s="245">
        <v>0</v>
      </c>
      <c r="R174" s="245">
        <v>0</v>
      </c>
      <c r="S174" s="245">
        <v>0</v>
      </c>
      <c r="T174" s="199"/>
      <c r="U174" s="241">
        <f t="shared" si="12"/>
        <v>-11.73</v>
      </c>
      <c r="V174" s="240">
        <f t="shared" si="13"/>
        <v>-14550.93</v>
      </c>
      <c r="W174" s="239">
        <f t="shared" si="14"/>
        <v>-1.0008067844172994</v>
      </c>
      <c r="X174" s="238" t="str">
        <f t="shared" si="15"/>
        <v/>
      </c>
      <c r="Y174" s="243" t="s">
        <v>838</v>
      </c>
      <c r="Z174" s="244">
        <v>22</v>
      </c>
      <c r="AA174" s="243" t="s">
        <v>836</v>
      </c>
      <c r="AB174" s="243" t="s">
        <v>837</v>
      </c>
      <c r="AC174" s="194" t="s">
        <v>829</v>
      </c>
    </row>
    <row r="175" spans="1:29" x14ac:dyDescent="0.25">
      <c r="A175" s="209" t="s">
        <v>455</v>
      </c>
      <c r="B175" s="196" t="s">
        <v>318</v>
      </c>
      <c r="C175" s="194" t="s">
        <v>133</v>
      </c>
      <c r="D175" s="194" t="s">
        <v>467</v>
      </c>
      <c r="E175" s="194" t="s">
        <v>466</v>
      </c>
      <c r="F175" s="200">
        <v>376.3</v>
      </c>
      <c r="G175" s="208">
        <v>102137.88000000002</v>
      </c>
      <c r="H175" s="198">
        <v>0</v>
      </c>
      <c r="I175" s="198">
        <v>0</v>
      </c>
      <c r="J175" s="198">
        <v>0</v>
      </c>
      <c r="K175" s="198">
        <v>0</v>
      </c>
      <c r="L175" s="198">
        <v>0</v>
      </c>
      <c r="M175" s="199">
        <v>-1326.46</v>
      </c>
      <c r="N175" s="245">
        <v>0</v>
      </c>
      <c r="O175" s="245">
        <v>0</v>
      </c>
      <c r="P175" s="245">
        <v>0</v>
      </c>
      <c r="Q175" s="245">
        <v>0</v>
      </c>
      <c r="R175" s="245">
        <v>0</v>
      </c>
      <c r="S175" s="245">
        <v>0</v>
      </c>
      <c r="T175" s="199"/>
      <c r="U175" s="241">
        <f t="shared" si="12"/>
        <v>-1326.46</v>
      </c>
      <c r="V175" s="240">
        <f t="shared" si="13"/>
        <v>-103464.34000000003</v>
      </c>
      <c r="W175" s="239">
        <f t="shared" si="14"/>
        <v>-1.0129869544971954</v>
      </c>
      <c r="X175" s="238" t="str">
        <f t="shared" si="15"/>
        <v/>
      </c>
      <c r="Y175" s="243" t="s">
        <v>838</v>
      </c>
      <c r="Z175" s="244">
        <v>22</v>
      </c>
      <c r="AA175" s="243" t="s">
        <v>836</v>
      </c>
      <c r="AB175" s="243" t="s">
        <v>837</v>
      </c>
      <c r="AC175" s="194" t="s">
        <v>829</v>
      </c>
    </row>
    <row r="176" spans="1:29" x14ac:dyDescent="0.25">
      <c r="A176" s="209" t="s">
        <v>455</v>
      </c>
      <c r="B176" s="196" t="s">
        <v>318</v>
      </c>
      <c r="C176" s="194" t="s">
        <v>133</v>
      </c>
      <c r="D176" s="194" t="s">
        <v>465</v>
      </c>
      <c r="E176" s="194" t="s">
        <v>464</v>
      </c>
      <c r="F176" s="200">
        <v>376.3</v>
      </c>
      <c r="G176" s="208">
        <v>167040.84000000005</v>
      </c>
      <c r="H176" s="198">
        <v>0</v>
      </c>
      <c r="I176" s="198">
        <v>0</v>
      </c>
      <c r="J176" s="198">
        <v>0</v>
      </c>
      <c r="K176" s="198">
        <v>1582.95</v>
      </c>
      <c r="L176" s="198">
        <v>0</v>
      </c>
      <c r="M176" s="199">
        <v>0</v>
      </c>
      <c r="N176" s="245">
        <v>0</v>
      </c>
      <c r="O176" s="245">
        <v>0</v>
      </c>
      <c r="P176" s="245">
        <v>0</v>
      </c>
      <c r="Q176" s="245">
        <v>0</v>
      </c>
      <c r="R176" s="245">
        <v>0</v>
      </c>
      <c r="S176" s="245">
        <v>0</v>
      </c>
      <c r="T176" s="199"/>
      <c r="U176" s="241">
        <f t="shared" si="12"/>
        <v>1582.95</v>
      </c>
      <c r="V176" s="240">
        <f t="shared" si="13"/>
        <v>-165457.89000000004</v>
      </c>
      <c r="W176" s="239">
        <f t="shared" si="14"/>
        <v>-0.9905235749532868</v>
      </c>
      <c r="X176" s="238" t="str">
        <f t="shared" si="15"/>
        <v/>
      </c>
      <c r="Y176" s="243" t="s">
        <v>838</v>
      </c>
      <c r="Z176" s="244">
        <v>22</v>
      </c>
      <c r="AA176" s="243" t="s">
        <v>836</v>
      </c>
      <c r="AB176" s="243" t="s">
        <v>837</v>
      </c>
      <c r="AC176" s="194" t="s">
        <v>829</v>
      </c>
    </row>
    <row r="177" spans="1:29" x14ac:dyDescent="0.25">
      <c r="A177" s="209" t="s">
        <v>455</v>
      </c>
      <c r="B177" s="196" t="s">
        <v>318</v>
      </c>
      <c r="C177" s="194" t="s">
        <v>133</v>
      </c>
      <c r="D177" s="194" t="s">
        <v>463</v>
      </c>
      <c r="E177" s="194" t="s">
        <v>462</v>
      </c>
      <c r="F177" s="200">
        <v>376.3</v>
      </c>
      <c r="G177" s="208">
        <v>808875.54000000015</v>
      </c>
      <c r="H177" s="198">
        <v>24217.08</v>
      </c>
      <c r="I177" s="198">
        <v>-108.88</v>
      </c>
      <c r="J177" s="198">
        <v>-3944.66</v>
      </c>
      <c r="K177" s="198">
        <v>2424.71</v>
      </c>
      <c r="L177" s="198">
        <v>11729.65</v>
      </c>
      <c r="M177" s="199">
        <v>11058.130000000001</v>
      </c>
      <c r="N177" s="245">
        <v>0</v>
      </c>
      <c r="O177" s="245">
        <v>0</v>
      </c>
      <c r="P177" s="245">
        <v>0</v>
      </c>
      <c r="Q177" s="245">
        <v>0</v>
      </c>
      <c r="R177" s="245">
        <v>0</v>
      </c>
      <c r="S177" s="245">
        <v>0</v>
      </c>
      <c r="T177" s="199"/>
      <c r="U177" s="241">
        <f t="shared" si="12"/>
        <v>45376.03</v>
      </c>
      <c r="V177" s="240">
        <f t="shared" si="13"/>
        <v>-763499.51000000013</v>
      </c>
      <c r="W177" s="239">
        <f t="shared" si="14"/>
        <v>-0.94390233384977862</v>
      </c>
      <c r="X177" s="238" t="str">
        <f t="shared" si="15"/>
        <v>yes</v>
      </c>
      <c r="Y177" s="243" t="s">
        <v>838</v>
      </c>
      <c r="Z177" s="244">
        <v>22</v>
      </c>
      <c r="AA177" s="243" t="s">
        <v>836</v>
      </c>
      <c r="AB177" s="243" t="s">
        <v>837</v>
      </c>
      <c r="AC177" s="194" t="s">
        <v>829</v>
      </c>
    </row>
    <row r="178" spans="1:29" x14ac:dyDescent="0.25">
      <c r="A178" s="209" t="s">
        <v>455</v>
      </c>
      <c r="B178" s="196" t="s">
        <v>318</v>
      </c>
      <c r="C178" s="194" t="s">
        <v>133</v>
      </c>
      <c r="D178" s="194" t="s">
        <v>461</v>
      </c>
      <c r="E178" s="194" t="s">
        <v>460</v>
      </c>
      <c r="F178" s="200">
        <v>376.3</v>
      </c>
      <c r="G178" s="208">
        <v>910308.31000000029</v>
      </c>
      <c r="H178" s="198">
        <v>-6663.6</v>
      </c>
      <c r="I178" s="198">
        <v>97.05</v>
      </c>
      <c r="J178" s="198">
        <v>1680.31</v>
      </c>
      <c r="K178" s="198">
        <v>0</v>
      </c>
      <c r="L178" s="198">
        <v>0</v>
      </c>
      <c r="M178" s="199">
        <v>480.90000000000003</v>
      </c>
      <c r="N178" s="245">
        <v>0</v>
      </c>
      <c r="O178" s="245">
        <v>0</v>
      </c>
      <c r="P178" s="245">
        <v>0</v>
      </c>
      <c r="Q178" s="245">
        <v>0</v>
      </c>
      <c r="R178" s="245">
        <v>0</v>
      </c>
      <c r="S178" s="245">
        <v>0</v>
      </c>
      <c r="T178" s="199"/>
      <c r="U178" s="241">
        <f t="shared" si="12"/>
        <v>-4405.34</v>
      </c>
      <c r="V178" s="240">
        <f t="shared" si="13"/>
        <v>-914713.65000000026</v>
      </c>
      <c r="W178" s="239">
        <f t="shared" si="14"/>
        <v>-1.0048393933699231</v>
      </c>
      <c r="X178" s="238" t="str">
        <f t="shared" si="15"/>
        <v>yes</v>
      </c>
      <c r="Y178" s="243" t="s">
        <v>838</v>
      </c>
      <c r="Z178" s="244">
        <v>22</v>
      </c>
      <c r="AA178" s="243" t="s">
        <v>836</v>
      </c>
      <c r="AB178" s="243" t="s">
        <v>837</v>
      </c>
      <c r="AC178" s="194" t="s">
        <v>829</v>
      </c>
    </row>
    <row r="179" spans="1:29" x14ac:dyDescent="0.25">
      <c r="A179" s="209" t="s">
        <v>455</v>
      </c>
      <c r="B179" s="196" t="s">
        <v>318</v>
      </c>
      <c r="C179" s="194" t="s">
        <v>133</v>
      </c>
      <c r="D179" s="194" t="s">
        <v>459</v>
      </c>
      <c r="E179" s="194" t="s">
        <v>458</v>
      </c>
      <c r="F179" s="200">
        <v>376.3</v>
      </c>
      <c r="G179" s="208">
        <v>6249.8099999999995</v>
      </c>
      <c r="H179" s="198">
        <v>62897.69</v>
      </c>
      <c r="I179" s="198">
        <v>0</v>
      </c>
      <c r="J179" s="198">
        <v>1506.91</v>
      </c>
      <c r="K179" s="198">
        <v>3685.44</v>
      </c>
      <c r="L179" s="198">
        <v>5531</v>
      </c>
      <c r="M179" s="199">
        <v>0</v>
      </c>
      <c r="N179" s="245">
        <v>0</v>
      </c>
      <c r="O179" s="245">
        <v>0</v>
      </c>
      <c r="P179" s="245">
        <v>0</v>
      </c>
      <c r="Q179" s="245">
        <v>0</v>
      </c>
      <c r="R179" s="245">
        <v>0</v>
      </c>
      <c r="S179" s="245">
        <v>0</v>
      </c>
      <c r="T179" s="199"/>
      <c r="U179" s="241">
        <f t="shared" si="12"/>
        <v>73621.040000000008</v>
      </c>
      <c r="V179" s="240">
        <f t="shared" si="13"/>
        <v>67371.23000000001</v>
      </c>
      <c r="W179" s="239">
        <f t="shared" si="14"/>
        <v>10.779724503624912</v>
      </c>
      <c r="X179" s="238" t="str">
        <f t="shared" si="15"/>
        <v/>
      </c>
      <c r="Y179" s="243" t="s">
        <v>838</v>
      </c>
      <c r="Z179" s="244">
        <v>22</v>
      </c>
      <c r="AA179" s="243" t="s">
        <v>836</v>
      </c>
      <c r="AB179" s="243" t="s">
        <v>837</v>
      </c>
      <c r="AC179" s="194" t="s">
        <v>829</v>
      </c>
    </row>
    <row r="180" spans="1:29" x14ac:dyDescent="0.25">
      <c r="A180" s="209" t="s">
        <v>455</v>
      </c>
      <c r="B180" s="196" t="s">
        <v>318</v>
      </c>
      <c r="C180" s="194" t="s">
        <v>133</v>
      </c>
      <c r="D180" s="194" t="s">
        <v>457</v>
      </c>
      <c r="E180" s="194" t="s">
        <v>456</v>
      </c>
      <c r="F180" s="200">
        <v>376.3</v>
      </c>
      <c r="G180" s="208">
        <v>502438.18999999989</v>
      </c>
      <c r="H180" s="198">
        <v>9335.07</v>
      </c>
      <c r="I180" s="198">
        <v>0</v>
      </c>
      <c r="J180" s="198">
        <v>-8889.26</v>
      </c>
      <c r="K180" s="198">
        <v>0</v>
      </c>
      <c r="L180" s="198">
        <v>0</v>
      </c>
      <c r="M180" s="199">
        <v>69633.13</v>
      </c>
      <c r="N180" s="245">
        <v>0</v>
      </c>
      <c r="O180" s="245">
        <v>0</v>
      </c>
      <c r="P180" s="245">
        <v>0</v>
      </c>
      <c r="Q180" s="245">
        <v>0</v>
      </c>
      <c r="R180" s="245">
        <v>0</v>
      </c>
      <c r="S180" s="245">
        <v>0</v>
      </c>
      <c r="T180" s="199"/>
      <c r="U180" s="241">
        <f t="shared" si="12"/>
        <v>70078.94</v>
      </c>
      <c r="V180" s="240">
        <f t="shared" si="13"/>
        <v>-432359.24999999988</v>
      </c>
      <c r="W180" s="239">
        <f t="shared" si="14"/>
        <v>-0.86052226643042395</v>
      </c>
      <c r="X180" s="238" t="str">
        <f t="shared" si="15"/>
        <v/>
      </c>
      <c r="Y180" s="243" t="s">
        <v>838</v>
      </c>
      <c r="Z180" s="244">
        <v>22</v>
      </c>
      <c r="AA180" s="243" t="s">
        <v>836</v>
      </c>
      <c r="AB180" s="243" t="s">
        <v>837</v>
      </c>
      <c r="AC180" s="194" t="s">
        <v>829</v>
      </c>
    </row>
    <row r="181" spans="1:29" x14ac:dyDescent="0.25">
      <c r="A181" s="209" t="s">
        <v>455</v>
      </c>
      <c r="B181" s="196" t="s">
        <v>318</v>
      </c>
      <c r="C181" s="194" t="s">
        <v>133</v>
      </c>
      <c r="D181" s="194" t="s">
        <v>454</v>
      </c>
      <c r="E181" s="194" t="s">
        <v>453</v>
      </c>
      <c r="F181" s="200">
        <v>376.3</v>
      </c>
      <c r="G181" s="208">
        <v>1222711.9900000002</v>
      </c>
      <c r="H181" s="198">
        <v>28984.970000000005</v>
      </c>
      <c r="I181" s="198">
        <v>4739.71</v>
      </c>
      <c r="J181" s="198">
        <v>98963.109999999986</v>
      </c>
      <c r="K181" s="198">
        <v>124432.34</v>
      </c>
      <c r="L181" s="198">
        <v>11313.900000000001</v>
      </c>
      <c r="M181" s="199">
        <v>16973.09</v>
      </c>
      <c r="N181" s="245">
        <v>0</v>
      </c>
      <c r="O181" s="245">
        <v>0</v>
      </c>
      <c r="P181" s="245">
        <v>0</v>
      </c>
      <c r="Q181" s="245">
        <v>0</v>
      </c>
      <c r="R181" s="245">
        <v>0</v>
      </c>
      <c r="S181" s="245">
        <v>0</v>
      </c>
      <c r="T181" s="199"/>
      <c r="U181" s="241">
        <f t="shared" si="12"/>
        <v>285407.12</v>
      </c>
      <c r="V181" s="240">
        <f t="shared" si="13"/>
        <v>-937304.87000000023</v>
      </c>
      <c r="W181" s="239">
        <f t="shared" si="14"/>
        <v>-0.76657862003954014</v>
      </c>
      <c r="X181" s="238" t="str">
        <f t="shared" si="15"/>
        <v>yes</v>
      </c>
      <c r="Y181" s="243" t="s">
        <v>838</v>
      </c>
      <c r="Z181" s="244">
        <v>22</v>
      </c>
      <c r="AA181" s="243" t="s">
        <v>836</v>
      </c>
      <c r="AB181" s="243" t="s">
        <v>837</v>
      </c>
      <c r="AC181" s="194" t="s">
        <v>829</v>
      </c>
    </row>
    <row r="182" spans="1:29" x14ac:dyDescent="0.25">
      <c r="A182" s="209" t="s">
        <v>436</v>
      </c>
      <c r="B182" s="196" t="s">
        <v>318</v>
      </c>
      <c r="C182" s="194" t="s">
        <v>133</v>
      </c>
      <c r="D182" s="194" t="s">
        <v>452</v>
      </c>
      <c r="E182" s="194" t="s">
        <v>451</v>
      </c>
      <c r="F182" s="200">
        <v>380.3</v>
      </c>
      <c r="G182" s="208">
        <v>432802.92000000016</v>
      </c>
      <c r="H182" s="198">
        <v>6202.06</v>
      </c>
      <c r="I182" s="198">
        <v>22385.040000000001</v>
      </c>
      <c r="J182" s="198">
        <v>31857.73</v>
      </c>
      <c r="K182" s="198">
        <v>12613.54</v>
      </c>
      <c r="L182" s="198">
        <v>7728.1900000000005</v>
      </c>
      <c r="M182" s="199">
        <v>6353.3700000000008</v>
      </c>
      <c r="N182" s="245">
        <v>0</v>
      </c>
      <c r="O182" s="245">
        <v>0</v>
      </c>
      <c r="P182" s="245">
        <v>0</v>
      </c>
      <c r="Q182" s="245">
        <v>0</v>
      </c>
      <c r="R182" s="245">
        <v>0</v>
      </c>
      <c r="S182" s="245">
        <v>0</v>
      </c>
      <c r="T182" s="199"/>
      <c r="U182" s="241">
        <f t="shared" si="12"/>
        <v>87139.93</v>
      </c>
      <c r="V182" s="240">
        <f t="shared" si="13"/>
        <v>-345662.99000000017</v>
      </c>
      <c r="W182" s="239">
        <f t="shared" si="14"/>
        <v>-0.79866140921600071</v>
      </c>
      <c r="X182" s="238" t="str">
        <f t="shared" si="15"/>
        <v/>
      </c>
      <c r="Y182" s="243" t="s">
        <v>838</v>
      </c>
      <c r="Z182" s="244">
        <v>24</v>
      </c>
      <c r="AA182" s="243" t="s">
        <v>836</v>
      </c>
      <c r="AB182" s="243" t="s">
        <v>837</v>
      </c>
      <c r="AC182" s="194" t="s">
        <v>829</v>
      </c>
    </row>
    <row r="183" spans="1:29" x14ac:dyDescent="0.25">
      <c r="A183" s="209" t="s">
        <v>436</v>
      </c>
      <c r="B183" s="196" t="s">
        <v>318</v>
      </c>
      <c r="C183" s="194" t="s">
        <v>133</v>
      </c>
      <c r="D183" s="194" t="s">
        <v>450</v>
      </c>
      <c r="E183" s="194" t="s">
        <v>449</v>
      </c>
      <c r="F183" s="200">
        <v>380.3</v>
      </c>
      <c r="G183" s="208">
        <v>54194.889999999992</v>
      </c>
      <c r="H183" s="198">
        <v>-7771.7</v>
      </c>
      <c r="I183" s="198">
        <v>10092.48</v>
      </c>
      <c r="J183" s="198">
        <v>3002.73</v>
      </c>
      <c r="K183" s="198">
        <v>2716.4800000000005</v>
      </c>
      <c r="L183" s="198">
        <v>6454.0000000000009</v>
      </c>
      <c r="M183" s="199">
        <v>-9766.76</v>
      </c>
      <c r="N183" s="245">
        <v>0</v>
      </c>
      <c r="O183" s="245">
        <v>0</v>
      </c>
      <c r="P183" s="245">
        <v>0</v>
      </c>
      <c r="Q183" s="245">
        <v>0</v>
      </c>
      <c r="R183" s="245">
        <v>0</v>
      </c>
      <c r="S183" s="245">
        <v>0</v>
      </c>
      <c r="T183" s="199"/>
      <c r="U183" s="241">
        <f t="shared" si="12"/>
        <v>4727.2300000000014</v>
      </c>
      <c r="V183" s="240">
        <f t="shared" si="13"/>
        <v>-49467.659999999989</v>
      </c>
      <c r="W183" s="239">
        <f t="shared" si="14"/>
        <v>-0.91277351056529488</v>
      </c>
      <c r="X183" s="238" t="str">
        <f t="shared" si="15"/>
        <v/>
      </c>
      <c r="Y183" s="243" t="s">
        <v>838</v>
      </c>
      <c r="Z183" s="244">
        <v>24</v>
      </c>
      <c r="AA183" s="243" t="s">
        <v>836</v>
      </c>
      <c r="AB183" s="243" t="s">
        <v>837</v>
      </c>
      <c r="AC183" s="194" t="s">
        <v>829</v>
      </c>
    </row>
    <row r="184" spans="1:29" x14ac:dyDescent="0.25">
      <c r="A184" s="209" t="s">
        <v>436</v>
      </c>
      <c r="B184" s="196" t="s">
        <v>318</v>
      </c>
      <c r="C184" s="194" t="s">
        <v>133</v>
      </c>
      <c r="D184" s="194" t="s">
        <v>448</v>
      </c>
      <c r="E184" s="194" t="s">
        <v>447</v>
      </c>
      <c r="F184" s="200">
        <v>380.3</v>
      </c>
      <c r="G184" s="208">
        <v>674851.56</v>
      </c>
      <c r="H184" s="198">
        <v>11423.230000000001</v>
      </c>
      <c r="I184" s="198">
        <v>28714.69</v>
      </c>
      <c r="J184" s="198">
        <v>42952.850000000006</v>
      </c>
      <c r="K184" s="198">
        <v>20886.399999999998</v>
      </c>
      <c r="L184" s="198">
        <v>35249.97</v>
      </c>
      <c r="M184" s="199">
        <v>65603.930000000008</v>
      </c>
      <c r="N184" s="245">
        <v>0</v>
      </c>
      <c r="O184" s="245">
        <v>0</v>
      </c>
      <c r="P184" s="245">
        <v>0</v>
      </c>
      <c r="Q184" s="245">
        <v>0</v>
      </c>
      <c r="R184" s="245">
        <v>0</v>
      </c>
      <c r="S184" s="245">
        <v>0</v>
      </c>
      <c r="T184" s="199"/>
      <c r="U184" s="241">
        <f t="shared" si="12"/>
        <v>204831.07</v>
      </c>
      <c r="V184" s="240">
        <f t="shared" si="13"/>
        <v>-470020.49000000005</v>
      </c>
      <c r="W184" s="239">
        <f t="shared" si="14"/>
        <v>-0.69647981550194538</v>
      </c>
      <c r="X184" s="238" t="str">
        <f t="shared" si="15"/>
        <v/>
      </c>
      <c r="Y184" s="243" t="s">
        <v>838</v>
      </c>
      <c r="Z184" s="244">
        <v>24</v>
      </c>
      <c r="AA184" s="243" t="s">
        <v>836</v>
      </c>
      <c r="AB184" s="243" t="s">
        <v>837</v>
      </c>
      <c r="AC184" s="194" t="s">
        <v>829</v>
      </c>
    </row>
    <row r="185" spans="1:29" x14ac:dyDescent="0.25">
      <c r="A185" s="209" t="s">
        <v>436</v>
      </c>
      <c r="B185" s="196" t="s">
        <v>318</v>
      </c>
      <c r="C185" s="194" t="s">
        <v>133</v>
      </c>
      <c r="D185" s="194" t="s">
        <v>446</v>
      </c>
      <c r="E185" s="194" t="s">
        <v>445</v>
      </c>
      <c r="F185" s="200">
        <v>380.3</v>
      </c>
      <c r="G185" s="208">
        <v>266465.95999999996</v>
      </c>
      <c r="H185" s="198">
        <v>10157.4</v>
      </c>
      <c r="I185" s="198">
        <v>11512.81</v>
      </c>
      <c r="J185" s="198">
        <v>26338.510000000002</v>
      </c>
      <c r="K185" s="198">
        <v>12676.869999999999</v>
      </c>
      <c r="L185" s="198">
        <v>13945.56</v>
      </c>
      <c r="M185" s="199">
        <v>23818.18</v>
      </c>
      <c r="N185" s="245">
        <v>0</v>
      </c>
      <c r="O185" s="245">
        <v>0</v>
      </c>
      <c r="P185" s="245">
        <v>0</v>
      </c>
      <c r="Q185" s="245">
        <v>0</v>
      </c>
      <c r="R185" s="245">
        <v>0</v>
      </c>
      <c r="S185" s="245">
        <v>0</v>
      </c>
      <c r="T185" s="199"/>
      <c r="U185" s="241">
        <f t="shared" si="12"/>
        <v>98449.329999999987</v>
      </c>
      <c r="V185" s="240">
        <f t="shared" si="13"/>
        <v>-168016.62999999998</v>
      </c>
      <c r="W185" s="239">
        <f t="shared" si="14"/>
        <v>-0.63053693612497441</v>
      </c>
      <c r="X185" s="238" t="str">
        <f t="shared" si="15"/>
        <v/>
      </c>
      <c r="Y185" s="243" t="s">
        <v>838</v>
      </c>
      <c r="Z185" s="244">
        <v>24</v>
      </c>
      <c r="AA185" s="243" t="s">
        <v>836</v>
      </c>
      <c r="AB185" s="243" t="s">
        <v>837</v>
      </c>
      <c r="AC185" s="194" t="s">
        <v>829</v>
      </c>
    </row>
    <row r="186" spans="1:29" x14ac:dyDescent="0.25">
      <c r="A186" s="209" t="s">
        <v>436</v>
      </c>
      <c r="B186" s="196" t="s">
        <v>318</v>
      </c>
      <c r="C186" s="194" t="s">
        <v>133</v>
      </c>
      <c r="D186" s="194" t="s">
        <v>444</v>
      </c>
      <c r="E186" s="194" t="s">
        <v>443</v>
      </c>
      <c r="F186" s="200">
        <v>380.3</v>
      </c>
      <c r="G186" s="208">
        <v>1278711.4899999998</v>
      </c>
      <c r="H186" s="198">
        <v>53245.360000000008</v>
      </c>
      <c r="I186" s="198">
        <v>38998.530000000006</v>
      </c>
      <c r="J186" s="198">
        <v>59047.51</v>
      </c>
      <c r="K186" s="198">
        <v>53738.530000000006</v>
      </c>
      <c r="L186" s="198">
        <v>59166.240000000005</v>
      </c>
      <c r="M186" s="199">
        <v>53895.220000000008</v>
      </c>
      <c r="N186" s="245">
        <v>0</v>
      </c>
      <c r="O186" s="245">
        <v>0</v>
      </c>
      <c r="P186" s="245">
        <v>0</v>
      </c>
      <c r="Q186" s="245">
        <v>0</v>
      </c>
      <c r="R186" s="245">
        <v>0</v>
      </c>
      <c r="S186" s="245">
        <v>0</v>
      </c>
      <c r="T186" s="199"/>
      <c r="U186" s="241">
        <f t="shared" si="12"/>
        <v>318091.39000000007</v>
      </c>
      <c r="V186" s="240">
        <f t="shared" si="13"/>
        <v>-960620.09999999963</v>
      </c>
      <c r="W186" s="239">
        <f t="shared" si="14"/>
        <v>-0.75124068839015423</v>
      </c>
      <c r="X186" s="238" t="str">
        <f t="shared" si="15"/>
        <v>yes</v>
      </c>
      <c r="Y186" s="243" t="s">
        <v>838</v>
      </c>
      <c r="Z186" s="244">
        <v>24</v>
      </c>
      <c r="AA186" s="243" t="s">
        <v>836</v>
      </c>
      <c r="AB186" s="243" t="s">
        <v>837</v>
      </c>
      <c r="AC186" s="194" t="s">
        <v>829</v>
      </c>
    </row>
    <row r="187" spans="1:29" x14ac:dyDescent="0.25">
      <c r="A187" s="209" t="s">
        <v>436</v>
      </c>
      <c r="B187" s="196" t="s">
        <v>318</v>
      </c>
      <c r="C187" s="194" t="s">
        <v>133</v>
      </c>
      <c r="D187" s="194" t="s">
        <v>442</v>
      </c>
      <c r="E187" s="194" t="s">
        <v>441</v>
      </c>
      <c r="F187" s="200">
        <v>380.3</v>
      </c>
      <c r="G187" s="208">
        <v>1179967.52</v>
      </c>
      <c r="H187" s="198">
        <v>100514.92000000001</v>
      </c>
      <c r="I187" s="198">
        <v>34172.270000000004</v>
      </c>
      <c r="J187" s="198">
        <v>149016.24999999997</v>
      </c>
      <c r="K187" s="198">
        <v>156655.61000000002</v>
      </c>
      <c r="L187" s="198">
        <v>275976.85000000003</v>
      </c>
      <c r="M187" s="199">
        <v>118266.29999999999</v>
      </c>
      <c r="N187" s="245">
        <v>0</v>
      </c>
      <c r="O187" s="245">
        <v>0</v>
      </c>
      <c r="P187" s="245">
        <v>0</v>
      </c>
      <c r="Q187" s="245">
        <v>0</v>
      </c>
      <c r="R187" s="245">
        <v>0</v>
      </c>
      <c r="S187" s="245">
        <v>0</v>
      </c>
      <c r="T187" s="199"/>
      <c r="U187" s="241">
        <f t="shared" si="12"/>
        <v>834602.2</v>
      </c>
      <c r="V187" s="240">
        <f t="shared" si="13"/>
        <v>-345365.32000000007</v>
      </c>
      <c r="W187" s="239">
        <f t="shared" si="14"/>
        <v>-0.29269053100715864</v>
      </c>
      <c r="X187" s="238" t="str">
        <f t="shared" si="15"/>
        <v/>
      </c>
      <c r="Y187" s="243" t="s">
        <v>838</v>
      </c>
      <c r="Z187" s="244">
        <v>24</v>
      </c>
      <c r="AA187" s="243" t="s">
        <v>836</v>
      </c>
      <c r="AB187" s="243" t="s">
        <v>837</v>
      </c>
      <c r="AC187" s="194" t="s">
        <v>829</v>
      </c>
    </row>
    <row r="188" spans="1:29" x14ac:dyDescent="0.25">
      <c r="A188" s="209" t="s">
        <v>436</v>
      </c>
      <c r="B188" s="196" t="s">
        <v>318</v>
      </c>
      <c r="C188" s="194" t="s">
        <v>133</v>
      </c>
      <c r="D188" s="194" t="s">
        <v>440</v>
      </c>
      <c r="E188" s="194" t="s">
        <v>439</v>
      </c>
      <c r="F188" s="200">
        <v>380.3</v>
      </c>
      <c r="G188" s="208">
        <v>344511.1700000001</v>
      </c>
      <c r="H188" s="198">
        <v>8169.9600000000009</v>
      </c>
      <c r="I188" s="198">
        <v>7153</v>
      </c>
      <c r="J188" s="198">
        <v>16295.45</v>
      </c>
      <c r="K188" s="198">
        <v>24506.690000000002</v>
      </c>
      <c r="L188" s="198">
        <v>25137.919999999998</v>
      </c>
      <c r="M188" s="199">
        <v>19916.960000000003</v>
      </c>
      <c r="N188" s="245">
        <v>0</v>
      </c>
      <c r="O188" s="245">
        <v>0</v>
      </c>
      <c r="P188" s="245">
        <v>0</v>
      </c>
      <c r="Q188" s="245">
        <v>0</v>
      </c>
      <c r="R188" s="245">
        <v>0</v>
      </c>
      <c r="S188" s="245">
        <v>0</v>
      </c>
      <c r="T188" s="199"/>
      <c r="U188" s="241">
        <f t="shared" si="12"/>
        <v>101179.98000000001</v>
      </c>
      <c r="V188" s="240">
        <f t="shared" si="13"/>
        <v>-243331.19000000009</v>
      </c>
      <c r="W188" s="239">
        <f t="shared" si="14"/>
        <v>-0.7063085646831132</v>
      </c>
      <c r="X188" s="238" t="str">
        <f t="shared" si="15"/>
        <v/>
      </c>
      <c r="Y188" s="243" t="s">
        <v>838</v>
      </c>
      <c r="Z188" s="244">
        <v>24</v>
      </c>
      <c r="AA188" s="243" t="s">
        <v>836</v>
      </c>
      <c r="AB188" s="243" t="s">
        <v>837</v>
      </c>
      <c r="AC188" s="194" t="s">
        <v>829</v>
      </c>
    </row>
    <row r="189" spans="1:29" x14ac:dyDescent="0.25">
      <c r="A189" s="209" t="s">
        <v>436</v>
      </c>
      <c r="B189" s="196" t="s">
        <v>318</v>
      </c>
      <c r="C189" s="194" t="s">
        <v>133</v>
      </c>
      <c r="D189" s="194" t="s">
        <v>438</v>
      </c>
      <c r="E189" s="194" t="s">
        <v>437</v>
      </c>
      <c r="F189" s="200">
        <v>380.3</v>
      </c>
      <c r="G189" s="208">
        <v>1103684.1000000003</v>
      </c>
      <c r="H189" s="198">
        <v>24220.95</v>
      </c>
      <c r="I189" s="198">
        <v>23021.22</v>
      </c>
      <c r="J189" s="198">
        <v>58304.52</v>
      </c>
      <c r="K189" s="198">
        <v>25159.539999999997</v>
      </c>
      <c r="L189" s="198">
        <v>32211.1</v>
      </c>
      <c r="M189" s="199">
        <v>14555.56</v>
      </c>
      <c r="N189" s="245">
        <v>0</v>
      </c>
      <c r="O189" s="245">
        <v>0</v>
      </c>
      <c r="P189" s="245">
        <v>0</v>
      </c>
      <c r="Q189" s="245">
        <v>0</v>
      </c>
      <c r="R189" s="245">
        <v>0</v>
      </c>
      <c r="S189" s="245">
        <v>0</v>
      </c>
      <c r="T189" s="199"/>
      <c r="U189" s="241">
        <f t="shared" si="12"/>
        <v>177472.88999999998</v>
      </c>
      <c r="V189" s="240">
        <f t="shared" si="13"/>
        <v>-926211.21000000031</v>
      </c>
      <c r="W189" s="239">
        <f t="shared" si="14"/>
        <v>-0.8391995590042477</v>
      </c>
      <c r="X189" s="238" t="str">
        <f t="shared" si="15"/>
        <v>yes</v>
      </c>
      <c r="Y189" s="243" t="s">
        <v>838</v>
      </c>
      <c r="Z189" s="244">
        <v>24</v>
      </c>
      <c r="AA189" s="243" t="s">
        <v>836</v>
      </c>
      <c r="AB189" s="243" t="s">
        <v>837</v>
      </c>
      <c r="AC189" s="194" t="s">
        <v>829</v>
      </c>
    </row>
    <row r="190" spans="1:29" x14ac:dyDescent="0.25">
      <c r="A190" s="209" t="s">
        <v>436</v>
      </c>
      <c r="B190" s="196" t="s">
        <v>318</v>
      </c>
      <c r="C190" s="194" t="s">
        <v>133</v>
      </c>
      <c r="D190" s="194" t="s">
        <v>435</v>
      </c>
      <c r="E190" s="194" t="s">
        <v>434</v>
      </c>
      <c r="F190" s="200">
        <v>380.3</v>
      </c>
      <c r="G190" s="208">
        <v>1692514.2700000005</v>
      </c>
      <c r="H190" s="198">
        <v>68748.210000000006</v>
      </c>
      <c r="I190" s="198">
        <v>101657.49</v>
      </c>
      <c r="J190" s="198">
        <v>143840.85</v>
      </c>
      <c r="K190" s="198">
        <v>50318.479999999996</v>
      </c>
      <c r="L190" s="198">
        <v>102203.81000000001</v>
      </c>
      <c r="M190" s="199">
        <v>55742.37</v>
      </c>
      <c r="N190" s="245">
        <v>0</v>
      </c>
      <c r="O190" s="245">
        <v>0</v>
      </c>
      <c r="P190" s="245">
        <v>0</v>
      </c>
      <c r="Q190" s="245">
        <v>0</v>
      </c>
      <c r="R190" s="245">
        <v>0</v>
      </c>
      <c r="S190" s="245">
        <v>0</v>
      </c>
      <c r="T190" s="199"/>
      <c r="U190" s="241">
        <f t="shared" si="12"/>
        <v>522511.21</v>
      </c>
      <c r="V190" s="240">
        <f t="shared" si="13"/>
        <v>-1170003.0600000005</v>
      </c>
      <c r="W190" s="239">
        <f t="shared" si="14"/>
        <v>-0.69128106080901774</v>
      </c>
      <c r="X190" s="238" t="str">
        <f t="shared" si="15"/>
        <v>yes</v>
      </c>
      <c r="Y190" s="243" t="s">
        <v>838</v>
      </c>
      <c r="Z190" s="244">
        <v>24</v>
      </c>
      <c r="AA190" s="243" t="s">
        <v>836</v>
      </c>
      <c r="AB190" s="243" t="s">
        <v>837</v>
      </c>
      <c r="AC190" s="194" t="s">
        <v>829</v>
      </c>
    </row>
    <row r="191" spans="1:29" x14ac:dyDescent="0.25">
      <c r="A191" s="209" t="s">
        <v>417</v>
      </c>
      <c r="B191" s="196" t="s">
        <v>318</v>
      </c>
      <c r="C191" s="194" t="s">
        <v>133</v>
      </c>
      <c r="D191" s="194" t="s">
        <v>433</v>
      </c>
      <c r="E191" s="194" t="s">
        <v>432</v>
      </c>
      <c r="F191" s="200">
        <v>376.3</v>
      </c>
      <c r="G191" s="208">
        <v>260834.37784400009</v>
      </c>
      <c r="H191" s="198">
        <v>-19.990000000000002</v>
      </c>
      <c r="I191" s="198">
        <v>67.150000000000006</v>
      </c>
      <c r="J191" s="198">
        <v>3952.59</v>
      </c>
      <c r="K191" s="198">
        <v>6972.12</v>
      </c>
      <c r="L191" s="198">
        <v>0</v>
      </c>
      <c r="M191" s="199">
        <v>5184.3200000000006</v>
      </c>
      <c r="N191" s="245">
        <v>0</v>
      </c>
      <c r="O191" s="245">
        <v>0</v>
      </c>
      <c r="P191" s="245">
        <v>0</v>
      </c>
      <c r="Q191" s="245">
        <v>0</v>
      </c>
      <c r="R191" s="245">
        <v>0</v>
      </c>
      <c r="S191" s="245">
        <v>0</v>
      </c>
      <c r="T191" s="199"/>
      <c r="U191" s="241">
        <f t="shared" si="12"/>
        <v>16156.189999999999</v>
      </c>
      <c r="V191" s="240">
        <f t="shared" si="13"/>
        <v>-244678.18784400009</v>
      </c>
      <c r="W191" s="239">
        <f t="shared" si="14"/>
        <v>-0.93805958350450758</v>
      </c>
      <c r="X191" s="238" t="str">
        <f t="shared" si="15"/>
        <v/>
      </c>
      <c r="Y191" s="243" t="s">
        <v>838</v>
      </c>
      <c r="Z191" s="244">
        <v>26</v>
      </c>
      <c r="AA191" s="243" t="s">
        <v>836</v>
      </c>
      <c r="AB191" s="243" t="s">
        <v>837</v>
      </c>
      <c r="AC191" s="194" t="s">
        <v>318</v>
      </c>
    </row>
    <row r="192" spans="1:29" x14ac:dyDescent="0.25">
      <c r="A192" s="209" t="s">
        <v>417</v>
      </c>
      <c r="B192" s="196" t="s">
        <v>318</v>
      </c>
      <c r="C192" s="194" t="s">
        <v>133</v>
      </c>
      <c r="D192" s="194" t="s">
        <v>431</v>
      </c>
      <c r="E192" s="194" t="s">
        <v>430</v>
      </c>
      <c r="F192" s="200">
        <v>376.3</v>
      </c>
      <c r="G192" s="208">
        <v>19699.351382000001</v>
      </c>
      <c r="H192" s="198">
        <v>7.0000000000000007E-2</v>
      </c>
      <c r="I192" s="198">
        <v>0</v>
      </c>
      <c r="J192" s="198">
        <v>0</v>
      </c>
      <c r="K192" s="198">
        <v>358.58</v>
      </c>
      <c r="L192" s="198">
        <v>0</v>
      </c>
      <c r="M192" s="199">
        <v>0</v>
      </c>
      <c r="N192" s="245">
        <v>0</v>
      </c>
      <c r="O192" s="245">
        <v>0</v>
      </c>
      <c r="P192" s="245">
        <v>0</v>
      </c>
      <c r="Q192" s="245">
        <v>0</v>
      </c>
      <c r="R192" s="245">
        <v>0</v>
      </c>
      <c r="S192" s="245">
        <v>0</v>
      </c>
      <c r="T192" s="199"/>
      <c r="U192" s="241">
        <f t="shared" si="12"/>
        <v>358.65</v>
      </c>
      <c r="V192" s="240">
        <f t="shared" si="13"/>
        <v>-19340.701381999999</v>
      </c>
      <c r="W192" s="239">
        <f t="shared" si="14"/>
        <v>-0.98179381680923195</v>
      </c>
      <c r="X192" s="238" t="str">
        <f t="shared" si="15"/>
        <v/>
      </c>
      <c r="Y192" s="243" t="s">
        <v>838</v>
      </c>
      <c r="Z192" s="244">
        <v>26</v>
      </c>
      <c r="AA192" s="243" t="s">
        <v>836</v>
      </c>
      <c r="AB192" s="243" t="s">
        <v>837</v>
      </c>
      <c r="AC192" s="194" t="s">
        <v>318</v>
      </c>
    </row>
    <row r="193" spans="1:29" x14ac:dyDescent="0.25">
      <c r="A193" s="209" t="s">
        <v>417</v>
      </c>
      <c r="B193" s="196" t="s">
        <v>318</v>
      </c>
      <c r="C193" s="194" t="s">
        <v>133</v>
      </c>
      <c r="D193" s="194" t="s">
        <v>429</v>
      </c>
      <c r="E193" s="194" t="s">
        <v>428</v>
      </c>
      <c r="F193" s="200">
        <v>376.3</v>
      </c>
      <c r="G193" s="208">
        <v>183118.15119299997</v>
      </c>
      <c r="H193" s="198">
        <v>0</v>
      </c>
      <c r="I193" s="198">
        <v>8606.7900000000009</v>
      </c>
      <c r="J193" s="198">
        <v>426.45</v>
      </c>
      <c r="K193" s="198">
        <v>996.22</v>
      </c>
      <c r="L193" s="198">
        <v>-185.62</v>
      </c>
      <c r="M193" s="199">
        <v>0</v>
      </c>
      <c r="N193" s="245">
        <v>0</v>
      </c>
      <c r="O193" s="245">
        <v>0</v>
      </c>
      <c r="P193" s="245">
        <v>0</v>
      </c>
      <c r="Q193" s="245">
        <v>0</v>
      </c>
      <c r="R193" s="245">
        <v>0</v>
      </c>
      <c r="S193" s="245">
        <v>0</v>
      </c>
      <c r="T193" s="199"/>
      <c r="U193" s="241">
        <f t="shared" si="12"/>
        <v>9843.84</v>
      </c>
      <c r="V193" s="240">
        <f t="shared" si="13"/>
        <v>-173274.31119299997</v>
      </c>
      <c r="W193" s="239">
        <f t="shared" si="14"/>
        <v>-0.94624323183765136</v>
      </c>
      <c r="X193" s="238" t="str">
        <f t="shared" si="15"/>
        <v/>
      </c>
      <c r="Y193" s="243" t="s">
        <v>838</v>
      </c>
      <c r="Z193" s="244">
        <v>26</v>
      </c>
      <c r="AA193" s="243" t="s">
        <v>836</v>
      </c>
      <c r="AB193" s="243" t="s">
        <v>837</v>
      </c>
      <c r="AC193" s="194" t="s">
        <v>318</v>
      </c>
    </row>
    <row r="194" spans="1:29" x14ac:dyDescent="0.25">
      <c r="A194" s="209" t="s">
        <v>417</v>
      </c>
      <c r="B194" s="196" t="s">
        <v>318</v>
      </c>
      <c r="C194" s="194" t="s">
        <v>133</v>
      </c>
      <c r="D194" s="194" t="s">
        <v>427</v>
      </c>
      <c r="E194" s="194" t="s">
        <v>426</v>
      </c>
      <c r="F194" s="200">
        <v>376.3</v>
      </c>
      <c r="G194" s="208">
        <v>53179.953616999999</v>
      </c>
      <c r="H194" s="198">
        <v>7498.6500000000005</v>
      </c>
      <c r="I194" s="198">
        <v>0</v>
      </c>
      <c r="J194" s="198">
        <v>0</v>
      </c>
      <c r="K194" s="198">
        <v>0</v>
      </c>
      <c r="L194" s="198">
        <v>0</v>
      </c>
      <c r="M194" s="199">
        <v>0</v>
      </c>
      <c r="N194" s="245">
        <v>0</v>
      </c>
      <c r="O194" s="245">
        <v>0</v>
      </c>
      <c r="P194" s="245">
        <v>0</v>
      </c>
      <c r="Q194" s="245">
        <v>0</v>
      </c>
      <c r="R194" s="245">
        <v>0</v>
      </c>
      <c r="S194" s="245">
        <v>0</v>
      </c>
      <c r="T194" s="199"/>
      <c r="U194" s="241">
        <f t="shared" si="12"/>
        <v>7498.6500000000005</v>
      </c>
      <c r="V194" s="240">
        <f t="shared" si="13"/>
        <v>-45681.303616999998</v>
      </c>
      <c r="W194" s="239">
        <f t="shared" si="14"/>
        <v>-0.8589947999201919</v>
      </c>
      <c r="X194" s="238" t="str">
        <f t="shared" si="15"/>
        <v/>
      </c>
      <c r="Y194" s="243" t="s">
        <v>838</v>
      </c>
      <c r="Z194" s="244">
        <v>26</v>
      </c>
      <c r="AA194" s="243" t="s">
        <v>836</v>
      </c>
      <c r="AB194" s="243" t="s">
        <v>837</v>
      </c>
      <c r="AC194" s="194" t="s">
        <v>318</v>
      </c>
    </row>
    <row r="195" spans="1:29" x14ac:dyDescent="0.25">
      <c r="A195" s="209" t="s">
        <v>417</v>
      </c>
      <c r="B195" s="196" t="s">
        <v>318</v>
      </c>
      <c r="C195" s="194" t="s">
        <v>133</v>
      </c>
      <c r="D195" s="194" t="s">
        <v>425</v>
      </c>
      <c r="E195" s="194" t="s">
        <v>424</v>
      </c>
      <c r="F195" s="200">
        <v>376.3</v>
      </c>
      <c r="G195" s="208">
        <v>386986.508164</v>
      </c>
      <c r="H195" s="198">
        <v>44094.78</v>
      </c>
      <c r="I195" s="198">
        <v>0</v>
      </c>
      <c r="J195" s="198">
        <v>8747.36</v>
      </c>
      <c r="K195" s="198">
        <v>23012.26</v>
      </c>
      <c r="L195" s="198">
        <v>105672.79000000001</v>
      </c>
      <c r="M195" s="199">
        <v>78.850000000000009</v>
      </c>
      <c r="N195" s="245">
        <v>0</v>
      </c>
      <c r="O195" s="245">
        <v>0</v>
      </c>
      <c r="P195" s="245">
        <v>0</v>
      </c>
      <c r="Q195" s="245">
        <v>0</v>
      </c>
      <c r="R195" s="245">
        <v>0</v>
      </c>
      <c r="S195" s="245">
        <v>0</v>
      </c>
      <c r="T195" s="199"/>
      <c r="U195" s="241">
        <f t="shared" si="12"/>
        <v>181606.04</v>
      </c>
      <c r="V195" s="240">
        <f t="shared" si="13"/>
        <v>-205380.46816399999</v>
      </c>
      <c r="W195" s="239">
        <f t="shared" si="14"/>
        <v>-0.53071738634609544</v>
      </c>
      <c r="X195" s="238" t="str">
        <f t="shared" si="15"/>
        <v/>
      </c>
      <c r="Y195" s="243" t="s">
        <v>838</v>
      </c>
      <c r="Z195" s="244">
        <v>26</v>
      </c>
      <c r="AA195" s="243" t="s">
        <v>836</v>
      </c>
      <c r="AB195" s="243" t="s">
        <v>837</v>
      </c>
      <c r="AC195" s="194" t="s">
        <v>318</v>
      </c>
    </row>
    <row r="196" spans="1:29" x14ac:dyDescent="0.25">
      <c r="A196" s="209" t="s">
        <v>417</v>
      </c>
      <c r="B196" s="196" t="s">
        <v>318</v>
      </c>
      <c r="C196" s="194" t="s">
        <v>133</v>
      </c>
      <c r="D196" s="194" t="s">
        <v>423</v>
      </c>
      <c r="E196" s="194" t="s">
        <v>422</v>
      </c>
      <c r="F196" s="200">
        <v>376.3</v>
      </c>
      <c r="G196" s="208">
        <v>209100.09783299998</v>
      </c>
      <c r="H196" s="198">
        <v>-163.49</v>
      </c>
      <c r="I196" s="198">
        <v>13523.130000000001</v>
      </c>
      <c r="J196" s="198">
        <v>0</v>
      </c>
      <c r="K196" s="198">
        <v>0</v>
      </c>
      <c r="L196" s="198">
        <v>0</v>
      </c>
      <c r="M196" s="199">
        <v>60.11</v>
      </c>
      <c r="N196" s="245">
        <v>0</v>
      </c>
      <c r="O196" s="245">
        <v>0</v>
      </c>
      <c r="P196" s="245">
        <v>0</v>
      </c>
      <c r="Q196" s="245">
        <v>0</v>
      </c>
      <c r="R196" s="245">
        <v>0</v>
      </c>
      <c r="S196" s="245">
        <v>0</v>
      </c>
      <c r="T196" s="199"/>
      <c r="U196" s="241">
        <f t="shared" ref="U196:U245" si="17">SUM(H196:T196)</f>
        <v>13419.750000000002</v>
      </c>
      <c r="V196" s="240">
        <f t="shared" ref="V196:V245" si="18">U196-G196</f>
        <v>-195680.34783299998</v>
      </c>
      <c r="W196" s="239">
        <f t="shared" ref="W196:W245" si="19">+IFERROR(V196/G196,"100%")</f>
        <v>-0.93582140735908304</v>
      </c>
      <c r="X196" s="238" t="str">
        <f t="shared" ref="X196:X245" si="20">IFERROR(IF(AND(ABS(V196)&gt;=500000,ABS(W196)&gt;=10%),"yes",""),"")</f>
        <v/>
      </c>
      <c r="Y196" s="243" t="s">
        <v>838</v>
      </c>
      <c r="Z196" s="244">
        <v>26</v>
      </c>
      <c r="AA196" s="243" t="s">
        <v>836</v>
      </c>
      <c r="AB196" s="243" t="s">
        <v>837</v>
      </c>
      <c r="AC196" s="194" t="s">
        <v>318</v>
      </c>
    </row>
    <row r="197" spans="1:29" x14ac:dyDescent="0.25">
      <c r="A197" s="209" t="s">
        <v>417</v>
      </c>
      <c r="B197" s="196" t="s">
        <v>318</v>
      </c>
      <c r="C197" s="194" t="s">
        <v>133</v>
      </c>
      <c r="D197" s="194" t="s">
        <v>421</v>
      </c>
      <c r="E197" s="194" t="s">
        <v>420</v>
      </c>
      <c r="F197" s="200">
        <v>376.3</v>
      </c>
      <c r="G197" s="208">
        <v>294068.29199999996</v>
      </c>
      <c r="H197" s="198">
        <v>0</v>
      </c>
      <c r="I197" s="198">
        <v>0</v>
      </c>
      <c r="J197" s="198">
        <v>0</v>
      </c>
      <c r="K197" s="198">
        <v>0</v>
      </c>
      <c r="L197" s="198">
        <v>0</v>
      </c>
      <c r="M197" s="199">
        <v>0</v>
      </c>
      <c r="N197" s="245">
        <v>0</v>
      </c>
      <c r="O197" s="245">
        <v>0</v>
      </c>
      <c r="P197" s="245">
        <v>0</v>
      </c>
      <c r="Q197" s="245">
        <v>0</v>
      </c>
      <c r="R197" s="245">
        <v>0</v>
      </c>
      <c r="S197" s="245">
        <v>0</v>
      </c>
      <c r="T197" s="199"/>
      <c r="U197" s="241">
        <f t="shared" si="17"/>
        <v>0</v>
      </c>
      <c r="V197" s="240">
        <f t="shared" si="18"/>
        <v>-294068.29199999996</v>
      </c>
      <c r="W197" s="239">
        <f t="shared" si="19"/>
        <v>-1</v>
      </c>
      <c r="X197" s="238" t="str">
        <f t="shared" si="20"/>
        <v/>
      </c>
      <c r="Y197" s="243" t="s">
        <v>838</v>
      </c>
      <c r="Z197" s="244">
        <v>26</v>
      </c>
      <c r="AA197" s="243" t="s">
        <v>836</v>
      </c>
      <c r="AB197" s="243" t="s">
        <v>837</v>
      </c>
      <c r="AC197" s="194" t="s">
        <v>318</v>
      </c>
    </row>
    <row r="198" spans="1:29" x14ac:dyDescent="0.25">
      <c r="A198" s="209" t="s">
        <v>417</v>
      </c>
      <c r="B198" s="196" t="s">
        <v>318</v>
      </c>
      <c r="C198" s="194" t="s">
        <v>133</v>
      </c>
      <c r="D198" s="194" t="s">
        <v>419</v>
      </c>
      <c r="E198" s="194" t="s">
        <v>418</v>
      </c>
      <c r="F198" s="200">
        <v>376.3</v>
      </c>
      <c r="G198" s="208">
        <v>270192.07960999996</v>
      </c>
      <c r="H198" s="198">
        <v>45906.669999999991</v>
      </c>
      <c r="I198" s="198">
        <v>32647.200000000001</v>
      </c>
      <c r="J198" s="198">
        <v>13039.37</v>
      </c>
      <c r="K198" s="198">
        <v>82.55</v>
      </c>
      <c r="L198" s="198">
        <v>0</v>
      </c>
      <c r="M198" s="199">
        <v>250.13</v>
      </c>
      <c r="N198" s="245">
        <v>0</v>
      </c>
      <c r="O198" s="245">
        <v>0</v>
      </c>
      <c r="P198" s="245">
        <v>0</v>
      </c>
      <c r="Q198" s="245">
        <v>0</v>
      </c>
      <c r="R198" s="245">
        <v>0</v>
      </c>
      <c r="S198" s="245">
        <v>0</v>
      </c>
      <c r="T198" s="199"/>
      <c r="U198" s="241">
        <f t="shared" si="17"/>
        <v>91925.92</v>
      </c>
      <c r="V198" s="240">
        <f t="shared" si="18"/>
        <v>-178266.15960999997</v>
      </c>
      <c r="W198" s="239">
        <f t="shared" si="19"/>
        <v>-0.65977566724869396</v>
      </c>
      <c r="X198" s="238" t="str">
        <f t="shared" si="20"/>
        <v/>
      </c>
      <c r="Y198" s="243" t="s">
        <v>838</v>
      </c>
      <c r="Z198" s="244">
        <v>26</v>
      </c>
      <c r="AA198" s="243" t="s">
        <v>836</v>
      </c>
      <c r="AB198" s="243" t="s">
        <v>837</v>
      </c>
      <c r="AC198" s="194" t="s">
        <v>318</v>
      </c>
    </row>
    <row r="199" spans="1:29" x14ac:dyDescent="0.25">
      <c r="A199" s="209" t="s">
        <v>417</v>
      </c>
      <c r="B199" s="196" t="s">
        <v>318</v>
      </c>
      <c r="C199" s="194" t="s">
        <v>133</v>
      </c>
      <c r="D199" s="194" t="s">
        <v>416</v>
      </c>
      <c r="E199" s="194" t="s">
        <v>415</v>
      </c>
      <c r="F199" s="200">
        <v>376.3</v>
      </c>
      <c r="G199" s="208">
        <v>121240.83308500001</v>
      </c>
      <c r="H199" s="198">
        <v>-25.88</v>
      </c>
      <c r="I199" s="198">
        <v>7593.79</v>
      </c>
      <c r="J199" s="198">
        <v>0</v>
      </c>
      <c r="K199" s="198">
        <v>0</v>
      </c>
      <c r="L199" s="198">
        <v>1654.1000000000001</v>
      </c>
      <c r="M199" s="199">
        <v>55489.4</v>
      </c>
      <c r="N199" s="245">
        <v>0</v>
      </c>
      <c r="O199" s="245">
        <v>0</v>
      </c>
      <c r="P199" s="245">
        <v>0</v>
      </c>
      <c r="Q199" s="245">
        <v>0</v>
      </c>
      <c r="R199" s="245">
        <v>0</v>
      </c>
      <c r="S199" s="245">
        <v>0</v>
      </c>
      <c r="T199" s="199"/>
      <c r="U199" s="241">
        <f t="shared" si="17"/>
        <v>64711.41</v>
      </c>
      <c r="V199" s="240">
        <f t="shared" si="18"/>
        <v>-56529.423085000002</v>
      </c>
      <c r="W199" s="239">
        <f t="shared" si="19"/>
        <v>-0.46625729670933663</v>
      </c>
      <c r="X199" s="238" t="str">
        <f t="shared" si="20"/>
        <v/>
      </c>
      <c r="Y199" s="243" t="s">
        <v>838</v>
      </c>
      <c r="Z199" s="244">
        <v>26</v>
      </c>
      <c r="AA199" s="243" t="s">
        <v>836</v>
      </c>
      <c r="AB199" s="243" t="s">
        <v>837</v>
      </c>
      <c r="AC199" s="194" t="s">
        <v>318</v>
      </c>
    </row>
    <row r="200" spans="1:29" x14ac:dyDescent="0.25">
      <c r="A200" s="209" t="s">
        <v>398</v>
      </c>
      <c r="B200" s="196" t="s">
        <v>318</v>
      </c>
      <c r="C200" s="194" t="s">
        <v>133</v>
      </c>
      <c r="D200" s="194" t="s">
        <v>414</v>
      </c>
      <c r="E200" s="194" t="s">
        <v>413</v>
      </c>
      <c r="F200" s="200">
        <v>380.3</v>
      </c>
      <c r="G200" s="208">
        <v>230492.44047400006</v>
      </c>
      <c r="H200" s="198">
        <v>1593.57</v>
      </c>
      <c r="I200" s="198">
        <v>1524.76</v>
      </c>
      <c r="J200" s="198">
        <v>5663.5300000000007</v>
      </c>
      <c r="K200" s="198">
        <v>10574.72</v>
      </c>
      <c r="L200" s="198">
        <v>1179.9100000000001</v>
      </c>
      <c r="M200" s="199">
        <v>15336.599999999999</v>
      </c>
      <c r="N200" s="245">
        <v>0</v>
      </c>
      <c r="O200" s="245">
        <v>0</v>
      </c>
      <c r="P200" s="245">
        <v>0</v>
      </c>
      <c r="Q200" s="245">
        <v>0</v>
      </c>
      <c r="R200" s="245">
        <v>0</v>
      </c>
      <c r="S200" s="245">
        <v>0</v>
      </c>
      <c r="T200" s="199"/>
      <c r="U200" s="241">
        <f t="shared" si="17"/>
        <v>35873.089999999997</v>
      </c>
      <c r="V200" s="240">
        <f t="shared" si="18"/>
        <v>-194619.35047400006</v>
      </c>
      <c r="W200" s="239">
        <f t="shared" si="19"/>
        <v>-0.84436326880730583</v>
      </c>
      <c r="X200" s="238" t="str">
        <f t="shared" si="20"/>
        <v/>
      </c>
      <c r="Y200" s="243" t="s">
        <v>838</v>
      </c>
      <c r="Z200" s="244">
        <v>28</v>
      </c>
      <c r="AA200" s="243" t="s">
        <v>836</v>
      </c>
      <c r="AB200" s="243" t="s">
        <v>837</v>
      </c>
      <c r="AC200" s="194" t="s">
        <v>318</v>
      </c>
    </row>
    <row r="201" spans="1:29" x14ac:dyDescent="0.25">
      <c r="A201" s="209" t="s">
        <v>398</v>
      </c>
      <c r="B201" s="196" t="s">
        <v>318</v>
      </c>
      <c r="C201" s="194" t="s">
        <v>133</v>
      </c>
      <c r="D201" s="194" t="s">
        <v>412</v>
      </c>
      <c r="E201" s="194" t="s">
        <v>411</v>
      </c>
      <c r="F201" s="200">
        <v>380.3</v>
      </c>
      <c r="G201" s="208">
        <v>64673.637801999997</v>
      </c>
      <c r="H201" s="198">
        <v>-61.51</v>
      </c>
      <c r="I201" s="198">
        <v>6142.79</v>
      </c>
      <c r="J201" s="198">
        <v>0</v>
      </c>
      <c r="K201" s="198">
        <v>1137.57</v>
      </c>
      <c r="L201" s="198">
        <v>2199.7599999999998</v>
      </c>
      <c r="M201" s="199">
        <v>1675.29</v>
      </c>
      <c r="N201" s="245">
        <v>0</v>
      </c>
      <c r="O201" s="245">
        <v>0</v>
      </c>
      <c r="P201" s="245">
        <v>0</v>
      </c>
      <c r="Q201" s="245">
        <v>0</v>
      </c>
      <c r="R201" s="245">
        <v>0</v>
      </c>
      <c r="S201" s="245">
        <v>0</v>
      </c>
      <c r="T201" s="199"/>
      <c r="U201" s="241">
        <f t="shared" si="17"/>
        <v>11093.899999999998</v>
      </c>
      <c r="V201" s="240">
        <f t="shared" si="18"/>
        <v>-53579.737802000003</v>
      </c>
      <c r="W201" s="239">
        <f t="shared" si="19"/>
        <v>-0.82846333719522236</v>
      </c>
      <c r="X201" s="238" t="str">
        <f t="shared" si="20"/>
        <v/>
      </c>
      <c r="Y201" s="243" t="s">
        <v>838</v>
      </c>
      <c r="Z201" s="244">
        <v>28</v>
      </c>
      <c r="AA201" s="243" t="s">
        <v>836</v>
      </c>
      <c r="AB201" s="243" t="s">
        <v>837</v>
      </c>
      <c r="AC201" s="194" t="s">
        <v>318</v>
      </c>
    </row>
    <row r="202" spans="1:29" x14ac:dyDescent="0.25">
      <c r="A202" s="209" t="s">
        <v>398</v>
      </c>
      <c r="B202" s="196" t="s">
        <v>318</v>
      </c>
      <c r="C202" s="194" t="s">
        <v>133</v>
      </c>
      <c r="D202" s="194" t="s">
        <v>410</v>
      </c>
      <c r="E202" s="194" t="s">
        <v>409</v>
      </c>
      <c r="F202" s="200">
        <v>380.3</v>
      </c>
      <c r="G202" s="208">
        <v>315682.85518500005</v>
      </c>
      <c r="H202" s="198">
        <v>0</v>
      </c>
      <c r="I202" s="198">
        <v>0</v>
      </c>
      <c r="J202" s="198">
        <v>2530.86</v>
      </c>
      <c r="K202" s="198">
        <v>0</v>
      </c>
      <c r="L202" s="198">
        <v>2690.11</v>
      </c>
      <c r="M202" s="199">
        <v>629.35</v>
      </c>
      <c r="N202" s="245">
        <v>0</v>
      </c>
      <c r="O202" s="245">
        <v>0</v>
      </c>
      <c r="P202" s="245">
        <v>0</v>
      </c>
      <c r="Q202" s="245">
        <v>0</v>
      </c>
      <c r="R202" s="245">
        <v>0</v>
      </c>
      <c r="S202" s="245">
        <v>0</v>
      </c>
      <c r="T202" s="199"/>
      <c r="U202" s="241">
        <f t="shared" si="17"/>
        <v>5850.3200000000006</v>
      </c>
      <c r="V202" s="240">
        <f t="shared" si="18"/>
        <v>-309832.53518500004</v>
      </c>
      <c r="W202" s="239">
        <f t="shared" si="19"/>
        <v>-0.98146772970432128</v>
      </c>
      <c r="X202" s="238" t="str">
        <f t="shared" si="20"/>
        <v/>
      </c>
      <c r="Y202" s="243" t="s">
        <v>838</v>
      </c>
      <c r="Z202" s="244">
        <v>28</v>
      </c>
      <c r="AA202" s="243" t="s">
        <v>836</v>
      </c>
      <c r="AB202" s="243" t="s">
        <v>837</v>
      </c>
      <c r="AC202" s="194" t="s">
        <v>318</v>
      </c>
    </row>
    <row r="203" spans="1:29" x14ac:dyDescent="0.25">
      <c r="A203" s="209" t="s">
        <v>398</v>
      </c>
      <c r="B203" s="196" t="s">
        <v>318</v>
      </c>
      <c r="C203" s="194" t="s">
        <v>133</v>
      </c>
      <c r="D203" s="194" t="s">
        <v>408</v>
      </c>
      <c r="E203" s="194" t="s">
        <v>407</v>
      </c>
      <c r="F203" s="200">
        <v>380.3</v>
      </c>
      <c r="G203" s="208">
        <v>282029.444426</v>
      </c>
      <c r="H203" s="198">
        <v>0</v>
      </c>
      <c r="I203" s="198">
        <v>0</v>
      </c>
      <c r="J203" s="198">
        <v>0</v>
      </c>
      <c r="K203" s="198">
        <v>0</v>
      </c>
      <c r="L203" s="198">
        <v>0</v>
      </c>
      <c r="M203" s="199">
        <v>0</v>
      </c>
      <c r="N203" s="245">
        <v>0</v>
      </c>
      <c r="O203" s="245">
        <v>0</v>
      </c>
      <c r="P203" s="245">
        <v>0</v>
      </c>
      <c r="Q203" s="245">
        <v>0</v>
      </c>
      <c r="R203" s="245">
        <v>0</v>
      </c>
      <c r="S203" s="245">
        <v>0</v>
      </c>
      <c r="T203" s="199"/>
      <c r="U203" s="241">
        <f t="shared" si="17"/>
        <v>0</v>
      </c>
      <c r="V203" s="240">
        <f t="shared" si="18"/>
        <v>-282029.444426</v>
      </c>
      <c r="W203" s="239">
        <f t="shared" si="19"/>
        <v>-1</v>
      </c>
      <c r="X203" s="238" t="str">
        <f t="shared" si="20"/>
        <v/>
      </c>
      <c r="Y203" s="243" t="s">
        <v>838</v>
      </c>
      <c r="Z203" s="244">
        <v>28</v>
      </c>
      <c r="AA203" s="243" t="s">
        <v>836</v>
      </c>
      <c r="AB203" s="243" t="s">
        <v>837</v>
      </c>
      <c r="AC203" s="194" t="s">
        <v>318</v>
      </c>
    </row>
    <row r="204" spans="1:29" x14ac:dyDescent="0.25">
      <c r="A204" s="209" t="s">
        <v>398</v>
      </c>
      <c r="B204" s="196" t="s">
        <v>318</v>
      </c>
      <c r="C204" s="194" t="s">
        <v>133</v>
      </c>
      <c r="D204" s="194" t="s">
        <v>406</v>
      </c>
      <c r="E204" s="194" t="s">
        <v>405</v>
      </c>
      <c r="F204" s="200">
        <v>380.3</v>
      </c>
      <c r="G204" s="208">
        <v>338345.28705900005</v>
      </c>
      <c r="H204" s="198">
        <v>62237.880000000005</v>
      </c>
      <c r="I204" s="198">
        <v>25086.18</v>
      </c>
      <c r="J204" s="198">
        <v>2635.62</v>
      </c>
      <c r="K204" s="198">
        <v>10031.14</v>
      </c>
      <c r="L204" s="198">
        <v>19929.669999999998</v>
      </c>
      <c r="M204" s="199">
        <v>5757.68</v>
      </c>
      <c r="N204" s="245">
        <v>0</v>
      </c>
      <c r="O204" s="245">
        <v>0</v>
      </c>
      <c r="P204" s="245">
        <v>0</v>
      </c>
      <c r="Q204" s="245">
        <v>0</v>
      </c>
      <c r="R204" s="245">
        <v>0</v>
      </c>
      <c r="S204" s="245">
        <v>0</v>
      </c>
      <c r="T204" s="199"/>
      <c r="U204" s="241">
        <f t="shared" si="17"/>
        <v>125678.16999999998</v>
      </c>
      <c r="V204" s="240">
        <f t="shared" si="18"/>
        <v>-212667.11705900007</v>
      </c>
      <c r="W204" s="239">
        <f t="shared" si="19"/>
        <v>-0.6285505523294479</v>
      </c>
      <c r="X204" s="238" t="str">
        <f t="shared" si="20"/>
        <v/>
      </c>
      <c r="Y204" s="243" t="s">
        <v>838</v>
      </c>
      <c r="Z204" s="244">
        <v>28</v>
      </c>
      <c r="AA204" s="243" t="s">
        <v>836</v>
      </c>
      <c r="AB204" s="243" t="s">
        <v>837</v>
      </c>
      <c r="AC204" s="194" t="s">
        <v>318</v>
      </c>
    </row>
    <row r="205" spans="1:29" x14ac:dyDescent="0.25">
      <c r="A205" s="209" t="s">
        <v>398</v>
      </c>
      <c r="B205" s="196" t="s">
        <v>318</v>
      </c>
      <c r="C205" s="194" t="s">
        <v>133</v>
      </c>
      <c r="D205" s="194" t="s">
        <v>404</v>
      </c>
      <c r="E205" s="194" t="s">
        <v>403</v>
      </c>
      <c r="F205" s="200">
        <v>380.3</v>
      </c>
      <c r="G205" s="208">
        <v>127046.58327200002</v>
      </c>
      <c r="H205" s="198">
        <v>1008.49</v>
      </c>
      <c r="I205" s="198">
        <v>1395.21</v>
      </c>
      <c r="J205" s="198">
        <v>4633.54</v>
      </c>
      <c r="K205" s="198">
        <v>-7634.17</v>
      </c>
      <c r="L205" s="198">
        <v>0</v>
      </c>
      <c r="M205" s="199">
        <v>0</v>
      </c>
      <c r="N205" s="245">
        <v>0</v>
      </c>
      <c r="O205" s="245">
        <v>0</v>
      </c>
      <c r="P205" s="245">
        <v>0</v>
      </c>
      <c r="Q205" s="245">
        <v>0</v>
      </c>
      <c r="R205" s="245">
        <v>0</v>
      </c>
      <c r="S205" s="245">
        <v>0</v>
      </c>
      <c r="T205" s="199"/>
      <c r="U205" s="241">
        <f t="shared" si="17"/>
        <v>-596.93000000000029</v>
      </c>
      <c r="V205" s="240">
        <f t="shared" si="18"/>
        <v>-127643.51327200001</v>
      </c>
      <c r="W205" s="239">
        <f t="shared" si="19"/>
        <v>-1.0046985128181054</v>
      </c>
      <c r="X205" s="238" t="str">
        <f t="shared" si="20"/>
        <v/>
      </c>
      <c r="Y205" s="243" t="s">
        <v>838</v>
      </c>
      <c r="Z205" s="244">
        <v>28</v>
      </c>
      <c r="AA205" s="243" t="s">
        <v>836</v>
      </c>
      <c r="AB205" s="243" t="s">
        <v>837</v>
      </c>
      <c r="AC205" s="194" t="s">
        <v>318</v>
      </c>
    </row>
    <row r="206" spans="1:29" x14ac:dyDescent="0.25">
      <c r="A206" s="209" t="s">
        <v>398</v>
      </c>
      <c r="B206" s="196" t="s">
        <v>318</v>
      </c>
      <c r="C206" s="194" t="s">
        <v>133</v>
      </c>
      <c r="D206" s="194" t="s">
        <v>402</v>
      </c>
      <c r="E206" s="194" t="s">
        <v>401</v>
      </c>
      <c r="F206" s="200">
        <v>380.3</v>
      </c>
      <c r="G206" s="208">
        <v>100146.05000999998</v>
      </c>
      <c r="H206" s="198">
        <v>0</v>
      </c>
      <c r="I206" s="198">
        <v>0</v>
      </c>
      <c r="J206" s="198">
        <v>0</v>
      </c>
      <c r="K206" s="198">
        <v>3707.13</v>
      </c>
      <c r="L206" s="198">
        <v>0</v>
      </c>
      <c r="M206" s="199">
        <v>0</v>
      </c>
      <c r="N206" s="245">
        <v>0</v>
      </c>
      <c r="O206" s="245">
        <v>0</v>
      </c>
      <c r="P206" s="245">
        <v>0</v>
      </c>
      <c r="Q206" s="245">
        <v>0</v>
      </c>
      <c r="R206" s="245">
        <v>0</v>
      </c>
      <c r="S206" s="245">
        <v>0</v>
      </c>
      <c r="T206" s="199"/>
      <c r="U206" s="241">
        <f t="shared" si="17"/>
        <v>3707.13</v>
      </c>
      <c r="V206" s="240">
        <f t="shared" si="18"/>
        <v>-96438.920009999973</v>
      </c>
      <c r="W206" s="239">
        <f t="shared" si="19"/>
        <v>-0.96298276367735092</v>
      </c>
      <c r="X206" s="238" t="str">
        <f t="shared" si="20"/>
        <v/>
      </c>
      <c r="Y206" s="243" t="s">
        <v>838</v>
      </c>
      <c r="Z206" s="244">
        <v>28</v>
      </c>
      <c r="AA206" s="243" t="s">
        <v>836</v>
      </c>
      <c r="AB206" s="243" t="s">
        <v>837</v>
      </c>
      <c r="AC206" s="194" t="s">
        <v>318</v>
      </c>
    </row>
    <row r="207" spans="1:29" x14ac:dyDescent="0.25">
      <c r="A207" s="209" t="s">
        <v>398</v>
      </c>
      <c r="B207" s="196" t="s">
        <v>318</v>
      </c>
      <c r="C207" s="194" t="s">
        <v>133</v>
      </c>
      <c r="D207" s="194" t="s">
        <v>400</v>
      </c>
      <c r="E207" s="194" t="s">
        <v>399</v>
      </c>
      <c r="F207" s="200">
        <v>380.3</v>
      </c>
      <c r="G207" s="208">
        <v>231192.58399599997</v>
      </c>
      <c r="H207" s="198">
        <v>5836.94</v>
      </c>
      <c r="I207" s="198">
        <v>10447.51</v>
      </c>
      <c r="J207" s="198">
        <v>245.39000000000001</v>
      </c>
      <c r="K207" s="198">
        <v>2503.17</v>
      </c>
      <c r="L207" s="198">
        <v>6923.6900000000005</v>
      </c>
      <c r="M207" s="199">
        <v>9802.51</v>
      </c>
      <c r="N207" s="245">
        <v>0</v>
      </c>
      <c r="O207" s="245">
        <v>0</v>
      </c>
      <c r="P207" s="245">
        <v>0</v>
      </c>
      <c r="Q207" s="245">
        <v>0</v>
      </c>
      <c r="R207" s="245">
        <v>0</v>
      </c>
      <c r="S207" s="245">
        <v>0</v>
      </c>
      <c r="T207" s="199"/>
      <c r="U207" s="241">
        <f t="shared" si="17"/>
        <v>35759.210000000006</v>
      </c>
      <c r="V207" s="240">
        <f t="shared" si="18"/>
        <v>-195433.37399599998</v>
      </c>
      <c r="W207" s="239">
        <f t="shared" si="19"/>
        <v>-0.84532717537073465</v>
      </c>
      <c r="X207" s="238" t="str">
        <f t="shared" si="20"/>
        <v/>
      </c>
      <c r="Y207" s="243" t="s">
        <v>838</v>
      </c>
      <c r="Z207" s="244">
        <v>28</v>
      </c>
      <c r="AA207" s="243" t="s">
        <v>836</v>
      </c>
      <c r="AB207" s="243" t="s">
        <v>837</v>
      </c>
      <c r="AC207" s="194" t="s">
        <v>318</v>
      </c>
    </row>
    <row r="208" spans="1:29" x14ac:dyDescent="0.25">
      <c r="A208" s="209" t="s">
        <v>398</v>
      </c>
      <c r="B208" s="196" t="s">
        <v>318</v>
      </c>
      <c r="C208" s="194" t="s">
        <v>133</v>
      </c>
      <c r="D208" s="194" t="s">
        <v>397</v>
      </c>
      <c r="E208" s="194" t="s">
        <v>396</v>
      </c>
      <c r="F208" s="200">
        <v>380.3</v>
      </c>
      <c r="G208" s="208">
        <v>88759.269398000004</v>
      </c>
      <c r="H208" s="198">
        <v>0</v>
      </c>
      <c r="I208" s="198">
        <v>0</v>
      </c>
      <c r="J208" s="198">
        <v>0</v>
      </c>
      <c r="K208" s="198">
        <v>0</v>
      </c>
      <c r="L208" s="198">
        <v>0</v>
      </c>
      <c r="M208" s="199">
        <v>0</v>
      </c>
      <c r="N208" s="245">
        <v>0</v>
      </c>
      <c r="O208" s="245">
        <v>0</v>
      </c>
      <c r="P208" s="245">
        <v>0</v>
      </c>
      <c r="Q208" s="245">
        <v>0</v>
      </c>
      <c r="R208" s="245">
        <v>0</v>
      </c>
      <c r="S208" s="245">
        <v>0</v>
      </c>
      <c r="T208" s="199"/>
      <c r="U208" s="241">
        <f t="shared" si="17"/>
        <v>0</v>
      </c>
      <c r="V208" s="240">
        <f t="shared" si="18"/>
        <v>-88759.269398000004</v>
      </c>
      <c r="W208" s="239">
        <f t="shared" si="19"/>
        <v>-1</v>
      </c>
      <c r="X208" s="238" t="str">
        <f t="shared" si="20"/>
        <v/>
      </c>
      <c r="Y208" s="243" t="s">
        <v>838</v>
      </c>
      <c r="Z208" s="244">
        <v>28</v>
      </c>
      <c r="AA208" s="243" t="s">
        <v>836</v>
      </c>
      <c r="AB208" s="243" t="s">
        <v>837</v>
      </c>
      <c r="AC208" s="194" t="s">
        <v>318</v>
      </c>
    </row>
    <row r="209" spans="1:29" x14ac:dyDescent="0.25">
      <c r="A209" s="209" t="s">
        <v>393</v>
      </c>
      <c r="B209" s="196" t="s">
        <v>318</v>
      </c>
      <c r="C209" s="194" t="s">
        <v>133</v>
      </c>
      <c r="D209" s="194" t="s">
        <v>395</v>
      </c>
      <c r="E209" s="194" t="s">
        <v>394</v>
      </c>
      <c r="F209" s="200">
        <v>396.2</v>
      </c>
      <c r="G209" s="208">
        <v>2463904.4573269999</v>
      </c>
      <c r="H209" s="198">
        <v>493910.56</v>
      </c>
      <c r="I209" s="198">
        <v>0</v>
      </c>
      <c r="J209" s="198">
        <v>0</v>
      </c>
      <c r="K209" s="198">
        <v>45.45</v>
      </c>
      <c r="L209" s="198">
        <v>-184409.98</v>
      </c>
      <c r="M209" s="199">
        <v>0</v>
      </c>
      <c r="N209" s="245">
        <v>0</v>
      </c>
      <c r="O209" s="245">
        <v>0</v>
      </c>
      <c r="P209" s="245">
        <v>0</v>
      </c>
      <c r="Q209" s="245">
        <v>0</v>
      </c>
      <c r="R209" s="245">
        <v>0</v>
      </c>
      <c r="S209" s="245">
        <v>0</v>
      </c>
      <c r="T209" s="199"/>
      <c r="U209" s="241">
        <f t="shared" si="17"/>
        <v>309546.03000000003</v>
      </c>
      <c r="V209" s="240">
        <f t="shared" si="18"/>
        <v>-2154358.4273269996</v>
      </c>
      <c r="W209" s="239">
        <f t="shared" si="19"/>
        <v>-0.87436768131187381</v>
      </c>
      <c r="X209" s="238" t="str">
        <f t="shared" si="20"/>
        <v>yes</v>
      </c>
      <c r="Y209" s="243" t="s">
        <v>838</v>
      </c>
      <c r="Z209" s="244">
        <v>30</v>
      </c>
      <c r="AA209" s="243" t="s">
        <v>836</v>
      </c>
      <c r="AB209" s="243" t="s">
        <v>837</v>
      </c>
      <c r="AC209" s="194" t="s">
        <v>318</v>
      </c>
    </row>
    <row r="210" spans="1:29" x14ac:dyDescent="0.25">
      <c r="A210" s="209" t="s">
        <v>393</v>
      </c>
      <c r="B210" s="196" t="s">
        <v>318</v>
      </c>
      <c r="C210" s="194" t="s">
        <v>133</v>
      </c>
      <c r="D210" s="194" t="s">
        <v>392</v>
      </c>
      <c r="E210" s="194" t="s">
        <v>391</v>
      </c>
      <c r="F210" s="200">
        <v>392.2</v>
      </c>
      <c r="G210" s="208">
        <v>1060664.9308400003</v>
      </c>
      <c r="H210" s="198">
        <v>0</v>
      </c>
      <c r="I210" s="198">
        <v>0</v>
      </c>
      <c r="J210" s="198">
        <v>0</v>
      </c>
      <c r="K210" s="198">
        <v>0</v>
      </c>
      <c r="L210" s="198">
        <v>0</v>
      </c>
      <c r="M210" s="199">
        <v>0</v>
      </c>
      <c r="N210" s="245">
        <v>0</v>
      </c>
      <c r="O210" s="245">
        <v>0</v>
      </c>
      <c r="P210" s="245">
        <v>0</v>
      </c>
      <c r="Q210" s="245">
        <v>0</v>
      </c>
      <c r="R210" s="245">
        <v>0</v>
      </c>
      <c r="S210" s="245">
        <v>0</v>
      </c>
      <c r="T210" s="199"/>
      <c r="U210" s="241">
        <f t="shared" si="17"/>
        <v>0</v>
      </c>
      <c r="V210" s="240">
        <f t="shared" si="18"/>
        <v>-1060664.9308400003</v>
      </c>
      <c r="W210" s="239">
        <f t="shared" si="19"/>
        <v>-1</v>
      </c>
      <c r="X210" s="238" t="str">
        <f t="shared" si="20"/>
        <v>yes</v>
      </c>
      <c r="Y210" s="243" t="s">
        <v>838</v>
      </c>
      <c r="Z210" s="244">
        <v>30</v>
      </c>
      <c r="AA210" s="243" t="s">
        <v>836</v>
      </c>
      <c r="AB210" s="243" t="s">
        <v>837</v>
      </c>
      <c r="AC210" s="194" t="s">
        <v>318</v>
      </c>
    </row>
    <row r="211" spans="1:29" x14ac:dyDescent="0.25">
      <c r="A211" s="209" t="str">
        <f t="shared" ref="A211:A245" si="21">RIGHT(D211,LEN(D211)-3)</f>
        <v>101164</v>
      </c>
      <c r="B211" s="196" t="s">
        <v>318</v>
      </c>
      <c r="C211" s="194" t="s">
        <v>133</v>
      </c>
      <c r="D211" s="194" t="s">
        <v>390</v>
      </c>
      <c r="E211" s="194" t="s">
        <v>389</v>
      </c>
      <c r="F211" s="200">
        <v>397.2</v>
      </c>
      <c r="G211" s="208">
        <v>87401.493662000037</v>
      </c>
      <c r="H211" s="198">
        <v>0</v>
      </c>
      <c r="I211" s="198">
        <v>0</v>
      </c>
      <c r="J211" s="198">
        <v>0</v>
      </c>
      <c r="K211" s="198">
        <v>0</v>
      </c>
      <c r="L211" s="198">
        <v>0</v>
      </c>
      <c r="M211" s="199">
        <v>0</v>
      </c>
      <c r="N211" s="245">
        <v>0</v>
      </c>
      <c r="O211" s="245">
        <v>0</v>
      </c>
      <c r="P211" s="245">
        <v>0</v>
      </c>
      <c r="Q211" s="245">
        <v>0</v>
      </c>
      <c r="R211" s="245">
        <v>0</v>
      </c>
      <c r="S211" s="245">
        <v>0</v>
      </c>
      <c r="T211" s="199"/>
      <c r="U211" s="241">
        <f t="shared" si="17"/>
        <v>0</v>
      </c>
      <c r="V211" s="240">
        <f t="shared" si="18"/>
        <v>-87401.493662000037</v>
      </c>
      <c r="W211" s="239">
        <f t="shared" si="19"/>
        <v>-1</v>
      </c>
      <c r="X211" s="238" t="str">
        <f t="shared" si="20"/>
        <v/>
      </c>
      <c r="Y211" s="243" t="s">
        <v>835</v>
      </c>
      <c r="Z211" s="244">
        <v>13</v>
      </c>
      <c r="AA211" s="243" t="s">
        <v>836</v>
      </c>
      <c r="AB211" s="243" t="s">
        <v>831</v>
      </c>
      <c r="AC211" s="194" t="s">
        <v>318</v>
      </c>
    </row>
    <row r="212" spans="1:29" x14ac:dyDescent="0.25">
      <c r="A212" s="209" t="str">
        <f t="shared" si="21"/>
        <v>101210</v>
      </c>
      <c r="B212" s="196" t="s">
        <v>318</v>
      </c>
      <c r="C212" s="194" t="s">
        <v>133</v>
      </c>
      <c r="D212" s="194" t="s">
        <v>388</v>
      </c>
      <c r="E212" s="194" t="s">
        <v>387</v>
      </c>
      <c r="F212" s="200">
        <v>381</v>
      </c>
      <c r="G212" s="208">
        <v>5937987.0246250005</v>
      </c>
      <c r="H212" s="198">
        <v>287460.09000000003</v>
      </c>
      <c r="I212" s="198">
        <v>284320.73</v>
      </c>
      <c r="J212" s="198">
        <v>265867.96000000002</v>
      </c>
      <c r="K212" s="198">
        <v>369227.22000000003</v>
      </c>
      <c r="L212" s="198">
        <v>136959.53</v>
      </c>
      <c r="M212" s="199">
        <v>136509.84</v>
      </c>
      <c r="N212" s="245">
        <v>0</v>
      </c>
      <c r="O212" s="245">
        <v>0</v>
      </c>
      <c r="P212" s="245">
        <v>0</v>
      </c>
      <c r="Q212" s="245">
        <v>0</v>
      </c>
      <c r="R212" s="245">
        <v>0</v>
      </c>
      <c r="S212" s="245">
        <v>0</v>
      </c>
      <c r="T212" s="199"/>
      <c r="U212" s="241">
        <f t="shared" si="17"/>
        <v>1480345.37</v>
      </c>
      <c r="V212" s="240">
        <f t="shared" si="18"/>
        <v>-4457641.6546250004</v>
      </c>
      <c r="W212" s="239">
        <f t="shared" si="19"/>
        <v>-0.75069912348057244</v>
      </c>
      <c r="X212" s="238" t="str">
        <f t="shared" si="20"/>
        <v>yes</v>
      </c>
      <c r="Y212" s="243" t="s">
        <v>838</v>
      </c>
      <c r="Z212" s="244">
        <v>32</v>
      </c>
      <c r="AA212" s="243" t="s">
        <v>836</v>
      </c>
      <c r="AB212" s="243" t="s">
        <v>837</v>
      </c>
      <c r="AC212" s="194" t="s">
        <v>318</v>
      </c>
    </row>
    <row r="213" spans="1:29" x14ac:dyDescent="0.25">
      <c r="A213" s="209" t="str">
        <f t="shared" si="21"/>
        <v>101259</v>
      </c>
      <c r="B213" s="196" t="s">
        <v>318</v>
      </c>
      <c r="C213" s="194" t="s">
        <v>133</v>
      </c>
      <c r="D213" s="194" t="s">
        <v>386</v>
      </c>
      <c r="E213" s="194" t="s">
        <v>385</v>
      </c>
      <c r="F213" s="200">
        <v>383</v>
      </c>
      <c r="G213" s="208">
        <v>547264.69962499989</v>
      </c>
      <c r="H213" s="198">
        <v>95500.640000000014</v>
      </c>
      <c r="I213" s="198">
        <v>21929.13</v>
      </c>
      <c r="J213" s="198">
        <v>29191.810000000005</v>
      </c>
      <c r="K213" s="198">
        <v>11853.55</v>
      </c>
      <c r="L213" s="198">
        <v>79603.69</v>
      </c>
      <c r="M213" s="199">
        <v>22136.25</v>
      </c>
      <c r="N213" s="245">
        <v>0</v>
      </c>
      <c r="O213" s="245">
        <v>0</v>
      </c>
      <c r="P213" s="245">
        <v>0</v>
      </c>
      <c r="Q213" s="245">
        <v>0</v>
      </c>
      <c r="R213" s="245">
        <v>0</v>
      </c>
      <c r="S213" s="245">
        <v>0</v>
      </c>
      <c r="T213" s="199"/>
      <c r="U213" s="241">
        <f t="shared" si="17"/>
        <v>260215.07</v>
      </c>
      <c r="V213" s="240">
        <f t="shared" si="18"/>
        <v>-287049.62962499988</v>
      </c>
      <c r="W213" s="239">
        <f t="shared" si="19"/>
        <v>-0.52451698386848966</v>
      </c>
      <c r="X213" s="238" t="str">
        <f t="shared" si="20"/>
        <v/>
      </c>
      <c r="Y213" s="243" t="s">
        <v>835</v>
      </c>
      <c r="Z213" s="244">
        <v>13</v>
      </c>
      <c r="AA213" s="243" t="s">
        <v>836</v>
      </c>
      <c r="AB213" s="243" t="s">
        <v>831</v>
      </c>
      <c r="AC213" s="194" t="s">
        <v>318</v>
      </c>
    </row>
    <row r="214" spans="1:29" x14ac:dyDescent="0.25">
      <c r="A214" s="209" t="str">
        <f t="shared" si="21"/>
        <v>200662</v>
      </c>
      <c r="B214" s="196" t="s">
        <v>318</v>
      </c>
      <c r="C214" s="194" t="s">
        <v>133</v>
      </c>
      <c r="D214" s="194" t="s">
        <v>384</v>
      </c>
      <c r="E214" s="194" t="s">
        <v>383</v>
      </c>
      <c r="F214" s="200">
        <v>391.3</v>
      </c>
      <c r="G214" s="208">
        <v>113444.00484100005</v>
      </c>
      <c r="H214" s="198">
        <v>0</v>
      </c>
      <c r="I214" s="198">
        <v>0</v>
      </c>
      <c r="J214" s="198">
        <v>0</v>
      </c>
      <c r="K214" s="198">
        <v>0</v>
      </c>
      <c r="L214" s="198">
        <v>0</v>
      </c>
      <c r="M214" s="199">
        <v>940.59</v>
      </c>
      <c r="N214" s="245">
        <v>0</v>
      </c>
      <c r="O214" s="245">
        <v>0</v>
      </c>
      <c r="P214" s="245">
        <v>0</v>
      </c>
      <c r="Q214" s="245">
        <v>0</v>
      </c>
      <c r="R214" s="245">
        <v>0</v>
      </c>
      <c r="S214" s="245">
        <v>0</v>
      </c>
      <c r="T214" s="199"/>
      <c r="U214" s="241">
        <f t="shared" si="17"/>
        <v>940.59</v>
      </c>
      <c r="V214" s="240">
        <f t="shared" si="18"/>
        <v>-112503.41484100005</v>
      </c>
      <c r="W214" s="239">
        <f t="shared" si="19"/>
        <v>-0.99170877296408655</v>
      </c>
      <c r="X214" s="238" t="str">
        <f t="shared" si="20"/>
        <v/>
      </c>
      <c r="Y214" s="243" t="s">
        <v>835</v>
      </c>
      <c r="Z214" s="244">
        <v>13</v>
      </c>
      <c r="AA214" s="243" t="s">
        <v>836</v>
      </c>
      <c r="AB214" s="243" t="s">
        <v>831</v>
      </c>
      <c r="AC214" s="194" t="s">
        <v>318</v>
      </c>
    </row>
    <row r="215" spans="1:29" x14ac:dyDescent="0.25">
      <c r="A215" s="209" t="str">
        <f t="shared" si="21"/>
        <v>316445</v>
      </c>
      <c r="B215" s="196" t="s">
        <v>318</v>
      </c>
      <c r="C215" s="194" t="s">
        <v>133</v>
      </c>
      <c r="D215" s="194" t="s">
        <v>382</v>
      </c>
      <c r="E215" s="194" t="s">
        <v>381</v>
      </c>
      <c r="F215" s="200">
        <v>391.3</v>
      </c>
      <c r="G215" s="208">
        <v>139476.66683600002</v>
      </c>
      <c r="H215" s="198">
        <v>0</v>
      </c>
      <c r="I215" s="198">
        <v>0</v>
      </c>
      <c r="J215" s="198">
        <v>0</v>
      </c>
      <c r="K215" s="198">
        <v>0</v>
      </c>
      <c r="L215" s="198">
        <v>0</v>
      </c>
      <c r="M215" s="199">
        <v>0</v>
      </c>
      <c r="N215" s="245">
        <v>0</v>
      </c>
      <c r="O215" s="245">
        <v>0</v>
      </c>
      <c r="P215" s="245">
        <v>0</v>
      </c>
      <c r="Q215" s="245">
        <v>0</v>
      </c>
      <c r="R215" s="245">
        <v>0</v>
      </c>
      <c r="S215" s="245">
        <v>0</v>
      </c>
      <c r="T215" s="199"/>
      <c r="U215" s="241">
        <f t="shared" si="17"/>
        <v>0</v>
      </c>
      <c r="V215" s="240">
        <f t="shared" si="18"/>
        <v>-139476.66683600002</v>
      </c>
      <c r="W215" s="239">
        <f t="shared" si="19"/>
        <v>-1</v>
      </c>
      <c r="X215" s="238" t="str">
        <f t="shared" si="20"/>
        <v/>
      </c>
      <c r="Y215" s="243" t="s">
        <v>835</v>
      </c>
      <c r="Z215" s="244">
        <v>13</v>
      </c>
      <c r="AA215" s="243" t="s">
        <v>836</v>
      </c>
      <c r="AB215" s="243" t="s">
        <v>831</v>
      </c>
      <c r="AC215" s="194" t="s">
        <v>318</v>
      </c>
    </row>
    <row r="216" spans="1:29" x14ac:dyDescent="0.25">
      <c r="A216" s="209" t="str">
        <f t="shared" si="21"/>
        <v>316832</v>
      </c>
      <c r="B216" s="196" t="s">
        <v>318</v>
      </c>
      <c r="C216" s="194" t="s">
        <v>133</v>
      </c>
      <c r="D216" s="194" t="s">
        <v>380</v>
      </c>
      <c r="E216" s="194" t="s">
        <v>379</v>
      </c>
      <c r="F216" s="200">
        <v>391.5</v>
      </c>
      <c r="G216" s="208">
        <v>97895.851235000009</v>
      </c>
      <c r="H216" s="198">
        <v>0</v>
      </c>
      <c r="I216" s="198">
        <v>0</v>
      </c>
      <c r="J216" s="198">
        <v>0</v>
      </c>
      <c r="K216" s="198">
        <v>0</v>
      </c>
      <c r="L216" s="198">
        <v>0</v>
      </c>
      <c r="M216" s="199">
        <v>0</v>
      </c>
      <c r="N216" s="245">
        <v>0</v>
      </c>
      <c r="O216" s="245">
        <v>0</v>
      </c>
      <c r="P216" s="245">
        <v>0</v>
      </c>
      <c r="Q216" s="245">
        <v>0</v>
      </c>
      <c r="R216" s="245">
        <v>0</v>
      </c>
      <c r="S216" s="245">
        <v>0</v>
      </c>
      <c r="T216" s="199"/>
      <c r="U216" s="241">
        <f t="shared" si="17"/>
        <v>0</v>
      </c>
      <c r="V216" s="240">
        <f t="shared" si="18"/>
        <v>-97895.851235000009</v>
      </c>
      <c r="W216" s="239">
        <f t="shared" si="19"/>
        <v>-1</v>
      </c>
      <c r="X216" s="238" t="str">
        <f t="shared" si="20"/>
        <v/>
      </c>
      <c r="Y216" s="243" t="s">
        <v>835</v>
      </c>
      <c r="Z216" s="244">
        <v>13</v>
      </c>
      <c r="AA216" s="243" t="s">
        <v>836</v>
      </c>
      <c r="AB216" s="243" t="s">
        <v>831</v>
      </c>
      <c r="AC216" s="194" t="s">
        <v>318</v>
      </c>
    </row>
    <row r="217" spans="1:29" x14ac:dyDescent="0.25">
      <c r="A217" s="209" t="str">
        <f t="shared" si="21"/>
        <v>318211</v>
      </c>
      <c r="B217" s="196" t="s">
        <v>318</v>
      </c>
      <c r="C217" s="194" t="s">
        <v>133</v>
      </c>
      <c r="D217" s="194" t="s">
        <v>378</v>
      </c>
      <c r="E217" s="194" t="s">
        <v>377</v>
      </c>
      <c r="F217" s="200">
        <v>397.2</v>
      </c>
      <c r="G217" s="208">
        <v>72377.088960000008</v>
      </c>
      <c r="H217" s="198">
        <v>0</v>
      </c>
      <c r="I217" s="198">
        <v>0</v>
      </c>
      <c r="J217" s="198">
        <v>0</v>
      </c>
      <c r="K217" s="198">
        <v>0</v>
      </c>
      <c r="L217" s="198">
        <v>0</v>
      </c>
      <c r="M217" s="199">
        <v>0</v>
      </c>
      <c r="N217" s="245">
        <v>0</v>
      </c>
      <c r="O217" s="245">
        <v>0</v>
      </c>
      <c r="P217" s="245">
        <v>0</v>
      </c>
      <c r="Q217" s="245">
        <v>0</v>
      </c>
      <c r="R217" s="245">
        <v>0</v>
      </c>
      <c r="S217" s="245">
        <v>0</v>
      </c>
      <c r="T217" s="199"/>
      <c r="U217" s="241">
        <f t="shared" si="17"/>
        <v>0</v>
      </c>
      <c r="V217" s="240">
        <f t="shared" si="18"/>
        <v>-72377.088960000008</v>
      </c>
      <c r="W217" s="239">
        <f t="shared" si="19"/>
        <v>-1</v>
      </c>
      <c r="X217" s="238" t="str">
        <f t="shared" si="20"/>
        <v/>
      </c>
      <c r="Y217" s="243" t="s">
        <v>835</v>
      </c>
      <c r="Z217" s="244">
        <v>13</v>
      </c>
      <c r="AA217" s="243" t="s">
        <v>836</v>
      </c>
      <c r="AB217" s="243" t="s">
        <v>831</v>
      </c>
      <c r="AC217" s="194" t="s">
        <v>318</v>
      </c>
    </row>
    <row r="218" spans="1:29" x14ac:dyDescent="0.25">
      <c r="A218" s="209" t="str">
        <f t="shared" si="21"/>
        <v>320999</v>
      </c>
      <c r="B218" s="196" t="s">
        <v>318</v>
      </c>
      <c r="C218" s="194" t="s">
        <v>133</v>
      </c>
      <c r="D218" s="194" t="s">
        <v>376</v>
      </c>
      <c r="E218" s="194" t="s">
        <v>375</v>
      </c>
      <c r="F218" s="200">
        <v>303</v>
      </c>
      <c r="G218" s="208">
        <v>44563.436257000001</v>
      </c>
      <c r="H218" s="198">
        <v>202.15</v>
      </c>
      <c r="I218" s="198">
        <v>0</v>
      </c>
      <c r="J218" s="198">
        <v>0</v>
      </c>
      <c r="K218" s="198">
        <v>0</v>
      </c>
      <c r="L218" s="198">
        <v>0</v>
      </c>
      <c r="M218" s="199">
        <v>0</v>
      </c>
      <c r="N218" s="245">
        <v>0</v>
      </c>
      <c r="O218" s="245">
        <v>0</v>
      </c>
      <c r="P218" s="245">
        <v>0</v>
      </c>
      <c r="Q218" s="245">
        <v>0</v>
      </c>
      <c r="R218" s="245">
        <v>0</v>
      </c>
      <c r="S218" s="245">
        <v>0</v>
      </c>
      <c r="T218" s="199"/>
      <c r="U218" s="241">
        <f t="shared" si="17"/>
        <v>202.15</v>
      </c>
      <c r="V218" s="240">
        <f t="shared" si="18"/>
        <v>-44361.286257</v>
      </c>
      <c r="W218" s="239">
        <f t="shared" si="19"/>
        <v>-0.99546376992038521</v>
      </c>
      <c r="X218" s="238" t="str">
        <f t="shared" si="20"/>
        <v/>
      </c>
      <c r="Y218" s="243" t="s">
        <v>835</v>
      </c>
      <c r="Z218" s="244">
        <v>1</v>
      </c>
      <c r="AA218" s="243" t="s">
        <v>832</v>
      </c>
      <c r="AB218" s="243" t="s">
        <v>831</v>
      </c>
      <c r="AC218" s="194" t="s">
        <v>318</v>
      </c>
    </row>
    <row r="219" spans="1:29" x14ac:dyDescent="0.25">
      <c r="A219" s="209" t="str">
        <f t="shared" si="21"/>
        <v>321795</v>
      </c>
      <c r="B219" s="196" t="s">
        <v>318</v>
      </c>
      <c r="C219" s="194" t="s">
        <v>133</v>
      </c>
      <c r="D219" s="194" t="s">
        <v>374</v>
      </c>
      <c r="E219" s="194" t="s">
        <v>373</v>
      </c>
      <c r="F219" s="200">
        <v>376.1</v>
      </c>
      <c r="G219" s="208">
        <v>166245.634766</v>
      </c>
      <c r="H219" s="198">
        <v>130790.25</v>
      </c>
      <c r="I219" s="198">
        <v>-87.75</v>
      </c>
      <c r="J219" s="198">
        <v>0</v>
      </c>
      <c r="K219" s="198">
        <v>0</v>
      </c>
      <c r="L219" s="198">
        <v>0</v>
      </c>
      <c r="M219" s="199">
        <v>0</v>
      </c>
      <c r="N219" s="245">
        <v>0</v>
      </c>
      <c r="O219" s="245">
        <v>0</v>
      </c>
      <c r="P219" s="245">
        <v>0</v>
      </c>
      <c r="Q219" s="245">
        <v>0</v>
      </c>
      <c r="R219" s="245">
        <v>0</v>
      </c>
      <c r="S219" s="245">
        <v>0</v>
      </c>
      <c r="T219" s="199"/>
      <c r="U219" s="241">
        <f t="shared" si="17"/>
        <v>130702.5</v>
      </c>
      <c r="V219" s="240">
        <f t="shared" si="18"/>
        <v>-35543.134766000003</v>
      </c>
      <c r="W219" s="239">
        <f t="shared" si="19"/>
        <v>-0.21379890555339359</v>
      </c>
      <c r="X219" s="238" t="str">
        <f t="shared" si="20"/>
        <v/>
      </c>
      <c r="Y219" s="243" t="s">
        <v>835</v>
      </c>
      <c r="Z219" s="244">
        <v>1</v>
      </c>
      <c r="AA219" s="243" t="s">
        <v>832</v>
      </c>
      <c r="AB219" s="243" t="s">
        <v>831</v>
      </c>
      <c r="AC219" s="194" t="s">
        <v>318</v>
      </c>
    </row>
    <row r="220" spans="1:29" x14ac:dyDescent="0.25">
      <c r="A220" s="209" t="str">
        <f t="shared" si="21"/>
        <v>321861</v>
      </c>
      <c r="B220" s="196" t="s">
        <v>318</v>
      </c>
      <c r="C220" s="194" t="s">
        <v>133</v>
      </c>
      <c r="D220" s="194" t="s">
        <v>372</v>
      </c>
      <c r="E220" s="194" t="s">
        <v>371</v>
      </c>
      <c r="F220" s="200">
        <v>376.3</v>
      </c>
      <c r="G220" s="208">
        <v>31306.04</v>
      </c>
      <c r="H220" s="198">
        <v>0</v>
      </c>
      <c r="I220" s="198">
        <v>0</v>
      </c>
      <c r="J220" s="198">
        <v>0</v>
      </c>
      <c r="K220" s="198">
        <v>0</v>
      </c>
      <c r="L220" s="198">
        <v>0</v>
      </c>
      <c r="M220" s="199">
        <v>0</v>
      </c>
      <c r="N220" s="245">
        <v>0</v>
      </c>
      <c r="O220" s="245">
        <v>0</v>
      </c>
      <c r="P220" s="245">
        <v>0</v>
      </c>
      <c r="Q220" s="245">
        <v>0</v>
      </c>
      <c r="R220" s="245">
        <v>0</v>
      </c>
      <c r="S220" s="245">
        <v>0</v>
      </c>
      <c r="T220" s="199"/>
      <c r="U220" s="241">
        <f t="shared" si="17"/>
        <v>0</v>
      </c>
      <c r="V220" s="240">
        <f t="shared" si="18"/>
        <v>-31306.04</v>
      </c>
      <c r="W220" s="239">
        <f t="shared" si="19"/>
        <v>-1</v>
      </c>
      <c r="X220" s="238" t="str">
        <f t="shared" si="20"/>
        <v/>
      </c>
      <c r="Y220" s="243" t="s">
        <v>835</v>
      </c>
      <c r="Z220" s="244">
        <v>1</v>
      </c>
      <c r="AA220" s="243" t="s">
        <v>832</v>
      </c>
      <c r="AB220" s="243" t="s">
        <v>831</v>
      </c>
      <c r="AC220" s="194" t="s">
        <v>830</v>
      </c>
    </row>
    <row r="221" spans="1:29" x14ac:dyDescent="0.25">
      <c r="A221" s="209" t="str">
        <f t="shared" si="21"/>
        <v>321983</v>
      </c>
      <c r="B221" s="196" t="s">
        <v>318</v>
      </c>
      <c r="C221" s="194" t="s">
        <v>133</v>
      </c>
      <c r="D221" s="194" t="s">
        <v>370</v>
      </c>
      <c r="E221" s="194" t="s">
        <v>369</v>
      </c>
      <c r="F221" s="200">
        <v>376.3</v>
      </c>
      <c r="G221" s="208">
        <v>20447.11</v>
      </c>
      <c r="H221" s="198">
        <v>0</v>
      </c>
      <c r="I221" s="198">
        <v>0</v>
      </c>
      <c r="J221" s="198">
        <v>0</v>
      </c>
      <c r="K221" s="198">
        <v>0</v>
      </c>
      <c r="L221" s="198">
        <v>0</v>
      </c>
      <c r="M221" s="199">
        <v>0</v>
      </c>
      <c r="N221" s="245">
        <v>0</v>
      </c>
      <c r="O221" s="245">
        <v>0</v>
      </c>
      <c r="P221" s="245">
        <v>0</v>
      </c>
      <c r="Q221" s="245">
        <v>0</v>
      </c>
      <c r="R221" s="245">
        <v>0</v>
      </c>
      <c r="S221" s="245">
        <v>0</v>
      </c>
      <c r="T221" s="199"/>
      <c r="U221" s="241">
        <f t="shared" si="17"/>
        <v>0</v>
      </c>
      <c r="V221" s="240">
        <f t="shared" si="18"/>
        <v>-20447.11</v>
      </c>
      <c r="W221" s="239">
        <f t="shared" si="19"/>
        <v>-1</v>
      </c>
      <c r="X221" s="238" t="str">
        <f t="shared" si="20"/>
        <v/>
      </c>
      <c r="Y221" s="243" t="s">
        <v>835</v>
      </c>
      <c r="Z221" s="244">
        <v>1</v>
      </c>
      <c r="AA221" s="243" t="s">
        <v>832</v>
      </c>
      <c r="AB221" s="243" t="s">
        <v>831</v>
      </c>
      <c r="AC221" s="194" t="s">
        <v>829</v>
      </c>
    </row>
    <row r="222" spans="1:29" x14ac:dyDescent="0.25">
      <c r="A222" s="209" t="str">
        <f t="shared" si="21"/>
        <v>322598</v>
      </c>
      <c r="B222" s="196" t="s">
        <v>318</v>
      </c>
      <c r="C222" s="194" t="s">
        <v>133</v>
      </c>
      <c r="D222" s="194" t="s">
        <v>368</v>
      </c>
      <c r="E222" s="194" t="s">
        <v>367</v>
      </c>
      <c r="F222" s="200">
        <v>390.1</v>
      </c>
      <c r="G222" s="208">
        <v>126212.5</v>
      </c>
      <c r="H222" s="198">
        <v>0</v>
      </c>
      <c r="I222" s="198">
        <v>0</v>
      </c>
      <c r="J222" s="198">
        <v>0</v>
      </c>
      <c r="K222" s="198">
        <v>0</v>
      </c>
      <c r="L222" s="198">
        <v>0</v>
      </c>
      <c r="M222" s="199">
        <v>0</v>
      </c>
      <c r="N222" s="245">
        <v>0</v>
      </c>
      <c r="O222" s="245">
        <v>0</v>
      </c>
      <c r="P222" s="245">
        <v>0</v>
      </c>
      <c r="Q222" s="245">
        <v>0</v>
      </c>
      <c r="R222" s="245">
        <v>0</v>
      </c>
      <c r="S222" s="245">
        <v>0</v>
      </c>
      <c r="T222" s="199"/>
      <c r="U222" s="241">
        <f t="shared" si="17"/>
        <v>0</v>
      </c>
      <c r="V222" s="240">
        <f t="shared" si="18"/>
        <v>-126212.5</v>
      </c>
      <c r="W222" s="239">
        <f t="shared" si="19"/>
        <v>-1</v>
      </c>
      <c r="X222" s="238" t="str">
        <f t="shared" si="20"/>
        <v/>
      </c>
      <c r="Y222" s="243" t="s">
        <v>835</v>
      </c>
      <c r="Z222" s="244">
        <v>1</v>
      </c>
      <c r="AA222" s="243" t="s">
        <v>832</v>
      </c>
      <c r="AB222" s="243" t="s">
        <v>831</v>
      </c>
      <c r="AC222" s="194" t="s">
        <v>318</v>
      </c>
    </row>
    <row r="223" spans="1:29" x14ac:dyDescent="0.25">
      <c r="A223" s="209" t="str">
        <f t="shared" si="21"/>
        <v>323530</v>
      </c>
      <c r="B223" s="196" t="s">
        <v>318</v>
      </c>
      <c r="C223" s="194" t="s">
        <v>133</v>
      </c>
      <c r="D223" s="194" t="s">
        <v>366</v>
      </c>
      <c r="E223" s="194" t="s">
        <v>365</v>
      </c>
      <c r="F223" s="200">
        <v>376.3</v>
      </c>
      <c r="G223" s="208">
        <v>131189.38</v>
      </c>
      <c r="H223" s="198">
        <v>0</v>
      </c>
      <c r="I223" s="198">
        <v>0</v>
      </c>
      <c r="J223" s="198">
        <v>131189.38</v>
      </c>
      <c r="K223" s="198">
        <v>0</v>
      </c>
      <c r="L223" s="198">
        <v>0</v>
      </c>
      <c r="M223" s="199">
        <v>0</v>
      </c>
      <c r="N223" s="245">
        <v>0</v>
      </c>
      <c r="O223" s="245">
        <v>0</v>
      </c>
      <c r="P223" s="245">
        <v>0</v>
      </c>
      <c r="Q223" s="245">
        <v>0</v>
      </c>
      <c r="R223" s="245">
        <v>0</v>
      </c>
      <c r="S223" s="245">
        <v>0</v>
      </c>
      <c r="T223" s="199"/>
      <c r="U223" s="241">
        <f t="shared" si="17"/>
        <v>131189.38</v>
      </c>
      <c r="V223" s="240">
        <f t="shared" si="18"/>
        <v>0</v>
      </c>
      <c r="W223" s="239">
        <f t="shared" si="19"/>
        <v>0</v>
      </c>
      <c r="X223" s="238" t="str">
        <f t="shared" si="20"/>
        <v/>
      </c>
      <c r="Y223" s="243" t="s">
        <v>835</v>
      </c>
      <c r="Z223" s="244">
        <v>1</v>
      </c>
      <c r="AA223" s="243" t="s">
        <v>832</v>
      </c>
      <c r="AB223" s="243" t="s">
        <v>831</v>
      </c>
      <c r="AC223" s="194" t="s">
        <v>829</v>
      </c>
    </row>
    <row r="224" spans="1:29" x14ac:dyDescent="0.25">
      <c r="A224" s="209" t="str">
        <f t="shared" si="21"/>
        <v>324259</v>
      </c>
      <c r="B224" s="196" t="s">
        <v>318</v>
      </c>
      <c r="C224" s="194" t="s">
        <v>133</v>
      </c>
      <c r="D224" s="194" t="s">
        <v>364</v>
      </c>
      <c r="E224" s="194" t="s">
        <v>363</v>
      </c>
      <c r="F224" s="200">
        <v>397.3</v>
      </c>
      <c r="G224" s="208">
        <v>75322.5</v>
      </c>
      <c r="H224" s="198">
        <v>0</v>
      </c>
      <c r="I224" s="198">
        <v>0</v>
      </c>
      <c r="J224" s="198">
        <v>0</v>
      </c>
      <c r="K224" s="198">
        <v>0</v>
      </c>
      <c r="L224" s="198">
        <v>0</v>
      </c>
      <c r="M224" s="199">
        <v>0</v>
      </c>
      <c r="N224" s="245">
        <v>0</v>
      </c>
      <c r="O224" s="245">
        <v>0</v>
      </c>
      <c r="P224" s="245">
        <v>0</v>
      </c>
      <c r="Q224" s="245">
        <v>0</v>
      </c>
      <c r="R224" s="245">
        <v>0</v>
      </c>
      <c r="S224" s="245">
        <v>0</v>
      </c>
      <c r="T224" s="199"/>
      <c r="U224" s="241">
        <f t="shared" si="17"/>
        <v>0</v>
      </c>
      <c r="V224" s="240">
        <f t="shared" si="18"/>
        <v>-75322.5</v>
      </c>
      <c r="W224" s="239">
        <f t="shared" si="19"/>
        <v>-1</v>
      </c>
      <c r="X224" s="238" t="str">
        <f t="shared" si="20"/>
        <v/>
      </c>
      <c r="Y224" s="243" t="s">
        <v>835</v>
      </c>
      <c r="Z224" s="244">
        <v>1</v>
      </c>
      <c r="AA224" s="243" t="s">
        <v>832</v>
      </c>
      <c r="AB224" s="243" t="s">
        <v>831</v>
      </c>
      <c r="AC224" s="194" t="s">
        <v>318</v>
      </c>
    </row>
    <row r="225" spans="1:29" x14ac:dyDescent="0.25">
      <c r="A225" s="209" t="str">
        <f t="shared" si="21"/>
        <v>324263</v>
      </c>
      <c r="B225" s="196" t="s">
        <v>318</v>
      </c>
      <c r="C225" s="194" t="s">
        <v>133</v>
      </c>
      <c r="D225" s="194" t="s">
        <v>362</v>
      </c>
      <c r="E225" s="194" t="s">
        <v>361</v>
      </c>
      <c r="F225" s="200">
        <v>391.3</v>
      </c>
      <c r="G225" s="208">
        <v>45193.5</v>
      </c>
      <c r="H225" s="198">
        <v>0</v>
      </c>
      <c r="I225" s="198">
        <v>0</v>
      </c>
      <c r="J225" s="198">
        <v>0</v>
      </c>
      <c r="K225" s="198">
        <v>0</v>
      </c>
      <c r="L225" s="198">
        <v>0</v>
      </c>
      <c r="M225" s="199">
        <v>0</v>
      </c>
      <c r="N225" s="245">
        <v>0</v>
      </c>
      <c r="O225" s="245">
        <v>0</v>
      </c>
      <c r="P225" s="245">
        <v>0</v>
      </c>
      <c r="Q225" s="245">
        <v>0</v>
      </c>
      <c r="R225" s="245">
        <v>0</v>
      </c>
      <c r="S225" s="245">
        <v>0</v>
      </c>
      <c r="T225" s="199"/>
      <c r="U225" s="241">
        <f t="shared" si="17"/>
        <v>0</v>
      </c>
      <c r="V225" s="240">
        <f t="shared" si="18"/>
        <v>-45193.5</v>
      </c>
      <c r="W225" s="239">
        <f t="shared" si="19"/>
        <v>-1</v>
      </c>
      <c r="X225" s="238" t="str">
        <f t="shared" si="20"/>
        <v/>
      </c>
      <c r="Y225" s="243" t="s">
        <v>835</v>
      </c>
      <c r="Z225" s="244">
        <v>1</v>
      </c>
      <c r="AA225" s="243" t="s">
        <v>832</v>
      </c>
      <c r="AB225" s="243" t="s">
        <v>831</v>
      </c>
      <c r="AC225" s="194" t="s">
        <v>318</v>
      </c>
    </row>
    <row r="226" spans="1:29" x14ac:dyDescent="0.25">
      <c r="A226" s="209" t="str">
        <f t="shared" si="21"/>
        <v>324267</v>
      </c>
      <c r="B226" s="196" t="s">
        <v>318</v>
      </c>
      <c r="C226" s="194" t="s">
        <v>133</v>
      </c>
      <c r="D226" s="194" t="s">
        <v>360</v>
      </c>
      <c r="E226" s="194" t="s">
        <v>359</v>
      </c>
      <c r="F226" s="200">
        <v>397.2</v>
      </c>
      <c r="G226" s="208">
        <v>0</v>
      </c>
      <c r="H226" s="198">
        <v>0</v>
      </c>
      <c r="I226" s="198">
        <v>0</v>
      </c>
      <c r="J226" s="198">
        <v>0</v>
      </c>
      <c r="K226" s="198">
        <v>0</v>
      </c>
      <c r="L226" s="198">
        <v>0</v>
      </c>
      <c r="M226" s="199">
        <v>0</v>
      </c>
      <c r="N226" s="245">
        <v>0</v>
      </c>
      <c r="O226" s="245">
        <v>0</v>
      </c>
      <c r="P226" s="245">
        <v>0</v>
      </c>
      <c r="Q226" s="245">
        <v>0</v>
      </c>
      <c r="R226" s="245">
        <v>0</v>
      </c>
      <c r="S226" s="245">
        <v>0</v>
      </c>
      <c r="T226" s="199"/>
      <c r="U226" s="241">
        <f t="shared" si="17"/>
        <v>0</v>
      </c>
      <c r="V226" s="240">
        <f t="shared" si="18"/>
        <v>0</v>
      </c>
      <c r="W226" s="239" t="str">
        <f t="shared" si="19"/>
        <v>100%</v>
      </c>
      <c r="X226" s="238" t="str">
        <f t="shared" si="20"/>
        <v/>
      </c>
      <c r="Y226" s="243" t="s">
        <v>835</v>
      </c>
      <c r="Z226" s="244">
        <v>1</v>
      </c>
      <c r="AA226" s="243" t="s">
        <v>832</v>
      </c>
      <c r="AB226" s="243" t="s">
        <v>831</v>
      </c>
      <c r="AC226" s="194" t="s">
        <v>318</v>
      </c>
    </row>
    <row r="227" spans="1:29" x14ac:dyDescent="0.25">
      <c r="A227" s="209" t="str">
        <f t="shared" si="21"/>
        <v>324342</v>
      </c>
      <c r="B227" s="196" t="s">
        <v>318</v>
      </c>
      <c r="C227" s="194" t="s">
        <v>133</v>
      </c>
      <c r="D227" s="194" t="s">
        <v>358</v>
      </c>
      <c r="E227" s="194" t="s">
        <v>357</v>
      </c>
      <c r="F227" s="200">
        <v>376.1</v>
      </c>
      <c r="G227" s="208">
        <v>72206.33808799999</v>
      </c>
      <c r="H227" s="198">
        <v>61746.19</v>
      </c>
      <c r="I227" s="198">
        <v>0</v>
      </c>
      <c r="J227" s="198">
        <v>0</v>
      </c>
      <c r="K227" s="198">
        <v>0</v>
      </c>
      <c r="L227" s="198">
        <v>0</v>
      </c>
      <c r="M227" s="199">
        <v>0</v>
      </c>
      <c r="N227" s="245">
        <v>0</v>
      </c>
      <c r="O227" s="245">
        <v>0</v>
      </c>
      <c r="P227" s="245">
        <v>0</v>
      </c>
      <c r="Q227" s="245">
        <v>0</v>
      </c>
      <c r="R227" s="245">
        <v>0</v>
      </c>
      <c r="S227" s="245">
        <v>0</v>
      </c>
      <c r="T227" s="199"/>
      <c r="U227" s="241">
        <f t="shared" si="17"/>
        <v>61746.19</v>
      </c>
      <c r="V227" s="240">
        <f t="shared" si="18"/>
        <v>-10460.148087999987</v>
      </c>
      <c r="W227" s="239">
        <f t="shared" si="19"/>
        <v>-0.14486468037268274</v>
      </c>
      <c r="X227" s="238" t="str">
        <f t="shared" si="20"/>
        <v/>
      </c>
      <c r="Y227" s="243" t="s">
        <v>835</v>
      </c>
      <c r="Z227" s="244">
        <v>1</v>
      </c>
      <c r="AA227" s="243" t="s">
        <v>832</v>
      </c>
      <c r="AB227" s="243" t="s">
        <v>831</v>
      </c>
      <c r="AC227" s="194" t="s">
        <v>318</v>
      </c>
    </row>
    <row r="228" spans="1:29" x14ac:dyDescent="0.25">
      <c r="A228" s="209" t="str">
        <f t="shared" si="21"/>
        <v>324375</v>
      </c>
      <c r="B228" s="196" t="s">
        <v>318</v>
      </c>
      <c r="C228" s="194" t="s">
        <v>133</v>
      </c>
      <c r="D228" s="194" t="s">
        <v>356</v>
      </c>
      <c r="E228" s="194" t="s">
        <v>355</v>
      </c>
      <c r="F228" s="200">
        <v>376.3</v>
      </c>
      <c r="G228" s="208">
        <v>193815.10948099999</v>
      </c>
      <c r="H228" s="198">
        <v>0</v>
      </c>
      <c r="I228" s="198">
        <v>0</v>
      </c>
      <c r="J228" s="198">
        <v>0</v>
      </c>
      <c r="K228" s="198">
        <v>0</v>
      </c>
      <c r="L228" s="198">
        <v>0</v>
      </c>
      <c r="M228" s="199">
        <v>0</v>
      </c>
      <c r="N228" s="245">
        <v>0</v>
      </c>
      <c r="O228" s="245">
        <v>0</v>
      </c>
      <c r="P228" s="245">
        <v>0</v>
      </c>
      <c r="Q228" s="245">
        <v>0</v>
      </c>
      <c r="R228" s="245">
        <v>0</v>
      </c>
      <c r="S228" s="245">
        <v>0</v>
      </c>
      <c r="T228" s="199"/>
      <c r="U228" s="241">
        <f t="shared" si="17"/>
        <v>0</v>
      </c>
      <c r="V228" s="240">
        <f t="shared" si="18"/>
        <v>-193815.10948099999</v>
      </c>
      <c r="W228" s="239">
        <f t="shared" si="19"/>
        <v>-1</v>
      </c>
      <c r="X228" s="238" t="str">
        <f t="shared" si="20"/>
        <v/>
      </c>
      <c r="Y228" s="243" t="s">
        <v>835</v>
      </c>
      <c r="Z228" s="244">
        <v>1</v>
      </c>
      <c r="AA228" s="243" t="s">
        <v>832</v>
      </c>
      <c r="AB228" s="243" t="s">
        <v>831</v>
      </c>
      <c r="AC228" s="194" t="s">
        <v>318</v>
      </c>
    </row>
    <row r="229" spans="1:29" x14ac:dyDescent="0.25">
      <c r="A229" s="209" t="str">
        <f t="shared" si="21"/>
        <v>324409</v>
      </c>
      <c r="B229" s="196" t="s">
        <v>318</v>
      </c>
      <c r="C229" s="194" t="s">
        <v>133</v>
      </c>
      <c r="D229" s="194" t="s">
        <v>354</v>
      </c>
      <c r="E229" s="194" t="s">
        <v>353</v>
      </c>
      <c r="F229" s="200">
        <v>303</v>
      </c>
      <c r="G229" s="208">
        <v>149733.94637000002</v>
      </c>
      <c r="H229" s="198">
        <v>0</v>
      </c>
      <c r="I229" s="198">
        <v>0</v>
      </c>
      <c r="J229" s="198">
        <v>0</v>
      </c>
      <c r="K229" s="198">
        <v>0</v>
      </c>
      <c r="L229" s="198">
        <v>0</v>
      </c>
      <c r="M229" s="199">
        <v>0</v>
      </c>
      <c r="N229" s="245">
        <v>0</v>
      </c>
      <c r="O229" s="245">
        <v>0</v>
      </c>
      <c r="P229" s="245">
        <v>0</v>
      </c>
      <c r="Q229" s="245">
        <v>0</v>
      </c>
      <c r="R229" s="245">
        <v>0</v>
      </c>
      <c r="S229" s="245">
        <v>0</v>
      </c>
      <c r="T229" s="199"/>
      <c r="U229" s="241">
        <f t="shared" si="17"/>
        <v>0</v>
      </c>
      <c r="V229" s="240">
        <f t="shared" si="18"/>
        <v>-149733.94637000002</v>
      </c>
      <c r="W229" s="239">
        <f t="shared" si="19"/>
        <v>-1</v>
      </c>
      <c r="X229" s="238" t="str">
        <f t="shared" si="20"/>
        <v/>
      </c>
      <c r="Y229" s="243" t="s">
        <v>835</v>
      </c>
      <c r="Z229" s="244">
        <v>1</v>
      </c>
      <c r="AA229" s="243" t="s">
        <v>832</v>
      </c>
      <c r="AB229" s="243" t="s">
        <v>831</v>
      </c>
      <c r="AC229" s="194" t="s">
        <v>318</v>
      </c>
    </row>
    <row r="230" spans="1:29" x14ac:dyDescent="0.25">
      <c r="A230" s="209" t="str">
        <f t="shared" si="21"/>
        <v>324761</v>
      </c>
      <c r="B230" s="196" t="s">
        <v>318</v>
      </c>
      <c r="C230" s="194" t="s">
        <v>133</v>
      </c>
      <c r="D230" s="194" t="s">
        <v>352</v>
      </c>
      <c r="E230" s="194" t="s">
        <v>351</v>
      </c>
      <c r="F230" s="200">
        <v>390.1</v>
      </c>
      <c r="G230" s="208">
        <v>55236.5</v>
      </c>
      <c r="H230" s="198">
        <v>0</v>
      </c>
      <c r="I230" s="198">
        <v>0</v>
      </c>
      <c r="J230" s="198">
        <v>0</v>
      </c>
      <c r="K230" s="198">
        <v>0</v>
      </c>
      <c r="L230" s="198">
        <v>0</v>
      </c>
      <c r="M230" s="199">
        <v>0</v>
      </c>
      <c r="N230" s="245">
        <v>0</v>
      </c>
      <c r="O230" s="245">
        <v>0</v>
      </c>
      <c r="P230" s="245">
        <v>0</v>
      </c>
      <c r="Q230" s="245">
        <v>0</v>
      </c>
      <c r="R230" s="245">
        <v>0</v>
      </c>
      <c r="S230" s="245">
        <v>0</v>
      </c>
      <c r="T230" s="199"/>
      <c r="U230" s="241">
        <f t="shared" si="17"/>
        <v>0</v>
      </c>
      <c r="V230" s="240">
        <f t="shared" si="18"/>
        <v>-55236.5</v>
      </c>
      <c r="W230" s="239">
        <f t="shared" si="19"/>
        <v>-1</v>
      </c>
      <c r="X230" s="238" t="str">
        <f t="shared" si="20"/>
        <v/>
      </c>
      <c r="Y230" s="243" t="s">
        <v>835</v>
      </c>
      <c r="Z230" s="244">
        <v>1</v>
      </c>
      <c r="AA230" s="243" t="s">
        <v>832</v>
      </c>
      <c r="AB230" s="243" t="s">
        <v>831</v>
      </c>
      <c r="AC230" s="194" t="s">
        <v>318</v>
      </c>
    </row>
    <row r="231" spans="1:29" x14ac:dyDescent="0.25">
      <c r="A231" s="209" t="str">
        <f t="shared" si="21"/>
        <v>324790</v>
      </c>
      <c r="B231" s="196" t="s">
        <v>318</v>
      </c>
      <c r="C231" s="194" t="s">
        <v>133</v>
      </c>
      <c r="D231" s="194" t="s">
        <v>350</v>
      </c>
      <c r="E231" s="194" t="s">
        <v>349</v>
      </c>
      <c r="F231" s="200">
        <v>390.1</v>
      </c>
      <c r="G231" s="208">
        <v>9540.85</v>
      </c>
      <c r="H231" s="198">
        <v>0</v>
      </c>
      <c r="I231" s="198">
        <v>0</v>
      </c>
      <c r="J231" s="198">
        <v>0</v>
      </c>
      <c r="K231" s="198">
        <v>8132.37</v>
      </c>
      <c r="L231" s="198">
        <v>217.6</v>
      </c>
      <c r="M231" s="199">
        <v>0</v>
      </c>
      <c r="N231" s="245">
        <v>0</v>
      </c>
      <c r="O231" s="245">
        <v>0</v>
      </c>
      <c r="P231" s="245">
        <v>0</v>
      </c>
      <c r="Q231" s="245">
        <v>0</v>
      </c>
      <c r="R231" s="245">
        <v>0</v>
      </c>
      <c r="S231" s="245">
        <v>0</v>
      </c>
      <c r="T231" s="199"/>
      <c r="U231" s="241">
        <f t="shared" si="17"/>
        <v>8349.9699999999993</v>
      </c>
      <c r="V231" s="240">
        <f t="shared" si="18"/>
        <v>-1190.880000000001</v>
      </c>
      <c r="W231" s="239">
        <f t="shared" si="19"/>
        <v>-0.12481906748350524</v>
      </c>
      <c r="X231" s="238" t="str">
        <f t="shared" si="20"/>
        <v/>
      </c>
      <c r="Y231" s="243" t="s">
        <v>835</v>
      </c>
      <c r="Z231" s="244">
        <v>1</v>
      </c>
      <c r="AA231" s="243" t="s">
        <v>832</v>
      </c>
      <c r="AB231" s="243" t="s">
        <v>831</v>
      </c>
      <c r="AC231" s="194" t="s">
        <v>318</v>
      </c>
    </row>
    <row r="232" spans="1:29" x14ac:dyDescent="0.25">
      <c r="A232" s="209" t="str">
        <f t="shared" si="21"/>
        <v>324847</v>
      </c>
      <c r="B232" s="196" t="s">
        <v>318</v>
      </c>
      <c r="C232" s="194" t="s">
        <v>133</v>
      </c>
      <c r="D232" s="194" t="s">
        <v>348</v>
      </c>
      <c r="E232" s="194" t="s">
        <v>347</v>
      </c>
      <c r="F232" s="200">
        <v>390.1</v>
      </c>
      <c r="G232" s="208">
        <v>150645</v>
      </c>
      <c r="H232" s="198">
        <v>0</v>
      </c>
      <c r="I232" s="198">
        <v>0</v>
      </c>
      <c r="J232" s="198">
        <v>0</v>
      </c>
      <c r="K232" s="198">
        <v>0</v>
      </c>
      <c r="L232" s="198">
        <v>0</v>
      </c>
      <c r="M232" s="199">
        <v>0</v>
      </c>
      <c r="N232" s="245">
        <v>0</v>
      </c>
      <c r="O232" s="245">
        <v>0</v>
      </c>
      <c r="P232" s="245">
        <v>0</v>
      </c>
      <c r="Q232" s="245">
        <v>0</v>
      </c>
      <c r="R232" s="245">
        <v>0</v>
      </c>
      <c r="S232" s="245">
        <v>0</v>
      </c>
      <c r="T232" s="199"/>
      <c r="U232" s="241">
        <f t="shared" si="17"/>
        <v>0</v>
      </c>
      <c r="V232" s="240">
        <f t="shared" si="18"/>
        <v>-150645</v>
      </c>
      <c r="W232" s="239">
        <f t="shared" si="19"/>
        <v>-1</v>
      </c>
      <c r="X232" s="238" t="str">
        <f t="shared" si="20"/>
        <v/>
      </c>
      <c r="Y232" s="243" t="s">
        <v>835</v>
      </c>
      <c r="Z232" s="244">
        <v>1</v>
      </c>
      <c r="AA232" s="243" t="s">
        <v>832</v>
      </c>
      <c r="AB232" s="243" t="s">
        <v>831</v>
      </c>
      <c r="AC232" s="194" t="s">
        <v>318</v>
      </c>
    </row>
    <row r="233" spans="1:29" x14ac:dyDescent="0.25">
      <c r="A233" s="209" t="str">
        <f t="shared" si="21"/>
        <v>324946</v>
      </c>
      <c r="B233" s="196" t="s">
        <v>318</v>
      </c>
      <c r="C233" s="194" t="s">
        <v>133</v>
      </c>
      <c r="D233" s="194" t="s">
        <v>346</v>
      </c>
      <c r="E233" s="194" t="s">
        <v>345</v>
      </c>
      <c r="F233" s="200">
        <v>397.1</v>
      </c>
      <c r="G233" s="208">
        <v>3741.15</v>
      </c>
      <c r="H233" s="198">
        <v>4593.9400000000005</v>
      </c>
      <c r="I233" s="198">
        <v>0</v>
      </c>
      <c r="J233" s="198">
        <v>0</v>
      </c>
      <c r="K233" s="198">
        <v>0</v>
      </c>
      <c r="L233" s="198">
        <v>0</v>
      </c>
      <c r="M233" s="199">
        <v>0</v>
      </c>
      <c r="N233" s="245">
        <v>0</v>
      </c>
      <c r="O233" s="245">
        <v>0</v>
      </c>
      <c r="P233" s="245">
        <v>0</v>
      </c>
      <c r="Q233" s="245">
        <v>0</v>
      </c>
      <c r="R233" s="245">
        <v>0</v>
      </c>
      <c r="S233" s="245">
        <v>0</v>
      </c>
      <c r="T233" s="199"/>
      <c r="U233" s="241">
        <f t="shared" si="17"/>
        <v>4593.9400000000005</v>
      </c>
      <c r="V233" s="240">
        <f t="shared" si="18"/>
        <v>852.79000000000042</v>
      </c>
      <c r="W233" s="239">
        <f t="shared" si="19"/>
        <v>0.22794862542266425</v>
      </c>
      <c r="X233" s="238" t="str">
        <f t="shared" si="20"/>
        <v/>
      </c>
      <c r="Y233" s="243" t="s">
        <v>835</v>
      </c>
      <c r="Z233" s="244">
        <v>1</v>
      </c>
      <c r="AA233" s="243" t="s">
        <v>832</v>
      </c>
      <c r="AB233" s="243" t="s">
        <v>831</v>
      </c>
      <c r="AC233" s="194" t="s">
        <v>318</v>
      </c>
    </row>
    <row r="234" spans="1:29" x14ac:dyDescent="0.25">
      <c r="A234" s="209" t="str">
        <f t="shared" si="21"/>
        <v>324982</v>
      </c>
      <c r="B234" s="196" t="s">
        <v>318</v>
      </c>
      <c r="C234" s="194" t="s">
        <v>133</v>
      </c>
      <c r="D234" s="194" t="s">
        <v>344</v>
      </c>
      <c r="E234" s="194" t="s">
        <v>343</v>
      </c>
      <c r="F234" s="200">
        <v>391.3</v>
      </c>
      <c r="G234" s="208">
        <v>13227.237818814603</v>
      </c>
      <c r="H234" s="198">
        <v>0</v>
      </c>
      <c r="I234" s="198">
        <v>0</v>
      </c>
      <c r="J234" s="198">
        <v>0</v>
      </c>
      <c r="K234" s="198">
        <v>0</v>
      </c>
      <c r="L234" s="198">
        <v>0</v>
      </c>
      <c r="M234" s="199">
        <v>0</v>
      </c>
      <c r="N234" s="245">
        <v>0</v>
      </c>
      <c r="O234" s="245">
        <v>0</v>
      </c>
      <c r="P234" s="245">
        <v>0</v>
      </c>
      <c r="Q234" s="245">
        <v>0</v>
      </c>
      <c r="R234" s="245">
        <v>0</v>
      </c>
      <c r="S234" s="245">
        <v>0</v>
      </c>
      <c r="T234" s="199"/>
      <c r="U234" s="241">
        <f t="shared" si="17"/>
        <v>0</v>
      </c>
      <c r="V234" s="240">
        <f t="shared" si="18"/>
        <v>-13227.237818814603</v>
      </c>
      <c r="W234" s="239">
        <f t="shared" si="19"/>
        <v>-1</v>
      </c>
      <c r="X234" s="238" t="str">
        <f t="shared" si="20"/>
        <v/>
      </c>
      <c r="Y234" s="243" t="s">
        <v>835</v>
      </c>
      <c r="Z234" s="244">
        <v>1</v>
      </c>
      <c r="AA234" s="243" t="s">
        <v>832</v>
      </c>
      <c r="AB234" s="243" t="s">
        <v>831</v>
      </c>
      <c r="AC234" s="194" t="s">
        <v>318</v>
      </c>
    </row>
    <row r="235" spans="1:29" x14ac:dyDescent="0.25">
      <c r="A235" s="209" t="str">
        <f t="shared" si="21"/>
        <v>325055</v>
      </c>
      <c r="B235" s="196" t="s">
        <v>318</v>
      </c>
      <c r="C235" s="194" t="s">
        <v>133</v>
      </c>
      <c r="D235" s="194" t="s">
        <v>342</v>
      </c>
      <c r="E235" s="194" t="s">
        <v>341</v>
      </c>
      <c r="F235" s="200">
        <v>390.1</v>
      </c>
      <c r="G235" s="208">
        <v>9404.2325370000017</v>
      </c>
      <c r="H235" s="198">
        <v>7333.25</v>
      </c>
      <c r="I235" s="198">
        <v>0</v>
      </c>
      <c r="J235" s="198">
        <v>4.76</v>
      </c>
      <c r="K235" s="198">
        <v>0</v>
      </c>
      <c r="L235" s="198">
        <v>0</v>
      </c>
      <c r="M235" s="199">
        <v>0</v>
      </c>
      <c r="N235" s="245">
        <v>0</v>
      </c>
      <c r="O235" s="245">
        <v>0</v>
      </c>
      <c r="P235" s="245">
        <v>0</v>
      </c>
      <c r="Q235" s="245">
        <v>0</v>
      </c>
      <c r="R235" s="245">
        <v>0</v>
      </c>
      <c r="S235" s="245">
        <v>0</v>
      </c>
      <c r="T235" s="199"/>
      <c r="U235" s="241">
        <f t="shared" si="17"/>
        <v>7338.01</v>
      </c>
      <c r="V235" s="240">
        <f t="shared" si="18"/>
        <v>-2066.2225370000015</v>
      </c>
      <c r="W235" s="239">
        <f t="shared" si="19"/>
        <v>-0.21971197850230287</v>
      </c>
      <c r="X235" s="238" t="str">
        <f t="shared" si="20"/>
        <v/>
      </c>
      <c r="Y235" s="243" t="s">
        <v>835</v>
      </c>
      <c r="Z235" s="244">
        <v>1</v>
      </c>
      <c r="AA235" s="243" t="s">
        <v>832</v>
      </c>
      <c r="AB235" s="243" t="s">
        <v>831</v>
      </c>
      <c r="AC235" s="194" t="s">
        <v>318</v>
      </c>
    </row>
    <row r="236" spans="1:29" x14ac:dyDescent="0.25">
      <c r="A236" s="209" t="str">
        <f t="shared" si="21"/>
        <v>325187</v>
      </c>
      <c r="B236" s="196" t="s">
        <v>318</v>
      </c>
      <c r="C236" s="194" t="s">
        <v>133</v>
      </c>
      <c r="D236" s="194" t="s">
        <v>340</v>
      </c>
      <c r="E236" s="194" t="s">
        <v>339</v>
      </c>
      <c r="F236" s="200">
        <v>376.1</v>
      </c>
      <c r="G236" s="208">
        <v>171343.33359999998</v>
      </c>
      <c r="H236" s="198">
        <v>0</v>
      </c>
      <c r="I236" s="198">
        <v>0</v>
      </c>
      <c r="J236" s="198">
        <v>3296.29</v>
      </c>
      <c r="K236" s="198">
        <v>715097.58</v>
      </c>
      <c r="L236" s="198">
        <v>284.07</v>
      </c>
      <c r="M236" s="199">
        <v>0</v>
      </c>
      <c r="N236" s="245">
        <v>0</v>
      </c>
      <c r="O236" s="245">
        <v>0</v>
      </c>
      <c r="P236" s="245">
        <v>0</v>
      </c>
      <c r="Q236" s="245">
        <v>0</v>
      </c>
      <c r="R236" s="245">
        <v>0</v>
      </c>
      <c r="S236" s="245">
        <v>0</v>
      </c>
      <c r="T236" s="199"/>
      <c r="U236" s="241">
        <f t="shared" si="17"/>
        <v>718677.94</v>
      </c>
      <c r="V236" s="240">
        <f t="shared" si="18"/>
        <v>547334.60639999993</v>
      </c>
      <c r="W236" s="239">
        <f t="shared" si="19"/>
        <v>3.194373512527481</v>
      </c>
      <c r="X236" s="238" t="str">
        <f t="shared" si="20"/>
        <v>yes</v>
      </c>
      <c r="Y236" s="243" t="s">
        <v>835</v>
      </c>
      <c r="Z236" s="244">
        <v>1</v>
      </c>
      <c r="AA236" s="243" t="s">
        <v>832</v>
      </c>
      <c r="AB236" s="243" t="s">
        <v>831</v>
      </c>
      <c r="AC236" s="194" t="s">
        <v>318</v>
      </c>
    </row>
    <row r="237" spans="1:29" x14ac:dyDescent="0.25">
      <c r="A237" s="209" t="str">
        <f t="shared" si="21"/>
        <v>325196</v>
      </c>
      <c r="B237" s="196" t="s">
        <v>318</v>
      </c>
      <c r="C237" s="194" t="s">
        <v>133</v>
      </c>
      <c r="D237" s="194" t="s">
        <v>338</v>
      </c>
      <c r="E237" s="194" t="s">
        <v>337</v>
      </c>
      <c r="F237" s="200">
        <v>376.1</v>
      </c>
      <c r="G237" s="208">
        <v>851809.52023000002</v>
      </c>
      <c r="H237" s="198">
        <v>0</v>
      </c>
      <c r="I237" s="198">
        <v>0</v>
      </c>
      <c r="J237" s="198">
        <v>0</v>
      </c>
      <c r="K237" s="198">
        <v>0</v>
      </c>
      <c r="L237" s="198">
        <v>0</v>
      </c>
      <c r="M237" s="199">
        <v>0</v>
      </c>
      <c r="N237" s="245">
        <v>0</v>
      </c>
      <c r="O237" s="245">
        <v>0</v>
      </c>
      <c r="P237" s="245">
        <v>0</v>
      </c>
      <c r="Q237" s="245">
        <v>0</v>
      </c>
      <c r="R237" s="245">
        <v>0</v>
      </c>
      <c r="S237" s="245">
        <v>0</v>
      </c>
      <c r="T237" s="199"/>
      <c r="U237" s="241">
        <f t="shared" si="17"/>
        <v>0</v>
      </c>
      <c r="V237" s="240">
        <f t="shared" si="18"/>
        <v>-851809.52023000002</v>
      </c>
      <c r="W237" s="239">
        <f t="shared" si="19"/>
        <v>-1</v>
      </c>
      <c r="X237" s="238" t="str">
        <f t="shared" si="20"/>
        <v>yes</v>
      </c>
      <c r="Y237" s="243" t="s">
        <v>835</v>
      </c>
      <c r="Z237" s="244">
        <v>1</v>
      </c>
      <c r="AA237" s="243" t="s">
        <v>832</v>
      </c>
      <c r="AB237" s="243" t="s">
        <v>831</v>
      </c>
      <c r="AC237" s="194" t="s">
        <v>318</v>
      </c>
    </row>
    <row r="238" spans="1:29" x14ac:dyDescent="0.25">
      <c r="A238" s="209" t="str">
        <f t="shared" si="21"/>
        <v>325206</v>
      </c>
      <c r="B238" s="196" t="s">
        <v>318</v>
      </c>
      <c r="C238" s="194" t="s">
        <v>133</v>
      </c>
      <c r="D238" s="194" t="s">
        <v>336</v>
      </c>
      <c r="E238" s="194" t="s">
        <v>335</v>
      </c>
      <c r="F238" s="200">
        <v>376.1</v>
      </c>
      <c r="G238" s="208">
        <v>229130.5956</v>
      </c>
      <c r="H238" s="198">
        <v>0</v>
      </c>
      <c r="I238" s="198">
        <v>0</v>
      </c>
      <c r="J238" s="198">
        <v>0</v>
      </c>
      <c r="K238" s="198">
        <v>0</v>
      </c>
      <c r="L238" s="198">
        <v>822423.29</v>
      </c>
      <c r="M238" s="199">
        <v>531.25</v>
      </c>
      <c r="N238" s="245">
        <v>0</v>
      </c>
      <c r="O238" s="245">
        <v>0</v>
      </c>
      <c r="P238" s="245">
        <v>0</v>
      </c>
      <c r="Q238" s="245">
        <v>0</v>
      </c>
      <c r="R238" s="245">
        <v>0</v>
      </c>
      <c r="S238" s="245">
        <v>0</v>
      </c>
      <c r="T238" s="199"/>
      <c r="U238" s="241">
        <f t="shared" si="17"/>
        <v>822954.54</v>
      </c>
      <c r="V238" s="240">
        <f t="shared" si="18"/>
        <v>593823.94440000004</v>
      </c>
      <c r="W238" s="239">
        <f t="shared" si="19"/>
        <v>2.5916396841068572</v>
      </c>
      <c r="X238" s="238" t="str">
        <f t="shared" si="20"/>
        <v>yes</v>
      </c>
      <c r="Y238" s="243" t="s">
        <v>835</v>
      </c>
      <c r="Z238" s="244">
        <v>1</v>
      </c>
      <c r="AA238" s="243" t="s">
        <v>832</v>
      </c>
      <c r="AB238" s="243" t="s">
        <v>831</v>
      </c>
      <c r="AC238" s="194" t="s">
        <v>318</v>
      </c>
    </row>
    <row r="239" spans="1:29" x14ac:dyDescent="0.25">
      <c r="A239" s="209" t="str">
        <f t="shared" si="21"/>
        <v>325214</v>
      </c>
      <c r="B239" s="196" t="s">
        <v>318</v>
      </c>
      <c r="C239" s="194" t="s">
        <v>133</v>
      </c>
      <c r="D239" s="194" t="s">
        <v>334</v>
      </c>
      <c r="E239" s="194" t="s">
        <v>333</v>
      </c>
      <c r="F239" s="200">
        <v>394.1</v>
      </c>
      <c r="G239" s="208">
        <v>622666</v>
      </c>
      <c r="H239" s="198">
        <v>0</v>
      </c>
      <c r="I239" s="198">
        <v>520381.27</v>
      </c>
      <c r="J239" s="198">
        <v>95128.27</v>
      </c>
      <c r="K239" s="198">
        <v>1156.58</v>
      </c>
      <c r="L239" s="198">
        <v>93.68</v>
      </c>
      <c r="M239" s="199">
        <v>94663.63</v>
      </c>
      <c r="N239" s="245">
        <v>0</v>
      </c>
      <c r="O239" s="245">
        <v>0</v>
      </c>
      <c r="P239" s="245">
        <v>0</v>
      </c>
      <c r="Q239" s="245">
        <v>0</v>
      </c>
      <c r="R239" s="245">
        <v>0</v>
      </c>
      <c r="S239" s="245">
        <v>0</v>
      </c>
      <c r="T239" s="199"/>
      <c r="U239" s="241">
        <f t="shared" si="17"/>
        <v>711423.43</v>
      </c>
      <c r="V239" s="240">
        <f t="shared" si="18"/>
        <v>88757.430000000051</v>
      </c>
      <c r="W239" s="239">
        <f t="shared" si="19"/>
        <v>0.14254420507944879</v>
      </c>
      <c r="X239" s="238" t="str">
        <f t="shared" si="20"/>
        <v/>
      </c>
      <c r="Y239" s="243" t="s">
        <v>835</v>
      </c>
      <c r="Z239" s="244">
        <v>1</v>
      </c>
      <c r="AA239" s="243" t="s">
        <v>832</v>
      </c>
      <c r="AB239" s="243" t="s">
        <v>831</v>
      </c>
      <c r="AC239" s="194" t="s">
        <v>318</v>
      </c>
    </row>
    <row r="240" spans="1:29" x14ac:dyDescent="0.25">
      <c r="A240" s="209" t="str">
        <f t="shared" si="21"/>
        <v>321327</v>
      </c>
      <c r="B240" s="196" t="s">
        <v>318</v>
      </c>
      <c r="C240" s="194" t="s">
        <v>326</v>
      </c>
      <c r="D240" s="194" t="s">
        <v>332</v>
      </c>
      <c r="E240" s="194" t="s">
        <v>331</v>
      </c>
      <c r="F240" s="200">
        <v>303</v>
      </c>
      <c r="G240" s="208">
        <v>395808.65443899995</v>
      </c>
      <c r="H240" s="198">
        <v>0</v>
      </c>
      <c r="I240" s="198">
        <v>0</v>
      </c>
      <c r="J240" s="198">
        <v>0</v>
      </c>
      <c r="K240" s="198">
        <v>0</v>
      </c>
      <c r="L240" s="198">
        <v>0</v>
      </c>
      <c r="M240" s="199">
        <v>0</v>
      </c>
      <c r="N240" s="245">
        <v>0</v>
      </c>
      <c r="O240" s="245">
        <v>0</v>
      </c>
      <c r="P240" s="245">
        <v>0</v>
      </c>
      <c r="Q240" s="245">
        <v>0</v>
      </c>
      <c r="R240" s="245">
        <v>0</v>
      </c>
      <c r="S240" s="245">
        <v>0</v>
      </c>
      <c r="T240" s="199"/>
      <c r="U240" s="241">
        <f t="shared" si="17"/>
        <v>0</v>
      </c>
      <c r="V240" s="240">
        <f t="shared" si="18"/>
        <v>-395808.65443899995</v>
      </c>
      <c r="W240" s="239">
        <f t="shared" si="19"/>
        <v>-1</v>
      </c>
      <c r="X240" s="238" t="str">
        <f t="shared" si="20"/>
        <v/>
      </c>
      <c r="Y240" s="243" t="s">
        <v>834</v>
      </c>
      <c r="Z240" s="244">
        <v>1</v>
      </c>
      <c r="AA240" s="243" t="s">
        <v>832</v>
      </c>
      <c r="AB240" s="243" t="s">
        <v>831</v>
      </c>
      <c r="AC240" s="194" t="s">
        <v>318</v>
      </c>
    </row>
    <row r="241" spans="1:29" x14ac:dyDescent="0.25">
      <c r="A241" s="209" t="str">
        <f t="shared" si="21"/>
        <v>321574</v>
      </c>
      <c r="B241" s="196" t="s">
        <v>318</v>
      </c>
      <c r="C241" s="194" t="s">
        <v>326</v>
      </c>
      <c r="D241" s="194" t="s">
        <v>330</v>
      </c>
      <c r="E241" s="194" t="s">
        <v>329</v>
      </c>
      <c r="F241" s="200">
        <v>303</v>
      </c>
      <c r="G241" s="208">
        <v>249076.76</v>
      </c>
      <c r="H241" s="198">
        <v>0</v>
      </c>
      <c r="I241" s="198">
        <v>0</v>
      </c>
      <c r="J241" s="198">
        <v>0</v>
      </c>
      <c r="K241" s="198">
        <v>0</v>
      </c>
      <c r="L241" s="198">
        <v>0</v>
      </c>
      <c r="M241" s="199">
        <v>0</v>
      </c>
      <c r="N241" s="245">
        <v>0</v>
      </c>
      <c r="O241" s="245">
        <v>0</v>
      </c>
      <c r="P241" s="245">
        <v>0</v>
      </c>
      <c r="Q241" s="245">
        <v>0</v>
      </c>
      <c r="R241" s="245">
        <v>0</v>
      </c>
      <c r="S241" s="245">
        <v>0</v>
      </c>
      <c r="T241" s="199"/>
      <c r="U241" s="241">
        <f t="shared" si="17"/>
        <v>0</v>
      </c>
      <c r="V241" s="240">
        <f t="shared" si="18"/>
        <v>-249076.76</v>
      </c>
      <c r="W241" s="239">
        <f t="shared" si="19"/>
        <v>-1</v>
      </c>
      <c r="X241" s="238" t="str">
        <f t="shared" si="20"/>
        <v/>
      </c>
      <c r="Y241" s="243" t="s">
        <v>834</v>
      </c>
      <c r="Z241" s="244">
        <v>1</v>
      </c>
      <c r="AA241" s="243" t="s">
        <v>832</v>
      </c>
      <c r="AB241" s="243" t="s">
        <v>831</v>
      </c>
      <c r="AC241" s="194" t="s">
        <v>318</v>
      </c>
    </row>
    <row r="242" spans="1:29" x14ac:dyDescent="0.25">
      <c r="A242" s="209" t="str">
        <f t="shared" si="21"/>
        <v>322685</v>
      </c>
      <c r="B242" s="196" t="s">
        <v>318</v>
      </c>
      <c r="C242" s="194" t="s">
        <v>326</v>
      </c>
      <c r="D242" s="194" t="s">
        <v>328</v>
      </c>
      <c r="E242" s="194" t="s">
        <v>327</v>
      </c>
      <c r="F242" s="200">
        <v>303</v>
      </c>
      <c r="G242" s="208">
        <v>0</v>
      </c>
      <c r="H242" s="198">
        <v>0</v>
      </c>
      <c r="I242" s="198">
        <v>0</v>
      </c>
      <c r="J242" s="198">
        <v>0</v>
      </c>
      <c r="K242" s="198">
        <v>0</v>
      </c>
      <c r="L242" s="198">
        <v>0</v>
      </c>
      <c r="M242" s="199">
        <v>0</v>
      </c>
      <c r="N242" s="245">
        <v>0</v>
      </c>
      <c r="O242" s="245">
        <v>0</v>
      </c>
      <c r="P242" s="245">
        <v>0</v>
      </c>
      <c r="Q242" s="245">
        <v>0</v>
      </c>
      <c r="R242" s="245">
        <v>0</v>
      </c>
      <c r="S242" s="245">
        <v>0</v>
      </c>
      <c r="T242" s="199"/>
      <c r="U242" s="241">
        <f t="shared" si="17"/>
        <v>0</v>
      </c>
      <c r="V242" s="240">
        <f t="shared" si="18"/>
        <v>0</v>
      </c>
      <c r="W242" s="239" t="str">
        <f t="shared" si="19"/>
        <v>100%</v>
      </c>
      <c r="X242" s="238" t="str">
        <f t="shared" si="20"/>
        <v/>
      </c>
      <c r="Y242" s="243" t="s">
        <v>834</v>
      </c>
      <c r="Z242" s="244">
        <v>1</v>
      </c>
      <c r="AA242" s="243" t="s">
        <v>832</v>
      </c>
      <c r="AB242" s="243" t="s">
        <v>831</v>
      </c>
      <c r="AC242" s="194" t="s">
        <v>318</v>
      </c>
    </row>
    <row r="243" spans="1:29" x14ac:dyDescent="0.25">
      <c r="A243" s="209" t="str">
        <f t="shared" si="21"/>
        <v>324014</v>
      </c>
      <c r="B243" s="196" t="s">
        <v>318</v>
      </c>
      <c r="C243" s="194" t="s">
        <v>326</v>
      </c>
      <c r="D243" s="194" t="s">
        <v>325</v>
      </c>
      <c r="E243" s="194" t="s">
        <v>324</v>
      </c>
      <c r="F243" s="200">
        <v>303</v>
      </c>
      <c r="G243" s="208">
        <v>0</v>
      </c>
      <c r="H243" s="198">
        <v>0</v>
      </c>
      <c r="I243" s="198">
        <v>0</v>
      </c>
      <c r="J243" s="198">
        <v>0</v>
      </c>
      <c r="K243" s="198">
        <v>0</v>
      </c>
      <c r="L243" s="198">
        <v>0</v>
      </c>
      <c r="M243" s="199">
        <v>0</v>
      </c>
      <c r="N243" s="245">
        <v>0</v>
      </c>
      <c r="O243" s="245">
        <v>0</v>
      </c>
      <c r="P243" s="245">
        <v>0</v>
      </c>
      <c r="Q243" s="245">
        <v>0</v>
      </c>
      <c r="R243" s="245">
        <v>0</v>
      </c>
      <c r="S243" s="245">
        <v>0</v>
      </c>
      <c r="T243" s="199"/>
      <c r="U243" s="241">
        <f t="shared" si="17"/>
        <v>0</v>
      </c>
      <c r="V243" s="240">
        <f t="shared" si="18"/>
        <v>0</v>
      </c>
      <c r="W243" s="239" t="str">
        <f t="shared" si="19"/>
        <v>100%</v>
      </c>
      <c r="X243" s="238" t="str">
        <f t="shared" si="20"/>
        <v/>
      </c>
      <c r="Y243" s="243" t="s">
        <v>834</v>
      </c>
      <c r="Z243" s="244">
        <v>1</v>
      </c>
      <c r="AA243" s="243" t="s">
        <v>832</v>
      </c>
      <c r="AB243" s="243" t="s">
        <v>831</v>
      </c>
      <c r="AC243" s="194" t="s">
        <v>318</v>
      </c>
    </row>
    <row r="244" spans="1:29" x14ac:dyDescent="0.25">
      <c r="A244" s="209" t="str">
        <f t="shared" si="21"/>
        <v>200064</v>
      </c>
      <c r="B244" s="196" t="s">
        <v>318</v>
      </c>
      <c r="C244" s="194" t="s">
        <v>321</v>
      </c>
      <c r="D244" s="194" t="s">
        <v>323</v>
      </c>
      <c r="E244" s="194" t="s">
        <v>322</v>
      </c>
      <c r="F244" s="200">
        <v>303</v>
      </c>
      <c r="G244" s="208">
        <v>148544.66490900001</v>
      </c>
      <c r="H244" s="198">
        <v>3122.75</v>
      </c>
      <c r="I244" s="198">
        <v>0</v>
      </c>
      <c r="J244" s="198">
        <v>0</v>
      </c>
      <c r="K244" s="198">
        <v>0</v>
      </c>
      <c r="L244" s="198">
        <v>0</v>
      </c>
      <c r="M244" s="199">
        <v>0</v>
      </c>
      <c r="N244" s="245">
        <v>0</v>
      </c>
      <c r="O244" s="245">
        <v>0</v>
      </c>
      <c r="P244" s="245">
        <v>0</v>
      </c>
      <c r="Q244" s="245">
        <v>0</v>
      </c>
      <c r="R244" s="245">
        <v>0</v>
      </c>
      <c r="S244" s="245">
        <v>0</v>
      </c>
      <c r="T244" s="199"/>
      <c r="U244" s="241">
        <f t="shared" si="17"/>
        <v>3122.75</v>
      </c>
      <c r="V244" s="240">
        <f t="shared" si="18"/>
        <v>-145421.91490900001</v>
      </c>
      <c r="W244" s="239">
        <f t="shared" si="19"/>
        <v>-0.9789777034273629</v>
      </c>
      <c r="X244" s="238" t="str">
        <f t="shared" si="20"/>
        <v/>
      </c>
      <c r="Y244" s="243" t="s">
        <v>833</v>
      </c>
      <c r="Z244" s="244">
        <v>1</v>
      </c>
      <c r="AA244" s="243" t="s">
        <v>832</v>
      </c>
      <c r="AB244" s="243" t="s">
        <v>831</v>
      </c>
      <c r="AC244" s="194" t="s">
        <v>318</v>
      </c>
    </row>
    <row r="245" spans="1:29" x14ac:dyDescent="0.25">
      <c r="A245" s="209" t="str">
        <f t="shared" si="21"/>
        <v>322873</v>
      </c>
      <c r="B245" s="196" t="s">
        <v>318</v>
      </c>
      <c r="C245" s="194" t="s">
        <v>321</v>
      </c>
      <c r="D245" s="194" t="s">
        <v>320</v>
      </c>
      <c r="E245" s="194" t="s">
        <v>319</v>
      </c>
      <c r="F245" s="200">
        <v>303</v>
      </c>
      <c r="G245" s="208">
        <v>0</v>
      </c>
      <c r="H245" s="198">
        <v>0</v>
      </c>
      <c r="I245" s="198">
        <v>0</v>
      </c>
      <c r="J245" s="198">
        <v>0</v>
      </c>
      <c r="K245" s="198">
        <v>0</v>
      </c>
      <c r="L245" s="198">
        <v>0</v>
      </c>
      <c r="M245" s="199">
        <v>0</v>
      </c>
      <c r="N245" s="245">
        <v>0</v>
      </c>
      <c r="O245" s="245">
        <v>0</v>
      </c>
      <c r="P245" s="245">
        <v>0</v>
      </c>
      <c r="Q245" s="245">
        <v>0</v>
      </c>
      <c r="R245" s="245">
        <v>0</v>
      </c>
      <c r="S245" s="245">
        <v>0</v>
      </c>
      <c r="T245" s="199"/>
      <c r="U245" s="241">
        <f t="shared" si="17"/>
        <v>0</v>
      </c>
      <c r="V245" s="240">
        <f t="shared" si="18"/>
        <v>0</v>
      </c>
      <c r="W245" s="239" t="str">
        <f t="shared" si="19"/>
        <v>100%</v>
      </c>
      <c r="X245" s="238" t="str">
        <f t="shared" si="20"/>
        <v/>
      </c>
      <c r="Y245" s="243" t="s">
        <v>833</v>
      </c>
      <c r="Z245" s="244">
        <v>1</v>
      </c>
      <c r="AA245" s="243" t="s">
        <v>832</v>
      </c>
      <c r="AB245" s="243" t="s">
        <v>831</v>
      </c>
      <c r="AC245" s="194" t="s">
        <v>318</v>
      </c>
    </row>
    <row r="246" spans="1:29" x14ac:dyDescent="0.25">
      <c r="B246" s="206" t="s">
        <v>317</v>
      </c>
      <c r="C246" s="205"/>
      <c r="D246" s="205"/>
      <c r="E246" s="205"/>
      <c r="F246" s="204"/>
      <c r="G246" s="203">
        <f>SUBTOTAL(9,G247:G331)</f>
        <v>0</v>
      </c>
      <c r="H246" s="203"/>
      <c r="I246" s="203"/>
      <c r="J246" s="203"/>
      <c r="K246" s="203"/>
      <c r="L246" s="203"/>
      <c r="M246" s="203"/>
      <c r="N246" s="203">
        <f t="shared" ref="N246:S246" si="22">SUBTOTAL(9,N247:N331)</f>
        <v>0</v>
      </c>
      <c r="O246" s="203">
        <f t="shared" si="22"/>
        <v>0</v>
      </c>
      <c r="P246" s="203">
        <f t="shared" si="22"/>
        <v>0</v>
      </c>
      <c r="Q246" s="203">
        <f t="shared" si="22"/>
        <v>0</v>
      </c>
      <c r="R246" s="203">
        <f t="shared" si="22"/>
        <v>0</v>
      </c>
      <c r="S246" s="203">
        <f t="shared" si="22"/>
        <v>0</v>
      </c>
      <c r="T246" s="203"/>
      <c r="U246" s="203">
        <f>SUBTOTAL(9,U247:U331)</f>
        <v>1176714.8699999999</v>
      </c>
      <c r="V246" s="203">
        <f>SUBTOTAL(9,V247:V331)</f>
        <v>1176714.8699999999</v>
      </c>
      <c r="W246" s="204"/>
      <c r="X246" s="204"/>
      <c r="Y246" s="204"/>
      <c r="Z246" s="204"/>
      <c r="AA246" s="205"/>
      <c r="AB246" s="205"/>
      <c r="AC246" s="242"/>
    </row>
    <row r="247" spans="1:29" x14ac:dyDescent="0.25">
      <c r="A247" s="53">
        <v>1</v>
      </c>
      <c r="B247" s="196" t="s">
        <v>316</v>
      </c>
      <c r="C247" s="194" t="s">
        <v>196</v>
      </c>
      <c r="D247" s="194" t="s">
        <v>315</v>
      </c>
      <c r="E247" s="194" t="s">
        <v>314</v>
      </c>
      <c r="F247" s="200" t="s">
        <v>134</v>
      </c>
      <c r="G247" s="198">
        <v>0</v>
      </c>
      <c r="H247" s="198">
        <v>0</v>
      </c>
      <c r="I247" s="198">
        <v>-24677.119999999999</v>
      </c>
      <c r="J247" s="198">
        <v>0</v>
      </c>
      <c r="K247" s="198">
        <v>0</v>
      </c>
      <c r="L247" s="198">
        <v>0</v>
      </c>
      <c r="M247" s="198">
        <v>0</v>
      </c>
      <c r="N247" s="198">
        <v>0</v>
      </c>
      <c r="O247" s="198">
        <v>0</v>
      </c>
      <c r="P247" s="198">
        <v>0</v>
      </c>
      <c r="Q247" s="198">
        <v>0</v>
      </c>
      <c r="R247" s="198">
        <v>0</v>
      </c>
      <c r="S247" s="198">
        <v>0</v>
      </c>
      <c r="T247" s="198"/>
      <c r="U247" s="241">
        <f t="shared" ref="U247:U278" si="23">SUM(H247:T247)</f>
        <v>-24677.119999999999</v>
      </c>
      <c r="V247" s="240">
        <f t="shared" ref="V247:V278" si="24">U247-G247</f>
        <v>-24677.119999999999</v>
      </c>
      <c r="W247" s="239" t="str">
        <f t="shared" ref="W247:W278" si="25">+IFERROR(V247/G247,"100%")</f>
        <v>100%</v>
      </c>
      <c r="X247" s="238" t="str">
        <f t="shared" ref="X247:X278" si="26">IFERROR(IF(AND(ABS(V247)&gt;=500000,ABS(W247)&gt;=10%),"yes",""),"")</f>
        <v/>
      </c>
      <c r="Y247" s="200"/>
      <c r="AA247" s="200"/>
      <c r="AB247" s="200"/>
      <c r="AC247" s="194" t="s">
        <v>318</v>
      </c>
    </row>
    <row r="248" spans="1:29" x14ac:dyDescent="0.25">
      <c r="A248" s="53">
        <f t="shared" ref="A248:A279" si="27">A247+1</f>
        <v>2</v>
      </c>
      <c r="B248" s="196" t="str">
        <f t="shared" ref="B248:B279" si="28">B247</f>
        <v>2023 Closed 2024</v>
      </c>
      <c r="C248" s="194" t="s">
        <v>196</v>
      </c>
      <c r="D248" s="194" t="s">
        <v>313</v>
      </c>
      <c r="E248" s="194" t="s">
        <v>312</v>
      </c>
      <c r="F248" s="200" t="s">
        <v>134</v>
      </c>
      <c r="G248" s="198">
        <v>0</v>
      </c>
      <c r="H248" s="198">
        <v>1112.28</v>
      </c>
      <c r="I248" s="198">
        <v>0</v>
      </c>
      <c r="J248" s="198">
        <v>2095.2800000000002</v>
      </c>
      <c r="K248" s="198">
        <v>0</v>
      </c>
      <c r="L248" s="198">
        <v>0</v>
      </c>
      <c r="M248" s="198">
        <v>0</v>
      </c>
      <c r="N248" s="198">
        <v>0</v>
      </c>
      <c r="O248" s="198">
        <v>0</v>
      </c>
      <c r="P248" s="198">
        <v>0</v>
      </c>
      <c r="Q248" s="198">
        <v>0</v>
      </c>
      <c r="R248" s="198">
        <v>0</v>
      </c>
      <c r="S248" s="198">
        <v>0</v>
      </c>
      <c r="T248" s="198"/>
      <c r="U248" s="241">
        <f t="shared" si="23"/>
        <v>3207.5600000000004</v>
      </c>
      <c r="V248" s="240">
        <f t="shared" si="24"/>
        <v>3207.5600000000004</v>
      </c>
      <c r="W248" s="239" t="str">
        <f t="shared" si="25"/>
        <v>100%</v>
      </c>
      <c r="X248" s="238" t="str">
        <f t="shared" si="26"/>
        <v/>
      </c>
      <c r="AC248" s="194" t="s">
        <v>318</v>
      </c>
    </row>
    <row r="249" spans="1:29" x14ac:dyDescent="0.25">
      <c r="A249" s="53">
        <f t="shared" si="27"/>
        <v>3</v>
      </c>
      <c r="B249" s="196" t="str">
        <f t="shared" si="28"/>
        <v>2023 Closed 2024</v>
      </c>
      <c r="C249" s="194" t="s">
        <v>196</v>
      </c>
      <c r="D249" s="194" t="s">
        <v>311</v>
      </c>
      <c r="E249" s="194" t="s">
        <v>310</v>
      </c>
      <c r="F249" s="200" t="s">
        <v>134</v>
      </c>
      <c r="G249" s="198">
        <v>0</v>
      </c>
      <c r="H249" s="198">
        <v>0</v>
      </c>
      <c r="I249" s="198">
        <v>0</v>
      </c>
      <c r="J249" s="198">
        <v>22281.93</v>
      </c>
      <c r="K249" s="198">
        <v>0</v>
      </c>
      <c r="L249" s="198">
        <v>0</v>
      </c>
      <c r="M249" s="198">
        <v>0</v>
      </c>
      <c r="N249" s="198">
        <v>0</v>
      </c>
      <c r="O249" s="198">
        <v>0</v>
      </c>
      <c r="P249" s="198">
        <v>0</v>
      </c>
      <c r="Q249" s="198">
        <v>0</v>
      </c>
      <c r="R249" s="198">
        <v>0</v>
      </c>
      <c r="S249" s="198">
        <v>0</v>
      </c>
      <c r="T249" s="198"/>
      <c r="U249" s="241">
        <f t="shared" si="23"/>
        <v>22281.93</v>
      </c>
      <c r="V249" s="240">
        <f t="shared" si="24"/>
        <v>22281.93</v>
      </c>
      <c r="W249" s="239" t="str">
        <f t="shared" si="25"/>
        <v>100%</v>
      </c>
      <c r="X249" s="238" t="str">
        <f t="shared" si="26"/>
        <v/>
      </c>
      <c r="AC249" s="194" t="s">
        <v>318</v>
      </c>
    </row>
    <row r="250" spans="1:29" x14ac:dyDescent="0.25">
      <c r="A250" s="53">
        <f t="shared" si="27"/>
        <v>4</v>
      </c>
      <c r="B250" s="196" t="str">
        <f t="shared" si="28"/>
        <v>2023 Closed 2024</v>
      </c>
      <c r="C250" s="194" t="s">
        <v>196</v>
      </c>
      <c r="D250" s="194" t="s">
        <v>309</v>
      </c>
      <c r="E250" s="194" t="s">
        <v>308</v>
      </c>
      <c r="F250" s="200" t="s">
        <v>295</v>
      </c>
      <c r="G250" s="198">
        <v>0</v>
      </c>
      <c r="H250" s="198">
        <v>25109.360000000001</v>
      </c>
      <c r="I250" s="198">
        <v>0</v>
      </c>
      <c r="J250" s="198">
        <v>0</v>
      </c>
      <c r="K250" s="198">
        <v>0</v>
      </c>
      <c r="L250" s="198">
        <v>0</v>
      </c>
      <c r="M250" s="198">
        <v>0</v>
      </c>
      <c r="N250" s="198">
        <v>0</v>
      </c>
      <c r="O250" s="198">
        <v>0</v>
      </c>
      <c r="P250" s="198">
        <v>0</v>
      </c>
      <c r="Q250" s="198">
        <v>0</v>
      </c>
      <c r="R250" s="198">
        <v>0</v>
      </c>
      <c r="S250" s="198">
        <v>0</v>
      </c>
      <c r="T250" s="198"/>
      <c r="U250" s="241">
        <f t="shared" si="23"/>
        <v>25109.360000000001</v>
      </c>
      <c r="V250" s="240">
        <f t="shared" si="24"/>
        <v>25109.360000000001</v>
      </c>
      <c r="W250" s="239" t="str">
        <f t="shared" si="25"/>
        <v>100%</v>
      </c>
      <c r="X250" s="238" t="str">
        <f t="shared" si="26"/>
        <v/>
      </c>
      <c r="AC250" s="194" t="s">
        <v>830</v>
      </c>
    </row>
    <row r="251" spans="1:29" x14ac:dyDescent="0.25">
      <c r="A251" s="53">
        <f t="shared" si="27"/>
        <v>5</v>
      </c>
      <c r="B251" s="196" t="str">
        <f t="shared" si="28"/>
        <v>2023 Closed 2024</v>
      </c>
      <c r="C251" s="194" t="s">
        <v>196</v>
      </c>
      <c r="D251" s="194" t="s">
        <v>307</v>
      </c>
      <c r="E251" s="194" t="s">
        <v>306</v>
      </c>
      <c r="F251" s="200" t="s">
        <v>134</v>
      </c>
      <c r="G251" s="198">
        <v>0</v>
      </c>
      <c r="H251" s="198">
        <v>356.79</v>
      </c>
      <c r="I251" s="198">
        <v>0</v>
      </c>
      <c r="J251" s="198">
        <v>0</v>
      </c>
      <c r="K251" s="198">
        <v>296751.82</v>
      </c>
      <c r="L251" s="198">
        <v>0</v>
      </c>
      <c r="M251" s="198">
        <v>0</v>
      </c>
      <c r="N251" s="198">
        <v>0</v>
      </c>
      <c r="O251" s="198">
        <v>0</v>
      </c>
      <c r="P251" s="198">
        <v>0</v>
      </c>
      <c r="Q251" s="198">
        <v>0</v>
      </c>
      <c r="R251" s="198">
        <v>0</v>
      </c>
      <c r="S251" s="198">
        <v>0</v>
      </c>
      <c r="T251" s="198"/>
      <c r="U251" s="241">
        <f t="shared" si="23"/>
        <v>297108.61</v>
      </c>
      <c r="V251" s="240">
        <f t="shared" si="24"/>
        <v>297108.61</v>
      </c>
      <c r="W251" s="239" t="str">
        <f t="shared" si="25"/>
        <v>100%</v>
      </c>
      <c r="X251" s="238" t="str">
        <f t="shared" si="26"/>
        <v/>
      </c>
      <c r="AC251" s="194" t="s">
        <v>830</v>
      </c>
    </row>
    <row r="252" spans="1:29" x14ac:dyDescent="0.25">
      <c r="A252" s="53">
        <f t="shared" si="27"/>
        <v>6</v>
      </c>
      <c r="B252" s="196" t="str">
        <f t="shared" si="28"/>
        <v>2023 Closed 2024</v>
      </c>
      <c r="C252" s="194" t="s">
        <v>196</v>
      </c>
      <c r="D252" s="194" t="s">
        <v>305</v>
      </c>
      <c r="E252" s="194" t="s">
        <v>304</v>
      </c>
      <c r="F252" s="200" t="s">
        <v>134</v>
      </c>
      <c r="G252" s="198">
        <v>0</v>
      </c>
      <c r="H252" s="198">
        <v>102941.1</v>
      </c>
      <c r="I252" s="198">
        <v>0</v>
      </c>
      <c r="J252" s="198">
        <v>0</v>
      </c>
      <c r="K252" s="198">
        <v>0</v>
      </c>
      <c r="L252" s="198">
        <v>0</v>
      </c>
      <c r="M252" s="198">
        <v>0</v>
      </c>
      <c r="N252" s="198">
        <v>0</v>
      </c>
      <c r="O252" s="198">
        <v>0</v>
      </c>
      <c r="P252" s="198">
        <v>0</v>
      </c>
      <c r="Q252" s="198">
        <v>0</v>
      </c>
      <c r="R252" s="198">
        <v>0</v>
      </c>
      <c r="S252" s="198">
        <v>0</v>
      </c>
      <c r="T252" s="198"/>
      <c r="U252" s="241">
        <f t="shared" si="23"/>
        <v>102941.1</v>
      </c>
      <c r="V252" s="240">
        <f t="shared" si="24"/>
        <v>102941.1</v>
      </c>
      <c r="W252" s="239" t="str">
        <f t="shared" si="25"/>
        <v>100%</v>
      </c>
      <c r="X252" s="238" t="str">
        <f t="shared" si="26"/>
        <v/>
      </c>
      <c r="AC252" s="194" t="s">
        <v>318</v>
      </c>
    </row>
    <row r="253" spans="1:29" x14ac:dyDescent="0.25">
      <c r="A253" s="53">
        <f t="shared" si="27"/>
        <v>7</v>
      </c>
      <c r="B253" s="196" t="str">
        <f t="shared" si="28"/>
        <v>2023 Closed 2024</v>
      </c>
      <c r="C253" s="194" t="s">
        <v>196</v>
      </c>
      <c r="D253" s="194" t="s">
        <v>303</v>
      </c>
      <c r="E253" s="194" t="s">
        <v>302</v>
      </c>
      <c r="F253" s="200" t="s">
        <v>193</v>
      </c>
      <c r="G253" s="198">
        <v>0</v>
      </c>
      <c r="H253" s="198">
        <v>1933.75</v>
      </c>
      <c r="I253" s="198">
        <v>18080.510000000002</v>
      </c>
      <c r="J253" s="198">
        <v>376.44</v>
      </c>
      <c r="K253" s="198">
        <v>5854.11</v>
      </c>
      <c r="L253" s="198">
        <v>0</v>
      </c>
      <c r="M253" s="198">
        <v>0</v>
      </c>
      <c r="N253" s="198">
        <v>0</v>
      </c>
      <c r="O253" s="198">
        <v>0</v>
      </c>
      <c r="P253" s="198">
        <v>0</v>
      </c>
      <c r="Q253" s="198">
        <v>0</v>
      </c>
      <c r="R253" s="198">
        <v>0</v>
      </c>
      <c r="S253" s="198">
        <v>0</v>
      </c>
      <c r="T253" s="198"/>
      <c r="U253" s="241">
        <f t="shared" si="23"/>
        <v>26244.81</v>
      </c>
      <c r="V253" s="240">
        <f t="shared" si="24"/>
        <v>26244.81</v>
      </c>
      <c r="W253" s="239" t="str">
        <f t="shared" si="25"/>
        <v>100%</v>
      </c>
      <c r="X253" s="238" t="str">
        <f t="shared" si="26"/>
        <v/>
      </c>
      <c r="AC253" s="194" t="s">
        <v>829</v>
      </c>
    </row>
    <row r="254" spans="1:29" x14ac:dyDescent="0.25">
      <c r="A254" s="53">
        <f t="shared" si="27"/>
        <v>8</v>
      </c>
      <c r="B254" s="196" t="str">
        <f t="shared" si="28"/>
        <v>2023 Closed 2024</v>
      </c>
      <c r="C254" s="194" t="s">
        <v>196</v>
      </c>
      <c r="D254" s="194" t="s">
        <v>301</v>
      </c>
      <c r="E254" s="194" t="s">
        <v>300</v>
      </c>
      <c r="F254" s="200" t="s">
        <v>193</v>
      </c>
      <c r="G254" s="198">
        <v>0</v>
      </c>
      <c r="H254" s="198">
        <v>0</v>
      </c>
      <c r="I254" s="198">
        <v>0</v>
      </c>
      <c r="J254" s="198">
        <v>3845.46</v>
      </c>
      <c r="K254" s="198">
        <v>0</v>
      </c>
      <c r="L254" s="198">
        <v>0</v>
      </c>
      <c r="M254" s="198">
        <v>0</v>
      </c>
      <c r="N254" s="198">
        <v>0</v>
      </c>
      <c r="O254" s="198">
        <v>0</v>
      </c>
      <c r="P254" s="198">
        <v>0</v>
      </c>
      <c r="Q254" s="198">
        <v>0</v>
      </c>
      <c r="R254" s="198">
        <v>0</v>
      </c>
      <c r="S254" s="198">
        <v>0</v>
      </c>
      <c r="T254" s="198"/>
      <c r="U254" s="241">
        <f t="shared" si="23"/>
        <v>3845.46</v>
      </c>
      <c r="V254" s="240">
        <f t="shared" si="24"/>
        <v>3845.46</v>
      </c>
      <c r="W254" s="239" t="str">
        <f t="shared" si="25"/>
        <v>100%</v>
      </c>
      <c r="X254" s="238" t="str">
        <f t="shared" si="26"/>
        <v/>
      </c>
      <c r="AC254" s="194" t="s">
        <v>318</v>
      </c>
    </row>
    <row r="255" spans="1:29" x14ac:dyDescent="0.25">
      <c r="A255" s="53">
        <f t="shared" si="27"/>
        <v>9</v>
      </c>
      <c r="B255" s="196" t="str">
        <f t="shared" si="28"/>
        <v>2023 Closed 2024</v>
      </c>
      <c r="C255" s="194" t="s">
        <v>196</v>
      </c>
      <c r="D255" s="194" t="s">
        <v>299</v>
      </c>
      <c r="E255" s="194" t="s">
        <v>298</v>
      </c>
      <c r="F255" s="200" t="s">
        <v>134</v>
      </c>
      <c r="G255" s="198">
        <v>0</v>
      </c>
      <c r="H255" s="198">
        <v>-63.6</v>
      </c>
      <c r="I255" s="198">
        <v>0</v>
      </c>
      <c r="J255" s="198">
        <v>0</v>
      </c>
      <c r="K255" s="198">
        <v>0</v>
      </c>
      <c r="L255" s="198">
        <v>0</v>
      </c>
      <c r="M255" s="198">
        <v>0</v>
      </c>
      <c r="N255" s="198">
        <v>0</v>
      </c>
      <c r="O255" s="198">
        <v>0</v>
      </c>
      <c r="P255" s="198">
        <v>0</v>
      </c>
      <c r="Q255" s="198">
        <v>0</v>
      </c>
      <c r="R255" s="198">
        <v>0</v>
      </c>
      <c r="S255" s="198">
        <v>0</v>
      </c>
      <c r="T255" s="198"/>
      <c r="U255" s="241">
        <f t="shared" si="23"/>
        <v>-63.6</v>
      </c>
      <c r="V255" s="240">
        <f t="shared" si="24"/>
        <v>-63.6</v>
      </c>
      <c r="W255" s="239" t="str">
        <f t="shared" si="25"/>
        <v>100%</v>
      </c>
      <c r="X255" s="238" t="str">
        <f t="shared" si="26"/>
        <v/>
      </c>
      <c r="AC255" s="194" t="s">
        <v>830</v>
      </c>
    </row>
    <row r="256" spans="1:29" x14ac:dyDescent="0.25">
      <c r="A256" s="53">
        <f t="shared" si="27"/>
        <v>10</v>
      </c>
      <c r="B256" s="196" t="str">
        <f t="shared" si="28"/>
        <v>2023 Closed 2024</v>
      </c>
      <c r="C256" s="194" t="s">
        <v>196</v>
      </c>
      <c r="D256" s="194" t="s">
        <v>297</v>
      </c>
      <c r="E256" s="194" t="s">
        <v>296</v>
      </c>
      <c r="F256" s="200" t="s">
        <v>295</v>
      </c>
      <c r="G256" s="198">
        <v>0</v>
      </c>
      <c r="H256" s="198">
        <v>0</v>
      </c>
      <c r="I256" s="198">
        <v>-322.59000000000003</v>
      </c>
      <c r="J256" s="198">
        <v>0</v>
      </c>
      <c r="K256" s="198">
        <v>0</v>
      </c>
      <c r="L256" s="198">
        <v>0</v>
      </c>
      <c r="M256" s="198">
        <v>0</v>
      </c>
      <c r="N256" s="198">
        <v>0</v>
      </c>
      <c r="O256" s="198">
        <v>0</v>
      </c>
      <c r="P256" s="198">
        <v>0</v>
      </c>
      <c r="Q256" s="198">
        <v>0</v>
      </c>
      <c r="R256" s="198">
        <v>0</v>
      </c>
      <c r="S256" s="198">
        <v>0</v>
      </c>
      <c r="T256" s="198"/>
      <c r="U256" s="241">
        <f t="shared" si="23"/>
        <v>-322.59000000000003</v>
      </c>
      <c r="V256" s="240">
        <f t="shared" si="24"/>
        <v>-322.59000000000003</v>
      </c>
      <c r="W256" s="239" t="str">
        <f t="shared" si="25"/>
        <v>100%</v>
      </c>
      <c r="X256" s="238" t="str">
        <f t="shared" si="26"/>
        <v/>
      </c>
      <c r="AC256" s="194" t="s">
        <v>830</v>
      </c>
    </row>
    <row r="257" spans="1:29" x14ac:dyDescent="0.25">
      <c r="A257" s="53">
        <f t="shared" si="27"/>
        <v>11</v>
      </c>
      <c r="B257" s="196" t="str">
        <f t="shared" si="28"/>
        <v>2023 Closed 2024</v>
      </c>
      <c r="C257" s="194" t="s">
        <v>196</v>
      </c>
      <c r="D257" s="194" t="s">
        <v>294</v>
      </c>
      <c r="E257" s="194" t="s">
        <v>293</v>
      </c>
      <c r="F257" s="200" t="s">
        <v>292</v>
      </c>
      <c r="G257" s="198">
        <v>0</v>
      </c>
      <c r="H257" s="198">
        <v>0</v>
      </c>
      <c r="I257" s="198">
        <v>0</v>
      </c>
      <c r="J257" s="198">
        <v>0</v>
      </c>
      <c r="K257" s="198">
        <v>25309.53</v>
      </c>
      <c r="L257" s="198">
        <v>0</v>
      </c>
      <c r="M257" s="198">
        <v>7808.89</v>
      </c>
      <c r="N257" s="198">
        <v>0</v>
      </c>
      <c r="O257" s="198">
        <v>0</v>
      </c>
      <c r="P257" s="198">
        <v>0</v>
      </c>
      <c r="Q257" s="198">
        <v>0</v>
      </c>
      <c r="R257" s="198">
        <v>0</v>
      </c>
      <c r="S257" s="198">
        <v>0</v>
      </c>
      <c r="T257" s="198"/>
      <c r="U257" s="241">
        <f t="shared" si="23"/>
        <v>33118.42</v>
      </c>
      <c r="V257" s="240">
        <f t="shared" si="24"/>
        <v>33118.42</v>
      </c>
      <c r="W257" s="239" t="str">
        <f t="shared" si="25"/>
        <v>100%</v>
      </c>
      <c r="X257" s="238" t="str">
        <f t="shared" si="26"/>
        <v/>
      </c>
      <c r="AC257" s="194" t="s">
        <v>318</v>
      </c>
    </row>
    <row r="258" spans="1:29" x14ac:dyDescent="0.25">
      <c r="A258" s="53">
        <f t="shared" si="27"/>
        <v>12</v>
      </c>
      <c r="B258" s="196" t="str">
        <f t="shared" si="28"/>
        <v>2023 Closed 2024</v>
      </c>
      <c r="C258" s="194" t="s">
        <v>196</v>
      </c>
      <c r="D258" s="194" t="s">
        <v>291</v>
      </c>
      <c r="E258" s="194" t="s">
        <v>290</v>
      </c>
      <c r="F258" s="200" t="s">
        <v>134</v>
      </c>
      <c r="G258" s="198">
        <v>0</v>
      </c>
      <c r="H258" s="198">
        <v>129629.22</v>
      </c>
      <c r="I258" s="198">
        <v>7604.6500000000005</v>
      </c>
      <c r="J258" s="198">
        <v>2635.04</v>
      </c>
      <c r="K258" s="198">
        <v>301.25</v>
      </c>
      <c r="L258" s="198">
        <v>363</v>
      </c>
      <c r="M258" s="198">
        <v>34506.04</v>
      </c>
      <c r="N258" s="198">
        <v>0</v>
      </c>
      <c r="O258" s="198">
        <v>0</v>
      </c>
      <c r="P258" s="198">
        <v>0</v>
      </c>
      <c r="Q258" s="198">
        <v>0</v>
      </c>
      <c r="R258" s="198">
        <v>0</v>
      </c>
      <c r="S258" s="198">
        <v>0</v>
      </c>
      <c r="T258" s="198"/>
      <c r="U258" s="241">
        <f t="shared" si="23"/>
        <v>175039.2</v>
      </c>
      <c r="V258" s="240">
        <f t="shared" si="24"/>
        <v>175039.2</v>
      </c>
      <c r="W258" s="239" t="str">
        <f t="shared" si="25"/>
        <v>100%</v>
      </c>
      <c r="X258" s="238" t="str">
        <f t="shared" si="26"/>
        <v/>
      </c>
      <c r="AC258" s="194" t="s">
        <v>830</v>
      </c>
    </row>
    <row r="259" spans="1:29" x14ac:dyDescent="0.25">
      <c r="A259" s="53">
        <f t="shared" si="27"/>
        <v>13</v>
      </c>
      <c r="B259" s="196" t="str">
        <f t="shared" si="28"/>
        <v>2023 Closed 2024</v>
      </c>
      <c r="C259" s="194" t="s">
        <v>196</v>
      </c>
      <c r="D259" s="194" t="s">
        <v>289</v>
      </c>
      <c r="E259" s="194" t="s">
        <v>288</v>
      </c>
      <c r="F259" s="200" t="s">
        <v>202</v>
      </c>
      <c r="G259" s="198">
        <v>0</v>
      </c>
      <c r="H259" s="198">
        <v>27333.03</v>
      </c>
      <c r="I259" s="198">
        <v>285</v>
      </c>
      <c r="J259" s="198">
        <v>0</v>
      </c>
      <c r="K259" s="198">
        <v>0</v>
      </c>
      <c r="L259" s="198">
        <v>0</v>
      </c>
      <c r="M259" s="198">
        <v>0</v>
      </c>
      <c r="N259" s="198">
        <v>0</v>
      </c>
      <c r="O259" s="198">
        <v>0</v>
      </c>
      <c r="P259" s="198">
        <v>0</v>
      </c>
      <c r="Q259" s="198">
        <v>0</v>
      </c>
      <c r="R259" s="198">
        <v>0</v>
      </c>
      <c r="S259" s="198">
        <v>0</v>
      </c>
      <c r="T259" s="198"/>
      <c r="U259" s="241">
        <f t="shared" si="23"/>
        <v>27618.03</v>
      </c>
      <c r="V259" s="240">
        <f t="shared" si="24"/>
        <v>27618.03</v>
      </c>
      <c r="W259" s="239" t="str">
        <f t="shared" si="25"/>
        <v>100%</v>
      </c>
      <c r="X259" s="238" t="str">
        <f t="shared" si="26"/>
        <v/>
      </c>
      <c r="AC259" s="194" t="s">
        <v>830</v>
      </c>
    </row>
    <row r="260" spans="1:29" x14ac:dyDescent="0.25">
      <c r="A260" s="53">
        <f t="shared" si="27"/>
        <v>14</v>
      </c>
      <c r="B260" s="196" t="str">
        <f t="shared" si="28"/>
        <v>2023 Closed 2024</v>
      </c>
      <c r="C260" s="194" t="s">
        <v>196</v>
      </c>
      <c r="D260" s="194" t="s">
        <v>287</v>
      </c>
      <c r="E260" s="194" t="s">
        <v>286</v>
      </c>
      <c r="F260" s="200" t="s">
        <v>285</v>
      </c>
      <c r="G260" s="198">
        <v>0</v>
      </c>
      <c r="H260" s="198">
        <v>0</v>
      </c>
      <c r="I260" s="198">
        <v>115.01</v>
      </c>
      <c r="J260" s="198">
        <v>0</v>
      </c>
      <c r="K260" s="198">
        <v>0</v>
      </c>
      <c r="L260" s="198">
        <v>0</v>
      </c>
      <c r="M260" s="198">
        <v>0</v>
      </c>
      <c r="N260" s="198">
        <v>0</v>
      </c>
      <c r="O260" s="198">
        <v>0</v>
      </c>
      <c r="P260" s="198">
        <v>0</v>
      </c>
      <c r="Q260" s="198">
        <v>0</v>
      </c>
      <c r="R260" s="198">
        <v>0</v>
      </c>
      <c r="S260" s="198">
        <v>0</v>
      </c>
      <c r="T260" s="198"/>
      <c r="U260" s="241">
        <f t="shared" si="23"/>
        <v>115.01</v>
      </c>
      <c r="V260" s="240">
        <f t="shared" si="24"/>
        <v>115.01</v>
      </c>
      <c r="W260" s="239" t="str">
        <f t="shared" si="25"/>
        <v>100%</v>
      </c>
      <c r="X260" s="238" t="str">
        <f t="shared" si="26"/>
        <v/>
      </c>
      <c r="AC260" s="194" t="s">
        <v>318</v>
      </c>
    </row>
    <row r="261" spans="1:29" x14ac:dyDescent="0.25">
      <c r="A261" s="53">
        <f t="shared" si="27"/>
        <v>15</v>
      </c>
      <c r="B261" s="196" t="str">
        <f t="shared" si="28"/>
        <v>2023 Closed 2024</v>
      </c>
      <c r="C261" s="194" t="s">
        <v>196</v>
      </c>
      <c r="D261" s="194" t="s">
        <v>284</v>
      </c>
      <c r="E261" s="194" t="s">
        <v>283</v>
      </c>
      <c r="F261" s="200" t="s">
        <v>193</v>
      </c>
      <c r="G261" s="198">
        <v>0</v>
      </c>
      <c r="H261" s="198">
        <v>6487.7</v>
      </c>
      <c r="I261" s="198">
        <v>0</v>
      </c>
      <c r="J261" s="198">
        <v>7410.64</v>
      </c>
      <c r="K261" s="198">
        <v>0</v>
      </c>
      <c r="L261" s="198">
        <v>0</v>
      </c>
      <c r="M261" s="198">
        <v>0</v>
      </c>
      <c r="N261" s="198">
        <v>0</v>
      </c>
      <c r="O261" s="198">
        <v>0</v>
      </c>
      <c r="P261" s="198">
        <v>0</v>
      </c>
      <c r="Q261" s="198">
        <v>0</v>
      </c>
      <c r="R261" s="198">
        <v>0</v>
      </c>
      <c r="S261" s="198">
        <v>0</v>
      </c>
      <c r="T261" s="198"/>
      <c r="U261" s="241">
        <f t="shared" si="23"/>
        <v>13898.34</v>
      </c>
      <c r="V261" s="240">
        <f t="shared" si="24"/>
        <v>13898.34</v>
      </c>
      <c r="W261" s="239" t="str">
        <f t="shared" si="25"/>
        <v>100%</v>
      </c>
      <c r="X261" s="238" t="str">
        <f t="shared" si="26"/>
        <v/>
      </c>
      <c r="AC261" s="194" t="s">
        <v>830</v>
      </c>
    </row>
    <row r="262" spans="1:29" x14ac:dyDescent="0.25">
      <c r="A262" s="53">
        <f t="shared" si="27"/>
        <v>16</v>
      </c>
      <c r="B262" s="196" t="str">
        <f t="shared" si="28"/>
        <v>2023 Closed 2024</v>
      </c>
      <c r="C262" s="194" t="s">
        <v>196</v>
      </c>
      <c r="D262" s="194" t="s">
        <v>282</v>
      </c>
      <c r="E262" s="194" t="s">
        <v>281</v>
      </c>
      <c r="F262" s="200" t="s">
        <v>134</v>
      </c>
      <c r="G262" s="198">
        <v>0</v>
      </c>
      <c r="H262" s="198">
        <v>0</v>
      </c>
      <c r="I262" s="198">
        <v>61497.130000000005</v>
      </c>
      <c r="J262" s="198">
        <v>0</v>
      </c>
      <c r="K262" s="198">
        <v>0</v>
      </c>
      <c r="L262" s="198">
        <v>0</v>
      </c>
      <c r="M262" s="198">
        <v>0</v>
      </c>
      <c r="N262" s="198">
        <v>0</v>
      </c>
      <c r="O262" s="198">
        <v>0</v>
      </c>
      <c r="P262" s="198">
        <v>0</v>
      </c>
      <c r="Q262" s="198">
        <v>0</v>
      </c>
      <c r="R262" s="198">
        <v>0</v>
      </c>
      <c r="S262" s="198">
        <v>0</v>
      </c>
      <c r="T262" s="198"/>
      <c r="U262" s="241">
        <f t="shared" si="23"/>
        <v>61497.130000000005</v>
      </c>
      <c r="V262" s="240">
        <f t="shared" si="24"/>
        <v>61497.130000000005</v>
      </c>
      <c r="W262" s="239" t="str">
        <f t="shared" si="25"/>
        <v>100%</v>
      </c>
      <c r="X262" s="238" t="str">
        <f t="shared" si="26"/>
        <v/>
      </c>
      <c r="AC262" s="194" t="s">
        <v>318</v>
      </c>
    </row>
    <row r="263" spans="1:29" x14ac:dyDescent="0.25">
      <c r="A263" s="53">
        <f t="shared" si="27"/>
        <v>17</v>
      </c>
      <c r="B263" s="196" t="str">
        <f t="shared" si="28"/>
        <v>2023 Closed 2024</v>
      </c>
      <c r="C263" s="194" t="s">
        <v>196</v>
      </c>
      <c r="D263" s="194" t="s">
        <v>280</v>
      </c>
      <c r="E263" s="194" t="s">
        <v>279</v>
      </c>
      <c r="F263" s="200" t="s">
        <v>134</v>
      </c>
      <c r="G263" s="198">
        <v>0</v>
      </c>
      <c r="H263" s="198">
        <v>0</v>
      </c>
      <c r="I263" s="198">
        <v>0</v>
      </c>
      <c r="J263" s="198">
        <v>0</v>
      </c>
      <c r="K263" s="198">
        <v>0</v>
      </c>
      <c r="L263" s="198">
        <v>0</v>
      </c>
      <c r="M263" s="198">
        <v>0</v>
      </c>
      <c r="N263" s="198">
        <v>0</v>
      </c>
      <c r="O263" s="198">
        <v>0</v>
      </c>
      <c r="P263" s="198">
        <v>0</v>
      </c>
      <c r="Q263" s="198">
        <v>0</v>
      </c>
      <c r="R263" s="198">
        <v>0</v>
      </c>
      <c r="S263" s="198">
        <v>0</v>
      </c>
      <c r="T263" s="198"/>
      <c r="U263" s="241">
        <f t="shared" si="23"/>
        <v>0</v>
      </c>
      <c r="V263" s="240">
        <f t="shared" si="24"/>
        <v>0</v>
      </c>
      <c r="W263" s="239" t="str">
        <f t="shared" si="25"/>
        <v>100%</v>
      </c>
      <c r="X263" s="238" t="str">
        <f t="shared" si="26"/>
        <v/>
      </c>
      <c r="AC263" s="194" t="s">
        <v>830</v>
      </c>
    </row>
    <row r="264" spans="1:29" x14ac:dyDescent="0.25">
      <c r="A264" s="53">
        <f t="shared" si="27"/>
        <v>18</v>
      </c>
      <c r="B264" s="196" t="str">
        <f t="shared" si="28"/>
        <v>2023 Closed 2024</v>
      </c>
      <c r="C264" s="194" t="s">
        <v>196</v>
      </c>
      <c r="D264" s="194" t="s">
        <v>278</v>
      </c>
      <c r="E264" s="194" t="s">
        <v>277</v>
      </c>
      <c r="F264" s="200" t="s">
        <v>134</v>
      </c>
      <c r="G264" s="198">
        <v>0</v>
      </c>
      <c r="H264" s="198">
        <v>-245573.85</v>
      </c>
      <c r="I264" s="198">
        <v>353156.16000000003</v>
      </c>
      <c r="J264" s="198">
        <v>5830.86</v>
      </c>
      <c r="K264" s="198">
        <v>5773.51</v>
      </c>
      <c r="L264" s="198">
        <v>0</v>
      </c>
      <c r="M264" s="198">
        <v>-132022.59</v>
      </c>
      <c r="N264" s="198">
        <v>0</v>
      </c>
      <c r="O264" s="198">
        <v>0</v>
      </c>
      <c r="P264" s="198">
        <v>0</v>
      </c>
      <c r="Q264" s="198">
        <v>0</v>
      </c>
      <c r="R264" s="198">
        <v>0</v>
      </c>
      <c r="S264" s="198">
        <v>0</v>
      </c>
      <c r="T264" s="198"/>
      <c r="U264" s="241">
        <f t="shared" si="23"/>
        <v>-12835.909999999974</v>
      </c>
      <c r="V264" s="240">
        <f t="shared" si="24"/>
        <v>-12835.909999999974</v>
      </c>
      <c r="W264" s="239" t="str">
        <f t="shared" si="25"/>
        <v>100%</v>
      </c>
      <c r="X264" s="238" t="str">
        <f t="shared" si="26"/>
        <v/>
      </c>
      <c r="AC264" s="194" t="s">
        <v>318</v>
      </c>
    </row>
    <row r="265" spans="1:29" x14ac:dyDescent="0.25">
      <c r="A265" s="53">
        <f t="shared" si="27"/>
        <v>19</v>
      </c>
      <c r="B265" s="196" t="str">
        <f t="shared" si="28"/>
        <v>2023 Closed 2024</v>
      </c>
      <c r="C265" s="194" t="s">
        <v>133</v>
      </c>
      <c r="D265" s="194" t="s">
        <v>276</v>
      </c>
      <c r="E265" s="194" t="s">
        <v>275</v>
      </c>
      <c r="F265" s="200" t="s">
        <v>130</v>
      </c>
      <c r="G265" s="198">
        <v>0</v>
      </c>
      <c r="H265" s="198">
        <v>0</v>
      </c>
      <c r="I265" s="198">
        <v>0</v>
      </c>
      <c r="J265" s="198">
        <v>0</v>
      </c>
      <c r="K265" s="198">
        <v>0</v>
      </c>
      <c r="L265" s="198">
        <v>0</v>
      </c>
      <c r="M265" s="198">
        <v>0</v>
      </c>
      <c r="N265" s="198">
        <v>0</v>
      </c>
      <c r="O265" s="198">
        <v>0</v>
      </c>
      <c r="P265" s="198">
        <v>0</v>
      </c>
      <c r="Q265" s="198">
        <v>0</v>
      </c>
      <c r="R265" s="198">
        <v>0</v>
      </c>
      <c r="S265" s="198">
        <v>0</v>
      </c>
      <c r="T265" s="198"/>
      <c r="U265" s="241">
        <f t="shared" si="23"/>
        <v>0</v>
      </c>
      <c r="V265" s="240">
        <f t="shared" si="24"/>
        <v>0</v>
      </c>
      <c r="W265" s="239" t="str">
        <f t="shared" si="25"/>
        <v>100%</v>
      </c>
      <c r="X265" s="238" t="str">
        <f t="shared" si="26"/>
        <v/>
      </c>
      <c r="AC265" s="194" t="s">
        <v>318</v>
      </c>
    </row>
    <row r="266" spans="1:29" x14ac:dyDescent="0.25">
      <c r="A266" s="53">
        <f t="shared" si="27"/>
        <v>20</v>
      </c>
      <c r="B266" s="196" t="str">
        <f t="shared" si="28"/>
        <v>2023 Closed 2024</v>
      </c>
      <c r="C266" s="194" t="s">
        <v>210</v>
      </c>
      <c r="D266" s="194" t="s">
        <v>274</v>
      </c>
      <c r="E266" s="194" t="s">
        <v>273</v>
      </c>
      <c r="F266" s="200" t="s">
        <v>169</v>
      </c>
      <c r="G266" s="198">
        <v>0</v>
      </c>
      <c r="H266" s="198">
        <v>40315.090000000004</v>
      </c>
      <c r="I266" s="198">
        <v>8762.4699999999993</v>
      </c>
      <c r="J266" s="198">
        <v>0</v>
      </c>
      <c r="K266" s="198">
        <v>0</v>
      </c>
      <c r="L266" s="198">
        <v>0</v>
      </c>
      <c r="M266" s="198">
        <v>0</v>
      </c>
      <c r="N266" s="198">
        <v>0</v>
      </c>
      <c r="O266" s="198">
        <v>0</v>
      </c>
      <c r="P266" s="198">
        <v>0</v>
      </c>
      <c r="Q266" s="198">
        <v>0</v>
      </c>
      <c r="R266" s="198">
        <v>0</v>
      </c>
      <c r="S266" s="198">
        <v>0</v>
      </c>
      <c r="T266" s="198"/>
      <c r="U266" s="241">
        <f t="shared" si="23"/>
        <v>49077.560000000005</v>
      </c>
      <c r="V266" s="240">
        <f t="shared" si="24"/>
        <v>49077.560000000005</v>
      </c>
      <c r="W266" s="239" t="str">
        <f t="shared" si="25"/>
        <v>100%</v>
      </c>
      <c r="X266" s="238" t="str">
        <f t="shared" si="26"/>
        <v/>
      </c>
      <c r="AC266" s="194" t="s">
        <v>318</v>
      </c>
    </row>
    <row r="267" spans="1:29" x14ac:dyDescent="0.25">
      <c r="A267" s="53">
        <f t="shared" si="27"/>
        <v>21</v>
      </c>
      <c r="B267" s="196" t="str">
        <f t="shared" si="28"/>
        <v>2023 Closed 2024</v>
      </c>
      <c r="C267" s="194" t="s">
        <v>196</v>
      </c>
      <c r="D267" s="194" t="s">
        <v>272</v>
      </c>
      <c r="E267" s="194" t="s">
        <v>271</v>
      </c>
      <c r="F267" s="200" t="s">
        <v>134</v>
      </c>
      <c r="G267" s="198">
        <v>0</v>
      </c>
      <c r="H267" s="198">
        <v>350.63</v>
      </c>
      <c r="I267" s="198">
        <v>-278245.28000000003</v>
      </c>
      <c r="J267" s="198">
        <v>0</v>
      </c>
      <c r="K267" s="198">
        <v>0</v>
      </c>
      <c r="L267" s="198">
        <v>0</v>
      </c>
      <c r="M267" s="198">
        <v>0</v>
      </c>
      <c r="N267" s="198">
        <v>0</v>
      </c>
      <c r="O267" s="198">
        <v>0</v>
      </c>
      <c r="P267" s="198">
        <v>0</v>
      </c>
      <c r="Q267" s="198">
        <v>0</v>
      </c>
      <c r="R267" s="198">
        <v>0</v>
      </c>
      <c r="S267" s="198">
        <v>0</v>
      </c>
      <c r="T267" s="198"/>
      <c r="U267" s="241">
        <f t="shared" si="23"/>
        <v>-277894.65000000002</v>
      </c>
      <c r="V267" s="240">
        <f t="shared" si="24"/>
        <v>-277894.65000000002</v>
      </c>
      <c r="W267" s="239" t="str">
        <f t="shared" si="25"/>
        <v>100%</v>
      </c>
      <c r="X267" s="238" t="str">
        <f t="shared" si="26"/>
        <v/>
      </c>
      <c r="AC267" s="194" t="s">
        <v>318</v>
      </c>
    </row>
    <row r="268" spans="1:29" x14ac:dyDescent="0.25">
      <c r="A268" s="53">
        <f t="shared" si="27"/>
        <v>22</v>
      </c>
      <c r="B268" s="196" t="str">
        <f t="shared" si="28"/>
        <v>2023 Closed 2024</v>
      </c>
      <c r="C268" s="194" t="s">
        <v>133</v>
      </c>
      <c r="D268" s="194" t="s">
        <v>270</v>
      </c>
      <c r="E268" s="194" t="s">
        <v>269</v>
      </c>
      <c r="F268" s="200" t="s">
        <v>134</v>
      </c>
      <c r="G268" s="198">
        <v>0</v>
      </c>
      <c r="H268" s="198">
        <v>0</v>
      </c>
      <c r="I268" s="198">
        <v>133.69</v>
      </c>
      <c r="J268" s="198">
        <v>0</v>
      </c>
      <c r="K268" s="198">
        <v>0</v>
      </c>
      <c r="L268" s="198">
        <v>0</v>
      </c>
      <c r="M268" s="198">
        <v>0</v>
      </c>
      <c r="N268" s="198">
        <v>0</v>
      </c>
      <c r="O268" s="198">
        <v>0</v>
      </c>
      <c r="P268" s="198">
        <v>0</v>
      </c>
      <c r="Q268" s="198">
        <v>0</v>
      </c>
      <c r="R268" s="198">
        <v>0</v>
      </c>
      <c r="S268" s="198">
        <v>0</v>
      </c>
      <c r="T268" s="198"/>
      <c r="U268" s="241">
        <f t="shared" si="23"/>
        <v>133.69</v>
      </c>
      <c r="V268" s="240">
        <f t="shared" si="24"/>
        <v>133.69</v>
      </c>
      <c r="W268" s="239" t="str">
        <f t="shared" si="25"/>
        <v>100%</v>
      </c>
      <c r="X268" s="238" t="str">
        <f t="shared" si="26"/>
        <v/>
      </c>
      <c r="AC268" s="194" t="s">
        <v>829</v>
      </c>
    </row>
    <row r="269" spans="1:29" x14ac:dyDescent="0.25">
      <c r="A269" s="53">
        <f t="shared" si="27"/>
        <v>23</v>
      </c>
      <c r="B269" s="196" t="str">
        <f t="shared" si="28"/>
        <v>2023 Closed 2024</v>
      </c>
      <c r="C269" s="194" t="s">
        <v>196</v>
      </c>
      <c r="D269" s="194" t="s">
        <v>268</v>
      </c>
      <c r="E269" s="194" t="s">
        <v>267</v>
      </c>
      <c r="F269" s="200" t="s">
        <v>134</v>
      </c>
      <c r="G269" s="198">
        <v>0</v>
      </c>
      <c r="H269" s="198">
        <v>0</v>
      </c>
      <c r="I269" s="198">
        <v>0</v>
      </c>
      <c r="J269" s="198">
        <v>0</v>
      </c>
      <c r="K269" s="198">
        <v>49.230000000000004</v>
      </c>
      <c r="L269" s="198">
        <v>0</v>
      </c>
      <c r="M269" s="198">
        <v>0</v>
      </c>
      <c r="N269" s="198">
        <v>0</v>
      </c>
      <c r="O269" s="198">
        <v>0</v>
      </c>
      <c r="P269" s="198">
        <v>0</v>
      </c>
      <c r="Q269" s="198">
        <v>0</v>
      </c>
      <c r="R269" s="198">
        <v>0</v>
      </c>
      <c r="S269" s="198">
        <v>0</v>
      </c>
      <c r="T269" s="198"/>
      <c r="U269" s="241">
        <f t="shared" si="23"/>
        <v>49.230000000000004</v>
      </c>
      <c r="V269" s="240">
        <f t="shared" si="24"/>
        <v>49.230000000000004</v>
      </c>
      <c r="W269" s="239" t="str">
        <f t="shared" si="25"/>
        <v>100%</v>
      </c>
      <c r="X269" s="238" t="str">
        <f t="shared" si="26"/>
        <v/>
      </c>
      <c r="AC269" s="194" t="s">
        <v>318</v>
      </c>
    </row>
    <row r="270" spans="1:29" x14ac:dyDescent="0.25">
      <c r="A270" s="53">
        <f t="shared" si="27"/>
        <v>24</v>
      </c>
      <c r="B270" s="196" t="str">
        <f t="shared" si="28"/>
        <v>2023 Closed 2024</v>
      </c>
      <c r="C270" s="194" t="s">
        <v>133</v>
      </c>
      <c r="D270" s="194" t="s">
        <v>266</v>
      </c>
      <c r="E270" s="194" t="s">
        <v>265</v>
      </c>
      <c r="F270" s="200" t="s">
        <v>134</v>
      </c>
      <c r="G270" s="198">
        <v>0</v>
      </c>
      <c r="H270" s="198">
        <v>-233.86</v>
      </c>
      <c r="I270" s="198">
        <v>0</v>
      </c>
      <c r="J270" s="198">
        <v>846.77</v>
      </c>
      <c r="K270" s="198">
        <v>0</v>
      </c>
      <c r="L270" s="198">
        <v>0</v>
      </c>
      <c r="M270" s="198">
        <v>0</v>
      </c>
      <c r="N270" s="198">
        <v>0</v>
      </c>
      <c r="O270" s="198">
        <v>0</v>
      </c>
      <c r="P270" s="198">
        <v>0</v>
      </c>
      <c r="Q270" s="198">
        <v>0</v>
      </c>
      <c r="R270" s="198">
        <v>0</v>
      </c>
      <c r="S270" s="198">
        <v>0</v>
      </c>
      <c r="T270" s="198"/>
      <c r="U270" s="241">
        <f t="shared" si="23"/>
        <v>612.91</v>
      </c>
      <c r="V270" s="240">
        <f t="shared" si="24"/>
        <v>612.91</v>
      </c>
      <c r="W270" s="239" t="str">
        <f t="shared" si="25"/>
        <v>100%</v>
      </c>
      <c r="X270" s="238" t="str">
        <f t="shared" si="26"/>
        <v/>
      </c>
      <c r="AC270" s="194" t="s">
        <v>318</v>
      </c>
    </row>
    <row r="271" spans="1:29" x14ac:dyDescent="0.25">
      <c r="A271" s="53">
        <f t="shared" si="27"/>
        <v>25</v>
      </c>
      <c r="B271" s="196" t="str">
        <f t="shared" si="28"/>
        <v>2023 Closed 2024</v>
      </c>
      <c r="C271" s="194" t="s">
        <v>196</v>
      </c>
      <c r="D271" s="194" t="s">
        <v>264</v>
      </c>
      <c r="E271" s="194" t="s">
        <v>263</v>
      </c>
      <c r="F271" s="200" t="s">
        <v>193</v>
      </c>
      <c r="G271" s="198">
        <v>0</v>
      </c>
      <c r="H271" s="198">
        <v>19701.02</v>
      </c>
      <c r="I271" s="198">
        <v>0</v>
      </c>
      <c r="J271" s="198">
        <v>0</v>
      </c>
      <c r="K271" s="198">
        <v>0</v>
      </c>
      <c r="L271" s="198">
        <v>0</v>
      </c>
      <c r="M271" s="198">
        <v>0</v>
      </c>
      <c r="N271" s="198">
        <v>0</v>
      </c>
      <c r="O271" s="198">
        <v>0</v>
      </c>
      <c r="P271" s="198">
        <v>0</v>
      </c>
      <c r="Q271" s="198">
        <v>0</v>
      </c>
      <c r="R271" s="198">
        <v>0</v>
      </c>
      <c r="S271" s="198">
        <v>0</v>
      </c>
      <c r="T271" s="198"/>
      <c r="U271" s="241">
        <f t="shared" si="23"/>
        <v>19701.02</v>
      </c>
      <c r="V271" s="240">
        <f t="shared" si="24"/>
        <v>19701.02</v>
      </c>
      <c r="W271" s="239" t="str">
        <f t="shared" si="25"/>
        <v>100%</v>
      </c>
      <c r="X271" s="238" t="str">
        <f t="shared" si="26"/>
        <v/>
      </c>
      <c r="AC271" s="194" t="s">
        <v>318</v>
      </c>
    </row>
    <row r="272" spans="1:29" x14ac:dyDescent="0.25">
      <c r="A272" s="53">
        <f t="shared" si="27"/>
        <v>26</v>
      </c>
      <c r="B272" s="196" t="str">
        <f t="shared" si="28"/>
        <v>2023 Closed 2024</v>
      </c>
      <c r="C272" s="194" t="s">
        <v>247</v>
      </c>
      <c r="D272" s="194" t="s">
        <v>262</v>
      </c>
      <c r="E272" s="194" t="s">
        <v>261</v>
      </c>
      <c r="F272" s="200" t="s">
        <v>130</v>
      </c>
      <c r="G272" s="198">
        <v>0</v>
      </c>
      <c r="H272" s="198">
        <v>0</v>
      </c>
      <c r="I272" s="198">
        <v>0</v>
      </c>
      <c r="J272" s="198">
        <v>0</v>
      </c>
      <c r="K272" s="198">
        <v>0</v>
      </c>
      <c r="L272" s="198">
        <v>0</v>
      </c>
      <c r="M272" s="198">
        <v>0</v>
      </c>
      <c r="N272" s="198">
        <v>0</v>
      </c>
      <c r="O272" s="198">
        <v>0</v>
      </c>
      <c r="P272" s="198">
        <v>0</v>
      </c>
      <c r="Q272" s="198">
        <v>0</v>
      </c>
      <c r="R272" s="198">
        <v>0</v>
      </c>
      <c r="S272" s="198">
        <v>0</v>
      </c>
      <c r="T272" s="198"/>
      <c r="U272" s="241">
        <f t="shared" si="23"/>
        <v>0</v>
      </c>
      <c r="V272" s="240">
        <f t="shared" si="24"/>
        <v>0</v>
      </c>
      <c r="W272" s="239" t="str">
        <f t="shared" si="25"/>
        <v>100%</v>
      </c>
      <c r="X272" s="238" t="str">
        <f t="shared" si="26"/>
        <v/>
      </c>
      <c r="AC272" s="194" t="s">
        <v>318</v>
      </c>
    </row>
    <row r="273" spans="1:29" x14ac:dyDescent="0.25">
      <c r="A273" s="53">
        <f t="shared" si="27"/>
        <v>27</v>
      </c>
      <c r="B273" s="196" t="str">
        <f t="shared" si="28"/>
        <v>2023 Closed 2024</v>
      </c>
      <c r="C273" s="194" t="s">
        <v>133</v>
      </c>
      <c r="D273" s="194" t="s">
        <v>260</v>
      </c>
      <c r="E273" s="194" t="s">
        <v>259</v>
      </c>
      <c r="F273" s="200" t="s">
        <v>258</v>
      </c>
      <c r="G273" s="198">
        <v>0</v>
      </c>
      <c r="H273" s="198">
        <v>0</v>
      </c>
      <c r="I273" s="198">
        <v>0</v>
      </c>
      <c r="J273" s="198">
        <v>0</v>
      </c>
      <c r="K273" s="198">
        <v>0</v>
      </c>
      <c r="L273" s="198">
        <v>0</v>
      </c>
      <c r="M273" s="198">
        <v>0</v>
      </c>
      <c r="N273" s="198">
        <v>0</v>
      </c>
      <c r="O273" s="198">
        <v>0</v>
      </c>
      <c r="P273" s="198">
        <v>0</v>
      </c>
      <c r="Q273" s="198">
        <v>0</v>
      </c>
      <c r="R273" s="198">
        <v>0</v>
      </c>
      <c r="S273" s="198">
        <v>0</v>
      </c>
      <c r="T273" s="198"/>
      <c r="U273" s="241">
        <f t="shared" si="23"/>
        <v>0</v>
      </c>
      <c r="V273" s="240">
        <f t="shared" si="24"/>
        <v>0</v>
      </c>
      <c r="W273" s="239" t="str">
        <f t="shared" si="25"/>
        <v>100%</v>
      </c>
      <c r="X273" s="238" t="str">
        <f t="shared" si="26"/>
        <v/>
      </c>
      <c r="AC273" s="194" t="s">
        <v>318</v>
      </c>
    </row>
    <row r="274" spans="1:29" x14ac:dyDescent="0.25">
      <c r="A274" s="53">
        <f t="shared" si="27"/>
        <v>28</v>
      </c>
      <c r="B274" s="196" t="str">
        <f t="shared" si="28"/>
        <v>2023 Closed 2024</v>
      </c>
      <c r="C274" s="194" t="s">
        <v>133</v>
      </c>
      <c r="D274" s="194" t="s">
        <v>257</v>
      </c>
      <c r="E274" s="194" t="s">
        <v>256</v>
      </c>
      <c r="F274" s="200" t="s">
        <v>130</v>
      </c>
      <c r="G274" s="198">
        <v>0</v>
      </c>
      <c r="H274" s="198">
        <v>0</v>
      </c>
      <c r="I274" s="198">
        <v>76.239999999999995</v>
      </c>
      <c r="J274" s="198">
        <v>0</v>
      </c>
      <c r="K274" s="198">
        <v>0</v>
      </c>
      <c r="L274" s="198">
        <v>0</v>
      </c>
      <c r="M274" s="198">
        <v>0</v>
      </c>
      <c r="N274" s="198">
        <v>0</v>
      </c>
      <c r="O274" s="198">
        <v>0</v>
      </c>
      <c r="P274" s="198">
        <v>0</v>
      </c>
      <c r="Q274" s="198">
        <v>0</v>
      </c>
      <c r="R274" s="198">
        <v>0</v>
      </c>
      <c r="S274" s="198">
        <v>0</v>
      </c>
      <c r="T274" s="198"/>
      <c r="U274" s="241">
        <f t="shared" si="23"/>
        <v>76.239999999999995</v>
      </c>
      <c r="V274" s="240">
        <f t="shared" si="24"/>
        <v>76.239999999999995</v>
      </c>
      <c r="W274" s="239" t="str">
        <f t="shared" si="25"/>
        <v>100%</v>
      </c>
      <c r="X274" s="238" t="str">
        <f t="shared" si="26"/>
        <v/>
      </c>
      <c r="AC274" s="194" t="s">
        <v>318</v>
      </c>
    </row>
    <row r="275" spans="1:29" x14ac:dyDescent="0.25">
      <c r="A275" s="53">
        <f t="shared" si="27"/>
        <v>29</v>
      </c>
      <c r="B275" s="196" t="str">
        <f t="shared" si="28"/>
        <v>2023 Closed 2024</v>
      </c>
      <c r="C275" s="194" t="s">
        <v>196</v>
      </c>
      <c r="D275" s="194" t="s">
        <v>255</v>
      </c>
      <c r="E275" s="194" t="s">
        <v>254</v>
      </c>
      <c r="F275" s="200" t="s">
        <v>134</v>
      </c>
      <c r="G275" s="198">
        <v>0</v>
      </c>
      <c r="H275" s="198">
        <v>0</v>
      </c>
      <c r="I275" s="198">
        <v>0</v>
      </c>
      <c r="J275" s="198">
        <v>0</v>
      </c>
      <c r="K275" s="198">
        <v>558.35</v>
      </c>
      <c r="L275" s="198">
        <v>0</v>
      </c>
      <c r="M275" s="198">
        <v>0</v>
      </c>
      <c r="N275" s="198">
        <v>0</v>
      </c>
      <c r="O275" s="198">
        <v>0</v>
      </c>
      <c r="P275" s="198">
        <v>0</v>
      </c>
      <c r="Q275" s="198">
        <v>0</v>
      </c>
      <c r="R275" s="198">
        <v>0</v>
      </c>
      <c r="S275" s="198">
        <v>0</v>
      </c>
      <c r="T275" s="198"/>
      <c r="U275" s="241">
        <f t="shared" si="23"/>
        <v>558.35</v>
      </c>
      <c r="V275" s="240">
        <f t="shared" si="24"/>
        <v>558.35</v>
      </c>
      <c r="W275" s="239" t="str">
        <f t="shared" si="25"/>
        <v>100%</v>
      </c>
      <c r="X275" s="238" t="str">
        <f t="shared" si="26"/>
        <v/>
      </c>
      <c r="AC275" s="194" t="s">
        <v>829</v>
      </c>
    </row>
    <row r="276" spans="1:29" x14ac:dyDescent="0.25">
      <c r="A276" s="53">
        <f t="shared" si="27"/>
        <v>30</v>
      </c>
      <c r="B276" s="196" t="str">
        <f t="shared" si="28"/>
        <v>2023 Closed 2024</v>
      </c>
      <c r="C276" s="194" t="s">
        <v>196</v>
      </c>
      <c r="D276" s="194" t="s">
        <v>253</v>
      </c>
      <c r="E276" s="194" t="s">
        <v>252</v>
      </c>
      <c r="F276" s="200" t="s">
        <v>202</v>
      </c>
      <c r="G276" s="198">
        <v>0</v>
      </c>
      <c r="H276" s="198">
        <v>0</v>
      </c>
      <c r="I276" s="198">
        <v>0</v>
      </c>
      <c r="J276" s="198">
        <v>0</v>
      </c>
      <c r="K276" s="198">
        <v>0</v>
      </c>
      <c r="L276" s="198">
        <v>0</v>
      </c>
      <c r="M276" s="198">
        <v>0</v>
      </c>
      <c r="N276" s="198">
        <v>0</v>
      </c>
      <c r="O276" s="198">
        <v>0</v>
      </c>
      <c r="P276" s="198">
        <v>0</v>
      </c>
      <c r="Q276" s="198">
        <v>0</v>
      </c>
      <c r="R276" s="198">
        <v>0</v>
      </c>
      <c r="S276" s="198">
        <v>0</v>
      </c>
      <c r="T276" s="198"/>
      <c r="U276" s="241">
        <f t="shared" si="23"/>
        <v>0</v>
      </c>
      <c r="V276" s="240">
        <f t="shared" si="24"/>
        <v>0</v>
      </c>
      <c r="W276" s="239" t="str">
        <f t="shared" si="25"/>
        <v>100%</v>
      </c>
      <c r="X276" s="238" t="str">
        <f t="shared" si="26"/>
        <v/>
      </c>
      <c r="AC276" s="194" t="s">
        <v>830</v>
      </c>
    </row>
    <row r="277" spans="1:29" x14ac:dyDescent="0.25">
      <c r="A277" s="53">
        <f t="shared" si="27"/>
        <v>31</v>
      </c>
      <c r="B277" s="196" t="str">
        <f t="shared" si="28"/>
        <v>2023 Closed 2024</v>
      </c>
      <c r="C277" s="194" t="s">
        <v>196</v>
      </c>
      <c r="D277" s="194" t="s">
        <v>251</v>
      </c>
      <c r="E277" s="194" t="s">
        <v>250</v>
      </c>
      <c r="F277" s="200" t="s">
        <v>130</v>
      </c>
      <c r="G277" s="198">
        <v>0</v>
      </c>
      <c r="H277" s="198">
        <v>0</v>
      </c>
      <c r="I277" s="198">
        <v>0</v>
      </c>
      <c r="J277" s="198">
        <v>0</v>
      </c>
      <c r="K277" s="198">
        <v>0</v>
      </c>
      <c r="L277" s="198">
        <v>0</v>
      </c>
      <c r="M277" s="198">
        <v>0</v>
      </c>
      <c r="N277" s="198">
        <v>0</v>
      </c>
      <c r="O277" s="198">
        <v>0</v>
      </c>
      <c r="P277" s="198">
        <v>0</v>
      </c>
      <c r="Q277" s="198">
        <v>0</v>
      </c>
      <c r="R277" s="198">
        <v>0</v>
      </c>
      <c r="S277" s="198">
        <v>0</v>
      </c>
      <c r="T277" s="198"/>
      <c r="U277" s="241">
        <f t="shared" si="23"/>
        <v>0</v>
      </c>
      <c r="V277" s="240">
        <f t="shared" si="24"/>
        <v>0</v>
      </c>
      <c r="W277" s="239" t="str">
        <f t="shared" si="25"/>
        <v>100%</v>
      </c>
      <c r="X277" s="238" t="str">
        <f t="shared" si="26"/>
        <v/>
      </c>
      <c r="AC277" s="194" t="s">
        <v>318</v>
      </c>
    </row>
    <row r="278" spans="1:29" x14ac:dyDescent="0.25">
      <c r="A278" s="53">
        <f t="shared" si="27"/>
        <v>32</v>
      </c>
      <c r="B278" s="196" t="str">
        <f t="shared" si="28"/>
        <v>2023 Closed 2024</v>
      </c>
      <c r="C278" s="194" t="s">
        <v>196</v>
      </c>
      <c r="D278" s="194" t="s">
        <v>249</v>
      </c>
      <c r="E278" s="194" t="s">
        <v>248</v>
      </c>
      <c r="F278" s="200" t="s">
        <v>130</v>
      </c>
      <c r="G278" s="198">
        <v>0</v>
      </c>
      <c r="H278" s="198">
        <v>0</v>
      </c>
      <c r="I278" s="198">
        <v>0</v>
      </c>
      <c r="J278" s="198">
        <v>0</v>
      </c>
      <c r="K278" s="198">
        <v>0</v>
      </c>
      <c r="L278" s="198">
        <v>0</v>
      </c>
      <c r="M278" s="198">
        <v>0</v>
      </c>
      <c r="N278" s="198">
        <v>0</v>
      </c>
      <c r="O278" s="198">
        <v>0</v>
      </c>
      <c r="P278" s="198">
        <v>0</v>
      </c>
      <c r="Q278" s="198">
        <v>0</v>
      </c>
      <c r="R278" s="198">
        <v>0</v>
      </c>
      <c r="S278" s="198">
        <v>0</v>
      </c>
      <c r="T278" s="198"/>
      <c r="U278" s="241">
        <f t="shared" si="23"/>
        <v>0</v>
      </c>
      <c r="V278" s="240">
        <f t="shared" si="24"/>
        <v>0</v>
      </c>
      <c r="W278" s="239" t="str">
        <f t="shared" si="25"/>
        <v>100%</v>
      </c>
      <c r="X278" s="238" t="str">
        <f t="shared" si="26"/>
        <v/>
      </c>
      <c r="AC278" s="194" t="s">
        <v>318</v>
      </c>
    </row>
    <row r="279" spans="1:29" x14ac:dyDescent="0.25">
      <c r="A279" s="53">
        <f t="shared" si="27"/>
        <v>33</v>
      </c>
      <c r="B279" s="196" t="str">
        <f t="shared" si="28"/>
        <v>2023 Closed 2024</v>
      </c>
      <c r="C279" s="194" t="s">
        <v>247</v>
      </c>
      <c r="D279" s="194" t="s">
        <v>246</v>
      </c>
      <c r="E279" s="194" t="s">
        <v>245</v>
      </c>
      <c r="F279" s="200" t="s">
        <v>207</v>
      </c>
      <c r="G279" s="198">
        <v>0</v>
      </c>
      <c r="H279" s="198">
        <v>0</v>
      </c>
      <c r="I279" s="198">
        <v>2401.58</v>
      </c>
      <c r="J279" s="198">
        <v>1356.19</v>
      </c>
      <c r="K279" s="198">
        <v>678.09</v>
      </c>
      <c r="L279" s="198">
        <v>0</v>
      </c>
      <c r="M279" s="198">
        <v>0</v>
      </c>
      <c r="N279" s="198">
        <v>0</v>
      </c>
      <c r="O279" s="198">
        <v>0</v>
      </c>
      <c r="P279" s="198">
        <v>0</v>
      </c>
      <c r="Q279" s="198">
        <v>0</v>
      </c>
      <c r="R279" s="198">
        <v>0</v>
      </c>
      <c r="S279" s="198">
        <v>0</v>
      </c>
      <c r="T279" s="198"/>
      <c r="U279" s="241">
        <f t="shared" ref="U279:U310" si="29">SUM(H279:T279)</f>
        <v>4435.8599999999997</v>
      </c>
      <c r="V279" s="240">
        <f t="shared" ref="V279:V310" si="30">U279-G279</f>
        <v>4435.8599999999997</v>
      </c>
      <c r="W279" s="239" t="str">
        <f t="shared" ref="W279:W310" si="31">+IFERROR(V279/G279,"100%")</f>
        <v>100%</v>
      </c>
      <c r="X279" s="238" t="str">
        <f t="shared" ref="X279:X310" si="32">IFERROR(IF(AND(ABS(V279)&gt;=500000,ABS(W279)&gt;=10%),"yes",""),"")</f>
        <v/>
      </c>
      <c r="AC279" s="194" t="s">
        <v>318</v>
      </c>
    </row>
    <row r="280" spans="1:29" x14ac:dyDescent="0.25">
      <c r="A280" s="53">
        <f t="shared" ref="A280:A311" si="33">A279+1</f>
        <v>34</v>
      </c>
      <c r="B280" s="196" t="str">
        <f t="shared" ref="B280:B311" si="34">B279</f>
        <v>2023 Closed 2024</v>
      </c>
      <c r="C280" s="194" t="s">
        <v>196</v>
      </c>
      <c r="D280" s="194" t="s">
        <v>244</v>
      </c>
      <c r="E280" s="194" t="s">
        <v>243</v>
      </c>
      <c r="F280" s="200" t="s">
        <v>134</v>
      </c>
      <c r="G280" s="198">
        <v>0</v>
      </c>
      <c r="H280" s="198">
        <v>23.51</v>
      </c>
      <c r="I280" s="198">
        <v>0</v>
      </c>
      <c r="J280" s="198">
        <v>3547.9</v>
      </c>
      <c r="K280" s="198">
        <v>0</v>
      </c>
      <c r="L280" s="198">
        <v>0</v>
      </c>
      <c r="M280" s="198">
        <v>1064.26</v>
      </c>
      <c r="N280" s="198">
        <v>0</v>
      </c>
      <c r="O280" s="198">
        <v>0</v>
      </c>
      <c r="P280" s="198">
        <v>0</v>
      </c>
      <c r="Q280" s="198">
        <v>0</v>
      </c>
      <c r="R280" s="198">
        <v>0</v>
      </c>
      <c r="S280" s="198">
        <v>0</v>
      </c>
      <c r="T280" s="198"/>
      <c r="U280" s="241">
        <f t="shared" si="29"/>
        <v>4635.67</v>
      </c>
      <c r="V280" s="240">
        <f t="shared" si="30"/>
        <v>4635.67</v>
      </c>
      <c r="W280" s="239" t="str">
        <f t="shared" si="31"/>
        <v>100%</v>
      </c>
      <c r="X280" s="238" t="str">
        <f t="shared" si="32"/>
        <v/>
      </c>
      <c r="AC280" s="194" t="s">
        <v>318</v>
      </c>
    </row>
    <row r="281" spans="1:29" x14ac:dyDescent="0.25">
      <c r="A281" s="53">
        <f t="shared" si="33"/>
        <v>35</v>
      </c>
      <c r="B281" s="196" t="str">
        <f t="shared" si="34"/>
        <v>2023 Closed 2024</v>
      </c>
      <c r="C281" s="194" t="s">
        <v>133</v>
      </c>
      <c r="D281" s="194" t="s">
        <v>242</v>
      </c>
      <c r="E281" s="194" t="s">
        <v>241</v>
      </c>
      <c r="F281" s="200" t="s">
        <v>130</v>
      </c>
      <c r="G281" s="198">
        <v>0</v>
      </c>
      <c r="H281" s="198">
        <v>0</v>
      </c>
      <c r="I281" s="198">
        <v>0</v>
      </c>
      <c r="J281" s="198">
        <v>0</v>
      </c>
      <c r="K281" s="198">
        <v>0</v>
      </c>
      <c r="L281" s="198">
        <v>0</v>
      </c>
      <c r="M281" s="198">
        <v>0</v>
      </c>
      <c r="N281" s="198">
        <v>0</v>
      </c>
      <c r="O281" s="198">
        <v>0</v>
      </c>
      <c r="P281" s="198">
        <v>0</v>
      </c>
      <c r="Q281" s="198">
        <v>0</v>
      </c>
      <c r="R281" s="198">
        <v>0</v>
      </c>
      <c r="S281" s="198">
        <v>0</v>
      </c>
      <c r="T281" s="198"/>
      <c r="U281" s="241">
        <f t="shared" si="29"/>
        <v>0</v>
      </c>
      <c r="V281" s="240">
        <f t="shared" si="30"/>
        <v>0</v>
      </c>
      <c r="W281" s="239" t="str">
        <f t="shared" si="31"/>
        <v>100%</v>
      </c>
      <c r="X281" s="238" t="str">
        <f t="shared" si="32"/>
        <v/>
      </c>
      <c r="AC281" s="194" t="s">
        <v>318</v>
      </c>
    </row>
    <row r="282" spans="1:29" x14ac:dyDescent="0.25">
      <c r="A282" s="53">
        <f t="shared" si="33"/>
        <v>36</v>
      </c>
      <c r="B282" s="196" t="str">
        <f t="shared" si="34"/>
        <v>2023 Closed 2024</v>
      </c>
      <c r="C282" s="194" t="s">
        <v>196</v>
      </c>
      <c r="D282" s="194" t="s">
        <v>240</v>
      </c>
      <c r="E282" s="194" t="s">
        <v>239</v>
      </c>
      <c r="F282" s="200" t="s">
        <v>134</v>
      </c>
      <c r="G282" s="198">
        <v>0</v>
      </c>
      <c r="H282" s="198">
        <v>0</v>
      </c>
      <c r="I282" s="198">
        <v>0</v>
      </c>
      <c r="J282" s="198">
        <v>0</v>
      </c>
      <c r="K282" s="198">
        <v>0</v>
      </c>
      <c r="L282" s="198">
        <v>0</v>
      </c>
      <c r="M282" s="198">
        <v>0</v>
      </c>
      <c r="N282" s="198">
        <v>0</v>
      </c>
      <c r="O282" s="198">
        <v>0</v>
      </c>
      <c r="P282" s="198">
        <v>0</v>
      </c>
      <c r="Q282" s="198">
        <v>0</v>
      </c>
      <c r="R282" s="198">
        <v>0</v>
      </c>
      <c r="S282" s="198">
        <v>0</v>
      </c>
      <c r="T282" s="198"/>
      <c r="U282" s="241">
        <f t="shared" si="29"/>
        <v>0</v>
      </c>
      <c r="V282" s="240">
        <f t="shared" si="30"/>
        <v>0</v>
      </c>
      <c r="W282" s="239" t="str">
        <f t="shared" si="31"/>
        <v>100%</v>
      </c>
      <c r="X282" s="238" t="str">
        <f t="shared" si="32"/>
        <v/>
      </c>
      <c r="AC282" s="194" t="s">
        <v>830</v>
      </c>
    </row>
    <row r="283" spans="1:29" x14ac:dyDescent="0.25">
      <c r="A283" s="53">
        <f t="shared" si="33"/>
        <v>37</v>
      </c>
      <c r="B283" s="196" t="str">
        <f t="shared" si="34"/>
        <v>2023 Closed 2024</v>
      </c>
      <c r="C283" s="194" t="s">
        <v>196</v>
      </c>
      <c r="D283" s="194" t="s">
        <v>238</v>
      </c>
      <c r="E283" s="194" t="s">
        <v>237</v>
      </c>
      <c r="F283" s="200" t="s">
        <v>134</v>
      </c>
      <c r="G283" s="198">
        <v>0</v>
      </c>
      <c r="H283" s="198">
        <v>0</v>
      </c>
      <c r="I283" s="198">
        <v>0</v>
      </c>
      <c r="J283" s="198">
        <v>0</v>
      </c>
      <c r="K283" s="198">
        <v>0</v>
      </c>
      <c r="L283" s="198">
        <v>0</v>
      </c>
      <c r="M283" s="198">
        <v>0</v>
      </c>
      <c r="N283" s="198">
        <v>0</v>
      </c>
      <c r="O283" s="198">
        <v>0</v>
      </c>
      <c r="P283" s="198">
        <v>0</v>
      </c>
      <c r="Q283" s="198">
        <v>0</v>
      </c>
      <c r="R283" s="198">
        <v>0</v>
      </c>
      <c r="S283" s="198">
        <v>0</v>
      </c>
      <c r="T283" s="198"/>
      <c r="U283" s="241">
        <f t="shared" si="29"/>
        <v>0</v>
      </c>
      <c r="V283" s="240">
        <f t="shared" si="30"/>
        <v>0</v>
      </c>
      <c r="W283" s="239" t="str">
        <f t="shared" si="31"/>
        <v>100%</v>
      </c>
      <c r="X283" s="238" t="str">
        <f t="shared" si="32"/>
        <v/>
      </c>
      <c r="AC283" s="194" t="s">
        <v>830</v>
      </c>
    </row>
    <row r="284" spans="1:29" x14ac:dyDescent="0.25">
      <c r="A284" s="53">
        <f t="shared" si="33"/>
        <v>38</v>
      </c>
      <c r="B284" s="196" t="str">
        <f t="shared" si="34"/>
        <v>2023 Closed 2024</v>
      </c>
      <c r="C284" s="194" t="s">
        <v>196</v>
      </c>
      <c r="D284" s="194" t="s">
        <v>236</v>
      </c>
      <c r="E284" s="194" t="s">
        <v>235</v>
      </c>
      <c r="F284" s="200" t="s">
        <v>134</v>
      </c>
      <c r="G284" s="198">
        <v>0</v>
      </c>
      <c r="H284" s="198">
        <v>0</v>
      </c>
      <c r="I284" s="198">
        <v>0</v>
      </c>
      <c r="J284" s="198">
        <v>0</v>
      </c>
      <c r="K284" s="198">
        <v>0</v>
      </c>
      <c r="L284" s="198">
        <v>0</v>
      </c>
      <c r="M284" s="198">
        <v>0</v>
      </c>
      <c r="N284" s="198">
        <v>0</v>
      </c>
      <c r="O284" s="198">
        <v>0</v>
      </c>
      <c r="P284" s="198">
        <v>0</v>
      </c>
      <c r="Q284" s="198">
        <v>0</v>
      </c>
      <c r="R284" s="198">
        <v>0</v>
      </c>
      <c r="S284" s="198">
        <v>0</v>
      </c>
      <c r="T284" s="198"/>
      <c r="U284" s="241">
        <f t="shared" si="29"/>
        <v>0</v>
      </c>
      <c r="V284" s="240">
        <f t="shared" si="30"/>
        <v>0</v>
      </c>
      <c r="W284" s="239" t="str">
        <f t="shared" si="31"/>
        <v>100%</v>
      </c>
      <c r="X284" s="238" t="str">
        <f t="shared" si="32"/>
        <v/>
      </c>
      <c r="AC284" s="194" t="s">
        <v>830</v>
      </c>
    </row>
    <row r="285" spans="1:29" x14ac:dyDescent="0.25">
      <c r="A285" s="53">
        <f t="shared" si="33"/>
        <v>39</v>
      </c>
      <c r="B285" s="196" t="str">
        <f t="shared" si="34"/>
        <v>2023 Closed 2024</v>
      </c>
      <c r="C285" s="194" t="s">
        <v>196</v>
      </c>
      <c r="D285" s="194" t="s">
        <v>234</v>
      </c>
      <c r="E285" s="194" t="s">
        <v>233</v>
      </c>
      <c r="F285" s="200" t="s">
        <v>134</v>
      </c>
      <c r="G285" s="198">
        <v>0</v>
      </c>
      <c r="H285" s="198">
        <v>0</v>
      </c>
      <c r="I285" s="198">
        <v>0</v>
      </c>
      <c r="J285" s="198">
        <v>0</v>
      </c>
      <c r="K285" s="198">
        <v>0</v>
      </c>
      <c r="L285" s="198">
        <v>0</v>
      </c>
      <c r="M285" s="198">
        <v>0</v>
      </c>
      <c r="N285" s="198">
        <v>0</v>
      </c>
      <c r="O285" s="198">
        <v>0</v>
      </c>
      <c r="P285" s="198">
        <v>0</v>
      </c>
      <c r="Q285" s="198">
        <v>0</v>
      </c>
      <c r="R285" s="198">
        <v>0</v>
      </c>
      <c r="S285" s="198">
        <v>0</v>
      </c>
      <c r="T285" s="198"/>
      <c r="U285" s="241">
        <f t="shared" si="29"/>
        <v>0</v>
      </c>
      <c r="V285" s="240">
        <f t="shared" si="30"/>
        <v>0</v>
      </c>
      <c r="W285" s="239" t="str">
        <f t="shared" si="31"/>
        <v>100%</v>
      </c>
      <c r="X285" s="238" t="str">
        <f t="shared" si="32"/>
        <v/>
      </c>
      <c r="AC285" s="194" t="s">
        <v>830</v>
      </c>
    </row>
    <row r="286" spans="1:29" x14ac:dyDescent="0.25">
      <c r="A286" s="53">
        <f t="shared" si="33"/>
        <v>40</v>
      </c>
      <c r="B286" s="196" t="str">
        <f t="shared" si="34"/>
        <v>2023 Closed 2024</v>
      </c>
      <c r="C286" s="194" t="s">
        <v>196</v>
      </c>
      <c r="D286" s="194" t="s">
        <v>232</v>
      </c>
      <c r="E286" s="194" t="s">
        <v>231</v>
      </c>
      <c r="F286" s="200" t="s">
        <v>202</v>
      </c>
      <c r="G286" s="198">
        <v>0</v>
      </c>
      <c r="H286" s="198">
        <v>-581.06000000000006</v>
      </c>
      <c r="I286" s="198">
        <v>0</v>
      </c>
      <c r="J286" s="198">
        <v>0</v>
      </c>
      <c r="K286" s="198">
        <v>0</v>
      </c>
      <c r="L286" s="198">
        <v>0</v>
      </c>
      <c r="M286" s="198">
        <v>0</v>
      </c>
      <c r="N286" s="198">
        <v>0</v>
      </c>
      <c r="O286" s="198">
        <v>0</v>
      </c>
      <c r="P286" s="198">
        <v>0</v>
      </c>
      <c r="Q286" s="198">
        <v>0</v>
      </c>
      <c r="R286" s="198">
        <v>0</v>
      </c>
      <c r="S286" s="198">
        <v>0</v>
      </c>
      <c r="T286" s="198"/>
      <c r="U286" s="241">
        <f t="shared" si="29"/>
        <v>-581.06000000000006</v>
      </c>
      <c r="V286" s="240">
        <f t="shared" si="30"/>
        <v>-581.06000000000006</v>
      </c>
      <c r="W286" s="239" t="str">
        <f t="shared" si="31"/>
        <v>100%</v>
      </c>
      <c r="X286" s="238" t="str">
        <f t="shared" si="32"/>
        <v/>
      </c>
      <c r="AC286" s="194" t="s">
        <v>318</v>
      </c>
    </row>
    <row r="287" spans="1:29" x14ac:dyDescent="0.25">
      <c r="A287" s="53">
        <f t="shared" si="33"/>
        <v>41</v>
      </c>
      <c r="B287" s="196" t="str">
        <f t="shared" si="34"/>
        <v>2023 Closed 2024</v>
      </c>
      <c r="C287" s="194" t="s">
        <v>196</v>
      </c>
      <c r="D287" s="194" t="s">
        <v>230</v>
      </c>
      <c r="E287" s="194" t="s">
        <v>229</v>
      </c>
      <c r="F287" s="200" t="s">
        <v>134</v>
      </c>
      <c r="G287" s="198">
        <v>0</v>
      </c>
      <c r="H287" s="198">
        <v>941.68000000000006</v>
      </c>
      <c r="I287" s="198">
        <v>0</v>
      </c>
      <c r="J287" s="198">
        <v>0</v>
      </c>
      <c r="K287" s="198">
        <v>0</v>
      </c>
      <c r="L287" s="198">
        <v>0</v>
      </c>
      <c r="M287" s="198">
        <v>0</v>
      </c>
      <c r="N287" s="198">
        <v>0</v>
      </c>
      <c r="O287" s="198">
        <v>0</v>
      </c>
      <c r="P287" s="198">
        <v>0</v>
      </c>
      <c r="Q287" s="198">
        <v>0</v>
      </c>
      <c r="R287" s="198">
        <v>0</v>
      </c>
      <c r="S287" s="198">
        <v>0</v>
      </c>
      <c r="T287" s="198"/>
      <c r="U287" s="241">
        <f t="shared" si="29"/>
        <v>941.68000000000006</v>
      </c>
      <c r="V287" s="240">
        <f t="shared" si="30"/>
        <v>941.68000000000006</v>
      </c>
      <c r="W287" s="239" t="str">
        <f t="shared" si="31"/>
        <v>100%</v>
      </c>
      <c r="X287" s="238" t="str">
        <f t="shared" si="32"/>
        <v/>
      </c>
      <c r="AC287" s="194" t="s">
        <v>829</v>
      </c>
    </row>
    <row r="288" spans="1:29" x14ac:dyDescent="0.25">
      <c r="A288" s="53">
        <f t="shared" si="33"/>
        <v>42</v>
      </c>
      <c r="B288" s="196" t="str">
        <f t="shared" si="34"/>
        <v>2023 Closed 2024</v>
      </c>
      <c r="C288" s="194" t="s">
        <v>196</v>
      </c>
      <c r="D288" s="194" t="s">
        <v>228</v>
      </c>
      <c r="E288" s="194" t="s">
        <v>227</v>
      </c>
      <c r="F288" s="200" t="s">
        <v>134</v>
      </c>
      <c r="G288" s="198">
        <v>0</v>
      </c>
      <c r="H288" s="198">
        <v>14366.29</v>
      </c>
      <c r="I288" s="198">
        <v>0</v>
      </c>
      <c r="J288" s="198">
        <v>0</v>
      </c>
      <c r="K288" s="198">
        <v>0</v>
      </c>
      <c r="L288" s="198">
        <v>0</v>
      </c>
      <c r="M288" s="198">
        <v>0</v>
      </c>
      <c r="N288" s="198">
        <v>0</v>
      </c>
      <c r="O288" s="198">
        <v>0</v>
      </c>
      <c r="P288" s="198">
        <v>0</v>
      </c>
      <c r="Q288" s="198">
        <v>0</v>
      </c>
      <c r="R288" s="198">
        <v>0</v>
      </c>
      <c r="S288" s="198">
        <v>0</v>
      </c>
      <c r="T288" s="198"/>
      <c r="U288" s="241">
        <f t="shared" si="29"/>
        <v>14366.29</v>
      </c>
      <c r="V288" s="240">
        <f t="shared" si="30"/>
        <v>14366.29</v>
      </c>
      <c r="W288" s="239" t="str">
        <f t="shared" si="31"/>
        <v>100%</v>
      </c>
      <c r="X288" s="238" t="str">
        <f t="shared" si="32"/>
        <v/>
      </c>
      <c r="AC288" s="194" t="s">
        <v>829</v>
      </c>
    </row>
    <row r="289" spans="1:29" x14ac:dyDescent="0.25">
      <c r="A289" s="53">
        <f t="shared" si="33"/>
        <v>43</v>
      </c>
      <c r="B289" s="196" t="str">
        <f t="shared" si="34"/>
        <v>2023 Closed 2024</v>
      </c>
      <c r="C289" s="194" t="s">
        <v>196</v>
      </c>
      <c r="D289" s="194" t="s">
        <v>226</v>
      </c>
      <c r="E289" s="194" t="s">
        <v>225</v>
      </c>
      <c r="F289" s="200" t="s">
        <v>134</v>
      </c>
      <c r="G289" s="198">
        <v>0</v>
      </c>
      <c r="H289" s="198">
        <v>834.55000000000007</v>
      </c>
      <c r="I289" s="198">
        <v>423.97</v>
      </c>
      <c r="J289" s="198">
        <v>0</v>
      </c>
      <c r="K289" s="198">
        <v>11017.380000000001</v>
      </c>
      <c r="L289" s="198">
        <v>80575.17</v>
      </c>
      <c r="M289" s="198">
        <v>0</v>
      </c>
      <c r="N289" s="198">
        <v>0</v>
      </c>
      <c r="O289" s="198">
        <v>0</v>
      </c>
      <c r="P289" s="198">
        <v>0</v>
      </c>
      <c r="Q289" s="198">
        <v>0</v>
      </c>
      <c r="R289" s="198">
        <v>0</v>
      </c>
      <c r="S289" s="198">
        <v>0</v>
      </c>
      <c r="T289" s="198"/>
      <c r="U289" s="241">
        <f t="shared" si="29"/>
        <v>92851.07</v>
      </c>
      <c r="V289" s="240">
        <f t="shared" si="30"/>
        <v>92851.07</v>
      </c>
      <c r="W289" s="239" t="str">
        <f t="shared" si="31"/>
        <v>100%</v>
      </c>
      <c r="X289" s="238" t="str">
        <f t="shared" si="32"/>
        <v/>
      </c>
      <c r="AC289" s="194" t="s">
        <v>830</v>
      </c>
    </row>
    <row r="290" spans="1:29" x14ac:dyDescent="0.25">
      <c r="A290" s="53">
        <f t="shared" si="33"/>
        <v>44</v>
      </c>
      <c r="B290" s="196" t="str">
        <f t="shared" si="34"/>
        <v>2023 Closed 2024</v>
      </c>
      <c r="C290" s="194" t="s">
        <v>196</v>
      </c>
      <c r="D290" s="194" t="s">
        <v>224</v>
      </c>
      <c r="E290" s="194" t="s">
        <v>223</v>
      </c>
      <c r="F290" s="200" t="s">
        <v>202</v>
      </c>
      <c r="G290" s="198">
        <v>0</v>
      </c>
      <c r="H290" s="198">
        <v>488.2</v>
      </c>
      <c r="I290" s="198">
        <v>0</v>
      </c>
      <c r="J290" s="198">
        <v>0</v>
      </c>
      <c r="K290" s="198">
        <v>0</v>
      </c>
      <c r="L290" s="198">
        <v>0</v>
      </c>
      <c r="M290" s="198">
        <v>0</v>
      </c>
      <c r="N290" s="198">
        <v>0</v>
      </c>
      <c r="O290" s="198">
        <v>0</v>
      </c>
      <c r="P290" s="198">
        <v>0</v>
      </c>
      <c r="Q290" s="198">
        <v>0</v>
      </c>
      <c r="R290" s="198">
        <v>0</v>
      </c>
      <c r="S290" s="198">
        <v>0</v>
      </c>
      <c r="T290" s="198"/>
      <c r="U290" s="241">
        <f t="shared" si="29"/>
        <v>488.2</v>
      </c>
      <c r="V290" s="240">
        <f t="shared" si="30"/>
        <v>488.2</v>
      </c>
      <c r="W290" s="239" t="str">
        <f t="shared" si="31"/>
        <v>100%</v>
      </c>
      <c r="X290" s="238" t="str">
        <f t="shared" si="32"/>
        <v/>
      </c>
      <c r="AC290" s="194" t="s">
        <v>318</v>
      </c>
    </row>
    <row r="291" spans="1:29" x14ac:dyDescent="0.25">
      <c r="A291" s="53">
        <f t="shared" si="33"/>
        <v>45</v>
      </c>
      <c r="B291" s="196" t="str">
        <f t="shared" si="34"/>
        <v>2023 Closed 2024</v>
      </c>
      <c r="C291" s="194" t="s">
        <v>196</v>
      </c>
      <c r="D291" s="194" t="s">
        <v>222</v>
      </c>
      <c r="E291" s="194" t="s">
        <v>221</v>
      </c>
      <c r="F291" s="200" t="s">
        <v>202</v>
      </c>
      <c r="G291" s="198">
        <v>0</v>
      </c>
      <c r="H291" s="198">
        <v>-29.91</v>
      </c>
      <c r="I291" s="198">
        <v>0</v>
      </c>
      <c r="J291" s="198">
        <v>0</v>
      </c>
      <c r="K291" s="198">
        <v>0</v>
      </c>
      <c r="L291" s="198">
        <v>0</v>
      </c>
      <c r="M291" s="198">
        <v>0</v>
      </c>
      <c r="N291" s="198">
        <v>0</v>
      </c>
      <c r="O291" s="198">
        <v>0</v>
      </c>
      <c r="P291" s="198">
        <v>0</v>
      </c>
      <c r="Q291" s="198">
        <v>0</v>
      </c>
      <c r="R291" s="198">
        <v>0</v>
      </c>
      <c r="S291" s="198">
        <v>0</v>
      </c>
      <c r="T291" s="198"/>
      <c r="U291" s="241">
        <f t="shared" si="29"/>
        <v>-29.91</v>
      </c>
      <c r="V291" s="240">
        <f t="shared" si="30"/>
        <v>-29.91</v>
      </c>
      <c r="W291" s="239" t="str">
        <f t="shared" si="31"/>
        <v>100%</v>
      </c>
      <c r="X291" s="238" t="str">
        <f t="shared" si="32"/>
        <v/>
      </c>
      <c r="AC291" s="194" t="s">
        <v>318</v>
      </c>
    </row>
    <row r="292" spans="1:29" x14ac:dyDescent="0.25">
      <c r="A292" s="53">
        <f t="shared" si="33"/>
        <v>46</v>
      </c>
      <c r="B292" s="196" t="str">
        <f t="shared" si="34"/>
        <v>2023 Closed 2024</v>
      </c>
      <c r="C292" s="194" t="s">
        <v>196</v>
      </c>
      <c r="D292" s="194" t="s">
        <v>220</v>
      </c>
      <c r="E292" s="194" t="s">
        <v>219</v>
      </c>
      <c r="F292" s="200" t="s">
        <v>134</v>
      </c>
      <c r="G292" s="198">
        <v>0</v>
      </c>
      <c r="H292" s="198">
        <v>-15.06</v>
      </c>
      <c r="I292" s="198">
        <v>0</v>
      </c>
      <c r="J292" s="198">
        <v>0</v>
      </c>
      <c r="K292" s="198">
        <v>-3518.59</v>
      </c>
      <c r="L292" s="198">
        <v>0</v>
      </c>
      <c r="M292" s="198">
        <v>0</v>
      </c>
      <c r="N292" s="198">
        <v>0</v>
      </c>
      <c r="O292" s="198">
        <v>0</v>
      </c>
      <c r="P292" s="198">
        <v>0</v>
      </c>
      <c r="Q292" s="198">
        <v>0</v>
      </c>
      <c r="R292" s="198">
        <v>0</v>
      </c>
      <c r="S292" s="198">
        <v>0</v>
      </c>
      <c r="T292" s="198"/>
      <c r="U292" s="241">
        <f t="shared" si="29"/>
        <v>-3533.65</v>
      </c>
      <c r="V292" s="240">
        <f t="shared" si="30"/>
        <v>-3533.65</v>
      </c>
      <c r="W292" s="239" t="str">
        <f t="shared" si="31"/>
        <v>100%</v>
      </c>
      <c r="X292" s="238" t="str">
        <f t="shared" si="32"/>
        <v/>
      </c>
      <c r="AC292" s="194" t="s">
        <v>318</v>
      </c>
    </row>
    <row r="293" spans="1:29" x14ac:dyDescent="0.25">
      <c r="A293" s="53">
        <f t="shared" si="33"/>
        <v>47</v>
      </c>
      <c r="B293" s="196" t="str">
        <f t="shared" si="34"/>
        <v>2023 Closed 2024</v>
      </c>
      <c r="C293" s="194" t="s">
        <v>210</v>
      </c>
      <c r="D293" s="194" t="s">
        <v>218</v>
      </c>
      <c r="E293" s="194" t="s">
        <v>217</v>
      </c>
      <c r="F293" s="200" t="s">
        <v>207</v>
      </c>
      <c r="G293" s="198">
        <v>0</v>
      </c>
      <c r="H293" s="198">
        <v>7.0000000000000007E-2</v>
      </c>
      <c r="I293" s="198">
        <v>0</v>
      </c>
      <c r="J293" s="198">
        <v>0</v>
      </c>
      <c r="K293" s="198">
        <v>0</v>
      </c>
      <c r="L293" s="198">
        <v>0</v>
      </c>
      <c r="M293" s="198">
        <v>0</v>
      </c>
      <c r="N293" s="198">
        <v>0</v>
      </c>
      <c r="O293" s="198">
        <v>0</v>
      </c>
      <c r="P293" s="198">
        <v>0</v>
      </c>
      <c r="Q293" s="198">
        <v>0</v>
      </c>
      <c r="R293" s="198">
        <v>0</v>
      </c>
      <c r="S293" s="198">
        <v>0</v>
      </c>
      <c r="T293" s="198"/>
      <c r="U293" s="241">
        <f t="shared" si="29"/>
        <v>7.0000000000000007E-2</v>
      </c>
      <c r="V293" s="240">
        <f t="shared" si="30"/>
        <v>7.0000000000000007E-2</v>
      </c>
      <c r="W293" s="239" t="str">
        <f t="shared" si="31"/>
        <v>100%</v>
      </c>
      <c r="X293" s="238" t="str">
        <f t="shared" si="32"/>
        <v/>
      </c>
      <c r="AC293" s="194" t="s">
        <v>318</v>
      </c>
    </row>
    <row r="294" spans="1:29" x14ac:dyDescent="0.25">
      <c r="A294" s="53">
        <f t="shared" si="33"/>
        <v>48</v>
      </c>
      <c r="B294" s="196" t="str">
        <f t="shared" si="34"/>
        <v>2023 Closed 2024</v>
      </c>
      <c r="C294" s="194" t="s">
        <v>196</v>
      </c>
      <c r="D294" s="194" t="s">
        <v>216</v>
      </c>
      <c r="E294" s="194" t="s">
        <v>215</v>
      </c>
      <c r="F294" s="200" t="s">
        <v>193</v>
      </c>
      <c r="G294" s="198">
        <v>0</v>
      </c>
      <c r="H294" s="198">
        <v>4583.47</v>
      </c>
      <c r="I294" s="198">
        <v>36.56</v>
      </c>
      <c r="J294" s="198">
        <v>0</v>
      </c>
      <c r="K294" s="198">
        <v>158.30000000000001</v>
      </c>
      <c r="L294" s="198">
        <v>0</v>
      </c>
      <c r="M294" s="198">
        <v>0</v>
      </c>
      <c r="N294" s="198">
        <v>0</v>
      </c>
      <c r="O294" s="198">
        <v>0</v>
      </c>
      <c r="P294" s="198">
        <v>0</v>
      </c>
      <c r="Q294" s="198">
        <v>0</v>
      </c>
      <c r="R294" s="198">
        <v>0</v>
      </c>
      <c r="S294" s="198">
        <v>0</v>
      </c>
      <c r="T294" s="198"/>
      <c r="U294" s="241">
        <f t="shared" si="29"/>
        <v>4778.3300000000008</v>
      </c>
      <c r="V294" s="240">
        <f t="shared" si="30"/>
        <v>4778.3300000000008</v>
      </c>
      <c r="W294" s="239" t="str">
        <f t="shared" si="31"/>
        <v>100%</v>
      </c>
      <c r="X294" s="238" t="str">
        <f t="shared" si="32"/>
        <v/>
      </c>
      <c r="AC294" s="194" t="s">
        <v>318</v>
      </c>
    </row>
    <row r="295" spans="1:29" x14ac:dyDescent="0.25">
      <c r="A295" s="53">
        <f t="shared" si="33"/>
        <v>49</v>
      </c>
      <c r="B295" s="196" t="str">
        <f t="shared" si="34"/>
        <v>2023 Closed 2024</v>
      </c>
      <c r="C295" s="194" t="s">
        <v>196</v>
      </c>
      <c r="D295" s="194" t="s">
        <v>214</v>
      </c>
      <c r="E295" s="194" t="s">
        <v>213</v>
      </c>
      <c r="F295" s="200" t="s">
        <v>134</v>
      </c>
      <c r="G295" s="198">
        <v>0</v>
      </c>
      <c r="H295" s="198">
        <v>-173.41</v>
      </c>
      <c r="I295" s="198">
        <v>0</v>
      </c>
      <c r="J295" s="198">
        <v>0</v>
      </c>
      <c r="K295" s="198">
        <v>0</v>
      </c>
      <c r="L295" s="198">
        <v>0</v>
      </c>
      <c r="M295" s="198">
        <v>0</v>
      </c>
      <c r="N295" s="198">
        <v>0</v>
      </c>
      <c r="O295" s="198">
        <v>0</v>
      </c>
      <c r="P295" s="198">
        <v>0</v>
      </c>
      <c r="Q295" s="198">
        <v>0</v>
      </c>
      <c r="R295" s="198">
        <v>0</v>
      </c>
      <c r="S295" s="198">
        <v>0</v>
      </c>
      <c r="T295" s="198"/>
      <c r="U295" s="241">
        <f t="shared" si="29"/>
        <v>-173.41</v>
      </c>
      <c r="V295" s="240">
        <f t="shared" si="30"/>
        <v>-173.41</v>
      </c>
      <c r="W295" s="239" t="str">
        <f t="shared" si="31"/>
        <v>100%</v>
      </c>
      <c r="X295" s="238" t="str">
        <f t="shared" si="32"/>
        <v/>
      </c>
      <c r="AC295" s="194" t="s">
        <v>318</v>
      </c>
    </row>
    <row r="296" spans="1:29" x14ac:dyDescent="0.25">
      <c r="A296" s="53">
        <f t="shared" si="33"/>
        <v>50</v>
      </c>
      <c r="B296" s="196" t="str">
        <f t="shared" si="34"/>
        <v>2023 Closed 2024</v>
      </c>
      <c r="C296" s="194" t="s">
        <v>133</v>
      </c>
      <c r="D296" s="194" t="s">
        <v>212</v>
      </c>
      <c r="E296" s="194" t="s">
        <v>211</v>
      </c>
      <c r="F296" s="200" t="s">
        <v>134</v>
      </c>
      <c r="G296" s="198">
        <v>0</v>
      </c>
      <c r="H296" s="198">
        <v>0</v>
      </c>
      <c r="I296" s="198">
        <v>0</v>
      </c>
      <c r="J296" s="198">
        <v>0</v>
      </c>
      <c r="K296" s="198">
        <v>0</v>
      </c>
      <c r="L296" s="198">
        <v>0</v>
      </c>
      <c r="M296" s="198">
        <v>0</v>
      </c>
      <c r="N296" s="198">
        <v>0</v>
      </c>
      <c r="O296" s="198">
        <v>0</v>
      </c>
      <c r="P296" s="198">
        <v>0</v>
      </c>
      <c r="Q296" s="198">
        <v>0</v>
      </c>
      <c r="R296" s="198">
        <v>0</v>
      </c>
      <c r="S296" s="198">
        <v>0</v>
      </c>
      <c r="T296" s="198"/>
      <c r="U296" s="241">
        <f t="shared" si="29"/>
        <v>0</v>
      </c>
      <c r="V296" s="240">
        <f t="shared" si="30"/>
        <v>0</v>
      </c>
      <c r="W296" s="239" t="str">
        <f t="shared" si="31"/>
        <v>100%</v>
      </c>
      <c r="X296" s="238" t="str">
        <f t="shared" si="32"/>
        <v/>
      </c>
      <c r="AC296" s="194" t="s">
        <v>829</v>
      </c>
    </row>
    <row r="297" spans="1:29" x14ac:dyDescent="0.25">
      <c r="A297" s="53">
        <f t="shared" si="33"/>
        <v>51</v>
      </c>
      <c r="B297" s="196" t="str">
        <f t="shared" si="34"/>
        <v>2023 Closed 2024</v>
      </c>
      <c r="C297" s="194" t="s">
        <v>210</v>
      </c>
      <c r="D297" s="194" t="s">
        <v>209</v>
      </c>
      <c r="E297" s="194" t="s">
        <v>208</v>
      </c>
      <c r="F297" s="200" t="s">
        <v>207</v>
      </c>
      <c r="G297" s="198">
        <v>0</v>
      </c>
      <c r="H297" s="198">
        <v>6000.21</v>
      </c>
      <c r="I297" s="198">
        <v>3659.76</v>
      </c>
      <c r="J297" s="198">
        <v>7139.54</v>
      </c>
      <c r="K297" s="198">
        <v>4072.53</v>
      </c>
      <c r="L297" s="198">
        <v>2600.19</v>
      </c>
      <c r="M297" s="198">
        <v>323.13</v>
      </c>
      <c r="N297" s="198">
        <v>0</v>
      </c>
      <c r="O297" s="198">
        <v>0</v>
      </c>
      <c r="P297" s="198">
        <v>0</v>
      </c>
      <c r="Q297" s="198">
        <v>0</v>
      </c>
      <c r="R297" s="198">
        <v>0</v>
      </c>
      <c r="S297" s="198">
        <v>0</v>
      </c>
      <c r="T297" s="198"/>
      <c r="U297" s="241">
        <f t="shared" si="29"/>
        <v>23795.360000000001</v>
      </c>
      <c r="V297" s="240">
        <f t="shared" si="30"/>
        <v>23795.360000000001</v>
      </c>
      <c r="W297" s="239" t="str">
        <f t="shared" si="31"/>
        <v>100%</v>
      </c>
      <c r="X297" s="238" t="str">
        <f t="shared" si="32"/>
        <v/>
      </c>
      <c r="AC297" s="194" t="s">
        <v>318</v>
      </c>
    </row>
    <row r="298" spans="1:29" x14ac:dyDescent="0.25">
      <c r="A298" s="53">
        <f t="shared" si="33"/>
        <v>52</v>
      </c>
      <c r="B298" s="196" t="str">
        <f t="shared" si="34"/>
        <v>2023 Closed 2024</v>
      </c>
      <c r="C298" s="194" t="s">
        <v>133</v>
      </c>
      <c r="D298" s="194" t="s">
        <v>206</v>
      </c>
      <c r="E298" s="194" t="s">
        <v>205</v>
      </c>
      <c r="F298" s="200" t="s">
        <v>134</v>
      </c>
      <c r="G298" s="198">
        <v>0</v>
      </c>
      <c r="H298" s="198">
        <v>0</v>
      </c>
      <c r="I298" s="198">
        <v>1716.8</v>
      </c>
      <c r="J298" s="198">
        <v>133.91</v>
      </c>
      <c r="K298" s="198">
        <v>0</v>
      </c>
      <c r="L298" s="198">
        <v>0</v>
      </c>
      <c r="M298" s="198">
        <v>31084.04</v>
      </c>
      <c r="N298" s="198">
        <v>0</v>
      </c>
      <c r="O298" s="198">
        <v>0</v>
      </c>
      <c r="P298" s="198">
        <v>0</v>
      </c>
      <c r="Q298" s="198">
        <v>0</v>
      </c>
      <c r="R298" s="198">
        <v>0</v>
      </c>
      <c r="S298" s="198">
        <v>0</v>
      </c>
      <c r="T298" s="198"/>
      <c r="U298" s="241">
        <f t="shared" si="29"/>
        <v>32934.75</v>
      </c>
      <c r="V298" s="240">
        <f t="shared" si="30"/>
        <v>32934.75</v>
      </c>
      <c r="W298" s="239" t="str">
        <f t="shared" si="31"/>
        <v>100%</v>
      </c>
      <c r="X298" s="238" t="str">
        <f t="shared" si="32"/>
        <v/>
      </c>
      <c r="AC298" s="194" t="s">
        <v>318</v>
      </c>
    </row>
    <row r="299" spans="1:29" x14ac:dyDescent="0.25">
      <c r="A299" s="53">
        <f t="shared" si="33"/>
        <v>53</v>
      </c>
      <c r="B299" s="196" t="str">
        <f t="shared" si="34"/>
        <v>2023 Closed 2024</v>
      </c>
      <c r="C299" s="194" t="s">
        <v>196</v>
      </c>
      <c r="D299" s="194" t="s">
        <v>204</v>
      </c>
      <c r="E299" s="194" t="s">
        <v>203</v>
      </c>
      <c r="F299" s="200" t="s">
        <v>202</v>
      </c>
      <c r="G299" s="198">
        <v>0</v>
      </c>
      <c r="H299" s="198">
        <v>0</v>
      </c>
      <c r="I299" s="198">
        <v>-876.94</v>
      </c>
      <c r="J299" s="198">
        <v>0</v>
      </c>
      <c r="K299" s="198">
        <v>0</v>
      </c>
      <c r="L299" s="198">
        <v>0</v>
      </c>
      <c r="M299" s="198">
        <v>0</v>
      </c>
      <c r="N299" s="198">
        <v>0</v>
      </c>
      <c r="O299" s="198">
        <v>0</v>
      </c>
      <c r="P299" s="198">
        <v>0</v>
      </c>
      <c r="Q299" s="198">
        <v>0</v>
      </c>
      <c r="R299" s="198">
        <v>0</v>
      </c>
      <c r="S299" s="198">
        <v>0</v>
      </c>
      <c r="T299" s="198"/>
      <c r="U299" s="241">
        <f t="shared" si="29"/>
        <v>-876.94</v>
      </c>
      <c r="V299" s="240">
        <f t="shared" si="30"/>
        <v>-876.94</v>
      </c>
      <c r="W299" s="239" t="str">
        <f t="shared" si="31"/>
        <v>100%</v>
      </c>
      <c r="X299" s="238" t="str">
        <f t="shared" si="32"/>
        <v/>
      </c>
      <c r="AC299" s="194" t="s">
        <v>318</v>
      </c>
    </row>
    <row r="300" spans="1:29" x14ac:dyDescent="0.25">
      <c r="A300" s="53">
        <f t="shared" si="33"/>
        <v>54</v>
      </c>
      <c r="B300" s="196" t="str">
        <f t="shared" si="34"/>
        <v>2023 Closed 2024</v>
      </c>
      <c r="C300" s="194" t="s">
        <v>133</v>
      </c>
      <c r="D300" s="194" t="s">
        <v>201</v>
      </c>
      <c r="E300" s="194" t="s">
        <v>200</v>
      </c>
      <c r="F300" s="200" t="s">
        <v>199</v>
      </c>
      <c r="G300" s="198">
        <v>0</v>
      </c>
      <c r="H300" s="198">
        <v>0</v>
      </c>
      <c r="I300" s="198">
        <v>0</v>
      </c>
      <c r="J300" s="198">
        <v>0</v>
      </c>
      <c r="K300" s="198">
        <v>0</v>
      </c>
      <c r="L300" s="198">
        <v>0</v>
      </c>
      <c r="M300" s="198">
        <v>0</v>
      </c>
      <c r="N300" s="198">
        <v>0</v>
      </c>
      <c r="O300" s="198">
        <v>0</v>
      </c>
      <c r="P300" s="198">
        <v>0</v>
      </c>
      <c r="Q300" s="198">
        <v>0</v>
      </c>
      <c r="R300" s="198">
        <v>0</v>
      </c>
      <c r="S300" s="198">
        <v>0</v>
      </c>
      <c r="T300" s="198"/>
      <c r="U300" s="241">
        <f t="shared" si="29"/>
        <v>0</v>
      </c>
      <c r="V300" s="240">
        <f t="shared" si="30"/>
        <v>0</v>
      </c>
      <c r="W300" s="239" t="str">
        <f t="shared" si="31"/>
        <v>100%</v>
      </c>
      <c r="X300" s="238" t="str">
        <f t="shared" si="32"/>
        <v/>
      </c>
      <c r="AC300" s="194" t="s">
        <v>830</v>
      </c>
    </row>
    <row r="301" spans="1:29" x14ac:dyDescent="0.25">
      <c r="A301" s="53">
        <f t="shared" si="33"/>
        <v>55</v>
      </c>
      <c r="B301" s="196" t="str">
        <f t="shared" si="34"/>
        <v>2023 Closed 2024</v>
      </c>
      <c r="C301" s="194" t="s">
        <v>133</v>
      </c>
      <c r="D301" s="194" t="s">
        <v>198</v>
      </c>
      <c r="E301" s="194" t="s">
        <v>197</v>
      </c>
      <c r="F301" s="200" t="s">
        <v>134</v>
      </c>
      <c r="G301" s="198">
        <v>0</v>
      </c>
      <c r="H301" s="198">
        <v>-3236.42</v>
      </c>
      <c r="I301" s="198">
        <v>0</v>
      </c>
      <c r="J301" s="198">
        <v>0</v>
      </c>
      <c r="K301" s="198">
        <v>0</v>
      </c>
      <c r="L301" s="198">
        <v>0</v>
      </c>
      <c r="M301" s="198">
        <v>0</v>
      </c>
      <c r="N301" s="198">
        <v>0</v>
      </c>
      <c r="O301" s="198">
        <v>0</v>
      </c>
      <c r="P301" s="198">
        <v>0</v>
      </c>
      <c r="Q301" s="198">
        <v>0</v>
      </c>
      <c r="R301" s="198">
        <v>0</v>
      </c>
      <c r="S301" s="198">
        <v>0</v>
      </c>
      <c r="T301" s="198"/>
      <c r="U301" s="241">
        <f t="shared" si="29"/>
        <v>-3236.42</v>
      </c>
      <c r="V301" s="240">
        <f t="shared" si="30"/>
        <v>-3236.42</v>
      </c>
      <c r="W301" s="239" t="str">
        <f t="shared" si="31"/>
        <v>100%</v>
      </c>
      <c r="X301" s="238" t="str">
        <f t="shared" si="32"/>
        <v/>
      </c>
      <c r="AC301" s="194" t="s">
        <v>830</v>
      </c>
    </row>
    <row r="302" spans="1:29" x14ac:dyDescent="0.25">
      <c r="A302" s="53">
        <f t="shared" si="33"/>
        <v>56</v>
      </c>
      <c r="B302" s="196" t="str">
        <f t="shared" si="34"/>
        <v>2023 Closed 2024</v>
      </c>
      <c r="C302" s="194" t="s">
        <v>196</v>
      </c>
      <c r="D302" s="194" t="s">
        <v>195</v>
      </c>
      <c r="E302" s="194" t="s">
        <v>194</v>
      </c>
      <c r="F302" s="200" t="s">
        <v>193</v>
      </c>
      <c r="G302" s="198">
        <v>0</v>
      </c>
      <c r="H302" s="198">
        <v>10222.120000000001</v>
      </c>
      <c r="I302" s="198">
        <v>0</v>
      </c>
      <c r="J302" s="198">
        <v>0</v>
      </c>
      <c r="K302" s="198">
        <v>-4038.46</v>
      </c>
      <c r="L302" s="198">
        <v>2752.2400000000002</v>
      </c>
      <c r="M302" s="198">
        <v>0</v>
      </c>
      <c r="N302" s="198">
        <v>0</v>
      </c>
      <c r="O302" s="198">
        <v>0</v>
      </c>
      <c r="P302" s="198">
        <v>0</v>
      </c>
      <c r="Q302" s="198">
        <v>0</v>
      </c>
      <c r="R302" s="198">
        <v>0</v>
      </c>
      <c r="S302" s="198">
        <v>0</v>
      </c>
      <c r="T302" s="198"/>
      <c r="U302" s="241">
        <f t="shared" si="29"/>
        <v>8935.9000000000015</v>
      </c>
      <c r="V302" s="240">
        <f t="shared" si="30"/>
        <v>8935.9000000000015</v>
      </c>
      <c r="W302" s="239" t="str">
        <f t="shared" si="31"/>
        <v>100%</v>
      </c>
      <c r="X302" s="238" t="str">
        <f t="shared" si="32"/>
        <v/>
      </c>
      <c r="AC302" s="194" t="s">
        <v>318</v>
      </c>
    </row>
    <row r="303" spans="1:29" x14ac:dyDescent="0.25">
      <c r="A303" s="53">
        <f t="shared" si="33"/>
        <v>57</v>
      </c>
      <c r="B303" s="196" t="str">
        <f t="shared" si="34"/>
        <v>2023 Closed 2024</v>
      </c>
      <c r="C303" s="194" t="s">
        <v>133</v>
      </c>
      <c r="D303" s="194" t="s">
        <v>192</v>
      </c>
      <c r="E303" s="194" t="s">
        <v>191</v>
      </c>
      <c r="F303" s="200" t="s">
        <v>190</v>
      </c>
      <c r="G303" s="198">
        <v>0</v>
      </c>
      <c r="H303" s="198">
        <v>-0.01</v>
      </c>
      <c r="I303" s="198">
        <v>0</v>
      </c>
      <c r="J303" s="198">
        <v>0</v>
      </c>
      <c r="K303" s="198">
        <v>0</v>
      </c>
      <c r="L303" s="198">
        <v>0</v>
      </c>
      <c r="M303" s="198">
        <v>0</v>
      </c>
      <c r="N303" s="198">
        <v>0</v>
      </c>
      <c r="O303" s="198">
        <v>0</v>
      </c>
      <c r="P303" s="198">
        <v>0</v>
      </c>
      <c r="Q303" s="198">
        <v>0</v>
      </c>
      <c r="R303" s="198">
        <v>0</v>
      </c>
      <c r="S303" s="198">
        <v>0</v>
      </c>
      <c r="T303" s="198"/>
      <c r="U303" s="241">
        <f t="shared" si="29"/>
        <v>-0.01</v>
      </c>
      <c r="V303" s="240">
        <f t="shared" si="30"/>
        <v>-0.01</v>
      </c>
      <c r="W303" s="239" t="str">
        <f t="shared" si="31"/>
        <v>100%</v>
      </c>
      <c r="X303" s="238" t="str">
        <f t="shared" si="32"/>
        <v/>
      </c>
      <c r="AC303" s="194" t="s">
        <v>318</v>
      </c>
    </row>
    <row r="304" spans="1:29" x14ac:dyDescent="0.25">
      <c r="A304" s="53">
        <f t="shared" si="33"/>
        <v>58</v>
      </c>
      <c r="B304" s="196" t="str">
        <f t="shared" si="34"/>
        <v>2023 Closed 2024</v>
      </c>
      <c r="C304" s="194" t="s">
        <v>133</v>
      </c>
      <c r="D304" s="194" t="s">
        <v>189</v>
      </c>
      <c r="E304" s="194" t="s">
        <v>188</v>
      </c>
      <c r="F304" s="200" t="s">
        <v>130</v>
      </c>
      <c r="G304" s="198">
        <v>0</v>
      </c>
      <c r="H304" s="198">
        <v>0</v>
      </c>
      <c r="I304" s="198">
        <v>0</v>
      </c>
      <c r="J304" s="198">
        <v>0</v>
      </c>
      <c r="K304" s="198">
        <v>0</v>
      </c>
      <c r="L304" s="198">
        <v>0</v>
      </c>
      <c r="M304" s="198">
        <v>0</v>
      </c>
      <c r="N304" s="198">
        <v>0</v>
      </c>
      <c r="O304" s="198">
        <v>0</v>
      </c>
      <c r="P304" s="198">
        <v>0</v>
      </c>
      <c r="Q304" s="198">
        <v>0</v>
      </c>
      <c r="R304" s="198">
        <v>0</v>
      </c>
      <c r="S304" s="198">
        <v>0</v>
      </c>
      <c r="T304" s="198"/>
      <c r="U304" s="241">
        <f t="shared" si="29"/>
        <v>0</v>
      </c>
      <c r="V304" s="240">
        <f t="shared" si="30"/>
        <v>0</v>
      </c>
      <c r="W304" s="239" t="str">
        <f t="shared" si="31"/>
        <v>100%</v>
      </c>
      <c r="X304" s="238" t="str">
        <f t="shared" si="32"/>
        <v/>
      </c>
      <c r="AC304" s="194" t="s">
        <v>318</v>
      </c>
    </row>
    <row r="305" spans="1:29" x14ac:dyDescent="0.25">
      <c r="A305" s="53">
        <f t="shared" si="33"/>
        <v>59</v>
      </c>
      <c r="B305" s="196" t="str">
        <f t="shared" si="34"/>
        <v>2023 Closed 2024</v>
      </c>
      <c r="C305" s="194" t="s">
        <v>133</v>
      </c>
      <c r="D305" s="194" t="s">
        <v>187</v>
      </c>
      <c r="E305" s="194" t="s">
        <v>186</v>
      </c>
      <c r="F305" s="200" t="s">
        <v>130</v>
      </c>
      <c r="G305" s="198">
        <v>0</v>
      </c>
      <c r="H305" s="198">
        <v>0</v>
      </c>
      <c r="I305" s="198">
        <v>0</v>
      </c>
      <c r="J305" s="198">
        <v>0</v>
      </c>
      <c r="K305" s="198">
        <v>0</v>
      </c>
      <c r="L305" s="198">
        <v>0</v>
      </c>
      <c r="M305" s="198">
        <v>0</v>
      </c>
      <c r="N305" s="198">
        <v>0</v>
      </c>
      <c r="O305" s="198">
        <v>0</v>
      </c>
      <c r="P305" s="198">
        <v>0</v>
      </c>
      <c r="Q305" s="198">
        <v>0</v>
      </c>
      <c r="R305" s="198">
        <v>0</v>
      </c>
      <c r="S305" s="198">
        <v>0</v>
      </c>
      <c r="T305" s="198"/>
      <c r="U305" s="241">
        <f t="shared" si="29"/>
        <v>0</v>
      </c>
      <c r="V305" s="240">
        <f t="shared" si="30"/>
        <v>0</v>
      </c>
      <c r="W305" s="239" t="str">
        <f t="shared" si="31"/>
        <v>100%</v>
      </c>
      <c r="X305" s="238" t="str">
        <f t="shared" si="32"/>
        <v/>
      </c>
      <c r="AC305" s="194" t="s">
        <v>318</v>
      </c>
    </row>
    <row r="306" spans="1:29" x14ac:dyDescent="0.25">
      <c r="A306" s="53">
        <f t="shared" si="33"/>
        <v>60</v>
      </c>
      <c r="B306" s="196" t="str">
        <f t="shared" si="34"/>
        <v>2023 Closed 2024</v>
      </c>
      <c r="C306" s="194" t="s">
        <v>133</v>
      </c>
      <c r="D306" s="194" t="s">
        <v>185</v>
      </c>
      <c r="E306" s="194" t="s">
        <v>184</v>
      </c>
      <c r="F306" s="200" t="s">
        <v>130</v>
      </c>
      <c r="G306" s="198">
        <v>0</v>
      </c>
      <c r="H306" s="198">
        <v>0</v>
      </c>
      <c r="I306" s="198">
        <v>0</v>
      </c>
      <c r="J306" s="198">
        <v>0</v>
      </c>
      <c r="K306" s="198">
        <v>0</v>
      </c>
      <c r="L306" s="198">
        <v>0</v>
      </c>
      <c r="M306" s="198">
        <v>0</v>
      </c>
      <c r="N306" s="198">
        <v>0</v>
      </c>
      <c r="O306" s="198">
        <v>0</v>
      </c>
      <c r="P306" s="198">
        <v>0</v>
      </c>
      <c r="Q306" s="198">
        <v>0</v>
      </c>
      <c r="R306" s="198">
        <v>0</v>
      </c>
      <c r="S306" s="198">
        <v>0</v>
      </c>
      <c r="T306" s="198"/>
      <c r="U306" s="241">
        <f t="shared" si="29"/>
        <v>0</v>
      </c>
      <c r="V306" s="240">
        <f t="shared" si="30"/>
        <v>0</v>
      </c>
      <c r="W306" s="239" t="str">
        <f t="shared" si="31"/>
        <v>100%</v>
      </c>
      <c r="X306" s="238" t="str">
        <f t="shared" si="32"/>
        <v/>
      </c>
      <c r="AC306" s="194" t="s">
        <v>318</v>
      </c>
    </row>
    <row r="307" spans="1:29" x14ac:dyDescent="0.25">
      <c r="A307" s="53">
        <f t="shared" si="33"/>
        <v>61</v>
      </c>
      <c r="B307" s="196" t="str">
        <f t="shared" si="34"/>
        <v>2023 Closed 2024</v>
      </c>
      <c r="C307" s="194" t="s">
        <v>133</v>
      </c>
      <c r="D307" s="194" t="s">
        <v>183</v>
      </c>
      <c r="E307" s="194" t="s">
        <v>182</v>
      </c>
      <c r="F307" s="200" t="s">
        <v>130</v>
      </c>
      <c r="G307" s="198">
        <v>0</v>
      </c>
      <c r="H307" s="198">
        <v>0</v>
      </c>
      <c r="I307" s="198">
        <v>0</v>
      </c>
      <c r="J307" s="198">
        <v>0</v>
      </c>
      <c r="K307" s="198">
        <v>0</v>
      </c>
      <c r="L307" s="198">
        <v>0</v>
      </c>
      <c r="M307" s="198">
        <v>0</v>
      </c>
      <c r="N307" s="198">
        <v>0</v>
      </c>
      <c r="O307" s="198">
        <v>0</v>
      </c>
      <c r="P307" s="198">
        <v>0</v>
      </c>
      <c r="Q307" s="198">
        <v>0</v>
      </c>
      <c r="R307" s="198">
        <v>0</v>
      </c>
      <c r="S307" s="198">
        <v>0</v>
      </c>
      <c r="T307" s="198"/>
      <c r="U307" s="241">
        <f t="shared" si="29"/>
        <v>0</v>
      </c>
      <c r="V307" s="240">
        <f t="shared" si="30"/>
        <v>0</v>
      </c>
      <c r="W307" s="239" t="str">
        <f t="shared" si="31"/>
        <v>100%</v>
      </c>
      <c r="X307" s="238" t="str">
        <f t="shared" si="32"/>
        <v/>
      </c>
      <c r="AC307" s="194" t="s">
        <v>318</v>
      </c>
    </row>
    <row r="308" spans="1:29" x14ac:dyDescent="0.25">
      <c r="A308" s="53">
        <f t="shared" si="33"/>
        <v>62</v>
      </c>
      <c r="B308" s="196" t="str">
        <f t="shared" si="34"/>
        <v>2023 Closed 2024</v>
      </c>
      <c r="C308" s="194" t="s">
        <v>133</v>
      </c>
      <c r="D308" s="194" t="s">
        <v>181</v>
      </c>
      <c r="E308" s="194" t="s">
        <v>180</v>
      </c>
      <c r="F308" s="200" t="s">
        <v>130</v>
      </c>
      <c r="G308" s="198">
        <v>0</v>
      </c>
      <c r="H308" s="198">
        <v>-90.62</v>
      </c>
      <c r="I308" s="198">
        <v>0</v>
      </c>
      <c r="J308" s="198">
        <v>0</v>
      </c>
      <c r="K308" s="198">
        <v>0</v>
      </c>
      <c r="L308" s="198">
        <v>0</v>
      </c>
      <c r="M308" s="198">
        <v>0</v>
      </c>
      <c r="N308" s="198">
        <v>0</v>
      </c>
      <c r="O308" s="198">
        <v>0</v>
      </c>
      <c r="P308" s="198">
        <v>0</v>
      </c>
      <c r="Q308" s="198">
        <v>0</v>
      </c>
      <c r="R308" s="198">
        <v>0</v>
      </c>
      <c r="S308" s="198">
        <v>0</v>
      </c>
      <c r="T308" s="198"/>
      <c r="U308" s="241">
        <f t="shared" si="29"/>
        <v>-90.62</v>
      </c>
      <c r="V308" s="240">
        <f t="shared" si="30"/>
        <v>-90.62</v>
      </c>
      <c r="W308" s="239" t="str">
        <f t="shared" si="31"/>
        <v>100%</v>
      </c>
      <c r="X308" s="238" t="str">
        <f t="shared" si="32"/>
        <v/>
      </c>
      <c r="AC308" s="194" t="s">
        <v>318</v>
      </c>
    </row>
    <row r="309" spans="1:29" x14ac:dyDescent="0.25">
      <c r="A309" s="53">
        <f t="shared" si="33"/>
        <v>63</v>
      </c>
      <c r="B309" s="196" t="str">
        <f t="shared" si="34"/>
        <v>2023 Closed 2024</v>
      </c>
      <c r="C309" s="194" t="s">
        <v>133</v>
      </c>
      <c r="D309" s="194" t="s">
        <v>179</v>
      </c>
      <c r="E309" s="194" t="s">
        <v>178</v>
      </c>
      <c r="F309" s="200" t="s">
        <v>130</v>
      </c>
      <c r="G309" s="198">
        <v>0</v>
      </c>
      <c r="H309" s="198">
        <v>0</v>
      </c>
      <c r="I309" s="198">
        <v>0</v>
      </c>
      <c r="J309" s="198">
        <v>0</v>
      </c>
      <c r="K309" s="198">
        <v>0</v>
      </c>
      <c r="L309" s="198">
        <v>0</v>
      </c>
      <c r="M309" s="198">
        <v>0</v>
      </c>
      <c r="N309" s="198">
        <v>0</v>
      </c>
      <c r="O309" s="198">
        <v>0</v>
      </c>
      <c r="P309" s="198">
        <v>0</v>
      </c>
      <c r="Q309" s="198">
        <v>0</v>
      </c>
      <c r="R309" s="198">
        <v>0</v>
      </c>
      <c r="S309" s="198">
        <v>0</v>
      </c>
      <c r="T309" s="198"/>
      <c r="U309" s="241">
        <f t="shared" si="29"/>
        <v>0</v>
      </c>
      <c r="V309" s="240">
        <f t="shared" si="30"/>
        <v>0</v>
      </c>
      <c r="W309" s="239" t="str">
        <f t="shared" si="31"/>
        <v>100%</v>
      </c>
      <c r="X309" s="238" t="str">
        <f t="shared" si="32"/>
        <v/>
      </c>
      <c r="AC309" s="194" t="s">
        <v>318</v>
      </c>
    </row>
    <row r="310" spans="1:29" x14ac:dyDescent="0.25">
      <c r="A310" s="53">
        <f t="shared" si="33"/>
        <v>64</v>
      </c>
      <c r="B310" s="196" t="str">
        <f t="shared" si="34"/>
        <v>2023 Closed 2024</v>
      </c>
      <c r="C310" s="194" t="s">
        <v>133</v>
      </c>
      <c r="D310" s="194" t="s">
        <v>177</v>
      </c>
      <c r="E310" s="194" t="s">
        <v>176</v>
      </c>
      <c r="F310" s="200" t="s">
        <v>130</v>
      </c>
      <c r="G310" s="198">
        <v>0</v>
      </c>
      <c r="H310" s="198">
        <v>0</v>
      </c>
      <c r="I310" s="198">
        <v>0</v>
      </c>
      <c r="J310" s="198">
        <v>0</v>
      </c>
      <c r="K310" s="198">
        <v>0</v>
      </c>
      <c r="L310" s="198">
        <v>0</v>
      </c>
      <c r="M310" s="198">
        <v>0</v>
      </c>
      <c r="N310" s="198">
        <v>0</v>
      </c>
      <c r="O310" s="198">
        <v>0</v>
      </c>
      <c r="P310" s="198">
        <v>0</v>
      </c>
      <c r="Q310" s="198">
        <v>0</v>
      </c>
      <c r="R310" s="198">
        <v>0</v>
      </c>
      <c r="S310" s="198">
        <v>0</v>
      </c>
      <c r="T310" s="198"/>
      <c r="U310" s="241">
        <f t="shared" si="29"/>
        <v>0</v>
      </c>
      <c r="V310" s="240">
        <f t="shared" si="30"/>
        <v>0</v>
      </c>
      <c r="W310" s="239" t="str">
        <f t="shared" si="31"/>
        <v>100%</v>
      </c>
      <c r="X310" s="238" t="str">
        <f t="shared" si="32"/>
        <v/>
      </c>
      <c r="AC310" s="194" t="s">
        <v>318</v>
      </c>
    </row>
    <row r="311" spans="1:29" x14ac:dyDescent="0.25">
      <c r="A311" s="53">
        <f t="shared" si="33"/>
        <v>65</v>
      </c>
      <c r="B311" s="196" t="str">
        <f t="shared" si="34"/>
        <v>2023 Closed 2024</v>
      </c>
      <c r="C311" s="194" t="s">
        <v>133</v>
      </c>
      <c r="D311" s="194" t="s">
        <v>175</v>
      </c>
      <c r="E311" s="194" t="s">
        <v>174</v>
      </c>
      <c r="F311" s="200" t="s">
        <v>130</v>
      </c>
      <c r="G311" s="198">
        <v>0</v>
      </c>
      <c r="H311" s="198">
        <v>0</v>
      </c>
      <c r="I311" s="198">
        <v>0</v>
      </c>
      <c r="J311" s="198">
        <v>0</v>
      </c>
      <c r="K311" s="198">
        <v>0</v>
      </c>
      <c r="L311" s="198">
        <v>0</v>
      </c>
      <c r="M311" s="198">
        <v>0</v>
      </c>
      <c r="N311" s="198">
        <v>0</v>
      </c>
      <c r="O311" s="198">
        <v>0</v>
      </c>
      <c r="P311" s="198">
        <v>0</v>
      </c>
      <c r="Q311" s="198">
        <v>0</v>
      </c>
      <c r="R311" s="198">
        <v>0</v>
      </c>
      <c r="S311" s="198">
        <v>0</v>
      </c>
      <c r="T311" s="198"/>
      <c r="U311" s="241">
        <f t="shared" ref="U311:U331" si="35">SUM(H311:T311)</f>
        <v>0</v>
      </c>
      <c r="V311" s="240">
        <f t="shared" ref="V311:V331" si="36">U311-G311</f>
        <v>0</v>
      </c>
      <c r="W311" s="239" t="str">
        <f t="shared" ref="W311:W331" si="37">+IFERROR(V311/G311,"100%")</f>
        <v>100%</v>
      </c>
      <c r="X311" s="238" t="str">
        <f t="shared" ref="X311:X331" si="38">IFERROR(IF(AND(ABS(V311)&gt;=500000,ABS(W311)&gt;=10%),"yes",""),"")</f>
        <v/>
      </c>
      <c r="AC311" s="194" t="s">
        <v>318</v>
      </c>
    </row>
    <row r="312" spans="1:29" x14ac:dyDescent="0.25">
      <c r="A312" s="53">
        <f t="shared" ref="A312:A331" si="39">A311+1</f>
        <v>66</v>
      </c>
      <c r="B312" s="196" t="str">
        <f t="shared" ref="B312:B331" si="40">B311</f>
        <v>2023 Closed 2024</v>
      </c>
      <c r="C312" s="194" t="s">
        <v>133</v>
      </c>
      <c r="D312" s="194" t="s">
        <v>173</v>
      </c>
      <c r="E312" s="194" t="s">
        <v>172</v>
      </c>
      <c r="F312" s="200" t="s">
        <v>130</v>
      </c>
      <c r="G312" s="198">
        <v>0</v>
      </c>
      <c r="H312" s="198">
        <v>0</v>
      </c>
      <c r="I312" s="198">
        <v>26.98</v>
      </c>
      <c r="J312" s="198">
        <v>0</v>
      </c>
      <c r="K312" s="198">
        <v>0</v>
      </c>
      <c r="L312" s="198">
        <v>0</v>
      </c>
      <c r="M312" s="198">
        <v>0</v>
      </c>
      <c r="N312" s="198">
        <v>0</v>
      </c>
      <c r="O312" s="198">
        <v>0</v>
      </c>
      <c r="P312" s="198">
        <v>0</v>
      </c>
      <c r="Q312" s="198">
        <v>0</v>
      </c>
      <c r="R312" s="198">
        <v>0</v>
      </c>
      <c r="S312" s="198">
        <v>0</v>
      </c>
      <c r="T312" s="198"/>
      <c r="U312" s="241">
        <f t="shared" si="35"/>
        <v>26.98</v>
      </c>
      <c r="V312" s="240">
        <f t="shared" si="36"/>
        <v>26.98</v>
      </c>
      <c r="W312" s="239" t="str">
        <f t="shared" si="37"/>
        <v>100%</v>
      </c>
      <c r="X312" s="238" t="str">
        <f t="shared" si="38"/>
        <v/>
      </c>
      <c r="AC312" s="194" t="s">
        <v>318</v>
      </c>
    </row>
    <row r="313" spans="1:29" x14ac:dyDescent="0.25">
      <c r="A313" s="53">
        <f t="shared" si="39"/>
        <v>67</v>
      </c>
      <c r="B313" s="196" t="str">
        <f t="shared" si="40"/>
        <v>2023 Closed 2024</v>
      </c>
      <c r="C313" s="194" t="s">
        <v>133</v>
      </c>
      <c r="D313" s="194" t="s">
        <v>171</v>
      </c>
      <c r="E313" s="194" t="s">
        <v>170</v>
      </c>
      <c r="F313" s="200" t="s">
        <v>169</v>
      </c>
      <c r="G313" s="198">
        <v>0</v>
      </c>
      <c r="H313" s="198">
        <v>0</v>
      </c>
      <c r="I313" s="198">
        <v>0</v>
      </c>
      <c r="J313" s="198">
        <v>0</v>
      </c>
      <c r="K313" s="198">
        <v>3694.4300000000003</v>
      </c>
      <c r="L313" s="198">
        <v>0</v>
      </c>
      <c r="M313" s="198">
        <v>0</v>
      </c>
      <c r="N313" s="198">
        <v>0</v>
      </c>
      <c r="O313" s="198">
        <v>0</v>
      </c>
      <c r="P313" s="198">
        <v>0</v>
      </c>
      <c r="Q313" s="198">
        <v>0</v>
      </c>
      <c r="R313" s="198">
        <v>0</v>
      </c>
      <c r="S313" s="198">
        <v>0</v>
      </c>
      <c r="T313" s="198"/>
      <c r="U313" s="241">
        <f t="shared" si="35"/>
        <v>3694.4300000000003</v>
      </c>
      <c r="V313" s="240">
        <f t="shared" si="36"/>
        <v>3694.4300000000003</v>
      </c>
      <c r="W313" s="239" t="str">
        <f t="shared" si="37"/>
        <v>100%</v>
      </c>
      <c r="X313" s="238" t="str">
        <f t="shared" si="38"/>
        <v/>
      </c>
      <c r="AC313" s="194" t="s">
        <v>318</v>
      </c>
    </row>
    <row r="314" spans="1:29" x14ac:dyDescent="0.25">
      <c r="A314" s="53">
        <f t="shared" si="39"/>
        <v>68</v>
      </c>
      <c r="B314" s="196" t="str">
        <f t="shared" si="40"/>
        <v>2023 Closed 2024</v>
      </c>
      <c r="C314" s="194" t="s">
        <v>133</v>
      </c>
      <c r="D314" s="194" t="s">
        <v>168</v>
      </c>
      <c r="E314" s="194" t="s">
        <v>167</v>
      </c>
      <c r="F314" s="200" t="s">
        <v>130</v>
      </c>
      <c r="G314" s="198">
        <v>0</v>
      </c>
      <c r="H314" s="198">
        <v>0</v>
      </c>
      <c r="I314" s="198">
        <v>2488.48</v>
      </c>
      <c r="J314" s="198">
        <v>0</v>
      </c>
      <c r="K314" s="198">
        <v>0</v>
      </c>
      <c r="L314" s="198">
        <v>0</v>
      </c>
      <c r="M314" s="198">
        <v>0</v>
      </c>
      <c r="N314" s="198">
        <v>0</v>
      </c>
      <c r="O314" s="198">
        <v>0</v>
      </c>
      <c r="P314" s="198">
        <v>0</v>
      </c>
      <c r="Q314" s="198">
        <v>0</v>
      </c>
      <c r="R314" s="198">
        <v>0</v>
      </c>
      <c r="S314" s="198">
        <v>0</v>
      </c>
      <c r="T314" s="198"/>
      <c r="U314" s="241">
        <f t="shared" si="35"/>
        <v>2488.48</v>
      </c>
      <c r="V314" s="240">
        <f t="shared" si="36"/>
        <v>2488.48</v>
      </c>
      <c r="W314" s="239" t="str">
        <f t="shared" si="37"/>
        <v>100%</v>
      </c>
      <c r="X314" s="238" t="str">
        <f t="shared" si="38"/>
        <v/>
      </c>
      <c r="AC314" s="194" t="s">
        <v>318</v>
      </c>
    </row>
    <row r="315" spans="1:29" x14ac:dyDescent="0.25">
      <c r="A315" s="53">
        <f t="shared" si="39"/>
        <v>69</v>
      </c>
      <c r="B315" s="196" t="str">
        <f t="shared" si="40"/>
        <v>2023 Closed 2024</v>
      </c>
      <c r="C315" s="194" t="s">
        <v>133</v>
      </c>
      <c r="D315" s="194" t="s">
        <v>166</v>
      </c>
      <c r="E315" s="194" t="s">
        <v>165</v>
      </c>
      <c r="F315" s="200" t="s">
        <v>130</v>
      </c>
      <c r="G315" s="198">
        <v>0</v>
      </c>
      <c r="H315" s="198">
        <v>0</v>
      </c>
      <c r="I315" s="198">
        <v>0</v>
      </c>
      <c r="J315" s="198">
        <v>6322.46</v>
      </c>
      <c r="K315" s="198">
        <v>0</v>
      </c>
      <c r="L315" s="198">
        <v>0</v>
      </c>
      <c r="M315" s="198">
        <v>0</v>
      </c>
      <c r="N315" s="198">
        <v>0</v>
      </c>
      <c r="O315" s="198">
        <v>0</v>
      </c>
      <c r="P315" s="198">
        <v>0</v>
      </c>
      <c r="Q315" s="198">
        <v>0</v>
      </c>
      <c r="R315" s="198">
        <v>0</v>
      </c>
      <c r="S315" s="198">
        <v>0</v>
      </c>
      <c r="T315" s="198"/>
      <c r="U315" s="241">
        <f t="shared" si="35"/>
        <v>6322.46</v>
      </c>
      <c r="V315" s="240">
        <f t="shared" si="36"/>
        <v>6322.46</v>
      </c>
      <c r="W315" s="239" t="str">
        <f t="shared" si="37"/>
        <v>100%</v>
      </c>
      <c r="X315" s="238" t="str">
        <f t="shared" si="38"/>
        <v/>
      </c>
      <c r="AC315" s="194" t="s">
        <v>318</v>
      </c>
    </row>
    <row r="316" spans="1:29" x14ac:dyDescent="0.25">
      <c r="A316" s="53">
        <f t="shared" si="39"/>
        <v>70</v>
      </c>
      <c r="B316" s="196" t="str">
        <f t="shared" si="40"/>
        <v>2023 Closed 2024</v>
      </c>
      <c r="C316" s="194" t="s">
        <v>133</v>
      </c>
      <c r="D316" s="194" t="s">
        <v>164</v>
      </c>
      <c r="E316" s="194" t="s">
        <v>163</v>
      </c>
      <c r="F316" s="200" t="s">
        <v>130</v>
      </c>
      <c r="G316" s="198">
        <v>0</v>
      </c>
      <c r="H316" s="198">
        <v>0</v>
      </c>
      <c r="I316" s="198">
        <v>0</v>
      </c>
      <c r="J316" s="198">
        <v>3372.34</v>
      </c>
      <c r="K316" s="198">
        <v>0</v>
      </c>
      <c r="L316" s="198">
        <v>0</v>
      </c>
      <c r="M316" s="198">
        <v>0</v>
      </c>
      <c r="N316" s="198">
        <v>0</v>
      </c>
      <c r="O316" s="198">
        <v>0</v>
      </c>
      <c r="P316" s="198">
        <v>0</v>
      </c>
      <c r="Q316" s="198">
        <v>0</v>
      </c>
      <c r="R316" s="198">
        <v>0</v>
      </c>
      <c r="S316" s="198">
        <v>0</v>
      </c>
      <c r="T316" s="198"/>
      <c r="U316" s="241">
        <f t="shared" si="35"/>
        <v>3372.34</v>
      </c>
      <c r="V316" s="240">
        <f t="shared" si="36"/>
        <v>3372.34</v>
      </c>
      <c r="W316" s="239" t="str">
        <f t="shared" si="37"/>
        <v>100%</v>
      </c>
      <c r="X316" s="238" t="str">
        <f t="shared" si="38"/>
        <v/>
      </c>
      <c r="AC316" s="194" t="s">
        <v>318</v>
      </c>
    </row>
    <row r="317" spans="1:29" x14ac:dyDescent="0.25">
      <c r="A317" s="53">
        <f t="shared" si="39"/>
        <v>71</v>
      </c>
      <c r="B317" s="196" t="str">
        <f t="shared" si="40"/>
        <v>2023 Closed 2024</v>
      </c>
      <c r="C317" s="194" t="s">
        <v>133</v>
      </c>
      <c r="D317" s="194" t="s">
        <v>162</v>
      </c>
      <c r="E317" s="194" t="s">
        <v>161</v>
      </c>
      <c r="F317" s="200" t="s">
        <v>130</v>
      </c>
      <c r="G317" s="198">
        <v>0</v>
      </c>
      <c r="H317" s="198">
        <v>0</v>
      </c>
      <c r="I317" s="198">
        <v>0</v>
      </c>
      <c r="J317" s="198">
        <v>0</v>
      </c>
      <c r="K317" s="198">
        <v>6697.85</v>
      </c>
      <c r="L317" s="198">
        <v>0</v>
      </c>
      <c r="M317" s="198">
        <v>0</v>
      </c>
      <c r="N317" s="198">
        <v>0</v>
      </c>
      <c r="O317" s="198">
        <v>0</v>
      </c>
      <c r="P317" s="198">
        <v>0</v>
      </c>
      <c r="Q317" s="198">
        <v>0</v>
      </c>
      <c r="R317" s="198">
        <v>0</v>
      </c>
      <c r="S317" s="198">
        <v>0</v>
      </c>
      <c r="T317" s="198"/>
      <c r="U317" s="241">
        <f t="shared" si="35"/>
        <v>6697.85</v>
      </c>
      <c r="V317" s="240">
        <f t="shared" si="36"/>
        <v>6697.85</v>
      </c>
      <c r="W317" s="239" t="str">
        <f t="shared" si="37"/>
        <v>100%</v>
      </c>
      <c r="X317" s="238" t="str">
        <f t="shared" si="38"/>
        <v/>
      </c>
      <c r="AC317" s="194" t="s">
        <v>318</v>
      </c>
    </row>
    <row r="318" spans="1:29" x14ac:dyDescent="0.25">
      <c r="A318" s="53">
        <f t="shared" si="39"/>
        <v>72</v>
      </c>
      <c r="B318" s="196" t="str">
        <f t="shared" si="40"/>
        <v>2023 Closed 2024</v>
      </c>
      <c r="C318" s="194" t="s">
        <v>133</v>
      </c>
      <c r="D318" s="194" t="s">
        <v>160</v>
      </c>
      <c r="E318" s="194" t="s">
        <v>159</v>
      </c>
      <c r="F318" s="200" t="s">
        <v>130</v>
      </c>
      <c r="G318" s="198">
        <v>0</v>
      </c>
      <c r="H318" s="198">
        <v>0</v>
      </c>
      <c r="I318" s="198">
        <v>0</v>
      </c>
      <c r="J318" s="198">
        <v>0</v>
      </c>
      <c r="K318" s="198">
        <v>4772.79</v>
      </c>
      <c r="L318" s="198">
        <v>0</v>
      </c>
      <c r="M318" s="198">
        <v>0</v>
      </c>
      <c r="N318" s="198">
        <v>0</v>
      </c>
      <c r="O318" s="198">
        <v>0</v>
      </c>
      <c r="P318" s="198">
        <v>0</v>
      </c>
      <c r="Q318" s="198">
        <v>0</v>
      </c>
      <c r="R318" s="198">
        <v>0</v>
      </c>
      <c r="S318" s="198">
        <v>0</v>
      </c>
      <c r="T318" s="198"/>
      <c r="U318" s="241">
        <f t="shared" si="35"/>
        <v>4772.79</v>
      </c>
      <c r="V318" s="240">
        <f t="shared" si="36"/>
        <v>4772.79</v>
      </c>
      <c r="W318" s="239" t="str">
        <f t="shared" si="37"/>
        <v>100%</v>
      </c>
      <c r="X318" s="238" t="str">
        <f t="shared" si="38"/>
        <v/>
      </c>
      <c r="AC318" s="194" t="s">
        <v>318</v>
      </c>
    </row>
    <row r="319" spans="1:29" x14ac:dyDescent="0.25">
      <c r="A319" s="53">
        <f t="shared" si="39"/>
        <v>73</v>
      </c>
      <c r="B319" s="196" t="str">
        <f t="shared" si="40"/>
        <v>2023 Closed 2024</v>
      </c>
      <c r="C319" s="194" t="s">
        <v>133</v>
      </c>
      <c r="D319" s="194" t="s">
        <v>158</v>
      </c>
      <c r="E319" s="194" t="s">
        <v>157</v>
      </c>
      <c r="F319" s="200" t="s">
        <v>134</v>
      </c>
      <c r="G319" s="198">
        <v>0</v>
      </c>
      <c r="H319" s="198">
        <v>0</v>
      </c>
      <c r="I319" s="198">
        <v>0</v>
      </c>
      <c r="J319" s="198">
        <v>0</v>
      </c>
      <c r="K319" s="198">
        <v>48298.8</v>
      </c>
      <c r="L319" s="198">
        <v>105.43</v>
      </c>
      <c r="M319" s="198">
        <v>0</v>
      </c>
      <c r="N319" s="198">
        <v>0</v>
      </c>
      <c r="O319" s="198">
        <v>0</v>
      </c>
      <c r="P319" s="198">
        <v>0</v>
      </c>
      <c r="Q319" s="198">
        <v>0</v>
      </c>
      <c r="R319" s="198">
        <v>0</v>
      </c>
      <c r="S319" s="198">
        <v>0</v>
      </c>
      <c r="T319" s="198"/>
      <c r="U319" s="241">
        <f t="shared" si="35"/>
        <v>48404.23</v>
      </c>
      <c r="V319" s="240">
        <f t="shared" si="36"/>
        <v>48404.23</v>
      </c>
      <c r="W319" s="239" t="str">
        <f t="shared" si="37"/>
        <v>100%</v>
      </c>
      <c r="X319" s="238" t="str">
        <f t="shared" si="38"/>
        <v/>
      </c>
      <c r="AC319" s="194" t="s">
        <v>829</v>
      </c>
    </row>
    <row r="320" spans="1:29" x14ac:dyDescent="0.25">
      <c r="A320" s="53">
        <f t="shared" si="39"/>
        <v>74</v>
      </c>
      <c r="B320" s="196" t="str">
        <f t="shared" si="40"/>
        <v>2023 Closed 2024</v>
      </c>
      <c r="C320" s="194" t="s">
        <v>133</v>
      </c>
      <c r="D320" s="194" t="s">
        <v>156</v>
      </c>
      <c r="E320" s="194" t="s">
        <v>155</v>
      </c>
      <c r="F320" s="200" t="s">
        <v>130</v>
      </c>
      <c r="G320" s="198">
        <v>0</v>
      </c>
      <c r="H320" s="198">
        <v>0</v>
      </c>
      <c r="I320" s="198">
        <v>0</v>
      </c>
      <c r="J320" s="198">
        <v>0</v>
      </c>
      <c r="K320" s="198">
        <v>0</v>
      </c>
      <c r="L320" s="198">
        <v>1642.67</v>
      </c>
      <c r="M320" s="198">
        <v>0</v>
      </c>
      <c r="N320" s="198">
        <v>0</v>
      </c>
      <c r="O320" s="198">
        <v>0</v>
      </c>
      <c r="P320" s="198">
        <v>0</v>
      </c>
      <c r="Q320" s="198">
        <v>0</v>
      </c>
      <c r="R320" s="198">
        <v>0</v>
      </c>
      <c r="S320" s="198">
        <v>0</v>
      </c>
      <c r="T320" s="198"/>
      <c r="U320" s="241">
        <f t="shared" si="35"/>
        <v>1642.67</v>
      </c>
      <c r="V320" s="240">
        <f t="shared" si="36"/>
        <v>1642.67</v>
      </c>
      <c r="W320" s="239" t="str">
        <f t="shared" si="37"/>
        <v>100%</v>
      </c>
      <c r="X320" s="238" t="str">
        <f t="shared" si="38"/>
        <v/>
      </c>
      <c r="AC320" s="194" t="s">
        <v>318</v>
      </c>
    </row>
    <row r="321" spans="1:29" x14ac:dyDescent="0.25">
      <c r="A321" s="53">
        <f t="shared" si="39"/>
        <v>75</v>
      </c>
      <c r="B321" s="196" t="str">
        <f t="shared" si="40"/>
        <v>2023 Closed 2024</v>
      </c>
      <c r="C321" s="194" t="s">
        <v>133</v>
      </c>
      <c r="D321" s="194" t="s">
        <v>154</v>
      </c>
      <c r="E321" s="194" t="s">
        <v>153</v>
      </c>
      <c r="F321" s="200" t="s">
        <v>130</v>
      </c>
      <c r="G321" s="198">
        <v>0</v>
      </c>
      <c r="H321" s="198">
        <v>0</v>
      </c>
      <c r="I321" s="198">
        <v>0</v>
      </c>
      <c r="J321" s="198">
        <v>0</v>
      </c>
      <c r="K321" s="198">
        <v>5468.18</v>
      </c>
      <c r="L321" s="198">
        <v>0</v>
      </c>
      <c r="M321" s="198">
        <v>0</v>
      </c>
      <c r="N321" s="198">
        <v>0</v>
      </c>
      <c r="O321" s="198">
        <v>0</v>
      </c>
      <c r="P321" s="198">
        <v>0</v>
      </c>
      <c r="Q321" s="198">
        <v>0</v>
      </c>
      <c r="R321" s="198">
        <v>0</v>
      </c>
      <c r="S321" s="198">
        <v>0</v>
      </c>
      <c r="T321" s="198"/>
      <c r="U321" s="241">
        <f t="shared" si="35"/>
        <v>5468.18</v>
      </c>
      <c r="V321" s="240">
        <f t="shared" si="36"/>
        <v>5468.18</v>
      </c>
      <c r="W321" s="239" t="str">
        <f t="shared" si="37"/>
        <v>100%</v>
      </c>
      <c r="X321" s="238" t="str">
        <f t="shared" si="38"/>
        <v/>
      </c>
      <c r="AC321" s="194" t="s">
        <v>318</v>
      </c>
    </row>
    <row r="322" spans="1:29" x14ac:dyDescent="0.25">
      <c r="A322" s="53">
        <f t="shared" si="39"/>
        <v>76</v>
      </c>
      <c r="B322" s="196" t="str">
        <f t="shared" si="40"/>
        <v>2023 Closed 2024</v>
      </c>
      <c r="C322" s="194" t="s">
        <v>133</v>
      </c>
      <c r="D322" s="194" t="s">
        <v>152</v>
      </c>
      <c r="E322" s="194" t="s">
        <v>151</v>
      </c>
      <c r="F322" s="200" t="s">
        <v>130</v>
      </c>
      <c r="G322" s="198">
        <v>0</v>
      </c>
      <c r="H322" s="198">
        <v>0</v>
      </c>
      <c r="I322" s="198">
        <v>0</v>
      </c>
      <c r="J322" s="198">
        <v>0</v>
      </c>
      <c r="K322" s="198">
        <v>13440.630000000001</v>
      </c>
      <c r="L322" s="198">
        <v>66.41</v>
      </c>
      <c r="M322" s="198">
        <v>0</v>
      </c>
      <c r="N322" s="198">
        <v>0</v>
      </c>
      <c r="O322" s="198">
        <v>0</v>
      </c>
      <c r="P322" s="198">
        <v>0</v>
      </c>
      <c r="Q322" s="198">
        <v>0</v>
      </c>
      <c r="R322" s="198">
        <v>0</v>
      </c>
      <c r="S322" s="198">
        <v>0</v>
      </c>
      <c r="T322" s="198"/>
      <c r="U322" s="241">
        <f t="shared" si="35"/>
        <v>13507.04</v>
      </c>
      <c r="V322" s="240">
        <f t="shared" si="36"/>
        <v>13507.04</v>
      </c>
      <c r="W322" s="239" t="str">
        <f t="shared" si="37"/>
        <v>100%</v>
      </c>
      <c r="X322" s="238" t="str">
        <f t="shared" si="38"/>
        <v/>
      </c>
      <c r="AC322" s="194" t="s">
        <v>318</v>
      </c>
    </row>
    <row r="323" spans="1:29" x14ac:dyDescent="0.25">
      <c r="A323" s="53">
        <f t="shared" si="39"/>
        <v>77</v>
      </c>
      <c r="B323" s="196" t="str">
        <f t="shared" si="40"/>
        <v>2023 Closed 2024</v>
      </c>
      <c r="C323" s="194" t="s">
        <v>133</v>
      </c>
      <c r="D323" s="194" t="s">
        <v>150</v>
      </c>
      <c r="E323" s="194" t="s">
        <v>149</v>
      </c>
      <c r="F323" s="200" t="s">
        <v>130</v>
      </c>
      <c r="G323" s="198">
        <v>0</v>
      </c>
      <c r="H323" s="198">
        <v>0</v>
      </c>
      <c r="I323" s="198">
        <v>0</v>
      </c>
      <c r="J323" s="198">
        <v>0</v>
      </c>
      <c r="K323" s="198">
        <v>0</v>
      </c>
      <c r="L323" s="198">
        <v>18239.170000000002</v>
      </c>
      <c r="M323" s="198">
        <v>0</v>
      </c>
      <c r="N323" s="198">
        <v>0</v>
      </c>
      <c r="O323" s="198">
        <v>0</v>
      </c>
      <c r="P323" s="198">
        <v>0</v>
      </c>
      <c r="Q323" s="198">
        <v>0</v>
      </c>
      <c r="R323" s="198">
        <v>0</v>
      </c>
      <c r="S323" s="198">
        <v>0</v>
      </c>
      <c r="T323" s="198"/>
      <c r="U323" s="241">
        <f t="shared" si="35"/>
        <v>18239.170000000002</v>
      </c>
      <c r="V323" s="240">
        <f t="shared" si="36"/>
        <v>18239.170000000002</v>
      </c>
      <c r="W323" s="239" t="str">
        <f t="shared" si="37"/>
        <v>100%</v>
      </c>
      <c r="X323" s="238" t="str">
        <f t="shared" si="38"/>
        <v/>
      </c>
      <c r="AC323" s="194" t="s">
        <v>318</v>
      </c>
    </row>
    <row r="324" spans="1:29" x14ac:dyDescent="0.25">
      <c r="A324" s="53">
        <f t="shared" si="39"/>
        <v>78</v>
      </c>
      <c r="B324" s="196" t="str">
        <f t="shared" si="40"/>
        <v>2023 Closed 2024</v>
      </c>
      <c r="C324" s="194" t="s">
        <v>133</v>
      </c>
      <c r="D324" s="194" t="s">
        <v>148</v>
      </c>
      <c r="E324" s="194" t="s">
        <v>147</v>
      </c>
      <c r="F324" s="200" t="s">
        <v>130</v>
      </c>
      <c r="G324" s="198">
        <v>0</v>
      </c>
      <c r="H324" s="198">
        <v>0</v>
      </c>
      <c r="I324" s="198">
        <v>0</v>
      </c>
      <c r="J324" s="198">
        <v>0</v>
      </c>
      <c r="K324" s="198">
        <v>0</v>
      </c>
      <c r="L324" s="198">
        <v>3963.6800000000003</v>
      </c>
      <c r="M324" s="198">
        <v>0</v>
      </c>
      <c r="N324" s="198">
        <v>0</v>
      </c>
      <c r="O324" s="198">
        <v>0</v>
      </c>
      <c r="P324" s="198">
        <v>0</v>
      </c>
      <c r="Q324" s="198">
        <v>0</v>
      </c>
      <c r="R324" s="198">
        <v>0</v>
      </c>
      <c r="S324" s="198">
        <v>0</v>
      </c>
      <c r="T324" s="198"/>
      <c r="U324" s="241">
        <f t="shared" si="35"/>
        <v>3963.6800000000003</v>
      </c>
      <c r="V324" s="240">
        <f t="shared" si="36"/>
        <v>3963.6800000000003</v>
      </c>
      <c r="W324" s="239" t="str">
        <f t="shared" si="37"/>
        <v>100%</v>
      </c>
      <c r="X324" s="238" t="str">
        <f t="shared" si="38"/>
        <v/>
      </c>
      <c r="AC324" s="194" t="s">
        <v>318</v>
      </c>
    </row>
    <row r="325" spans="1:29" x14ac:dyDescent="0.25">
      <c r="A325" s="53">
        <f t="shared" si="39"/>
        <v>79</v>
      </c>
      <c r="B325" s="196" t="str">
        <f t="shared" si="40"/>
        <v>2023 Closed 2024</v>
      </c>
      <c r="C325" s="194" t="s">
        <v>133</v>
      </c>
      <c r="D325" s="194" t="s">
        <v>146</v>
      </c>
      <c r="E325" s="194" t="s">
        <v>145</v>
      </c>
      <c r="F325" s="200" t="s">
        <v>134</v>
      </c>
      <c r="G325" s="198">
        <v>0</v>
      </c>
      <c r="H325" s="198">
        <v>0</v>
      </c>
      <c r="I325" s="198">
        <v>0</v>
      </c>
      <c r="J325" s="198">
        <v>0</v>
      </c>
      <c r="K325" s="198">
        <v>0</v>
      </c>
      <c r="L325" s="198">
        <v>0</v>
      </c>
      <c r="M325" s="198">
        <v>-2677.37</v>
      </c>
      <c r="N325" s="198">
        <v>0</v>
      </c>
      <c r="O325" s="198">
        <v>0</v>
      </c>
      <c r="P325" s="198">
        <v>0</v>
      </c>
      <c r="Q325" s="198">
        <v>0</v>
      </c>
      <c r="R325" s="198">
        <v>0</v>
      </c>
      <c r="S325" s="198">
        <v>0</v>
      </c>
      <c r="T325" s="198"/>
      <c r="U325" s="241">
        <f t="shared" si="35"/>
        <v>-2677.37</v>
      </c>
      <c r="V325" s="240">
        <f t="shared" si="36"/>
        <v>-2677.37</v>
      </c>
      <c r="W325" s="239" t="str">
        <f t="shared" si="37"/>
        <v>100%</v>
      </c>
      <c r="X325" s="238" t="str">
        <f t="shared" si="38"/>
        <v/>
      </c>
      <c r="AC325" s="194" t="s">
        <v>318</v>
      </c>
    </row>
    <row r="326" spans="1:29" x14ac:dyDescent="0.25">
      <c r="A326" s="53">
        <f t="shared" si="39"/>
        <v>80</v>
      </c>
      <c r="B326" s="196" t="str">
        <f t="shared" si="40"/>
        <v>2023 Closed 2024</v>
      </c>
      <c r="C326" s="194" t="s">
        <v>133</v>
      </c>
      <c r="D326" s="194" t="s">
        <v>144</v>
      </c>
      <c r="E326" s="194" t="s">
        <v>143</v>
      </c>
      <c r="F326" s="200" t="s">
        <v>134</v>
      </c>
      <c r="G326" s="198">
        <v>0</v>
      </c>
      <c r="H326" s="198">
        <v>0</v>
      </c>
      <c r="I326" s="198">
        <v>0</v>
      </c>
      <c r="J326" s="198">
        <v>0</v>
      </c>
      <c r="K326" s="198">
        <v>0</v>
      </c>
      <c r="L326" s="198">
        <v>0</v>
      </c>
      <c r="M326" s="198">
        <v>11630.78</v>
      </c>
      <c r="N326" s="198">
        <v>0</v>
      </c>
      <c r="O326" s="198">
        <v>0</v>
      </c>
      <c r="P326" s="198">
        <v>0</v>
      </c>
      <c r="Q326" s="198">
        <v>0</v>
      </c>
      <c r="R326" s="198">
        <v>0</v>
      </c>
      <c r="S326" s="198">
        <v>0</v>
      </c>
      <c r="T326" s="198"/>
      <c r="U326" s="241">
        <f t="shared" si="35"/>
        <v>11630.78</v>
      </c>
      <c r="V326" s="240">
        <f t="shared" si="36"/>
        <v>11630.78</v>
      </c>
      <c r="W326" s="239" t="str">
        <f t="shared" si="37"/>
        <v>100%</v>
      </c>
      <c r="X326" s="238" t="str">
        <f t="shared" si="38"/>
        <v/>
      </c>
      <c r="AC326" s="194" t="s">
        <v>318</v>
      </c>
    </row>
    <row r="327" spans="1:29" x14ac:dyDescent="0.25">
      <c r="A327" s="53">
        <f t="shared" si="39"/>
        <v>81</v>
      </c>
      <c r="B327" s="196" t="str">
        <f t="shared" si="40"/>
        <v>2023 Closed 2024</v>
      </c>
      <c r="C327" s="194" t="s">
        <v>133</v>
      </c>
      <c r="D327" s="194" t="s">
        <v>142</v>
      </c>
      <c r="E327" s="194" t="s">
        <v>141</v>
      </c>
      <c r="F327" s="200" t="s">
        <v>134</v>
      </c>
      <c r="G327" s="198">
        <v>0</v>
      </c>
      <c r="H327" s="198">
        <v>0</v>
      </c>
      <c r="I327" s="198">
        <v>0</v>
      </c>
      <c r="J327" s="198">
        <v>0</v>
      </c>
      <c r="K327" s="198">
        <v>0</v>
      </c>
      <c r="L327" s="198">
        <v>0</v>
      </c>
      <c r="M327" s="198">
        <v>30321.08</v>
      </c>
      <c r="N327" s="198">
        <v>0</v>
      </c>
      <c r="O327" s="198">
        <v>0</v>
      </c>
      <c r="P327" s="198">
        <v>0</v>
      </c>
      <c r="Q327" s="198">
        <v>0</v>
      </c>
      <c r="R327" s="198">
        <v>0</v>
      </c>
      <c r="S327" s="198">
        <v>0</v>
      </c>
      <c r="T327" s="198"/>
      <c r="U327" s="241">
        <f t="shared" si="35"/>
        <v>30321.08</v>
      </c>
      <c r="V327" s="240">
        <f t="shared" si="36"/>
        <v>30321.08</v>
      </c>
      <c r="W327" s="239" t="str">
        <f t="shared" si="37"/>
        <v>100%</v>
      </c>
      <c r="X327" s="238" t="str">
        <f t="shared" si="38"/>
        <v/>
      </c>
      <c r="AC327" s="194" t="s">
        <v>318</v>
      </c>
    </row>
    <row r="328" spans="1:29" x14ac:dyDescent="0.25">
      <c r="A328" s="53">
        <f t="shared" si="39"/>
        <v>82</v>
      </c>
      <c r="B328" s="196" t="str">
        <f t="shared" si="40"/>
        <v>2023 Closed 2024</v>
      </c>
      <c r="C328" s="194" t="s">
        <v>133</v>
      </c>
      <c r="D328" s="194" t="s">
        <v>140</v>
      </c>
      <c r="E328" s="194" t="s">
        <v>139</v>
      </c>
      <c r="F328" s="200" t="s">
        <v>134</v>
      </c>
      <c r="G328" s="198">
        <v>0</v>
      </c>
      <c r="H328" s="198">
        <v>0</v>
      </c>
      <c r="I328" s="198">
        <v>0</v>
      </c>
      <c r="J328" s="198">
        <v>0</v>
      </c>
      <c r="K328" s="198">
        <v>0</v>
      </c>
      <c r="L328" s="198">
        <v>0</v>
      </c>
      <c r="M328" s="198">
        <v>61150.73</v>
      </c>
      <c r="N328" s="198">
        <v>0</v>
      </c>
      <c r="O328" s="198">
        <v>0</v>
      </c>
      <c r="P328" s="198">
        <v>0</v>
      </c>
      <c r="Q328" s="198">
        <v>0</v>
      </c>
      <c r="R328" s="198">
        <v>0</v>
      </c>
      <c r="S328" s="198">
        <v>0</v>
      </c>
      <c r="T328" s="198"/>
      <c r="U328" s="241">
        <f t="shared" si="35"/>
        <v>61150.73</v>
      </c>
      <c r="V328" s="240">
        <f t="shared" si="36"/>
        <v>61150.73</v>
      </c>
      <c r="W328" s="239" t="str">
        <f t="shared" si="37"/>
        <v>100%</v>
      </c>
      <c r="X328" s="238" t="str">
        <f t="shared" si="38"/>
        <v/>
      </c>
      <c r="AC328" s="194" t="s">
        <v>318</v>
      </c>
    </row>
    <row r="329" spans="1:29" x14ac:dyDescent="0.25">
      <c r="A329" s="53">
        <f t="shared" si="39"/>
        <v>83</v>
      </c>
      <c r="B329" s="196" t="str">
        <f t="shared" si="40"/>
        <v>2023 Closed 2024</v>
      </c>
      <c r="C329" s="194" t="s">
        <v>133</v>
      </c>
      <c r="D329" s="194" t="s">
        <v>138</v>
      </c>
      <c r="E329" s="194" t="s">
        <v>137</v>
      </c>
      <c r="F329" s="200" t="s">
        <v>130</v>
      </c>
      <c r="G329" s="198">
        <v>0</v>
      </c>
      <c r="H329" s="198">
        <v>0</v>
      </c>
      <c r="I329" s="198">
        <v>0</v>
      </c>
      <c r="J329" s="198">
        <v>0</v>
      </c>
      <c r="K329" s="198">
        <v>0</v>
      </c>
      <c r="L329" s="198">
        <v>0</v>
      </c>
      <c r="M329" s="198">
        <v>0</v>
      </c>
      <c r="N329" s="198">
        <v>0</v>
      </c>
      <c r="O329" s="198">
        <v>0</v>
      </c>
      <c r="P329" s="198">
        <v>0</v>
      </c>
      <c r="Q329" s="198">
        <v>0</v>
      </c>
      <c r="R329" s="198">
        <v>0</v>
      </c>
      <c r="S329" s="198">
        <v>0</v>
      </c>
      <c r="T329" s="198"/>
      <c r="U329" s="241">
        <f t="shared" si="35"/>
        <v>0</v>
      </c>
      <c r="V329" s="240">
        <f t="shared" si="36"/>
        <v>0</v>
      </c>
      <c r="W329" s="239" t="str">
        <f t="shared" si="37"/>
        <v>100%</v>
      </c>
      <c r="X329" s="238" t="str">
        <f t="shared" si="38"/>
        <v/>
      </c>
      <c r="AC329" s="194" t="s">
        <v>318</v>
      </c>
    </row>
    <row r="330" spans="1:29" x14ac:dyDescent="0.25">
      <c r="A330" s="53">
        <f t="shared" si="39"/>
        <v>84</v>
      </c>
      <c r="B330" s="196" t="str">
        <f t="shared" si="40"/>
        <v>2023 Closed 2024</v>
      </c>
      <c r="C330" s="194" t="s">
        <v>133</v>
      </c>
      <c r="D330" s="194" t="s">
        <v>136</v>
      </c>
      <c r="E330" s="194" t="s">
        <v>135</v>
      </c>
      <c r="F330" s="200" t="s">
        <v>134</v>
      </c>
      <c r="G330" s="198">
        <v>0</v>
      </c>
      <c r="H330" s="198">
        <v>0</v>
      </c>
      <c r="I330" s="198">
        <v>0</v>
      </c>
      <c r="J330" s="198">
        <v>0</v>
      </c>
      <c r="K330" s="198">
        <v>0</v>
      </c>
      <c r="L330" s="198">
        <v>0</v>
      </c>
      <c r="M330" s="198">
        <v>218984.88</v>
      </c>
      <c r="N330" s="198">
        <v>0</v>
      </c>
      <c r="O330" s="198">
        <v>0</v>
      </c>
      <c r="P330" s="198">
        <v>0</v>
      </c>
      <c r="Q330" s="198">
        <v>0</v>
      </c>
      <c r="R330" s="198">
        <v>0</v>
      </c>
      <c r="S330" s="198">
        <v>0</v>
      </c>
      <c r="T330" s="198"/>
      <c r="U330" s="241">
        <f t="shared" si="35"/>
        <v>218984.88</v>
      </c>
      <c r="V330" s="240">
        <f t="shared" si="36"/>
        <v>218984.88</v>
      </c>
      <c r="W330" s="239" t="str">
        <f t="shared" si="37"/>
        <v>100%</v>
      </c>
      <c r="X330" s="238" t="str">
        <f t="shared" si="38"/>
        <v/>
      </c>
      <c r="AC330" s="194" t="s">
        <v>318</v>
      </c>
    </row>
    <row r="331" spans="1:29" x14ac:dyDescent="0.25">
      <c r="A331" s="53">
        <f t="shared" si="39"/>
        <v>85</v>
      </c>
      <c r="B331" s="196" t="str">
        <f t="shared" si="40"/>
        <v>2023 Closed 2024</v>
      </c>
      <c r="C331" s="194" t="s">
        <v>133</v>
      </c>
      <c r="D331" s="194" t="s">
        <v>132</v>
      </c>
      <c r="E331" s="194" t="s">
        <v>131</v>
      </c>
      <c r="F331" s="200" t="s">
        <v>130</v>
      </c>
      <c r="G331" s="198">
        <v>0</v>
      </c>
      <c r="H331" s="198">
        <v>0</v>
      </c>
      <c r="I331" s="198">
        <v>0</v>
      </c>
      <c r="J331" s="198">
        <v>0</v>
      </c>
      <c r="K331" s="198">
        <v>0</v>
      </c>
      <c r="L331" s="198">
        <v>0</v>
      </c>
      <c r="M331" s="198">
        <v>12623.220000000001</v>
      </c>
      <c r="N331" s="198">
        <v>0</v>
      </c>
      <c r="O331" s="198">
        <v>0</v>
      </c>
      <c r="P331" s="198">
        <v>0</v>
      </c>
      <c r="Q331" s="198">
        <v>0</v>
      </c>
      <c r="R331" s="198">
        <v>0</v>
      </c>
      <c r="S331" s="198">
        <v>0</v>
      </c>
      <c r="T331" s="198"/>
      <c r="U331" s="241">
        <f t="shared" si="35"/>
        <v>12623.220000000001</v>
      </c>
      <c r="V331" s="240">
        <f t="shared" si="36"/>
        <v>12623.220000000001</v>
      </c>
      <c r="W331" s="239" t="str">
        <f t="shared" si="37"/>
        <v>100%</v>
      </c>
      <c r="X331" s="238" t="str">
        <f t="shared" si="38"/>
        <v/>
      </c>
      <c r="AC331" s="194" t="s">
        <v>318</v>
      </c>
    </row>
  </sheetData>
  <conditionalFormatting sqref="B4:B245">
    <cfRule type="notContainsBlanks" dxfId="1" priority="2">
      <formula>LEN(TRIM(B4))&gt;0</formula>
    </cfRule>
  </conditionalFormatting>
  <conditionalFormatting sqref="B247:B331">
    <cfRule type="notContainsBlanks" dxfId="0" priority="1">
      <formula>LEN(TRIM(B247))&gt;0</formula>
    </cfRule>
  </conditionalFormatting>
  <pageMargins left="0.7" right="0.7" top="0.75" bottom="0.75" header="0.3" footer="0.3"/>
  <pageSetup scale="27" fitToHeight="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33"/>
  <sheetViews>
    <sheetView zoomScale="80" zoomScaleNormal="80" workbookViewId="0">
      <selection activeCell="A2" sqref="A2"/>
    </sheetView>
  </sheetViews>
  <sheetFormatPr defaultColWidth="8.625" defaultRowHeight="15" outlineLevelRow="1" x14ac:dyDescent="0.25"/>
  <cols>
    <col min="1" max="1" width="8.625" style="11"/>
    <col min="2" max="2" width="1.625" style="11" customWidth="1"/>
    <col min="3" max="3" width="4.375" style="11" customWidth="1"/>
    <col min="4" max="4" width="1.625" style="11" customWidth="1"/>
    <col min="5" max="5" width="8.625" style="11"/>
    <col min="6" max="6" width="12.625" style="11" customWidth="1"/>
    <col min="7" max="7" width="1.625" style="11" customWidth="1"/>
    <col min="8" max="8" width="2.625" style="11" customWidth="1"/>
    <col min="9" max="9" width="8.875" style="11" customWidth="1"/>
    <col min="10" max="10" width="2.625" style="11" customWidth="1"/>
    <col min="11" max="11" width="1.625" style="11" customWidth="1"/>
    <col min="12" max="12" width="2.625" style="11" customWidth="1"/>
    <col min="13" max="13" width="8.875" style="11" customWidth="1"/>
    <col min="14" max="14" width="2.625" style="11" customWidth="1"/>
    <col min="15" max="15" width="1.625" style="11" customWidth="1"/>
    <col min="16" max="16" width="2.625" style="11" customWidth="1"/>
    <col min="17" max="17" width="8.875" style="11" customWidth="1"/>
    <col min="18" max="18" width="2.625" style="11" customWidth="1"/>
    <col min="19" max="19" width="1.625" style="11" customWidth="1"/>
    <col min="20" max="20" width="2.625" style="11" customWidth="1"/>
    <col min="21" max="21" width="8.875" style="11" customWidth="1"/>
    <col min="22" max="22" width="2.625" style="11" customWidth="1"/>
    <col min="23" max="23" width="1.625" style="11" customWidth="1"/>
    <col min="24" max="16384" width="8.625" style="11"/>
  </cols>
  <sheetData>
    <row r="1" spans="1:24" ht="18.75" x14ac:dyDescent="0.3">
      <c r="A1" s="267" t="s">
        <v>32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</row>
    <row r="4" spans="1:24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/>
    </row>
    <row r="5" spans="1:24" x14ac:dyDescent="0.25">
      <c r="B5" s="15"/>
      <c r="C5" s="268" t="s">
        <v>42</v>
      </c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17"/>
    </row>
    <row r="6" spans="1:24" x14ac:dyDescent="0.25">
      <c r="B6" s="15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7"/>
    </row>
    <row r="7" spans="1:24" x14ac:dyDescent="0.25">
      <c r="B7" s="15"/>
      <c r="C7" s="270" t="s">
        <v>101</v>
      </c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17"/>
    </row>
    <row r="8" spans="1:24" x14ac:dyDescent="0.25">
      <c r="B8" s="15"/>
      <c r="C8" s="271" t="s">
        <v>23</v>
      </c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17"/>
    </row>
    <row r="9" spans="1:24" x14ac:dyDescent="0.25">
      <c r="B9" s="15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7"/>
    </row>
    <row r="10" spans="1:24" x14ac:dyDescent="0.25">
      <c r="B10" s="15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68" t="s">
        <v>12</v>
      </c>
      <c r="Q10" s="268"/>
      <c r="R10" s="268"/>
      <c r="S10" s="18"/>
      <c r="T10" s="268" t="s">
        <v>12</v>
      </c>
      <c r="U10" s="268"/>
      <c r="V10" s="268"/>
      <c r="W10" s="17"/>
    </row>
    <row r="11" spans="1:24" x14ac:dyDescent="0.25">
      <c r="B11" s="15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268" t="s">
        <v>13</v>
      </c>
      <c r="Q11" s="268"/>
      <c r="R11" s="268"/>
      <c r="S11" s="18"/>
      <c r="T11" s="268" t="s">
        <v>13</v>
      </c>
      <c r="U11" s="268"/>
      <c r="V11" s="268"/>
      <c r="W11" s="17"/>
    </row>
    <row r="12" spans="1:24" x14ac:dyDescent="0.25">
      <c r="B12" s="15"/>
      <c r="C12" s="19" t="s">
        <v>6</v>
      </c>
      <c r="D12" s="20"/>
      <c r="E12" s="269" t="s">
        <v>7</v>
      </c>
      <c r="F12" s="269"/>
      <c r="G12" s="18"/>
      <c r="H12" s="269" t="s">
        <v>8</v>
      </c>
      <c r="I12" s="269"/>
      <c r="J12" s="269"/>
      <c r="K12" s="18"/>
      <c r="L12" s="269" t="s">
        <v>9</v>
      </c>
      <c r="M12" s="269"/>
      <c r="N12" s="269"/>
      <c r="O12" s="18"/>
      <c r="P12" s="269" t="s">
        <v>14</v>
      </c>
      <c r="Q12" s="269"/>
      <c r="R12" s="269"/>
      <c r="S12" s="18"/>
      <c r="T12" s="269" t="s">
        <v>15</v>
      </c>
      <c r="U12" s="269"/>
      <c r="V12" s="269"/>
      <c r="W12" s="17"/>
    </row>
    <row r="13" spans="1:24" x14ac:dyDescent="0.25">
      <c r="B13" s="15"/>
      <c r="C13" s="18"/>
      <c r="D13" s="18"/>
      <c r="E13" s="18"/>
      <c r="F13" s="18"/>
      <c r="G13" s="18"/>
      <c r="H13" s="18"/>
      <c r="I13" s="22">
        <v>-1</v>
      </c>
      <c r="J13" s="18"/>
      <c r="K13" s="18"/>
      <c r="L13" s="18"/>
      <c r="M13" s="22">
        <v>-2</v>
      </c>
      <c r="N13" s="18"/>
      <c r="O13" s="18"/>
      <c r="P13" s="18"/>
      <c r="Q13" s="22">
        <v>-3</v>
      </c>
      <c r="R13" s="18"/>
      <c r="S13" s="18"/>
      <c r="T13" s="18"/>
      <c r="U13" s="22">
        <v>-4</v>
      </c>
      <c r="V13" s="18"/>
      <c r="W13" s="17"/>
    </row>
    <row r="14" spans="1:24" x14ac:dyDescent="0.25">
      <c r="B14" s="15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7"/>
    </row>
    <row r="15" spans="1:24" x14ac:dyDescent="0.25">
      <c r="B15" s="15"/>
      <c r="C15" s="23">
        <f>MAX($C$12:C14)+1</f>
        <v>1</v>
      </c>
      <c r="D15" s="18"/>
      <c r="E15" s="18" t="s">
        <v>11</v>
      </c>
      <c r="F15" s="18"/>
      <c r="G15" s="18"/>
      <c r="H15" s="18"/>
      <c r="I15" s="24">
        <v>30458.35</v>
      </c>
      <c r="J15" s="18"/>
      <c r="K15" s="18"/>
      <c r="L15" s="18"/>
      <c r="M15" s="24">
        <v>13371.323</v>
      </c>
      <c r="N15" s="18"/>
      <c r="O15" s="18"/>
      <c r="P15" s="18"/>
      <c r="Q15" s="24">
        <f>I15+M15</f>
        <v>43829.672999999995</v>
      </c>
      <c r="R15" s="18"/>
      <c r="S15" s="18"/>
      <c r="T15" s="18"/>
      <c r="U15" s="24">
        <v>11669.242</v>
      </c>
      <c r="V15" s="18"/>
      <c r="W15" s="17"/>
    </row>
    <row r="16" spans="1:24" hidden="1" outlineLevel="1" x14ac:dyDescent="0.25">
      <c r="B16" s="15"/>
      <c r="C16" s="23"/>
      <c r="D16" s="18"/>
      <c r="E16" s="18"/>
      <c r="F16" s="18"/>
      <c r="G16" s="18"/>
      <c r="H16" s="18"/>
      <c r="I16" s="18">
        <v>376743.58780851198</v>
      </c>
      <c r="J16" s="18"/>
      <c r="K16" s="18"/>
      <c r="L16" s="18"/>
      <c r="M16" s="18">
        <v>378315.06485174998</v>
      </c>
      <c r="N16" s="18"/>
      <c r="O16" s="18"/>
      <c r="P16" s="18"/>
      <c r="Q16" s="18">
        <f>M16</f>
        <v>378315.06485174998</v>
      </c>
      <c r="R16" s="18"/>
      <c r="S16" s="18"/>
      <c r="T16" s="18"/>
      <c r="U16" s="18">
        <v>424191.81575600401</v>
      </c>
      <c r="V16" s="18"/>
      <c r="W16" s="17"/>
    </row>
    <row r="17" spans="2:23" collapsed="1" x14ac:dyDescent="0.25">
      <c r="B17" s="15"/>
      <c r="C17" s="23">
        <f>MAX($C$12:C16)+1</f>
        <v>2</v>
      </c>
      <c r="D17" s="18"/>
      <c r="E17" s="18" t="s">
        <v>16</v>
      </c>
      <c r="F17" s="18"/>
      <c r="G17" s="18"/>
      <c r="H17" s="18"/>
      <c r="I17" s="25">
        <f>I15/I16</f>
        <v>8.0846366031533126E-2</v>
      </c>
      <c r="J17" s="18"/>
      <c r="K17" s="18"/>
      <c r="L17" s="18"/>
      <c r="M17" s="25">
        <f>M15/M16</f>
        <v>3.5344410630963927E-2</v>
      </c>
      <c r="N17" s="18"/>
      <c r="O17" s="18"/>
      <c r="P17" s="18"/>
      <c r="Q17" s="25">
        <f>Q15/Q16</f>
        <v>0.11585495020446911</v>
      </c>
      <c r="R17" s="18"/>
      <c r="S17" s="18"/>
      <c r="T17" s="18"/>
      <c r="U17" s="25">
        <f>U15/U16</f>
        <v>2.7509352058579489E-2</v>
      </c>
      <c r="V17" s="18"/>
      <c r="W17" s="17"/>
    </row>
    <row r="18" spans="2:23" x14ac:dyDescent="0.25">
      <c r="B18" s="15"/>
      <c r="C18" s="2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7"/>
    </row>
    <row r="19" spans="2:23" x14ac:dyDescent="0.25">
      <c r="B19" s="15"/>
      <c r="C19" s="23"/>
      <c r="D19" s="18"/>
      <c r="E19" s="26" t="s">
        <v>24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7"/>
    </row>
    <row r="20" spans="2:23" ht="5.0999999999999996" customHeight="1" x14ac:dyDescent="0.25">
      <c r="B20" s="15"/>
      <c r="C20" s="23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7"/>
    </row>
    <row r="21" spans="2:23" x14ac:dyDescent="0.25">
      <c r="B21" s="15"/>
      <c r="C21" s="23">
        <f>MAX($C$12:C20)+1</f>
        <v>3</v>
      </c>
      <c r="D21" s="18"/>
      <c r="E21" s="18" t="s">
        <v>19</v>
      </c>
      <c r="G21" s="18"/>
      <c r="H21" s="18"/>
      <c r="I21" s="24">
        <f>'ROR Impact WP'!N14</f>
        <v>-1847.1954515858283</v>
      </c>
      <c r="J21" s="18"/>
      <c r="K21" s="18"/>
      <c r="L21" s="18"/>
      <c r="M21" s="24">
        <f>'ROR Impact WP'!N15</f>
        <v>-311.56054477847152</v>
      </c>
      <c r="N21" s="18"/>
      <c r="O21" s="18"/>
      <c r="P21" s="18"/>
      <c r="Q21" s="24">
        <f>I21+M21</f>
        <v>-2158.7559963642998</v>
      </c>
      <c r="R21" s="18"/>
      <c r="S21" s="18"/>
      <c r="T21" s="18"/>
      <c r="U21" s="24">
        <f>'ROR Impact WP'!N16</f>
        <v>-201.29842791298964</v>
      </c>
      <c r="V21" s="18"/>
      <c r="W21" s="17"/>
    </row>
    <row r="22" spans="2:23" ht="17.25" x14ac:dyDescent="0.4">
      <c r="B22" s="15"/>
      <c r="C22" s="23">
        <f>MAX($C$12:C21)+1</f>
        <v>4</v>
      </c>
      <c r="D22" s="18"/>
      <c r="E22" s="18" t="s">
        <v>18</v>
      </c>
      <c r="F22" s="18"/>
      <c r="G22" s="18"/>
      <c r="H22" s="18"/>
      <c r="I22" s="27">
        <f>'ROR Impact WP'!N18</f>
        <v>-4456.8239251349123</v>
      </c>
      <c r="J22" s="18"/>
      <c r="K22" s="18"/>
      <c r="L22" s="18"/>
      <c r="M22" s="27">
        <f>'ROR Impact WP'!N19</f>
        <v>-751.71822716684517</v>
      </c>
      <c r="N22" s="18"/>
      <c r="O22" s="18"/>
      <c r="P22" s="18"/>
      <c r="Q22" s="27">
        <f>I22+M22</f>
        <v>-5208.5421523017576</v>
      </c>
      <c r="R22" s="18"/>
      <c r="S22" s="18"/>
      <c r="T22" s="18"/>
      <c r="U22" s="27">
        <f>'ROR Impact WP'!N20</f>
        <v>-485.68311969610335</v>
      </c>
      <c r="V22" s="18"/>
      <c r="W22" s="17"/>
    </row>
    <row r="23" spans="2:23" x14ac:dyDescent="0.25">
      <c r="B23" s="15"/>
      <c r="C23" s="23">
        <f>MAX($C$12:C22)+1</f>
        <v>5</v>
      </c>
      <c r="D23" s="18"/>
      <c r="E23" s="18" t="s">
        <v>20</v>
      </c>
      <c r="F23" s="18"/>
      <c r="G23" s="18"/>
      <c r="H23" s="18"/>
      <c r="I23" s="24">
        <f>SUM(I21:I22)</f>
        <v>-6304.0193767207402</v>
      </c>
      <c r="J23" s="18"/>
      <c r="K23" s="18"/>
      <c r="L23" s="18"/>
      <c r="M23" s="24">
        <f>SUM(M21:M22)</f>
        <v>-1063.2787719453167</v>
      </c>
      <c r="N23" s="18"/>
      <c r="O23" s="18"/>
      <c r="P23" s="18"/>
      <c r="Q23" s="24">
        <f>SUM(Q21:Q22)</f>
        <v>-7367.2981486660574</v>
      </c>
      <c r="R23" s="18"/>
      <c r="S23" s="18"/>
      <c r="T23" s="18"/>
      <c r="U23" s="24">
        <f>SUM(U21:U22)</f>
        <v>-686.98154760909301</v>
      </c>
      <c r="V23" s="18"/>
      <c r="W23" s="17"/>
    </row>
    <row r="24" spans="2:23" ht="5.0999999999999996" customHeight="1" x14ac:dyDescent="0.25">
      <c r="B24" s="15"/>
      <c r="C24" s="23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7"/>
    </row>
    <row r="25" spans="2:23" x14ac:dyDescent="0.25">
      <c r="B25" s="15"/>
      <c r="C25" s="23">
        <f>MAX($C$12:C24)+1</f>
        <v>6</v>
      </c>
      <c r="D25" s="18"/>
      <c r="E25" s="18" t="s">
        <v>21</v>
      </c>
      <c r="F25" s="18"/>
      <c r="G25" s="18"/>
      <c r="H25" s="18"/>
      <c r="I25" s="24">
        <v>-4603.6472228110397</v>
      </c>
      <c r="J25" s="18"/>
      <c r="K25" s="18"/>
      <c r="L25" s="18"/>
      <c r="M25" s="24">
        <v>0</v>
      </c>
      <c r="N25" s="18"/>
      <c r="O25" s="18"/>
      <c r="P25" s="18"/>
      <c r="Q25" s="24">
        <f>I25+M25</f>
        <v>-4603.6472228110397</v>
      </c>
      <c r="R25" s="18"/>
      <c r="S25" s="18"/>
      <c r="T25" s="18"/>
      <c r="U25" s="24">
        <v>0</v>
      </c>
      <c r="V25" s="18"/>
      <c r="W25" s="17"/>
    </row>
    <row r="26" spans="2:23" x14ac:dyDescent="0.25">
      <c r="B26" s="15"/>
      <c r="C26" s="23">
        <f>MAX($C$12:C25)+1</f>
        <v>7</v>
      </c>
      <c r="D26" s="18"/>
      <c r="E26" s="18" t="s">
        <v>88</v>
      </c>
      <c r="F26" s="18"/>
      <c r="G26" s="18"/>
      <c r="H26" s="18"/>
      <c r="I26" s="145">
        <v>0</v>
      </c>
      <c r="J26" s="145"/>
      <c r="K26" s="145"/>
      <c r="L26" s="145"/>
      <c r="M26" s="145">
        <f>'Exhbit JAL-6'!$N$24/1000</f>
        <v>-3328.6954318510166</v>
      </c>
      <c r="N26" s="145"/>
      <c r="O26" s="145"/>
      <c r="P26" s="145"/>
      <c r="Q26" s="145">
        <f t="shared" ref="Q26:Q27" si="0">I26+M26</f>
        <v>-3328.6954318510166</v>
      </c>
      <c r="R26" s="145"/>
      <c r="S26" s="145"/>
      <c r="T26" s="145"/>
      <c r="U26" s="145">
        <f>'Exhbit JAL-6'!$N$43/1000</f>
        <v>2846.2738656741699</v>
      </c>
      <c r="V26" s="18"/>
      <c r="W26" s="17"/>
    </row>
    <row r="27" spans="2:23" ht="17.25" x14ac:dyDescent="0.4">
      <c r="B27" s="15"/>
      <c r="C27" s="23">
        <f>MAX($C$12:C26)+1</f>
        <v>8</v>
      </c>
      <c r="D27" s="18"/>
      <c r="E27" s="18" t="s">
        <v>89</v>
      </c>
      <c r="F27" s="18"/>
      <c r="G27" s="18"/>
      <c r="H27" s="18"/>
      <c r="I27" s="27">
        <v>0</v>
      </c>
      <c r="J27" s="27"/>
      <c r="K27" s="27"/>
      <c r="L27" s="27"/>
      <c r="M27" s="27">
        <v>-229.70400000000001</v>
      </c>
      <c r="N27" s="27"/>
      <c r="O27" s="27"/>
      <c r="P27" s="27"/>
      <c r="Q27" s="27">
        <f t="shared" si="0"/>
        <v>-229.70400000000001</v>
      </c>
      <c r="R27" s="27"/>
      <c r="S27" s="27"/>
      <c r="T27" s="27"/>
      <c r="U27" s="27">
        <v>-233.19800000000001</v>
      </c>
      <c r="V27" s="18"/>
      <c r="W27" s="17"/>
    </row>
    <row r="28" spans="2:23" ht="5.0999999999999996" customHeight="1" x14ac:dyDescent="0.25">
      <c r="B28" s="15"/>
      <c r="C28" s="23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7"/>
    </row>
    <row r="29" spans="2:23" x14ac:dyDescent="0.25">
      <c r="B29" s="15"/>
      <c r="C29" s="23">
        <f>MAX($C$12:C28)+1</f>
        <v>9</v>
      </c>
      <c r="D29" s="18"/>
      <c r="E29" s="18" t="s">
        <v>22</v>
      </c>
      <c r="F29" s="18"/>
      <c r="G29" s="18"/>
      <c r="H29" s="18"/>
      <c r="I29" s="28">
        <f>I23+SUM(I25:I27)</f>
        <v>-10907.66659953178</v>
      </c>
      <c r="J29" s="18"/>
      <c r="K29" s="18"/>
      <c r="L29" s="18"/>
      <c r="M29" s="28">
        <f>M23+SUM(M25:M27)</f>
        <v>-4621.678203796333</v>
      </c>
      <c r="N29" s="18"/>
      <c r="O29" s="18"/>
      <c r="P29" s="18"/>
      <c r="Q29" s="28">
        <f>Q23+SUM(Q25:Q27)</f>
        <v>-15529.344803328113</v>
      </c>
      <c r="R29" s="18"/>
      <c r="S29" s="18"/>
      <c r="T29" s="18"/>
      <c r="U29" s="28">
        <f>U23+SUM(U25:U27)</f>
        <v>1926.094318065077</v>
      </c>
      <c r="V29" s="18"/>
      <c r="W29" s="17"/>
    </row>
    <row r="30" spans="2:23" x14ac:dyDescent="0.25">
      <c r="B30" s="15"/>
      <c r="C30" s="23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7"/>
    </row>
    <row r="31" spans="2:23" x14ac:dyDescent="0.25">
      <c r="B31" s="15"/>
      <c r="C31" s="23">
        <f>MAX($C$12:C30)+1</f>
        <v>10</v>
      </c>
      <c r="D31" s="18"/>
      <c r="E31" s="18" t="s">
        <v>25</v>
      </c>
      <c r="F31" s="18"/>
      <c r="G31" s="18"/>
      <c r="H31" s="18"/>
      <c r="I31" s="28">
        <f>I15+I29</f>
        <v>19550.683400468217</v>
      </c>
      <c r="J31" s="18"/>
      <c r="K31" s="18"/>
      <c r="L31" s="18"/>
      <c r="M31" s="28">
        <f>M15+M29</f>
        <v>8749.6447962036673</v>
      </c>
      <c r="N31" s="18"/>
      <c r="O31" s="18"/>
      <c r="P31" s="18"/>
      <c r="Q31" s="28">
        <f>Q15+Q29</f>
        <v>28300.328196671882</v>
      </c>
      <c r="R31" s="18"/>
      <c r="S31" s="18"/>
      <c r="T31" s="18"/>
      <c r="U31" s="28">
        <f>U15+U29</f>
        <v>13595.336318065078</v>
      </c>
      <c r="V31" s="18"/>
      <c r="W31" s="17"/>
    </row>
    <row r="32" spans="2:23" x14ac:dyDescent="0.25">
      <c r="B32" s="15"/>
      <c r="C32" s="23">
        <f>MAX($C$12:C31)+1</f>
        <v>11</v>
      </c>
      <c r="D32" s="18"/>
      <c r="E32" s="18" t="s">
        <v>16</v>
      </c>
      <c r="F32" s="18"/>
      <c r="G32" s="18"/>
      <c r="H32" s="18"/>
      <c r="I32" s="25">
        <f>I31/I16</f>
        <v>5.1893871675940166E-2</v>
      </c>
      <c r="J32" s="18"/>
      <c r="K32" s="18"/>
      <c r="L32" s="18"/>
      <c r="M32" s="25">
        <f>M31/M16</f>
        <v>2.312793121160106E-2</v>
      </c>
      <c r="N32" s="18"/>
      <c r="O32" s="18"/>
      <c r="P32" s="18"/>
      <c r="Q32" s="25">
        <f>Q31/Q16</f>
        <v>7.480624174393348E-2</v>
      </c>
      <c r="R32" s="18"/>
      <c r="S32" s="18"/>
      <c r="T32" s="18"/>
      <c r="U32" s="25">
        <f>U31/U16</f>
        <v>3.2049973179787E-2</v>
      </c>
      <c r="V32" s="18"/>
      <c r="W32" s="17"/>
    </row>
    <row r="33" spans="2:23" x14ac:dyDescent="0.25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1"/>
    </row>
  </sheetData>
  <mergeCells count="13">
    <mergeCell ref="C5:V5"/>
    <mergeCell ref="C7:V7"/>
    <mergeCell ref="C8:V8"/>
    <mergeCell ref="A1:X1"/>
    <mergeCell ref="E12:F12"/>
    <mergeCell ref="H12:J12"/>
    <mergeCell ref="P10:R10"/>
    <mergeCell ref="P11:R11"/>
    <mergeCell ref="P12:R12"/>
    <mergeCell ref="T10:V10"/>
    <mergeCell ref="T11:V11"/>
    <mergeCell ref="T12:V12"/>
    <mergeCell ref="L12:N12"/>
  </mergeCells>
  <printOptions horizontalCentered="1"/>
  <pageMargins left="0.7" right="0.7" top="1.25" bottom="0.75" header="0.5" footer="0.3"/>
  <pageSetup scale="73" orientation="portrait" verticalDpi="0" r:id="rId1"/>
  <ignoredErrors>
    <ignoredError sqref="C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F24"/>
  <sheetViews>
    <sheetView zoomScaleNormal="100" workbookViewId="0">
      <selection activeCell="A2" sqref="A2"/>
    </sheetView>
  </sheetViews>
  <sheetFormatPr defaultColWidth="8.625" defaultRowHeight="15" x14ac:dyDescent="0.25"/>
  <cols>
    <col min="1" max="1" width="8.625" style="32"/>
    <col min="2" max="2" width="1.875" style="32" customWidth="1"/>
    <col min="3" max="3" width="5.625" style="32" customWidth="1"/>
    <col min="4" max="4" width="1.875" style="32" customWidth="1"/>
    <col min="5" max="5" width="9.875" style="32" customWidth="1"/>
    <col min="6" max="7" width="1.875" style="32" customWidth="1"/>
    <col min="8" max="8" width="5.875" style="32" customWidth="1"/>
    <col min="9" max="11" width="1.875" style="32" customWidth="1"/>
    <col min="12" max="12" width="5.875" style="32" customWidth="1"/>
    <col min="13" max="15" width="1.875" style="32" customWidth="1"/>
    <col min="16" max="16" width="5.875" style="32" customWidth="1"/>
    <col min="17" max="19" width="1.875" style="32" customWidth="1"/>
    <col min="20" max="20" width="5.875" style="32" customWidth="1"/>
    <col min="21" max="23" width="1.875" style="32" customWidth="1"/>
    <col min="24" max="24" width="5.875" style="32" customWidth="1"/>
    <col min="25" max="27" width="1.875" style="32" customWidth="1"/>
    <col min="28" max="28" width="5.875" style="32" customWidth="1"/>
    <col min="29" max="30" width="1.875" style="32" customWidth="1"/>
    <col min="31" max="31" width="7.5" style="32" customWidth="1"/>
    <col min="32" max="32" width="2.625" style="32" customWidth="1"/>
    <col min="33" max="16384" width="8.625" style="32"/>
  </cols>
  <sheetData>
    <row r="1" spans="1:32" ht="18.75" x14ac:dyDescent="0.3">
      <c r="A1" s="267" t="s">
        <v>32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52"/>
    </row>
    <row r="4" spans="1:32" x14ac:dyDescent="0.2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4"/>
    </row>
    <row r="5" spans="1:32" x14ac:dyDescent="0.25">
      <c r="B5" s="15"/>
      <c r="C5" s="268" t="s">
        <v>84</v>
      </c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51"/>
      <c r="AE5" s="50"/>
      <c r="AF5" s="50"/>
    </row>
    <row r="6" spans="1:32" x14ac:dyDescent="0.25">
      <c r="B6" s="15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7"/>
    </row>
    <row r="7" spans="1:32" x14ac:dyDescent="0.25">
      <c r="B7" s="15"/>
      <c r="C7" s="270" t="s">
        <v>41</v>
      </c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49"/>
      <c r="AE7" s="48"/>
      <c r="AF7" s="48"/>
    </row>
    <row r="8" spans="1:32" x14ac:dyDescent="0.25">
      <c r="B8" s="15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7"/>
    </row>
    <row r="9" spans="1:32" x14ac:dyDescent="0.25">
      <c r="B9" s="15"/>
      <c r="C9" s="21" t="s">
        <v>6</v>
      </c>
      <c r="D9" s="18"/>
      <c r="E9" s="21" t="s">
        <v>40</v>
      </c>
      <c r="F9" s="16"/>
      <c r="G9" s="269">
        <v>2020</v>
      </c>
      <c r="H9" s="269"/>
      <c r="I9" s="269"/>
      <c r="J9" s="16"/>
      <c r="K9" s="269">
        <v>2021</v>
      </c>
      <c r="L9" s="269"/>
      <c r="M9" s="269"/>
      <c r="N9" s="16"/>
      <c r="O9" s="269">
        <v>2022</v>
      </c>
      <c r="P9" s="269"/>
      <c r="Q9" s="269"/>
      <c r="R9" s="16"/>
      <c r="S9" s="269">
        <v>2023</v>
      </c>
      <c r="T9" s="269"/>
      <c r="U9" s="269"/>
      <c r="V9" s="47"/>
      <c r="W9" s="269">
        <v>2024</v>
      </c>
      <c r="X9" s="269"/>
      <c r="Y9" s="269"/>
      <c r="Z9" s="47"/>
      <c r="AA9" s="269">
        <v>2025</v>
      </c>
      <c r="AB9" s="269"/>
      <c r="AC9" s="269"/>
      <c r="AD9" s="46"/>
      <c r="AE9" s="45"/>
      <c r="AF9" s="45"/>
    </row>
    <row r="10" spans="1:32" x14ac:dyDescent="0.25">
      <c r="B10" s="15"/>
      <c r="C10" s="18"/>
      <c r="D10" s="18"/>
      <c r="E10" s="18"/>
      <c r="F10" s="18"/>
      <c r="G10" s="18"/>
      <c r="H10" s="22">
        <v>-1</v>
      </c>
      <c r="I10" s="22"/>
      <c r="J10" s="22"/>
      <c r="K10" s="22"/>
      <c r="L10" s="22">
        <v>-2</v>
      </c>
      <c r="M10" s="22"/>
      <c r="N10" s="22"/>
      <c r="O10" s="22"/>
      <c r="P10" s="22">
        <v>-3</v>
      </c>
      <c r="Q10" s="22"/>
      <c r="R10" s="22"/>
      <c r="S10" s="22"/>
      <c r="T10" s="22">
        <v>-4</v>
      </c>
      <c r="U10" s="22"/>
      <c r="V10" s="22"/>
      <c r="W10" s="22"/>
      <c r="X10" s="22">
        <v>-5</v>
      </c>
      <c r="Y10" s="22"/>
      <c r="Z10" s="22"/>
      <c r="AA10" s="22"/>
      <c r="AB10" s="22">
        <v>-6</v>
      </c>
      <c r="AC10" s="18"/>
      <c r="AD10" s="17"/>
    </row>
    <row r="11" spans="1:32" x14ac:dyDescent="0.25">
      <c r="B11" s="15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7"/>
    </row>
    <row r="12" spans="1:32" x14ac:dyDescent="0.25">
      <c r="B12" s="15"/>
      <c r="C12" s="23">
        <v>1</v>
      </c>
      <c r="D12" s="18"/>
      <c r="E12" s="18" t="s">
        <v>39</v>
      </c>
      <c r="F12" s="18"/>
      <c r="G12" s="18"/>
      <c r="H12" s="41">
        <v>0.01</v>
      </c>
      <c r="I12" s="41"/>
      <c r="J12" s="41"/>
      <c r="K12" s="18"/>
      <c r="L12" s="41">
        <v>4.1000000000000002E-2</v>
      </c>
      <c r="M12" s="41"/>
      <c r="N12" s="41"/>
      <c r="O12" s="18"/>
      <c r="P12" s="41">
        <v>9.1999999999999998E-2</v>
      </c>
      <c r="Q12" s="41"/>
      <c r="R12" s="41"/>
      <c r="S12" s="18"/>
      <c r="T12" s="41">
        <v>3.7999999999999999E-2</v>
      </c>
      <c r="U12" s="41"/>
      <c r="V12" s="41"/>
      <c r="W12" s="18"/>
      <c r="X12" s="41">
        <v>3.7999999999999999E-2</v>
      </c>
      <c r="Y12" s="41"/>
      <c r="Z12" s="41"/>
      <c r="AA12" s="18"/>
      <c r="AB12" s="41">
        <v>2.4E-2</v>
      </c>
      <c r="AC12" s="41"/>
      <c r="AD12" s="40"/>
      <c r="AE12" s="39"/>
      <c r="AF12" s="39"/>
    </row>
    <row r="13" spans="1:32" x14ac:dyDescent="0.25">
      <c r="B13" s="15"/>
      <c r="C13" s="23">
        <v>2</v>
      </c>
      <c r="D13" s="18"/>
      <c r="E13" s="18" t="s">
        <v>38</v>
      </c>
      <c r="F13" s="18"/>
      <c r="G13" s="18"/>
      <c r="H13" s="41">
        <v>-3.1E-2</v>
      </c>
      <c r="I13" s="41"/>
      <c r="J13" s="41"/>
      <c r="K13" s="18"/>
      <c r="L13" s="41">
        <v>8.2000000000000003E-2</v>
      </c>
      <c r="M13" s="41"/>
      <c r="N13" s="41"/>
      <c r="O13" s="18"/>
      <c r="P13" s="41">
        <v>0.1</v>
      </c>
      <c r="Q13" s="41"/>
      <c r="R13" s="41"/>
      <c r="S13" s="18"/>
      <c r="T13" s="41">
        <v>0.03</v>
      </c>
      <c r="U13" s="41"/>
      <c r="V13" s="41"/>
      <c r="W13" s="18"/>
      <c r="X13" s="41">
        <v>2.8000000000000001E-2</v>
      </c>
      <c r="Y13" s="41"/>
      <c r="Z13" s="41"/>
      <c r="AA13" s="18"/>
      <c r="AB13" s="41">
        <v>2.3E-2</v>
      </c>
      <c r="AC13" s="41"/>
      <c r="AD13" s="40"/>
      <c r="AE13" s="39"/>
      <c r="AF13" s="39"/>
    </row>
    <row r="14" spans="1:32" x14ac:dyDescent="0.25">
      <c r="B14" s="15"/>
      <c r="C14" s="23">
        <v>3</v>
      </c>
      <c r="D14" s="18"/>
      <c r="E14" s="18" t="s">
        <v>37</v>
      </c>
      <c r="F14" s="18"/>
      <c r="G14" s="18"/>
      <c r="H14" s="41">
        <v>4.8000000000000001E-2</v>
      </c>
      <c r="I14" s="41"/>
      <c r="J14" s="41"/>
      <c r="K14" s="18"/>
      <c r="L14" s="41">
        <v>6.6000000000000003E-2</v>
      </c>
      <c r="M14" s="41"/>
      <c r="N14" s="41"/>
      <c r="O14" s="18"/>
      <c r="P14" s="41">
        <v>5.2999999999999999E-2</v>
      </c>
      <c r="Q14" s="41"/>
      <c r="R14" s="41"/>
      <c r="S14" s="18"/>
      <c r="T14" s="41">
        <v>3.4000000000000002E-2</v>
      </c>
      <c r="U14" s="41"/>
      <c r="V14" s="41"/>
      <c r="W14" s="18"/>
      <c r="X14" s="41">
        <v>2.3E-2</v>
      </c>
      <c r="Y14" s="41"/>
      <c r="Z14" s="41"/>
      <c r="AA14" s="18"/>
      <c r="AB14" s="41">
        <v>2.3E-2</v>
      </c>
      <c r="AC14" s="41"/>
      <c r="AD14" s="40"/>
      <c r="AE14" s="39"/>
      <c r="AF14" s="39"/>
    </row>
    <row r="15" spans="1:32" x14ac:dyDescent="0.25">
      <c r="B15" s="15"/>
      <c r="C15" s="23">
        <v>4</v>
      </c>
      <c r="D15" s="18"/>
      <c r="E15" s="18" t="s">
        <v>36</v>
      </c>
      <c r="F15" s="18"/>
      <c r="G15" s="18"/>
      <c r="H15" s="44">
        <v>2.1999999999999999E-2</v>
      </c>
      <c r="I15" s="41"/>
      <c r="J15" s="41"/>
      <c r="K15" s="18"/>
      <c r="L15" s="44">
        <v>8.7999999999999995E-2</v>
      </c>
      <c r="M15" s="41"/>
      <c r="N15" s="41"/>
      <c r="O15" s="18"/>
      <c r="P15" s="44">
        <v>0.04</v>
      </c>
      <c r="Q15" s="41"/>
      <c r="R15" s="41"/>
      <c r="S15" s="18"/>
      <c r="T15" s="44">
        <v>2.7E-2</v>
      </c>
      <c r="U15" s="41"/>
      <c r="V15" s="41"/>
      <c r="W15" s="18"/>
      <c r="X15" s="44">
        <v>2.5000000000000001E-2</v>
      </c>
      <c r="Y15" s="41"/>
      <c r="Z15" s="41"/>
      <c r="AA15" s="18"/>
      <c r="AB15" s="44">
        <v>2.3E-2</v>
      </c>
      <c r="AC15" s="41"/>
      <c r="AD15" s="40"/>
      <c r="AE15" s="39"/>
      <c r="AF15" s="39"/>
    </row>
    <row r="16" spans="1:32" x14ac:dyDescent="0.25">
      <c r="B16" s="15"/>
      <c r="C16" s="23">
        <v>5</v>
      </c>
      <c r="D16" s="18"/>
      <c r="E16" s="18" t="s">
        <v>35</v>
      </c>
      <c r="F16" s="18"/>
      <c r="G16" s="18"/>
      <c r="H16" s="43">
        <f>AVERAGE(H12:H15)</f>
        <v>1.225E-2</v>
      </c>
      <c r="I16" s="41"/>
      <c r="J16" s="41"/>
      <c r="K16" s="18"/>
      <c r="L16" s="43">
        <f>AVERAGE(L12:L15)</f>
        <v>6.9250000000000006E-2</v>
      </c>
      <c r="M16" s="41"/>
      <c r="N16" s="41"/>
      <c r="O16" s="18"/>
      <c r="P16" s="43">
        <f>AVERAGE(P12:P15)</f>
        <v>7.1249999999999994E-2</v>
      </c>
      <c r="Q16" s="41"/>
      <c r="R16" s="41"/>
      <c r="S16" s="18"/>
      <c r="T16" s="43">
        <f>AVERAGE(T12:T15)</f>
        <v>3.2250000000000001E-2</v>
      </c>
      <c r="U16" s="41"/>
      <c r="V16" s="41"/>
      <c r="W16" s="18"/>
      <c r="X16" s="43">
        <f>AVERAGE(X12:X15)</f>
        <v>2.8499999999999998E-2</v>
      </c>
      <c r="Y16" s="41"/>
      <c r="Z16" s="41"/>
      <c r="AA16" s="18"/>
      <c r="AB16" s="43">
        <f>AVERAGE(AB12:AB15)</f>
        <v>2.325E-2</v>
      </c>
      <c r="AC16" s="41"/>
      <c r="AD16" s="40"/>
      <c r="AE16" s="39"/>
      <c r="AF16" s="39"/>
    </row>
    <row r="17" spans="2:32" x14ac:dyDescent="0.25">
      <c r="B17" s="15"/>
      <c r="C17" s="18"/>
      <c r="D17" s="18"/>
      <c r="E17" s="30"/>
      <c r="F17" s="18"/>
      <c r="G17" s="18"/>
      <c r="H17" s="18"/>
      <c r="I17" s="41"/>
      <c r="J17" s="41"/>
      <c r="K17" s="18"/>
      <c r="L17" s="18"/>
      <c r="M17" s="41"/>
      <c r="N17" s="41"/>
      <c r="O17" s="18"/>
      <c r="P17" s="18"/>
      <c r="Q17" s="41"/>
      <c r="R17" s="41"/>
      <c r="S17" s="18"/>
      <c r="T17" s="18"/>
      <c r="U17" s="41"/>
      <c r="V17" s="41"/>
      <c r="W17" s="18"/>
      <c r="X17" s="18"/>
      <c r="Y17" s="41"/>
      <c r="Z17" s="41"/>
      <c r="AA17" s="18"/>
      <c r="AB17" s="18"/>
      <c r="AC17" s="41"/>
      <c r="AD17" s="40"/>
      <c r="AE17" s="39"/>
      <c r="AF17" s="39"/>
    </row>
    <row r="18" spans="2:32" x14ac:dyDescent="0.25">
      <c r="B18" s="15"/>
      <c r="C18" s="18"/>
      <c r="D18" s="18"/>
      <c r="E18" s="42" t="s">
        <v>34</v>
      </c>
      <c r="F18" s="18"/>
      <c r="G18" s="18"/>
      <c r="H18" s="41"/>
      <c r="I18" s="41"/>
      <c r="J18" s="41"/>
      <c r="K18" s="18"/>
      <c r="L18" s="41"/>
      <c r="M18" s="41"/>
      <c r="N18" s="41"/>
      <c r="O18" s="18"/>
      <c r="P18" s="41"/>
      <c r="Q18" s="41"/>
      <c r="R18" s="41"/>
      <c r="S18" s="18"/>
      <c r="T18" s="41"/>
      <c r="U18" s="41"/>
      <c r="V18" s="41"/>
      <c r="W18" s="18"/>
      <c r="X18" s="41"/>
      <c r="Y18" s="41"/>
      <c r="Z18" s="41"/>
      <c r="AA18" s="18"/>
      <c r="AB18" s="41"/>
      <c r="AC18" s="41"/>
      <c r="AD18" s="40"/>
      <c r="AE18" s="39"/>
      <c r="AF18" s="39"/>
    </row>
    <row r="19" spans="2:32" ht="14.1" customHeight="1" x14ac:dyDescent="0.25">
      <c r="B19" s="15"/>
      <c r="C19" s="18"/>
      <c r="D19" s="18"/>
      <c r="E19" s="272" t="s">
        <v>33</v>
      </c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38"/>
      <c r="AD19" s="37"/>
      <c r="AE19" s="33"/>
      <c r="AF19" s="33"/>
    </row>
    <row r="20" spans="2:32" ht="6.6" customHeight="1" x14ac:dyDescent="0.25">
      <c r="B20" s="29"/>
      <c r="C20" s="30"/>
      <c r="D20" s="30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  <c r="AA20" s="273"/>
      <c r="AB20" s="273"/>
      <c r="AC20" s="36"/>
      <c r="AD20" s="35"/>
      <c r="AE20" s="33"/>
      <c r="AF20" s="33"/>
    </row>
    <row r="21" spans="2:32" x14ac:dyDescent="0.25">
      <c r="E21" s="33"/>
      <c r="F21" s="33"/>
      <c r="G21" s="33"/>
      <c r="H21" s="33"/>
      <c r="I21" s="33"/>
      <c r="J21" s="34"/>
      <c r="K21" s="33"/>
      <c r="L21" s="33"/>
      <c r="M21" s="33"/>
      <c r="N21" s="34"/>
      <c r="O21" s="33"/>
      <c r="P21" s="33"/>
      <c r="Q21" s="33"/>
      <c r="R21" s="34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</row>
    <row r="22" spans="2:32" ht="4.5" customHeight="1" x14ac:dyDescent="0.25"/>
    <row r="24" spans="2:32" x14ac:dyDescent="0.25">
      <c r="E24" s="32" t="s">
        <v>868</v>
      </c>
    </row>
  </sheetData>
  <mergeCells count="10">
    <mergeCell ref="C5:AC5"/>
    <mergeCell ref="C7:AC7"/>
    <mergeCell ref="A1:AE1"/>
    <mergeCell ref="E19:AB20"/>
    <mergeCell ref="G9:I9"/>
    <mergeCell ref="K9:M9"/>
    <mergeCell ref="O9:Q9"/>
    <mergeCell ref="S9:U9"/>
    <mergeCell ref="W9:Y9"/>
    <mergeCell ref="AA9:AC9"/>
  </mergeCells>
  <printOptions horizontalCentered="1"/>
  <pageMargins left="0.7" right="0.7" top="1.25" bottom="0.75" header="0.5" footer="0.3"/>
  <pageSetup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27"/>
  <sheetViews>
    <sheetView workbookViewId="0">
      <selection activeCell="A2" sqref="A2"/>
    </sheetView>
  </sheetViews>
  <sheetFormatPr defaultColWidth="8.625" defaultRowHeight="15" x14ac:dyDescent="0.25"/>
  <cols>
    <col min="1" max="1" width="8.625" style="115"/>
    <col min="2" max="2" width="1.75" style="115" customWidth="1"/>
    <col min="3" max="3" width="4.5" style="115" customWidth="1"/>
    <col min="4" max="4" width="1.625" style="115" customWidth="1"/>
    <col min="5" max="5" width="5.875" style="115" customWidth="1"/>
    <col min="6" max="6" width="2.875" style="115" customWidth="1"/>
    <col min="7" max="7" width="1.625" style="115" customWidth="1"/>
    <col min="8" max="8" width="8.875" style="115" customWidth="1"/>
    <col min="9" max="9" width="1.625" style="115" customWidth="1"/>
    <col min="10" max="10" width="10.5" style="115" customWidth="1"/>
    <col min="11" max="11" width="1.625" style="115" customWidth="1"/>
    <col min="12" max="12" width="9.75" style="115" customWidth="1"/>
    <col min="13" max="13" width="1.625" style="115" customWidth="1"/>
    <col min="14" max="14" width="10.875" style="115" customWidth="1"/>
    <col min="15" max="15" width="1.625" style="115" customWidth="1"/>
    <col min="16" max="16" width="9.75" style="115" customWidth="1"/>
    <col min="17" max="17" width="1.75" style="115" customWidth="1"/>
    <col min="18" max="16384" width="8.625" style="115"/>
  </cols>
  <sheetData>
    <row r="1" spans="1:18" ht="18.75" x14ac:dyDescent="0.3">
      <c r="A1" s="267" t="s">
        <v>32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4" spans="1:18" x14ac:dyDescent="0.25">
      <c r="B4" s="141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39"/>
    </row>
    <row r="5" spans="1:18" x14ac:dyDescent="0.25">
      <c r="B5" s="122"/>
      <c r="C5" s="275" t="s">
        <v>85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119"/>
    </row>
    <row r="6" spans="1:18" x14ac:dyDescent="0.25">
      <c r="B6" s="122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19"/>
    </row>
    <row r="7" spans="1:18" x14ac:dyDescent="0.25">
      <c r="B7" s="122"/>
      <c r="C7" s="277" t="s">
        <v>83</v>
      </c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119"/>
    </row>
    <row r="8" spans="1:18" x14ac:dyDescent="0.25">
      <c r="B8" s="122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19"/>
    </row>
    <row r="9" spans="1:18" x14ac:dyDescent="0.25">
      <c r="B9" s="122"/>
      <c r="C9" s="138"/>
      <c r="D9" s="138"/>
      <c r="E9" s="138"/>
      <c r="F9" s="138"/>
      <c r="G9" s="138"/>
      <c r="H9" s="138"/>
      <c r="I9" s="138"/>
      <c r="J9" s="276" t="s">
        <v>47</v>
      </c>
      <c r="K9" s="276"/>
      <c r="L9" s="276"/>
      <c r="M9" s="276"/>
      <c r="N9" s="276"/>
      <c r="O9" s="276"/>
      <c r="P9" s="276"/>
      <c r="Q9" s="119"/>
    </row>
    <row r="10" spans="1:18" x14ac:dyDescent="0.25">
      <c r="B10" s="122"/>
      <c r="C10" s="138"/>
      <c r="D10" s="138"/>
      <c r="E10" s="138"/>
      <c r="F10" s="138"/>
      <c r="G10" s="138"/>
      <c r="H10" s="138" t="s">
        <v>82</v>
      </c>
      <c r="I10" s="138"/>
      <c r="J10" s="275" t="s">
        <v>81</v>
      </c>
      <c r="K10" s="275"/>
      <c r="L10" s="275"/>
      <c r="M10" s="138"/>
      <c r="N10" s="275" t="s">
        <v>80</v>
      </c>
      <c r="O10" s="275"/>
      <c r="P10" s="275"/>
      <c r="Q10" s="119"/>
    </row>
    <row r="11" spans="1:18" x14ac:dyDescent="0.25">
      <c r="B11" s="122"/>
      <c r="C11" s="137" t="s">
        <v>6</v>
      </c>
      <c r="D11" s="138"/>
      <c r="E11" s="274" t="s">
        <v>50</v>
      </c>
      <c r="F11" s="274"/>
      <c r="G11" s="138"/>
      <c r="H11" s="137" t="s">
        <v>79</v>
      </c>
      <c r="I11" s="138"/>
      <c r="J11" s="137" t="s">
        <v>78</v>
      </c>
      <c r="K11" s="138"/>
      <c r="L11" s="137" t="s">
        <v>76</v>
      </c>
      <c r="M11" s="138"/>
      <c r="N11" s="137" t="s">
        <v>77</v>
      </c>
      <c r="O11" s="138"/>
      <c r="P11" s="137" t="s">
        <v>76</v>
      </c>
      <c r="Q11" s="119"/>
    </row>
    <row r="12" spans="1:18" x14ac:dyDescent="0.25">
      <c r="B12" s="122"/>
      <c r="C12" s="120"/>
      <c r="D12" s="120"/>
      <c r="E12" s="120"/>
      <c r="F12" s="120"/>
      <c r="G12" s="120"/>
      <c r="H12" s="136">
        <v>-1</v>
      </c>
      <c r="I12" s="136"/>
      <c r="J12" s="136">
        <v>-2</v>
      </c>
      <c r="K12" s="136"/>
      <c r="L12" s="136">
        <v>-3</v>
      </c>
      <c r="M12" s="136"/>
      <c r="N12" s="136">
        <v>-4</v>
      </c>
      <c r="O12" s="136"/>
      <c r="P12" s="136">
        <v>-5</v>
      </c>
      <c r="Q12" s="119"/>
    </row>
    <row r="13" spans="1:18" x14ac:dyDescent="0.25">
      <c r="B13" s="122"/>
      <c r="C13" s="135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19"/>
    </row>
    <row r="14" spans="1:18" x14ac:dyDescent="0.25">
      <c r="B14" s="122"/>
      <c r="C14" s="126">
        <v>1</v>
      </c>
      <c r="D14" s="123"/>
      <c r="E14" s="133">
        <v>503</v>
      </c>
      <c r="F14" s="123"/>
      <c r="G14" s="123"/>
      <c r="H14" s="128">
        <v>0.838644458553651</v>
      </c>
      <c r="I14" s="123"/>
      <c r="J14" s="127">
        <f t="shared" ref="J14:J19" si="0">H14*$J$21</f>
        <v>3495111.3092132052</v>
      </c>
      <c r="K14" s="123"/>
      <c r="L14" s="134">
        <f>ROUND(J14/'Copy of Exh. ZLH-2'!$C$31,5)</f>
        <v>2.6440000000000002E-2</v>
      </c>
      <c r="M14" s="123"/>
      <c r="N14" s="127">
        <f t="shared" ref="N14:N19" si="1">H14*$N$21</f>
        <v>1747555.6546066026</v>
      </c>
      <c r="O14" s="123"/>
      <c r="P14" s="134">
        <f>ROUND(N14/'Copy of Exh. ZLH-2'!$C$31,5)</f>
        <v>1.3220000000000001E-2</v>
      </c>
      <c r="Q14" s="119"/>
    </row>
    <row r="15" spans="1:18" x14ac:dyDescent="0.25">
      <c r="B15" s="122"/>
      <c r="C15" s="126">
        <v>2</v>
      </c>
      <c r="D15" s="123"/>
      <c r="E15" s="133">
        <v>504</v>
      </c>
      <c r="F15" s="123"/>
      <c r="G15" s="123"/>
      <c r="H15" s="128">
        <v>0.1370087305481609</v>
      </c>
      <c r="I15" s="123"/>
      <c r="J15" s="129">
        <f t="shared" si="0"/>
        <v>570993.77300564072</v>
      </c>
      <c r="K15" s="123"/>
      <c r="L15" s="130">
        <f>ROUND(J15/'Copy of Exh. ZLH-2'!$C$33,5)</f>
        <v>6.11E-3</v>
      </c>
      <c r="M15" s="123"/>
      <c r="N15" s="129">
        <f t="shared" si="1"/>
        <v>285496.88650282036</v>
      </c>
      <c r="O15" s="123"/>
      <c r="P15" s="130">
        <f>ROUND(N15/'Copy of Exh. ZLH-2'!$C$33,5)</f>
        <v>3.0599999999999998E-3</v>
      </c>
      <c r="Q15" s="119"/>
    </row>
    <row r="16" spans="1:18" x14ac:dyDescent="0.25">
      <c r="B16" s="122"/>
      <c r="C16" s="126">
        <v>3</v>
      </c>
      <c r="D16" s="123"/>
      <c r="E16" s="133">
        <v>505</v>
      </c>
      <c r="F16" s="123"/>
      <c r="G16" s="123"/>
      <c r="H16" s="128">
        <v>1.7763673718470565E-2</v>
      </c>
      <c r="I16" s="123"/>
      <c r="J16" s="129">
        <f t="shared" si="0"/>
        <v>74031.392294268648</v>
      </c>
      <c r="K16" s="123"/>
      <c r="L16" s="130">
        <f>ROUND(J16/'Copy of Exh. ZLH-2'!$C$37,5)</f>
        <v>4.4400000000000004E-3</v>
      </c>
      <c r="M16" s="123"/>
      <c r="N16" s="129">
        <f t="shared" si="1"/>
        <v>37015.696147134324</v>
      </c>
      <c r="O16" s="123"/>
      <c r="P16" s="130">
        <f>ROUND(N16/'Copy of Exh. ZLH-2'!$C$37,5)</f>
        <v>2.2200000000000002E-3</v>
      </c>
      <c r="Q16" s="119"/>
    </row>
    <row r="17" spans="2:17" x14ac:dyDescent="0.25">
      <c r="B17" s="122"/>
      <c r="C17" s="126">
        <v>4</v>
      </c>
      <c r="D17" s="123"/>
      <c r="E17" s="133">
        <v>511</v>
      </c>
      <c r="F17" s="123"/>
      <c r="G17" s="123"/>
      <c r="H17" s="128">
        <v>2.1792195123483352E-3</v>
      </c>
      <c r="I17" s="123"/>
      <c r="J17" s="129">
        <f t="shared" si="0"/>
        <v>9082.0546003518266</v>
      </c>
      <c r="K17" s="123"/>
      <c r="L17" s="130">
        <f>ROUND(J17/'Copy of Exh. ZLH-2'!$C$37,5)</f>
        <v>5.4000000000000001E-4</v>
      </c>
      <c r="M17" s="123"/>
      <c r="N17" s="129">
        <f t="shared" si="1"/>
        <v>4541.0273001759133</v>
      </c>
      <c r="O17" s="123"/>
      <c r="P17" s="130">
        <f>ROUND(N17/'Copy of Exh. ZLH-2'!$C$37,5)</f>
        <v>2.7E-4</v>
      </c>
      <c r="Q17" s="119"/>
    </row>
    <row r="18" spans="2:17" x14ac:dyDescent="0.25">
      <c r="B18" s="122"/>
      <c r="C18" s="126">
        <v>5</v>
      </c>
      <c r="D18" s="123"/>
      <c r="E18" s="133">
        <v>663</v>
      </c>
      <c r="F18" s="123"/>
      <c r="G18" s="123"/>
      <c r="H18" s="128">
        <v>4.2502788257031904E-3</v>
      </c>
      <c r="I18" s="123"/>
      <c r="J18" s="129">
        <f t="shared" si="0"/>
        <v>17713.34376506144</v>
      </c>
      <c r="K18" s="123"/>
      <c r="L18" s="130">
        <f>ROUND(J18/'Copy of Exh. ZLH-2'!$C$39,5)</f>
        <v>2.0000000000000002E-5</v>
      </c>
      <c r="M18" s="123"/>
      <c r="N18" s="129">
        <f t="shared" si="1"/>
        <v>8856.6718825307198</v>
      </c>
      <c r="O18" s="123"/>
      <c r="P18" s="130">
        <f>ROUND(N18/'Copy of Exh. ZLH-2'!$C$39,5)</f>
        <v>1.0000000000000001E-5</v>
      </c>
      <c r="Q18" s="119"/>
    </row>
    <row r="19" spans="2:17" ht="17.25" x14ac:dyDescent="0.25">
      <c r="B19" s="122"/>
      <c r="C19" s="126">
        <v>6</v>
      </c>
      <c r="D19" s="123"/>
      <c r="E19" s="133">
        <v>570</v>
      </c>
      <c r="F19" s="123"/>
      <c r="G19" s="123"/>
      <c r="H19" s="132">
        <v>1.5363884166601514E-4</v>
      </c>
      <c r="I19" s="123"/>
      <c r="J19" s="131">
        <f t="shared" si="0"/>
        <v>640.30096134827522</v>
      </c>
      <c r="K19" s="123"/>
      <c r="L19" s="130">
        <f>ROUND(J19/'Copy of Exh. ZLH-2'!$C$41,5)</f>
        <v>3.1E-4</v>
      </c>
      <c r="M19" s="123"/>
      <c r="N19" s="131">
        <f t="shared" si="1"/>
        <v>320.15048067413761</v>
      </c>
      <c r="O19" s="123"/>
      <c r="P19" s="130">
        <f>ROUND(N19/'Copy of Exh. ZLH-2'!$C$41,5)</f>
        <v>1.4999999999999999E-4</v>
      </c>
      <c r="Q19" s="119"/>
    </row>
    <row r="20" spans="2:17" x14ac:dyDescent="0.25">
      <c r="B20" s="122"/>
      <c r="C20" s="126"/>
      <c r="D20" s="123"/>
      <c r="E20" s="123"/>
      <c r="F20" s="123"/>
      <c r="G20" s="123"/>
      <c r="H20" s="128"/>
      <c r="I20" s="123"/>
      <c r="J20" s="129"/>
      <c r="K20" s="123"/>
      <c r="L20" s="123"/>
      <c r="M20" s="123"/>
      <c r="N20" s="129"/>
      <c r="O20" s="123"/>
      <c r="P20" s="123"/>
      <c r="Q20" s="119"/>
    </row>
    <row r="21" spans="2:17" x14ac:dyDescent="0.25">
      <c r="B21" s="122"/>
      <c r="C21" s="126">
        <v>7</v>
      </c>
      <c r="D21" s="123"/>
      <c r="E21" s="123" t="s">
        <v>10</v>
      </c>
      <c r="F21" s="123"/>
      <c r="G21" s="123"/>
      <c r="H21" s="128">
        <f>SUM(H14:H19)</f>
        <v>0.99999999999999989</v>
      </c>
      <c r="I21" s="123"/>
      <c r="J21" s="127">
        <v>4167572.173839876</v>
      </c>
      <c r="K21" s="123"/>
      <c r="L21" s="123"/>
      <c r="M21" s="123"/>
      <c r="N21" s="127">
        <v>2083786.086919938</v>
      </c>
      <c r="O21" s="123"/>
      <c r="P21" s="123"/>
      <c r="Q21" s="119"/>
    </row>
    <row r="22" spans="2:17" ht="5.0999999999999996" customHeight="1" x14ac:dyDescent="0.25">
      <c r="B22" s="122"/>
      <c r="C22" s="126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19"/>
    </row>
    <row r="23" spans="2:17" x14ac:dyDescent="0.25">
      <c r="B23" s="122"/>
      <c r="C23" s="126">
        <v>8</v>
      </c>
      <c r="D23" s="123"/>
      <c r="E23" s="125" t="s">
        <v>75</v>
      </c>
      <c r="F23" s="125"/>
      <c r="G23" s="125"/>
      <c r="H23" s="125"/>
      <c r="I23" s="125"/>
      <c r="J23" s="125"/>
      <c r="K23" s="125"/>
      <c r="L23" s="125"/>
      <c r="M23" s="125"/>
      <c r="N23" s="124">
        <f>N21-J21</f>
        <v>-2083786.086919938</v>
      </c>
      <c r="O23" s="123"/>
      <c r="P23" s="123"/>
      <c r="Q23" s="119"/>
    </row>
    <row r="24" spans="2:17" x14ac:dyDescent="0.25">
      <c r="B24" s="122"/>
      <c r="C24" s="120"/>
      <c r="D24" s="120"/>
      <c r="E24" s="117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19"/>
    </row>
    <row r="25" spans="2:17" x14ac:dyDescent="0.25">
      <c r="B25" s="122"/>
      <c r="C25" s="120"/>
      <c r="D25" s="120"/>
      <c r="E25" s="121" t="s">
        <v>74</v>
      </c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19"/>
    </row>
    <row r="26" spans="2:17" x14ac:dyDescent="0.25">
      <c r="B26" s="122"/>
      <c r="C26" s="120"/>
      <c r="D26" s="120"/>
      <c r="E26" s="121" t="s">
        <v>73</v>
      </c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19"/>
    </row>
    <row r="27" spans="2:17" ht="6" customHeight="1" x14ac:dyDescent="0.25">
      <c r="B27" s="118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6"/>
    </row>
  </sheetData>
  <mergeCells count="7">
    <mergeCell ref="A1:R1"/>
    <mergeCell ref="E11:F11"/>
    <mergeCell ref="J10:L10"/>
    <mergeCell ref="N10:P10"/>
    <mergeCell ref="J9:P9"/>
    <mergeCell ref="C7:P7"/>
    <mergeCell ref="C5:P5"/>
  </mergeCells>
  <printOptions horizontalCentered="1"/>
  <pageMargins left="0.7" right="0.7" top="1.25" bottom="0.75" header="0.5" footer="0.3"/>
  <pageSetup scale="8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27"/>
  <sheetViews>
    <sheetView workbookViewId="0">
      <selection activeCell="A2" sqref="A2"/>
    </sheetView>
  </sheetViews>
  <sheetFormatPr defaultColWidth="8.625" defaultRowHeight="15" x14ac:dyDescent="0.25"/>
  <cols>
    <col min="1" max="1" width="8.625" style="115"/>
    <col min="2" max="2" width="1.75" style="115" customWidth="1"/>
    <col min="3" max="3" width="4.5" style="115" customWidth="1"/>
    <col min="4" max="4" width="1.625" style="115" customWidth="1"/>
    <col min="5" max="5" width="5.875" style="115" customWidth="1"/>
    <col min="6" max="6" width="2.875" style="115" customWidth="1"/>
    <col min="7" max="7" width="1.625" style="115" customWidth="1"/>
    <col min="8" max="8" width="8.875" style="115" customWidth="1"/>
    <col min="9" max="9" width="1.625" style="115" customWidth="1"/>
    <col min="10" max="10" width="10.5" style="115" customWidth="1"/>
    <col min="11" max="11" width="1.625" style="115" customWidth="1"/>
    <col min="12" max="12" width="9.75" style="115" customWidth="1"/>
    <col min="13" max="13" width="1.625" style="115" customWidth="1"/>
    <col min="14" max="14" width="10.875" style="115" customWidth="1"/>
    <col min="15" max="15" width="1.625" style="115" customWidth="1"/>
    <col min="16" max="16" width="9.75" style="115" customWidth="1"/>
    <col min="17" max="17" width="1.75" style="115" customWidth="1"/>
    <col min="18" max="16384" width="8.625" style="115"/>
  </cols>
  <sheetData>
    <row r="1" spans="1:18" ht="18.75" x14ac:dyDescent="0.3">
      <c r="A1" s="267" t="s">
        <v>32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4" spans="1:18" x14ac:dyDescent="0.25">
      <c r="B4" s="141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39"/>
    </row>
    <row r="5" spans="1:18" x14ac:dyDescent="0.25">
      <c r="B5" s="122"/>
      <c r="C5" s="275" t="s">
        <v>100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119"/>
    </row>
    <row r="6" spans="1:18" x14ac:dyDescent="0.25">
      <c r="B6" s="122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19"/>
    </row>
    <row r="7" spans="1:18" x14ac:dyDescent="0.25">
      <c r="B7" s="122"/>
      <c r="C7" s="277" t="s">
        <v>86</v>
      </c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119"/>
    </row>
    <row r="8" spans="1:18" x14ac:dyDescent="0.25">
      <c r="B8" s="122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19"/>
    </row>
    <row r="9" spans="1:18" x14ac:dyDescent="0.25">
      <c r="B9" s="122"/>
      <c r="C9" s="143"/>
      <c r="D9" s="143"/>
      <c r="E9" s="143"/>
      <c r="F9" s="143"/>
      <c r="G9" s="143"/>
      <c r="H9" s="143"/>
      <c r="I9" s="143"/>
      <c r="J9" s="276" t="s">
        <v>47</v>
      </c>
      <c r="K9" s="276"/>
      <c r="L9" s="276"/>
      <c r="M9" s="276"/>
      <c r="N9" s="276"/>
      <c r="O9" s="276"/>
      <c r="P9" s="276"/>
      <c r="Q9" s="119"/>
    </row>
    <row r="10" spans="1:18" x14ac:dyDescent="0.25">
      <c r="B10" s="122"/>
      <c r="C10" s="143"/>
      <c r="D10" s="143"/>
      <c r="E10" s="143"/>
      <c r="F10" s="143"/>
      <c r="G10" s="143"/>
      <c r="H10" s="143" t="s">
        <v>82</v>
      </c>
      <c r="I10" s="143"/>
      <c r="J10" s="275" t="s">
        <v>81</v>
      </c>
      <c r="K10" s="275"/>
      <c r="L10" s="275"/>
      <c r="M10" s="143"/>
      <c r="N10" s="275" t="s">
        <v>80</v>
      </c>
      <c r="O10" s="275"/>
      <c r="P10" s="275"/>
      <c r="Q10" s="119"/>
    </row>
    <row r="11" spans="1:18" x14ac:dyDescent="0.25">
      <c r="B11" s="122"/>
      <c r="C11" s="142" t="s">
        <v>6</v>
      </c>
      <c r="D11" s="143"/>
      <c r="E11" s="274" t="s">
        <v>50</v>
      </c>
      <c r="F11" s="274"/>
      <c r="G11" s="143"/>
      <c r="H11" s="142" t="s">
        <v>79</v>
      </c>
      <c r="I11" s="143"/>
      <c r="J11" s="142" t="s">
        <v>78</v>
      </c>
      <c r="K11" s="143"/>
      <c r="L11" s="142" t="s">
        <v>76</v>
      </c>
      <c r="M11" s="143"/>
      <c r="N11" s="142" t="s">
        <v>77</v>
      </c>
      <c r="O11" s="143"/>
      <c r="P11" s="142" t="s">
        <v>76</v>
      </c>
      <c r="Q11" s="119"/>
    </row>
    <row r="12" spans="1:18" x14ac:dyDescent="0.25">
      <c r="B12" s="122"/>
      <c r="C12" s="120"/>
      <c r="D12" s="120"/>
      <c r="E12" s="120"/>
      <c r="F12" s="120"/>
      <c r="G12" s="120"/>
      <c r="H12" s="136">
        <v>-1</v>
      </c>
      <c r="I12" s="136"/>
      <c r="J12" s="136">
        <v>-2</v>
      </c>
      <c r="K12" s="136"/>
      <c r="L12" s="136">
        <v>-3</v>
      </c>
      <c r="M12" s="136"/>
      <c r="N12" s="136">
        <v>-4</v>
      </c>
      <c r="O12" s="136"/>
      <c r="P12" s="136">
        <v>-5</v>
      </c>
      <c r="Q12" s="119"/>
    </row>
    <row r="13" spans="1:18" x14ac:dyDescent="0.25">
      <c r="B13" s="122"/>
      <c r="C13" s="135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19"/>
    </row>
    <row r="14" spans="1:18" x14ac:dyDescent="0.25">
      <c r="B14" s="122"/>
      <c r="C14" s="126">
        <v>1</v>
      </c>
      <c r="D14" s="123"/>
      <c r="E14" s="133">
        <v>503</v>
      </c>
      <c r="F14" s="123"/>
      <c r="G14" s="123"/>
      <c r="H14" s="128">
        <v>0.838644458553651</v>
      </c>
      <c r="I14" s="123"/>
      <c r="J14" s="127">
        <f t="shared" ref="J14:J19" si="0">H14*$J$21</f>
        <v>3495111.3092132052</v>
      </c>
      <c r="K14" s="123"/>
      <c r="L14" s="134">
        <f>ROUND(J14/'Copy of Exh. ZLH-2'!$C$31,5)</f>
        <v>2.6440000000000002E-2</v>
      </c>
      <c r="M14" s="123"/>
      <c r="N14" s="127">
        <f>H14*$N$21</f>
        <v>449928.08582152909</v>
      </c>
      <c r="O14" s="123"/>
      <c r="P14" s="134">
        <f>ROUND(N14/'Copy of Exh. ZLH-2'!$C$31,5)</f>
        <v>3.3999999999999998E-3</v>
      </c>
      <c r="Q14" s="119"/>
    </row>
    <row r="15" spans="1:18" x14ac:dyDescent="0.25">
      <c r="B15" s="122"/>
      <c r="C15" s="126">
        <v>2</v>
      </c>
      <c r="D15" s="123"/>
      <c r="E15" s="133">
        <v>504</v>
      </c>
      <c r="F15" s="123"/>
      <c r="G15" s="123"/>
      <c r="H15" s="128">
        <v>0.1370087305481609</v>
      </c>
      <c r="I15" s="123"/>
      <c r="J15" s="129">
        <f t="shared" si="0"/>
        <v>570993.77300564072</v>
      </c>
      <c r="K15" s="123"/>
      <c r="L15" s="130">
        <f>ROUND(J15/'Copy of Exh. ZLH-2'!$C$33,5)</f>
        <v>6.11E-3</v>
      </c>
      <c r="M15" s="123"/>
      <c r="N15" s="129">
        <f t="shared" ref="N15:N19" si="1">H15*$N$21</f>
        <v>73504.421626638708</v>
      </c>
      <c r="O15" s="123"/>
      <c r="P15" s="130">
        <f>ROUND(N15/'Copy of Exh. ZLH-2'!$C$33,5)</f>
        <v>7.9000000000000001E-4</v>
      </c>
      <c r="Q15" s="119"/>
    </row>
    <row r="16" spans="1:18" x14ac:dyDescent="0.25">
      <c r="B16" s="122"/>
      <c r="C16" s="126">
        <v>3</v>
      </c>
      <c r="D16" s="123"/>
      <c r="E16" s="133">
        <v>505</v>
      </c>
      <c r="F16" s="123"/>
      <c r="G16" s="123"/>
      <c r="H16" s="128">
        <v>1.7763673718470565E-2</v>
      </c>
      <c r="I16" s="123"/>
      <c r="J16" s="129">
        <f t="shared" si="0"/>
        <v>74031.392294268648</v>
      </c>
      <c r="K16" s="123"/>
      <c r="L16" s="130">
        <f>ROUND(J16/'Copy of Exh. ZLH-2'!$C$37,5)</f>
        <v>4.4400000000000004E-3</v>
      </c>
      <c r="M16" s="123"/>
      <c r="N16" s="129">
        <f t="shared" si="1"/>
        <v>9530.1121134139885</v>
      </c>
      <c r="O16" s="123"/>
      <c r="P16" s="130">
        <f>ROUND(N16/'Copy of Exh. ZLH-2'!$C$37,5)</f>
        <v>5.6999999999999998E-4</v>
      </c>
      <c r="Q16" s="119"/>
    </row>
    <row r="17" spans="2:17" x14ac:dyDescent="0.25">
      <c r="B17" s="122"/>
      <c r="C17" s="126">
        <v>4</v>
      </c>
      <c r="D17" s="123"/>
      <c r="E17" s="133">
        <v>511</v>
      </c>
      <c r="F17" s="123"/>
      <c r="G17" s="123"/>
      <c r="H17" s="128">
        <v>2.1792195123483352E-3</v>
      </c>
      <c r="I17" s="123"/>
      <c r="J17" s="129">
        <f t="shared" si="0"/>
        <v>9082.0546003518266</v>
      </c>
      <c r="K17" s="123"/>
      <c r="L17" s="130">
        <f>ROUND(J17/'Copy of Exh. ZLH-2'!$C$37,5)</f>
        <v>5.4000000000000001E-4</v>
      </c>
      <c r="M17" s="123"/>
      <c r="N17" s="129">
        <f t="shared" si="1"/>
        <v>1169.1391432631603</v>
      </c>
      <c r="O17" s="123"/>
      <c r="P17" s="130">
        <f>ROUND(N17/'Copy of Exh. ZLH-2'!$C$37,5)</f>
        <v>6.9999999999999994E-5</v>
      </c>
      <c r="Q17" s="119"/>
    </row>
    <row r="18" spans="2:17" x14ac:dyDescent="0.25">
      <c r="B18" s="122"/>
      <c r="C18" s="126">
        <v>5</v>
      </c>
      <c r="D18" s="123"/>
      <c r="E18" s="133">
        <v>663</v>
      </c>
      <c r="F18" s="123"/>
      <c r="G18" s="123"/>
      <c r="H18" s="128">
        <v>4.2502788257031904E-3</v>
      </c>
      <c r="I18" s="123"/>
      <c r="J18" s="129">
        <f t="shared" si="0"/>
        <v>17713.34376506144</v>
      </c>
      <c r="K18" s="123"/>
      <c r="L18" s="130">
        <f>ROUND(J18/'Copy of Exh. ZLH-2'!$C$39,5)</f>
        <v>2.0000000000000002E-5</v>
      </c>
      <c r="M18" s="123"/>
      <c r="N18" s="129">
        <f t="shared" si="1"/>
        <v>2280.2509415664076</v>
      </c>
      <c r="O18" s="123"/>
      <c r="P18" s="130">
        <f>ROUND(N18/'Copy of Exh. ZLH-2'!$C$39,6)</f>
        <v>3.0000000000000001E-6</v>
      </c>
      <c r="Q18" s="119"/>
    </row>
    <row r="19" spans="2:17" ht="17.25" x14ac:dyDescent="0.25">
      <c r="B19" s="122"/>
      <c r="C19" s="126">
        <v>6</v>
      </c>
      <c r="D19" s="123"/>
      <c r="E19" s="133">
        <v>570</v>
      </c>
      <c r="F19" s="123"/>
      <c r="G19" s="123"/>
      <c r="H19" s="132">
        <v>1.5363884166601514E-4</v>
      </c>
      <c r="I19" s="123"/>
      <c r="J19" s="131">
        <f t="shared" si="0"/>
        <v>640.30096134827522</v>
      </c>
      <c r="K19" s="123"/>
      <c r="L19" s="130">
        <f>ROUND(J19/'Copy of Exh. ZLH-2'!$C$41,5)</f>
        <v>3.1E-4</v>
      </c>
      <c r="M19" s="123"/>
      <c r="N19" s="131">
        <f t="shared" si="1"/>
        <v>82.4263837119302</v>
      </c>
      <c r="O19" s="123"/>
      <c r="P19" s="130">
        <f>ROUND(N19/'Copy of Exh. ZLH-2'!$C$41,5)</f>
        <v>4.0000000000000003E-5</v>
      </c>
      <c r="Q19" s="119"/>
    </row>
    <row r="20" spans="2:17" x14ac:dyDescent="0.25">
      <c r="B20" s="122"/>
      <c r="C20" s="126"/>
      <c r="D20" s="123"/>
      <c r="E20" s="123"/>
      <c r="F20" s="123"/>
      <c r="G20" s="123"/>
      <c r="H20" s="128"/>
      <c r="I20" s="123"/>
      <c r="J20" s="129"/>
      <c r="K20" s="123"/>
      <c r="L20" s="123"/>
      <c r="M20" s="123"/>
      <c r="N20" s="129"/>
      <c r="O20" s="123"/>
      <c r="P20" s="123"/>
      <c r="Q20" s="119"/>
    </row>
    <row r="21" spans="2:17" x14ac:dyDescent="0.25">
      <c r="B21" s="122"/>
      <c r="C21" s="126">
        <v>7</v>
      </c>
      <c r="D21" s="123"/>
      <c r="E21" s="123" t="s">
        <v>10</v>
      </c>
      <c r="F21" s="123"/>
      <c r="G21" s="123"/>
      <c r="H21" s="128">
        <f>SUM(H14:H19)</f>
        <v>0.99999999999999989</v>
      </c>
      <c r="I21" s="123"/>
      <c r="J21" s="127">
        <v>4167572.173839876</v>
      </c>
      <c r="K21" s="123"/>
      <c r="L21" s="123"/>
      <c r="M21" s="123"/>
      <c r="N21" s="127">
        <f>'Exhibit JAL-7'!I32</f>
        <v>536494.43603012327</v>
      </c>
      <c r="O21" s="123"/>
      <c r="P21" s="123"/>
      <c r="Q21" s="119"/>
    </row>
    <row r="22" spans="2:17" ht="5.0999999999999996" customHeight="1" x14ac:dyDescent="0.25">
      <c r="B22" s="122"/>
      <c r="C22" s="126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19"/>
    </row>
    <row r="23" spans="2:17" x14ac:dyDescent="0.25">
      <c r="B23" s="122"/>
      <c r="C23" s="126">
        <v>8</v>
      </c>
      <c r="D23" s="123"/>
      <c r="E23" s="125" t="s">
        <v>75</v>
      </c>
      <c r="F23" s="125"/>
      <c r="G23" s="125"/>
      <c r="H23" s="125"/>
      <c r="I23" s="125"/>
      <c r="J23" s="125"/>
      <c r="K23" s="125"/>
      <c r="L23" s="125"/>
      <c r="M23" s="125"/>
      <c r="N23" s="124">
        <f>N21-J21</f>
        <v>-3631077.7378097526</v>
      </c>
      <c r="O23" s="123"/>
      <c r="P23" s="123"/>
      <c r="Q23" s="119"/>
    </row>
    <row r="24" spans="2:17" x14ac:dyDescent="0.25">
      <c r="B24" s="122"/>
      <c r="C24" s="120"/>
      <c r="D24" s="120"/>
      <c r="E24" s="117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19"/>
    </row>
    <row r="25" spans="2:17" x14ac:dyDescent="0.25">
      <c r="B25" s="122"/>
      <c r="C25" s="120"/>
      <c r="D25" s="120"/>
      <c r="E25" s="121" t="s">
        <v>74</v>
      </c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19"/>
    </row>
    <row r="26" spans="2:17" x14ac:dyDescent="0.25">
      <c r="B26" s="122"/>
      <c r="C26" s="120"/>
      <c r="D26" s="120"/>
      <c r="E26" s="121" t="s">
        <v>87</v>
      </c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19"/>
    </row>
    <row r="27" spans="2:17" ht="6" customHeight="1" x14ac:dyDescent="0.25">
      <c r="B27" s="118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6"/>
    </row>
  </sheetData>
  <mergeCells count="7">
    <mergeCell ref="E11:F11"/>
    <mergeCell ref="A1:R1"/>
    <mergeCell ref="C5:P5"/>
    <mergeCell ref="C7:P7"/>
    <mergeCell ref="J9:P9"/>
    <mergeCell ref="J10:L10"/>
    <mergeCell ref="N10:P10"/>
  </mergeCells>
  <printOptions horizontalCentered="1"/>
  <pageMargins left="0.7" right="0.7" top="1.25" bottom="0.75" header="0.5" footer="0.3"/>
  <pageSetup scale="8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O54"/>
  <sheetViews>
    <sheetView zoomScaleNormal="100" workbookViewId="0"/>
  </sheetViews>
  <sheetFormatPr defaultColWidth="8.625" defaultRowHeight="14.25" x14ac:dyDescent="0.2"/>
  <cols>
    <col min="1" max="1" width="8.625" style="166"/>
    <col min="2" max="2" width="5.625" style="166" customWidth="1"/>
    <col min="3" max="3" width="1.625" style="166" customWidth="1"/>
    <col min="4" max="4" width="18.375" style="166" customWidth="1"/>
    <col min="5" max="5" width="30.625" style="166" customWidth="1"/>
    <col min="6" max="6" width="1.625" style="166" customWidth="1"/>
    <col min="7" max="7" width="14.5" style="166" bestFit="1" customWidth="1"/>
    <col min="8" max="8" width="1.625" style="166" customWidth="1"/>
    <col min="9" max="9" width="14.125" style="166" bestFit="1" customWidth="1"/>
    <col min="10" max="10" width="1.625" style="166" customWidth="1"/>
    <col min="11" max="11" width="14.5" style="166" bestFit="1" customWidth="1"/>
    <col min="12" max="12" width="1.625" style="166" customWidth="1"/>
    <col min="13" max="13" width="8.625" style="166"/>
    <col min="14" max="14" width="13.125" style="166" bestFit="1" customWidth="1"/>
    <col min="15" max="16384" width="8.625" style="166"/>
  </cols>
  <sheetData>
    <row r="1" spans="2:14" ht="18" x14ac:dyDescent="0.25">
      <c r="B1" s="279" t="s">
        <v>32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N1" s="193">
        <v>-0.08</v>
      </c>
    </row>
    <row r="4" spans="2:14" ht="15.75" x14ac:dyDescent="0.25">
      <c r="B4" s="280" t="s">
        <v>88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</row>
    <row r="6" spans="2:14" ht="15" x14ac:dyDescent="0.25">
      <c r="G6" s="192" t="s">
        <v>107</v>
      </c>
      <c r="H6" s="192"/>
      <c r="I6" s="192"/>
      <c r="J6" s="192"/>
      <c r="K6" s="192" t="s">
        <v>129</v>
      </c>
    </row>
    <row r="7" spans="2:14" ht="15" x14ac:dyDescent="0.25">
      <c r="B7" s="191" t="s">
        <v>6</v>
      </c>
      <c r="D7" s="278" t="s">
        <v>7</v>
      </c>
      <c r="E7" s="278"/>
      <c r="G7" s="191" t="s">
        <v>108</v>
      </c>
      <c r="H7" s="192"/>
      <c r="I7" s="191" t="s">
        <v>128</v>
      </c>
      <c r="J7" s="192"/>
      <c r="K7" s="191" t="s">
        <v>127</v>
      </c>
    </row>
    <row r="8" spans="2:14" ht="15" x14ac:dyDescent="0.25">
      <c r="G8" s="190">
        <v>-1</v>
      </c>
      <c r="H8" s="190"/>
      <c r="I8" s="190">
        <v>-2</v>
      </c>
      <c r="J8" s="190"/>
      <c r="K8" s="190">
        <v>-3</v>
      </c>
    </row>
    <row r="9" spans="2:14" x14ac:dyDescent="0.2">
      <c r="C9" s="171"/>
      <c r="D9" s="171"/>
      <c r="E9" s="171"/>
      <c r="F9" s="171"/>
      <c r="G9" s="171"/>
      <c r="H9" s="171"/>
      <c r="I9" s="171"/>
      <c r="J9" s="171"/>
      <c r="K9" s="171"/>
    </row>
    <row r="10" spans="2:14" ht="15" x14ac:dyDescent="0.2">
      <c r="C10" s="171"/>
      <c r="D10" s="187" t="s">
        <v>126</v>
      </c>
      <c r="E10" s="187"/>
      <c r="F10" s="171"/>
      <c r="G10" s="171"/>
      <c r="H10" s="171"/>
      <c r="I10" s="171"/>
      <c r="J10" s="171"/>
      <c r="K10" s="171"/>
    </row>
    <row r="11" spans="2:14" x14ac:dyDescent="0.2">
      <c r="C11" s="171"/>
      <c r="D11" s="171"/>
      <c r="E11" s="171"/>
      <c r="F11" s="171"/>
      <c r="G11" s="171"/>
      <c r="H11" s="171"/>
      <c r="I11" s="171"/>
      <c r="J11" s="171"/>
      <c r="K11" s="171"/>
    </row>
    <row r="12" spans="2:14" ht="16.5" x14ac:dyDescent="0.2">
      <c r="B12" s="172">
        <f>MAX($B$7:B11)+1</f>
        <v>1</v>
      </c>
      <c r="C12" s="171"/>
      <c r="D12" s="171" t="s">
        <v>90</v>
      </c>
      <c r="E12" s="171"/>
      <c r="F12" s="171"/>
      <c r="G12" s="180">
        <v>140193437.585511</v>
      </c>
      <c r="H12" s="171"/>
      <c r="I12" s="179">
        <f>('MYRP Plant Update'!N98+'MYRP Plant Update'!N9+'MYRP Plant Update'!N246)</f>
        <v>-31837481.84</v>
      </c>
      <c r="J12" s="178" t="s">
        <v>124</v>
      </c>
      <c r="K12" s="177">
        <f>G12+I12</f>
        <v>108355955.745511</v>
      </c>
      <c r="N12" s="185">
        <f>I12-'MYRP Plant Update'!N1</f>
        <v>0</v>
      </c>
    </row>
    <row r="13" spans="2:14" ht="16.5" x14ac:dyDescent="0.2">
      <c r="B13" s="172">
        <f>MAX($B$7:B12)+1</f>
        <v>2</v>
      </c>
      <c r="C13" s="171"/>
      <c r="D13" s="171" t="s">
        <v>91</v>
      </c>
      <c r="E13" s="171"/>
      <c r="F13" s="171"/>
      <c r="G13" s="176">
        <f>ROUND(G12*-2.9%,0)</f>
        <v>-4065610</v>
      </c>
      <c r="H13" s="171"/>
      <c r="I13" s="175">
        <f>K13-G13</f>
        <v>-4602866</v>
      </c>
      <c r="J13" s="174"/>
      <c r="K13" s="173">
        <f>ROUND(K12*N1,0)</f>
        <v>-8668476</v>
      </c>
      <c r="L13" s="184" t="s">
        <v>123</v>
      </c>
    </row>
    <row r="14" spans="2:14" x14ac:dyDescent="0.2">
      <c r="B14" s="172">
        <f>MAX($B$7:B13)+1</f>
        <v>3</v>
      </c>
      <c r="C14" s="171"/>
      <c r="D14" s="171" t="s">
        <v>92</v>
      </c>
      <c r="E14" s="171"/>
      <c r="F14" s="171"/>
      <c r="G14" s="180">
        <f>SUM(G12:G13)</f>
        <v>136127827.585511</v>
      </c>
      <c r="H14" s="171"/>
      <c r="I14" s="177">
        <f>SUM(I12:I13)</f>
        <v>-36440347.840000004</v>
      </c>
      <c r="J14" s="174"/>
      <c r="K14" s="177">
        <f>SUM(K12:K13)</f>
        <v>99687479.745510995</v>
      </c>
    </row>
    <row r="15" spans="2:14" x14ac:dyDescent="0.2">
      <c r="B15" s="172"/>
      <c r="C15" s="171"/>
      <c r="D15" s="171"/>
      <c r="E15" s="171"/>
      <c r="F15" s="171"/>
      <c r="G15" s="180"/>
      <c r="H15" s="171"/>
      <c r="I15" s="179"/>
      <c r="J15" s="174"/>
      <c r="K15" s="177"/>
    </row>
    <row r="16" spans="2:14" x14ac:dyDescent="0.2">
      <c r="B16" s="172">
        <f>MAX($B$7:B15)+1</f>
        <v>4</v>
      </c>
      <c r="C16" s="171"/>
      <c r="D16" s="171" t="s">
        <v>93</v>
      </c>
      <c r="E16" s="171"/>
      <c r="F16" s="171"/>
      <c r="G16" s="180">
        <f>-((G27/2)+32285329.3)</f>
        <v>-34181120.016236387</v>
      </c>
      <c r="H16" s="171"/>
      <c r="I16" s="179">
        <f>K16-G16</f>
        <v>303328.00748499483</v>
      </c>
      <c r="J16" s="174"/>
      <c r="K16" s="177">
        <f>-((K27/2)+32285329.3)</f>
        <v>-33877792.008751392</v>
      </c>
    </row>
    <row r="17" spans="2:15" x14ac:dyDescent="0.2">
      <c r="B17" s="172">
        <f>MAX($B$7:B16)+1</f>
        <v>5</v>
      </c>
      <c r="C17" s="171"/>
      <c r="D17" s="171" t="s">
        <v>91</v>
      </c>
      <c r="E17" s="171"/>
      <c r="F17" s="171"/>
      <c r="G17" s="180">
        <f>-G13</f>
        <v>4065610</v>
      </c>
      <c r="H17" s="171"/>
      <c r="I17" s="179">
        <f>K17-G17</f>
        <v>4602866</v>
      </c>
      <c r="J17" s="174"/>
      <c r="K17" s="177">
        <f>-K13</f>
        <v>8668476</v>
      </c>
    </row>
    <row r="18" spans="2:15" ht="16.5" x14ac:dyDescent="0.2">
      <c r="B18" s="172">
        <f>MAX($B$7:B17)+1</f>
        <v>6</v>
      </c>
      <c r="C18" s="171"/>
      <c r="D18" s="171" t="s">
        <v>94</v>
      </c>
      <c r="E18" s="171"/>
      <c r="F18" s="171"/>
      <c r="G18" s="173">
        <v>-1530560.75</v>
      </c>
      <c r="H18" s="174"/>
      <c r="I18" s="175">
        <f>K18-G18</f>
        <v>0</v>
      </c>
      <c r="J18" s="178" t="s">
        <v>122</v>
      </c>
      <c r="K18" s="173">
        <f>G18</f>
        <v>-1530560.75</v>
      </c>
    </row>
    <row r="19" spans="2:15" x14ac:dyDescent="0.2">
      <c r="B19" s="172">
        <f>MAX($B$7:B18)+1</f>
        <v>7</v>
      </c>
      <c r="C19" s="171"/>
      <c r="D19" s="171" t="s">
        <v>95</v>
      </c>
      <c r="E19" s="171"/>
      <c r="F19" s="171"/>
      <c r="G19" s="180">
        <f>SUM(G16:G18)</f>
        <v>-31646070.766236387</v>
      </c>
      <c r="H19" s="171"/>
      <c r="I19" s="177">
        <f>SUM(I16:I18)</f>
        <v>4906194.0074849948</v>
      </c>
      <c r="J19" s="174"/>
      <c r="K19" s="177">
        <f>SUM(K16:K18)</f>
        <v>-26739876.758751392</v>
      </c>
    </row>
    <row r="20" spans="2:15" x14ac:dyDescent="0.2">
      <c r="B20" s="172"/>
      <c r="C20" s="171"/>
      <c r="D20" s="171"/>
      <c r="E20" s="171"/>
      <c r="F20" s="171"/>
      <c r="G20" s="180"/>
      <c r="H20" s="171"/>
      <c r="I20" s="179"/>
      <c r="J20" s="174"/>
      <c r="K20" s="177"/>
    </row>
    <row r="21" spans="2:15" x14ac:dyDescent="0.2">
      <c r="B21" s="172">
        <f>MAX($B$7:B20)+1</f>
        <v>8</v>
      </c>
      <c r="C21" s="171"/>
      <c r="D21" s="171" t="s">
        <v>96</v>
      </c>
      <c r="E21" s="171"/>
      <c r="F21" s="171"/>
      <c r="G21" s="180">
        <v>68761.5619040374</v>
      </c>
      <c r="H21" s="171"/>
      <c r="I21" s="179">
        <f>K21-G21</f>
        <v>-18406.928827471522</v>
      </c>
      <c r="J21" s="174"/>
      <c r="K21" s="177">
        <f>G21/G14*K14</f>
        <v>50354.633076565879</v>
      </c>
    </row>
    <row r="22" spans="2:15" x14ac:dyDescent="0.2">
      <c r="B22" s="172"/>
      <c r="C22" s="171"/>
      <c r="D22" s="171"/>
      <c r="E22" s="171"/>
      <c r="F22" s="171"/>
      <c r="G22" s="180"/>
      <c r="H22" s="171"/>
      <c r="I22" s="179"/>
      <c r="J22" s="174"/>
      <c r="K22" s="177"/>
      <c r="N22" s="266">
        <f>'ROR Impact WP'!H19</f>
        <v>8.6269999999999999E-2</v>
      </c>
      <c r="O22" s="166" t="s">
        <v>121</v>
      </c>
    </row>
    <row r="23" spans="2:15" ht="15" x14ac:dyDescent="0.2">
      <c r="B23" s="172">
        <f>MAX($B$7:B22)+1</f>
        <v>9</v>
      </c>
      <c r="C23" s="171"/>
      <c r="D23" s="169" t="s">
        <v>120</v>
      </c>
      <c r="E23" s="169"/>
      <c r="F23" s="169"/>
      <c r="G23" s="168">
        <f>SUM(G21,G19,G14)</f>
        <v>104550518.38117865</v>
      </c>
      <c r="H23" s="169"/>
      <c r="I23" s="182">
        <f>SUM(I21,I19,I14)</f>
        <v>-31552560.761342481</v>
      </c>
      <c r="J23" s="183"/>
      <c r="K23" s="182">
        <f>SUM(K21,K19,K14)</f>
        <v>72997957.619836167</v>
      </c>
      <c r="N23" s="181">
        <f>I23*N22</f>
        <v>-2722039.416881016</v>
      </c>
      <c r="O23" s="166" t="s">
        <v>119</v>
      </c>
    </row>
    <row r="24" spans="2:15" x14ac:dyDescent="0.2">
      <c r="B24" s="172"/>
      <c r="C24" s="171"/>
      <c r="D24" s="171"/>
      <c r="E24" s="171"/>
      <c r="F24" s="171"/>
      <c r="G24" s="180"/>
      <c r="H24" s="171"/>
      <c r="I24" s="179"/>
      <c r="J24" s="174"/>
      <c r="K24" s="177"/>
      <c r="N24" s="181">
        <f>N23+I27</f>
        <v>-3328695.4318510164</v>
      </c>
      <c r="O24" s="166" t="s">
        <v>118</v>
      </c>
    </row>
    <row r="25" spans="2:15" ht="16.5" x14ac:dyDescent="0.2">
      <c r="B25" s="172">
        <f>MAX($B$7:B24)+1</f>
        <v>10</v>
      </c>
      <c r="C25" s="171"/>
      <c r="D25" s="171" t="s">
        <v>97</v>
      </c>
      <c r="E25" s="171"/>
      <c r="F25" s="171"/>
      <c r="G25" s="180">
        <v>3915989.1024727798</v>
      </c>
      <c r="H25" s="171"/>
      <c r="I25" s="179">
        <f>(('MYRP Plant Update'!N9+'MYRP Plant Update'!N98)*1.52%)+('MYRP Plant Update'!N246*3.06%)</f>
        <v>-465808.31497000006</v>
      </c>
      <c r="J25" s="178" t="s">
        <v>117</v>
      </c>
      <c r="K25" s="177">
        <f>G25+I25</f>
        <v>3450180.7875027796</v>
      </c>
      <c r="L25" s="189"/>
    </row>
    <row r="26" spans="2:15" ht="16.5" x14ac:dyDescent="0.2">
      <c r="B26" s="172">
        <f>MAX($B$7:B25)+1</f>
        <v>11</v>
      </c>
      <c r="C26" s="171"/>
      <c r="D26" s="171" t="s">
        <v>98</v>
      </c>
      <c r="E26" s="171"/>
      <c r="F26" s="171"/>
      <c r="G26" s="176">
        <f>ROUND(G13*0.0306,2)</f>
        <v>-124407.67</v>
      </c>
      <c r="H26" s="171"/>
      <c r="I26" s="175">
        <f>K26-G26</f>
        <v>-140847.70000000001</v>
      </c>
      <c r="J26" s="174"/>
      <c r="K26" s="173">
        <f>ROUND(K13*0.0306,2)</f>
        <v>-265255.37</v>
      </c>
    </row>
    <row r="27" spans="2:15" ht="15" x14ac:dyDescent="0.2">
      <c r="B27" s="172">
        <f>MAX($B$7:B26)+1</f>
        <v>12</v>
      </c>
      <c r="C27" s="171"/>
      <c r="D27" s="169" t="s">
        <v>99</v>
      </c>
      <c r="E27" s="169"/>
      <c r="F27" s="169"/>
      <c r="G27" s="168">
        <f>SUM(G25:G26)</f>
        <v>3791581.4324727799</v>
      </c>
      <c r="H27" s="169"/>
      <c r="I27" s="188">
        <f>K27-G27</f>
        <v>-606656.01497000037</v>
      </c>
      <c r="J27" s="183"/>
      <c r="K27" s="182">
        <f>SUM(K25:K26)</f>
        <v>3184925.4175027795</v>
      </c>
    </row>
    <row r="28" spans="2:15" x14ac:dyDescent="0.2">
      <c r="B28" s="172"/>
      <c r="C28" s="171"/>
      <c r="D28" s="171"/>
      <c r="E28" s="171"/>
      <c r="F28" s="171"/>
      <c r="G28" s="186"/>
      <c r="H28" s="171"/>
      <c r="I28" s="171"/>
      <c r="J28" s="171"/>
      <c r="K28" s="186"/>
    </row>
    <row r="29" spans="2:15" ht="15" x14ac:dyDescent="0.2">
      <c r="B29" s="172"/>
      <c r="C29" s="171"/>
      <c r="D29" s="187" t="s">
        <v>125</v>
      </c>
      <c r="E29" s="187"/>
      <c r="F29" s="171"/>
      <c r="G29" s="186"/>
      <c r="H29" s="171"/>
      <c r="I29" s="171"/>
      <c r="J29" s="171"/>
      <c r="K29" s="186"/>
    </row>
    <row r="30" spans="2:15" x14ac:dyDescent="0.2">
      <c r="B30" s="172"/>
      <c r="C30" s="171"/>
      <c r="D30" s="171"/>
      <c r="E30" s="171"/>
      <c r="F30" s="171"/>
      <c r="G30" s="186"/>
      <c r="H30" s="171"/>
      <c r="I30" s="171"/>
      <c r="J30" s="171"/>
      <c r="K30" s="186"/>
    </row>
    <row r="31" spans="2:15" ht="16.5" x14ac:dyDescent="0.2">
      <c r="B31" s="172">
        <f>MAX($B$7:B30)+1</f>
        <v>13</v>
      </c>
      <c r="C31" s="171"/>
      <c r="D31" s="171" t="s">
        <v>90</v>
      </c>
      <c r="E31" s="171"/>
      <c r="F31" s="171"/>
      <c r="G31" s="180">
        <v>107258633.47050501</v>
      </c>
      <c r="H31" s="171"/>
      <c r="I31" s="179">
        <f>('MYRP Plant Update'!O9+'MYRP Plant Update'!O77+'MYRP Plant Update'!O98)</f>
        <v>30332964.270000003</v>
      </c>
      <c r="J31" s="178" t="s">
        <v>124</v>
      </c>
      <c r="K31" s="177">
        <f>G31+I31</f>
        <v>137591597.74050501</v>
      </c>
      <c r="N31" s="185">
        <f>I31-'MYRP Plant Update'!O1</f>
        <v>0</v>
      </c>
    </row>
    <row r="32" spans="2:15" ht="16.5" x14ac:dyDescent="0.2">
      <c r="B32" s="172">
        <f>MAX($B$7:B31)+1</f>
        <v>14</v>
      </c>
      <c r="C32" s="171"/>
      <c r="D32" s="171" t="s">
        <v>91</v>
      </c>
      <c r="E32" s="171"/>
      <c r="F32" s="171"/>
      <c r="G32" s="176">
        <f>ROUND(G31*-2.9%,0)</f>
        <v>-3110500</v>
      </c>
      <c r="H32" s="171"/>
      <c r="I32" s="175">
        <f>K32-G32</f>
        <v>-7896828</v>
      </c>
      <c r="J32" s="174"/>
      <c r="K32" s="173">
        <f>ROUND(K31*N1,0)</f>
        <v>-11007328</v>
      </c>
      <c r="L32" s="184" t="s">
        <v>123</v>
      </c>
    </row>
    <row r="33" spans="2:15" x14ac:dyDescent="0.2">
      <c r="B33" s="172">
        <f>MAX($B$7:B32)+1</f>
        <v>15</v>
      </c>
      <c r="C33" s="171"/>
      <c r="D33" s="171" t="s">
        <v>92</v>
      </c>
      <c r="E33" s="171"/>
      <c r="F33" s="171"/>
      <c r="G33" s="180">
        <f>SUM(G31:G32)</f>
        <v>104148133.47050501</v>
      </c>
      <c r="H33" s="171"/>
      <c r="I33" s="177">
        <f>SUM(I31:I32)</f>
        <v>22436136.270000003</v>
      </c>
      <c r="J33" s="174"/>
      <c r="K33" s="177">
        <f>SUM(K31:K32)</f>
        <v>126584269.74050501</v>
      </c>
    </row>
    <row r="34" spans="2:15" x14ac:dyDescent="0.2">
      <c r="B34" s="172"/>
      <c r="C34" s="171"/>
      <c r="D34" s="171"/>
      <c r="E34" s="171"/>
      <c r="F34" s="171"/>
      <c r="G34" s="180"/>
      <c r="H34" s="171"/>
      <c r="I34" s="179"/>
      <c r="J34" s="174"/>
      <c r="K34" s="177"/>
    </row>
    <row r="35" spans="2:15" x14ac:dyDescent="0.2">
      <c r="B35" s="172">
        <f>MAX($B$7:B34)+1</f>
        <v>16</v>
      </c>
      <c r="C35" s="171"/>
      <c r="D35" s="171" t="s">
        <v>93</v>
      </c>
      <c r="E35" s="171"/>
      <c r="F35" s="171"/>
      <c r="G35" s="180">
        <f>-((G46/2)+32285329.3+G27)</f>
        <v>-37896908.400057048</v>
      </c>
      <c r="H35" s="171"/>
      <c r="I35" s="179">
        <f>K35-G35</f>
        <v>496946.95651800931</v>
      </c>
      <c r="J35" s="174"/>
      <c r="K35" s="177">
        <f>-((K46/2)+32285329.3+K27)</f>
        <v>-37399961.443539038</v>
      </c>
    </row>
    <row r="36" spans="2:15" x14ac:dyDescent="0.2">
      <c r="B36" s="172">
        <f>MAX($B$7:B35)+1</f>
        <v>17</v>
      </c>
      <c r="C36" s="171"/>
      <c r="D36" s="171" t="s">
        <v>91</v>
      </c>
      <c r="E36" s="171"/>
      <c r="F36" s="171"/>
      <c r="G36" s="180">
        <f>-G32</f>
        <v>3110500</v>
      </c>
      <c r="H36" s="171"/>
      <c r="I36" s="179">
        <f>K36-G36</f>
        <v>7896828</v>
      </c>
      <c r="J36" s="174"/>
      <c r="K36" s="177">
        <f>-K32</f>
        <v>11007328</v>
      </c>
    </row>
    <row r="37" spans="2:15" ht="16.5" x14ac:dyDescent="0.2">
      <c r="B37" s="172">
        <f>MAX($B$7:B36)+1</f>
        <v>18</v>
      </c>
      <c r="C37" s="171"/>
      <c r="D37" s="171" t="s">
        <v>94</v>
      </c>
      <c r="E37" s="171"/>
      <c r="F37" s="171"/>
      <c r="G37" s="173">
        <v>590288.46</v>
      </c>
      <c r="H37" s="174"/>
      <c r="I37" s="175">
        <f>K37-G37</f>
        <v>0</v>
      </c>
      <c r="J37" s="178" t="s">
        <v>122</v>
      </c>
      <c r="K37" s="173">
        <f>G37</f>
        <v>590288.46</v>
      </c>
    </row>
    <row r="38" spans="2:15" x14ac:dyDescent="0.2">
      <c r="B38" s="172">
        <f>MAX($B$7:B37)+1</f>
        <v>19</v>
      </c>
      <c r="C38" s="171"/>
      <c r="D38" s="171" t="s">
        <v>95</v>
      </c>
      <c r="E38" s="171"/>
      <c r="F38" s="171"/>
      <c r="G38" s="180">
        <f>SUM(G35:G37)</f>
        <v>-34196119.940057047</v>
      </c>
      <c r="H38" s="171"/>
      <c r="I38" s="177">
        <f>SUM(I35:I37)</f>
        <v>8393774.9565180093</v>
      </c>
      <c r="J38" s="174"/>
      <c r="K38" s="177">
        <f>SUM(K35:K37)</f>
        <v>-25802344.983539037</v>
      </c>
    </row>
    <row r="39" spans="2:15" x14ac:dyDescent="0.2">
      <c r="B39" s="172"/>
      <c r="C39" s="171"/>
      <c r="D39" s="171"/>
      <c r="E39" s="171"/>
      <c r="F39" s="171"/>
      <c r="G39" s="180"/>
      <c r="H39" s="171"/>
      <c r="I39" s="179"/>
      <c r="J39" s="174"/>
      <c r="K39" s="177"/>
    </row>
    <row r="40" spans="2:15" x14ac:dyDescent="0.2">
      <c r="B40" s="172">
        <f>MAX($B$7:B39)+1</f>
        <v>20</v>
      </c>
      <c r="C40" s="171"/>
      <c r="D40" s="171" t="s">
        <v>96</v>
      </c>
      <c r="E40" s="171"/>
      <c r="F40" s="171"/>
      <c r="G40" s="180">
        <v>-1767078.86831871</v>
      </c>
      <c r="H40" s="171"/>
      <c r="I40" s="179">
        <f>K40-G40</f>
        <v>-380673.38288557949</v>
      </c>
      <c r="J40" s="174"/>
      <c r="K40" s="177">
        <f>G40/G33*K33</f>
        <v>-2147752.2512042895</v>
      </c>
    </row>
    <row r="41" spans="2:15" x14ac:dyDescent="0.2">
      <c r="B41" s="172"/>
      <c r="C41" s="171"/>
      <c r="D41" s="171"/>
      <c r="E41" s="171"/>
      <c r="F41" s="171"/>
      <c r="G41" s="180"/>
      <c r="H41" s="171"/>
      <c r="I41" s="179"/>
      <c r="J41" s="174"/>
      <c r="K41" s="177"/>
      <c r="N41" s="166">
        <f>'ROR Impact WP'!H19</f>
        <v>8.6269999999999999E-2</v>
      </c>
      <c r="O41" s="166" t="s">
        <v>121</v>
      </c>
    </row>
    <row r="42" spans="2:15" ht="15" x14ac:dyDescent="0.2">
      <c r="B42" s="172">
        <f>MAX($B$7:B41)+1</f>
        <v>21</v>
      </c>
      <c r="C42" s="171"/>
      <c r="D42" s="169" t="s">
        <v>120</v>
      </c>
      <c r="E42" s="169"/>
      <c r="F42" s="169"/>
      <c r="G42" s="168">
        <f>SUM(G40,G38,G33)</f>
        <v>68184934.662129253</v>
      </c>
      <c r="H42" s="169"/>
      <c r="I42" s="182">
        <f>SUM(I40,I38,I33)</f>
        <v>30449237.843632434</v>
      </c>
      <c r="J42" s="183"/>
      <c r="K42" s="182">
        <f>SUM(K40,K38,K33)</f>
        <v>98634172.505761683</v>
      </c>
      <c r="N42" s="181">
        <f>I42*N41</f>
        <v>2626855.7487701699</v>
      </c>
      <c r="O42" s="166" t="s">
        <v>119</v>
      </c>
    </row>
    <row r="43" spans="2:15" x14ac:dyDescent="0.2">
      <c r="B43" s="172"/>
      <c r="C43" s="171"/>
      <c r="D43" s="171"/>
      <c r="E43" s="171"/>
      <c r="F43" s="171"/>
      <c r="G43" s="180"/>
      <c r="H43" s="171"/>
      <c r="I43" s="179"/>
      <c r="J43" s="174"/>
      <c r="K43" s="177"/>
      <c r="N43" s="181">
        <f>N42+I46</f>
        <v>2846273.8656741697</v>
      </c>
      <c r="O43" s="166" t="s">
        <v>118</v>
      </c>
    </row>
    <row r="44" spans="2:15" ht="16.5" x14ac:dyDescent="0.2">
      <c r="B44" s="172">
        <f>MAX($B$7:B43)+1</f>
        <v>22</v>
      </c>
      <c r="C44" s="171"/>
      <c r="D44" s="171" t="s">
        <v>97</v>
      </c>
      <c r="E44" s="171"/>
      <c r="F44" s="171"/>
      <c r="G44" s="180">
        <v>3735176.63516853</v>
      </c>
      <c r="H44" s="171"/>
      <c r="I44" s="179">
        <f>('MYRP Plant Update'!O9+'MYRP Plant Update'!O77+'MYRP Plant Update'!O98)*1.52%</f>
        <v>461061.05690400006</v>
      </c>
      <c r="J44" s="178" t="s">
        <v>117</v>
      </c>
      <c r="K44" s="177">
        <f>G44+I44</f>
        <v>4196237.6920725303</v>
      </c>
    </row>
    <row r="45" spans="2:15" ht="16.5" x14ac:dyDescent="0.2">
      <c r="B45" s="172">
        <f>MAX($B$7:B44)+1</f>
        <v>23</v>
      </c>
      <c r="C45" s="171"/>
      <c r="D45" s="171" t="s">
        <v>98</v>
      </c>
      <c r="E45" s="171"/>
      <c r="F45" s="171"/>
      <c r="G45" s="176">
        <f>ROUND(G32*0.0306,2)</f>
        <v>-95181.3</v>
      </c>
      <c r="H45" s="171"/>
      <c r="I45" s="175">
        <f>K45-G45</f>
        <v>-241642.94</v>
      </c>
      <c r="J45" s="174"/>
      <c r="K45" s="173">
        <f>ROUND(K32*0.0306,2)</f>
        <v>-336824.24</v>
      </c>
    </row>
    <row r="46" spans="2:15" ht="15" x14ac:dyDescent="0.2">
      <c r="B46" s="172">
        <f>MAX($B$7:B45)+1</f>
        <v>24</v>
      </c>
      <c r="C46" s="171"/>
      <c r="D46" s="169" t="s">
        <v>99</v>
      </c>
      <c r="E46" s="169"/>
      <c r="F46" s="169"/>
      <c r="G46" s="168">
        <f>SUM(G44:G45)</f>
        <v>3639995.3351685302</v>
      </c>
      <c r="H46" s="169"/>
      <c r="I46" s="170">
        <f>SUM(I44:I45)</f>
        <v>219418.11690400005</v>
      </c>
      <c r="J46" s="169"/>
      <c r="K46" s="168">
        <f>SUM(K44:K45)</f>
        <v>3859413.4520725301</v>
      </c>
    </row>
    <row r="48" spans="2:15" x14ac:dyDescent="0.2">
      <c r="D48" s="167"/>
    </row>
    <row r="49" spans="4:4" x14ac:dyDescent="0.2">
      <c r="D49" s="166" t="s">
        <v>116</v>
      </c>
    </row>
    <row r="50" spans="4:4" x14ac:dyDescent="0.2">
      <c r="D50" s="166" t="s">
        <v>115</v>
      </c>
    </row>
    <row r="51" spans="4:4" ht="16.5" x14ac:dyDescent="0.2">
      <c r="D51" s="166" t="s">
        <v>114</v>
      </c>
    </row>
    <row r="52" spans="4:4" ht="16.5" x14ac:dyDescent="0.2">
      <c r="D52" s="166" t="s">
        <v>113</v>
      </c>
    </row>
    <row r="53" spans="4:4" ht="16.5" x14ac:dyDescent="0.2">
      <c r="D53" s="166" t="s">
        <v>112</v>
      </c>
    </row>
    <row r="54" spans="4:4" ht="16.5" x14ac:dyDescent="0.2">
      <c r="D54" s="166" t="s">
        <v>111</v>
      </c>
    </row>
  </sheetData>
  <mergeCells count="3">
    <mergeCell ref="D7:E7"/>
    <mergeCell ref="B1:L1"/>
    <mergeCell ref="B4:L4"/>
  </mergeCells>
  <printOptions horizontalCentered="1"/>
  <pageMargins left="0.7" right="0.7" top="1.25" bottom="0.75" header="0.5" footer="0.3"/>
  <pageSetup scale="78" orientation="portrait" verticalDpi="0" r:id="rId1"/>
  <headerFooter>
    <oddHeader>&amp;R&amp;"Arial,Bold"&amp;12Exhibit JAL-6
Page 1 of 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I38"/>
  <sheetViews>
    <sheetView zoomScaleNormal="100" workbookViewId="0"/>
  </sheetViews>
  <sheetFormatPr defaultRowHeight="14.25" x14ac:dyDescent="0.2"/>
  <cols>
    <col min="2" max="2" width="6.5" customWidth="1"/>
    <col min="3" max="3" width="1.625" customWidth="1"/>
    <col min="5" max="5" width="34.75" customWidth="1"/>
    <col min="6" max="6" width="1.625" customWidth="1"/>
    <col min="7" max="7" width="12.125" customWidth="1"/>
    <col min="8" max="8" width="1.625" customWidth="1"/>
    <col min="9" max="9" width="12.125" customWidth="1"/>
  </cols>
  <sheetData>
    <row r="1" spans="2:9" ht="18" x14ac:dyDescent="0.25">
      <c r="B1" s="281" t="s">
        <v>32</v>
      </c>
      <c r="C1" s="281"/>
      <c r="D1" s="281"/>
      <c r="E1" s="281"/>
      <c r="F1" s="281"/>
      <c r="G1" s="281"/>
      <c r="H1" s="281"/>
      <c r="I1" s="281"/>
    </row>
    <row r="4" spans="2:9" ht="15.75" x14ac:dyDescent="0.25">
      <c r="B4" s="282" t="s">
        <v>109</v>
      </c>
      <c r="C4" s="282"/>
      <c r="D4" s="282"/>
      <c r="E4" s="282"/>
      <c r="F4" s="282"/>
      <c r="G4" s="282"/>
      <c r="H4" s="282"/>
      <c r="I4" s="282"/>
    </row>
    <row r="6" spans="2:9" ht="15" x14ac:dyDescent="0.25">
      <c r="B6" s="160"/>
      <c r="C6" s="160"/>
      <c r="D6" s="160"/>
      <c r="E6" s="160"/>
      <c r="F6" s="160"/>
      <c r="G6" s="162" t="s">
        <v>107</v>
      </c>
      <c r="H6" s="160"/>
      <c r="I6" s="160"/>
    </row>
    <row r="7" spans="2:9" ht="15" x14ac:dyDescent="0.25">
      <c r="B7" s="163" t="s">
        <v>6</v>
      </c>
      <c r="C7" s="160"/>
      <c r="D7" s="283" t="s">
        <v>7</v>
      </c>
      <c r="E7" s="283"/>
      <c r="F7" s="160"/>
      <c r="G7" s="163" t="s">
        <v>108</v>
      </c>
      <c r="H7" s="160"/>
      <c r="I7" s="163" t="s">
        <v>80</v>
      </c>
    </row>
    <row r="8" spans="2:9" ht="15" x14ac:dyDescent="0.25">
      <c r="G8" s="161">
        <v>-1</v>
      </c>
      <c r="H8" s="161"/>
      <c r="I8" s="161">
        <v>-2</v>
      </c>
    </row>
    <row r="9" spans="2:9" x14ac:dyDescent="0.2">
      <c r="B9" s="152"/>
      <c r="C9" s="152"/>
      <c r="D9" s="152"/>
      <c r="E9" s="152"/>
      <c r="F9" s="152"/>
      <c r="G9" s="152"/>
      <c r="H9" s="152"/>
      <c r="I9" s="152"/>
    </row>
    <row r="10" spans="2:9" x14ac:dyDescent="0.2">
      <c r="B10" s="164">
        <f>MAX($B$7:B9)+1</f>
        <v>1</v>
      </c>
      <c r="C10" s="152"/>
      <c r="D10" s="152" t="s">
        <v>68</v>
      </c>
      <c r="E10" s="152"/>
      <c r="F10" s="152"/>
      <c r="G10" s="155">
        <f>'Copy of Exh. ZLH-2'!C6</f>
        <v>1067047.2</v>
      </c>
      <c r="H10" s="152"/>
      <c r="I10" s="155">
        <f>G10</f>
        <v>1067047.2</v>
      </c>
    </row>
    <row r="11" spans="2:9" x14ac:dyDescent="0.2">
      <c r="B11" s="164">
        <f>MAX($B$7:B10)+1</f>
        <v>2</v>
      </c>
      <c r="C11" s="152"/>
      <c r="D11" s="152" t="s">
        <v>67</v>
      </c>
      <c r="E11" s="152"/>
      <c r="F11" s="152"/>
      <c r="G11" s="153">
        <f>'Copy of Exh. ZLH-2'!C7</f>
        <v>668580.02999999991</v>
      </c>
      <c r="H11" s="152"/>
      <c r="I11" s="153">
        <f>G11</f>
        <v>668580.02999999991</v>
      </c>
    </row>
    <row r="12" spans="2:9" x14ac:dyDescent="0.2">
      <c r="B12" s="164">
        <f>MAX($B$7:B11)+1</f>
        <v>3</v>
      </c>
      <c r="C12" s="152"/>
      <c r="D12" s="152" t="s">
        <v>66</v>
      </c>
      <c r="E12" s="152"/>
      <c r="F12" s="152"/>
      <c r="G12" s="153">
        <f>'Copy of Exh. ZLH-2'!C8</f>
        <v>124102.42000000001</v>
      </c>
      <c r="H12" s="152"/>
      <c r="I12" s="153">
        <f>G12</f>
        <v>124102.42000000001</v>
      </c>
    </row>
    <row r="13" spans="2:9" ht="16.5" x14ac:dyDescent="0.2">
      <c r="B13" s="164">
        <f>MAX($B$7:B12)+1</f>
        <v>4</v>
      </c>
      <c r="C13" s="152"/>
      <c r="D13" s="152" t="s">
        <v>65</v>
      </c>
      <c r="E13" s="152"/>
      <c r="F13" s="152"/>
      <c r="G13" s="154">
        <f>'Copy of Exh. ZLH-2'!C9</f>
        <v>1109045.72</v>
      </c>
      <c r="H13" s="152"/>
      <c r="I13" s="154">
        <f>G13</f>
        <v>1109045.72</v>
      </c>
    </row>
    <row r="14" spans="2:9" x14ac:dyDescent="0.2">
      <c r="B14" s="164">
        <f>MAX($B$7:B13)+1</f>
        <v>5</v>
      </c>
      <c r="C14" s="152"/>
      <c r="D14" s="152" t="s">
        <v>64</v>
      </c>
      <c r="E14" s="152"/>
      <c r="F14" s="152"/>
      <c r="G14" s="155">
        <f>SUM(G10:G13)</f>
        <v>2968775.37</v>
      </c>
      <c r="H14" s="152"/>
      <c r="I14" s="155">
        <f>SUM(I10:I13)</f>
        <v>2968775.37</v>
      </c>
    </row>
    <row r="15" spans="2:9" x14ac:dyDescent="0.2">
      <c r="B15" s="164"/>
      <c r="C15" s="152"/>
      <c r="D15" s="152"/>
      <c r="E15" s="152"/>
      <c r="F15" s="152"/>
      <c r="G15" s="153"/>
      <c r="H15" s="152"/>
      <c r="I15" s="153"/>
    </row>
    <row r="16" spans="2:9" x14ac:dyDescent="0.2">
      <c r="B16" s="164">
        <f>MAX($B$7:B15)+1</f>
        <v>6</v>
      </c>
      <c r="C16" s="152"/>
      <c r="D16" s="152" t="s">
        <v>63</v>
      </c>
      <c r="E16" s="152"/>
      <c r="F16" s="152"/>
      <c r="G16" s="155">
        <f>'Copy of Exh. ZLH-2'!C11</f>
        <v>5884412.0400000019</v>
      </c>
      <c r="H16" s="152"/>
      <c r="I16" s="155">
        <v>0</v>
      </c>
    </row>
    <row r="17" spans="2:9" x14ac:dyDescent="0.2">
      <c r="B17" s="164">
        <f>MAX($B$7:B16)+1</f>
        <v>7</v>
      </c>
      <c r="C17" s="152"/>
      <c r="D17" s="152" t="s">
        <v>62</v>
      </c>
      <c r="E17" s="152"/>
      <c r="F17" s="152"/>
      <c r="G17" s="153">
        <f>'Copy of Exh. ZLH-2'!C12</f>
        <v>-668580.02999999991</v>
      </c>
      <c r="H17" s="152"/>
      <c r="I17" s="153">
        <f>G17</f>
        <v>-668580.02999999991</v>
      </c>
    </row>
    <row r="18" spans="2:9" ht="16.5" x14ac:dyDescent="0.2">
      <c r="B18" s="164">
        <f>MAX($B$7:B17)+1</f>
        <v>8</v>
      </c>
      <c r="C18" s="152"/>
      <c r="D18" s="152" t="s">
        <v>61</v>
      </c>
      <c r="E18" s="152"/>
      <c r="F18" s="152"/>
      <c r="G18" s="154">
        <f>'Copy of Exh. ZLH-2'!C13</f>
        <v>-1109045.72</v>
      </c>
      <c r="H18" s="152"/>
      <c r="I18" s="154">
        <f>G18</f>
        <v>-1109045.72</v>
      </c>
    </row>
    <row r="19" spans="2:9" x14ac:dyDescent="0.2">
      <c r="B19" s="164">
        <f>MAX($B$7:B18)+1</f>
        <v>9</v>
      </c>
      <c r="C19" s="152"/>
      <c r="D19" s="152" t="s">
        <v>60</v>
      </c>
      <c r="E19" s="152"/>
      <c r="F19" s="152"/>
      <c r="G19" s="155">
        <f>SUM(G16:G18)</f>
        <v>4106786.2900000019</v>
      </c>
      <c r="H19" s="152"/>
      <c r="I19" s="155">
        <f>SUM(I16:I18)</f>
        <v>-1777625.75</v>
      </c>
    </row>
    <row r="20" spans="2:9" x14ac:dyDescent="0.2">
      <c r="B20" s="164"/>
      <c r="C20" s="152"/>
      <c r="D20" s="152"/>
      <c r="E20" s="152"/>
      <c r="F20" s="152"/>
      <c r="G20" s="153"/>
      <c r="H20" s="152"/>
      <c r="I20" s="153"/>
    </row>
    <row r="21" spans="2:9" x14ac:dyDescent="0.2">
      <c r="B21" s="164">
        <f>MAX($B$7:B20)+1</f>
        <v>10</v>
      </c>
      <c r="C21" s="152"/>
      <c r="D21" s="152" t="s">
        <v>59</v>
      </c>
      <c r="E21" s="152"/>
      <c r="F21" s="152"/>
      <c r="G21" s="155">
        <f>'Copy of Exh. ZLH-2'!C16</f>
        <v>-1055334.4400000002</v>
      </c>
      <c r="H21" s="152"/>
      <c r="I21" s="155">
        <f>G21</f>
        <v>-1055334.4400000002</v>
      </c>
    </row>
    <row r="22" spans="2:9" ht="16.5" x14ac:dyDescent="0.2">
      <c r="B22" s="164">
        <f>MAX($B$7:B21)+1</f>
        <v>11</v>
      </c>
      <c r="C22" s="152"/>
      <c r="D22" s="152" t="s">
        <v>58</v>
      </c>
      <c r="E22" s="152"/>
      <c r="F22" s="152"/>
      <c r="G22" s="154">
        <f>'Copy of Exh. ZLH-2'!C17</f>
        <v>-158487.77000000002</v>
      </c>
      <c r="H22" s="152"/>
      <c r="I22" s="154">
        <f>G22</f>
        <v>-158487.77000000002</v>
      </c>
    </row>
    <row r="23" spans="2:9" x14ac:dyDescent="0.2">
      <c r="B23" s="164">
        <f>MAX($B$7:B22)+1</f>
        <v>12</v>
      </c>
      <c r="C23" s="152"/>
      <c r="D23" s="152" t="s">
        <v>57</v>
      </c>
      <c r="E23" s="152"/>
      <c r="F23" s="152"/>
      <c r="G23" s="155">
        <f>SUM(G21:G22)</f>
        <v>-1213822.2100000002</v>
      </c>
      <c r="H23" s="152"/>
      <c r="I23" s="155">
        <f>SUM(I21:I22)</f>
        <v>-1213822.2100000002</v>
      </c>
    </row>
    <row r="24" spans="2:9" x14ac:dyDescent="0.2">
      <c r="B24" s="164"/>
      <c r="C24" s="152"/>
      <c r="D24" s="152"/>
      <c r="E24" s="152"/>
      <c r="F24" s="152"/>
      <c r="G24" s="153"/>
      <c r="H24" s="152"/>
      <c r="I24" s="153"/>
    </row>
    <row r="25" spans="2:9" x14ac:dyDescent="0.2">
      <c r="B25" s="164">
        <f>MAX($B$7:B24)+1</f>
        <v>13</v>
      </c>
      <c r="C25" s="152"/>
      <c r="D25" s="152" t="s">
        <v>103</v>
      </c>
      <c r="E25" s="152"/>
      <c r="F25" s="152"/>
      <c r="G25" s="155">
        <f>G23+G19+G14</f>
        <v>5861739.450000002</v>
      </c>
      <c r="H25" s="152"/>
      <c r="I25" s="155">
        <f>I23+I19+I14</f>
        <v>-22672.589999999851</v>
      </c>
    </row>
    <row r="26" spans="2:9" ht="16.5" x14ac:dyDescent="0.2">
      <c r="B26" s="164">
        <f>MAX($B$7:B25)+1</f>
        <v>14</v>
      </c>
      <c r="C26" s="152"/>
      <c r="D26" s="152" t="s">
        <v>55</v>
      </c>
      <c r="E26" s="152"/>
      <c r="F26" s="152"/>
      <c r="G26" s="154">
        <f>'Copy of Exh. ZLH-2'!C22</f>
        <v>2062982.39</v>
      </c>
      <c r="H26" s="152"/>
      <c r="I26" s="154">
        <f>G26</f>
        <v>2062982.39</v>
      </c>
    </row>
    <row r="27" spans="2:9" x14ac:dyDescent="0.2">
      <c r="B27" s="164">
        <f>MAX($B$7:B26)+1</f>
        <v>15</v>
      </c>
      <c r="C27" s="152"/>
      <c r="D27" s="152" t="s">
        <v>54</v>
      </c>
      <c r="E27" s="152"/>
      <c r="F27" s="152"/>
      <c r="G27" s="155">
        <f>SUM(G25:G26)</f>
        <v>7924721.8400000017</v>
      </c>
      <c r="H27" s="152"/>
      <c r="I27" s="155">
        <f>SUM(I25:I26)</f>
        <v>2040309.8</v>
      </c>
    </row>
    <row r="28" spans="2:9" x14ac:dyDescent="0.2">
      <c r="B28" s="164"/>
      <c r="C28" s="152"/>
      <c r="D28" s="152"/>
      <c r="E28" s="152"/>
      <c r="F28" s="152"/>
      <c r="G28" s="153"/>
      <c r="H28" s="152"/>
      <c r="I28" s="153"/>
    </row>
    <row r="29" spans="2:9" x14ac:dyDescent="0.2">
      <c r="B29" s="164">
        <f>MAX($B$7:B28)+1</f>
        <v>16</v>
      </c>
      <c r="C29" s="152"/>
      <c r="D29" s="152" t="s">
        <v>104</v>
      </c>
      <c r="E29" s="152"/>
      <c r="F29" s="152"/>
      <c r="G29" s="153">
        <v>2</v>
      </c>
      <c r="H29" s="152"/>
      <c r="I29" s="153">
        <v>4</v>
      </c>
    </row>
    <row r="30" spans="2:9" x14ac:dyDescent="0.2">
      <c r="B30" s="164"/>
      <c r="C30" s="152"/>
      <c r="D30" s="152"/>
      <c r="E30" s="152"/>
      <c r="F30" s="152"/>
      <c r="G30" s="153"/>
      <c r="H30" s="152"/>
      <c r="I30" s="153"/>
    </row>
    <row r="31" spans="2:9" x14ac:dyDescent="0.2">
      <c r="B31" s="164">
        <f>MAX($B$7:B30)+1</f>
        <v>17</v>
      </c>
      <c r="C31" s="152"/>
      <c r="D31" s="152" t="s">
        <v>105</v>
      </c>
      <c r="E31" s="152"/>
      <c r="F31" s="152"/>
      <c r="G31" s="155">
        <f>G27/G29</f>
        <v>3962360.9200000009</v>
      </c>
      <c r="H31" s="152"/>
      <c r="I31" s="155">
        <f>I27/I29</f>
        <v>510077.45</v>
      </c>
    </row>
    <row r="32" spans="2:9" ht="15" x14ac:dyDescent="0.2">
      <c r="B32" s="164">
        <f>MAX($B$7:B31)+1</f>
        <v>18</v>
      </c>
      <c r="C32" s="152"/>
      <c r="D32" s="156" t="s">
        <v>106</v>
      </c>
      <c r="E32" s="156"/>
      <c r="F32" s="156"/>
      <c r="G32" s="157">
        <f>+G31/(1-0.04924)</f>
        <v>4167572.173839876</v>
      </c>
      <c r="H32" s="156"/>
      <c r="I32" s="157">
        <f>+I31/(1-0.04924)</f>
        <v>536494.43603012327</v>
      </c>
    </row>
    <row r="33" spans="2:9" x14ac:dyDescent="0.2">
      <c r="B33" s="164"/>
    </row>
    <row r="34" spans="2:9" ht="15" x14ac:dyDescent="0.25">
      <c r="B34" s="164">
        <f>MAX($B$7:B33)+1</f>
        <v>19</v>
      </c>
      <c r="D34" s="156" t="s">
        <v>75</v>
      </c>
      <c r="I34" s="159">
        <f>I32-G32</f>
        <v>-3631077.7378097526</v>
      </c>
    </row>
    <row r="35" spans="2:9" x14ac:dyDescent="0.2">
      <c r="I35" s="158"/>
    </row>
    <row r="36" spans="2:9" x14ac:dyDescent="0.2">
      <c r="D36" s="165"/>
      <c r="I36" s="158"/>
    </row>
    <row r="37" spans="2:9" x14ac:dyDescent="0.2">
      <c r="D37" t="s">
        <v>74</v>
      </c>
    </row>
    <row r="38" spans="2:9" x14ac:dyDescent="0.2">
      <c r="D38" t="s">
        <v>110</v>
      </c>
    </row>
  </sheetData>
  <mergeCells count="3">
    <mergeCell ref="B1:I1"/>
    <mergeCell ref="B4:I4"/>
    <mergeCell ref="D7:E7"/>
  </mergeCells>
  <printOptions horizontalCentered="1"/>
  <pageMargins left="0.7" right="0.7" top="1.25" bottom="0.75" header="0.5" footer="0.3"/>
  <pageSetup orientation="portrait" verticalDpi="0" r:id="rId1"/>
  <headerFooter>
    <oddHeader>&amp;R&amp;"Arial,Bold"Exhibit JAL-7
Page 1 of 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20"/>
  <sheetViews>
    <sheetView workbookViewId="0"/>
  </sheetViews>
  <sheetFormatPr defaultColWidth="8.625" defaultRowHeight="15" x14ac:dyDescent="0.25"/>
  <cols>
    <col min="1" max="2" width="8.625" style="7"/>
    <col min="3" max="3" width="16.125" style="7" customWidth="1"/>
    <col min="4" max="9" width="8.625" style="7"/>
    <col min="10" max="10" width="1.75" style="7" customWidth="1"/>
    <col min="11" max="12" width="11.375" style="7" bestFit="1" customWidth="1"/>
    <col min="13" max="13" width="1.75" style="7" customWidth="1"/>
    <col min="14" max="14" width="13.375" style="7" bestFit="1" customWidth="1"/>
    <col min="15" max="16" width="9.25" style="7" bestFit="1" customWidth="1"/>
    <col min="17" max="17" width="12.375" style="7" bestFit="1" customWidth="1"/>
    <col min="18" max="16384" width="8.625" style="7"/>
  </cols>
  <sheetData>
    <row r="3" spans="2:17" x14ac:dyDescent="0.25">
      <c r="B3" s="1">
        <f>MAX($B$2:B2)+1</f>
        <v>1</v>
      </c>
      <c r="C3" s="2" t="s">
        <v>0</v>
      </c>
      <c r="D3" s="3">
        <v>0.44213999999999998</v>
      </c>
      <c r="E3" s="3">
        <v>4.9155999999999998E-2</v>
      </c>
      <c r="F3" s="3">
        <f>ROUND(+D3*E3,5)</f>
        <v>2.1729999999999999E-2</v>
      </c>
      <c r="H3" s="3">
        <f>F3</f>
        <v>2.1729999999999999E-2</v>
      </c>
    </row>
    <row r="4" spans="2:17" x14ac:dyDescent="0.25">
      <c r="B4" s="1">
        <f>MAX($B$2:B3)+1</f>
        <v>2</v>
      </c>
      <c r="C4" s="2" t="s">
        <v>1</v>
      </c>
      <c r="D4" s="3">
        <v>5.5010000000000003E-2</v>
      </c>
      <c r="E4" s="3">
        <v>8.0140000000000003E-2</v>
      </c>
      <c r="F4" s="3">
        <f>ROUND(+D4*E4,5)</f>
        <v>4.4099999999999999E-3</v>
      </c>
      <c r="H4" s="3">
        <f>F4</f>
        <v>4.4099999999999999E-3</v>
      </c>
    </row>
    <row r="5" spans="2:17" x14ac:dyDescent="0.25">
      <c r="B5" s="1">
        <f>MAX($B$2:B4)+1</f>
        <v>3</v>
      </c>
      <c r="C5" s="2" t="s">
        <v>2</v>
      </c>
      <c r="D5" s="3">
        <v>0</v>
      </c>
      <c r="E5" s="3">
        <v>0</v>
      </c>
      <c r="F5" s="3">
        <f>ROUND(+D5*E5,5)</f>
        <v>0</v>
      </c>
      <c r="H5" s="3">
        <f>F5</f>
        <v>0</v>
      </c>
    </row>
    <row r="6" spans="2:17" x14ac:dyDescent="0.25">
      <c r="B6" s="1">
        <f>MAX($B$2:B5)+1</f>
        <v>4</v>
      </c>
      <c r="C6" s="2" t="s">
        <v>3</v>
      </c>
      <c r="D6" s="3">
        <v>0.50285000000000002</v>
      </c>
      <c r="E6" s="3">
        <v>0.105</v>
      </c>
      <c r="F6" s="3">
        <f>ROUND(+D6*E6,5)</f>
        <v>5.28E-2</v>
      </c>
      <c r="G6" s="7">
        <v>1.33137833224769</v>
      </c>
      <c r="H6" s="3">
        <f>ROUND(+F6*G6,5)</f>
        <v>7.0300000000000001E-2</v>
      </c>
    </row>
    <row r="7" spans="2:17" ht="15.75" thickBot="1" x14ac:dyDescent="0.3">
      <c r="B7" s="1">
        <f>MAX($B$2:B6)+1</f>
        <v>5</v>
      </c>
      <c r="C7" s="4" t="s">
        <v>4</v>
      </c>
      <c r="D7" s="5">
        <f>SUM(D3:D6)</f>
        <v>1</v>
      </c>
      <c r="E7" s="3"/>
      <c r="F7" s="6">
        <f>SUM(F3:F6)</f>
        <v>7.8939999999999996E-2</v>
      </c>
      <c r="H7" s="6">
        <f>SUM(H3:H6)</f>
        <v>9.6439999999999998E-2</v>
      </c>
    </row>
    <row r="8" spans="2:17" ht="15.75" thickTop="1" x14ac:dyDescent="0.25">
      <c r="B8" s="1"/>
    </row>
    <row r="9" spans="2:17" x14ac:dyDescent="0.25">
      <c r="B9" s="1">
        <f>MAX($B$2:B8)+1</f>
        <v>6</v>
      </c>
      <c r="C9" s="2" t="s">
        <v>0</v>
      </c>
      <c r="D9" s="9">
        <f>1-D12-D11-D10</f>
        <v>0.47499000000000002</v>
      </c>
      <c r="E9" s="3">
        <f>E3</f>
        <v>4.9155999999999998E-2</v>
      </c>
      <c r="F9" s="3">
        <f>ROUND(+D9*E9,5)</f>
        <v>2.3349999999999999E-2</v>
      </c>
      <c r="H9" s="3">
        <f>F9</f>
        <v>2.3349999999999999E-2</v>
      </c>
    </row>
    <row r="10" spans="2:17" x14ac:dyDescent="0.25">
      <c r="B10" s="1">
        <f>MAX($B$2:B9)+1</f>
        <v>7</v>
      </c>
      <c r="C10" s="2" t="s">
        <v>1</v>
      </c>
      <c r="D10" s="3">
        <f>D4</f>
        <v>5.5010000000000003E-2</v>
      </c>
      <c r="E10" s="3">
        <f>E4</f>
        <v>8.0140000000000003E-2</v>
      </c>
      <c r="F10" s="3">
        <f>ROUND(+D10*E10,5)</f>
        <v>4.4099999999999999E-3</v>
      </c>
      <c r="H10" s="3">
        <f>F10</f>
        <v>4.4099999999999999E-3</v>
      </c>
    </row>
    <row r="11" spans="2:17" x14ac:dyDescent="0.25">
      <c r="B11" s="1">
        <f>MAX($B$2:B10)+1</f>
        <v>8</v>
      </c>
      <c r="C11" s="2" t="s">
        <v>2</v>
      </c>
      <c r="D11" s="3">
        <f>D5</f>
        <v>0</v>
      </c>
      <c r="E11" s="3">
        <f>E5</f>
        <v>0</v>
      </c>
      <c r="F11" s="3">
        <f>ROUND(+D11*E11,5)</f>
        <v>0</v>
      </c>
      <c r="H11" s="3">
        <f>F11</f>
        <v>0</v>
      </c>
    </row>
    <row r="12" spans="2:17" x14ac:dyDescent="0.25">
      <c r="B12" s="1">
        <f>MAX($B$2:B11)+1</f>
        <v>9</v>
      </c>
      <c r="C12" s="2" t="s">
        <v>3</v>
      </c>
      <c r="D12" s="9">
        <v>0.47</v>
      </c>
      <c r="E12" s="3">
        <f>E6</f>
        <v>0.105</v>
      </c>
      <c r="F12" s="3">
        <f>ROUND(+D12*E12,5)</f>
        <v>4.9349999999999998E-2</v>
      </c>
      <c r="G12" s="7">
        <f>G6</f>
        <v>1.33137833224769</v>
      </c>
      <c r="H12" s="3">
        <f>ROUND(+F12*G12,5)</f>
        <v>6.5699999999999995E-2</v>
      </c>
      <c r="K12" s="284" t="s">
        <v>866</v>
      </c>
      <c r="L12" s="284"/>
      <c r="N12" s="284" t="s">
        <v>867</v>
      </c>
      <c r="O12" s="284"/>
    </row>
    <row r="13" spans="2:17" ht="15.75" thickBot="1" x14ac:dyDescent="0.3">
      <c r="B13" s="1">
        <f>MAX($B$2:B12)+1</f>
        <v>10</v>
      </c>
      <c r="C13" s="4" t="s">
        <v>4</v>
      </c>
      <c r="D13" s="5">
        <f>SUM(D9:D12)</f>
        <v>1</v>
      </c>
      <c r="E13" s="3"/>
      <c r="F13" s="6">
        <f>SUM(F9:F12)</f>
        <v>7.7109999999999998E-2</v>
      </c>
      <c r="H13" s="6">
        <f>SUM(H9:H12)</f>
        <v>9.3459999999999988E-2</v>
      </c>
      <c r="I13" s="8">
        <f>H13-H7</f>
        <v>-2.9800000000000104E-3</v>
      </c>
      <c r="J13" s="8"/>
      <c r="M13" s="8"/>
    </row>
    <row r="14" spans="2:17" ht="15.75" thickTop="1" x14ac:dyDescent="0.25">
      <c r="B14" s="1"/>
      <c r="K14" s="265">
        <v>619864.24549859797</v>
      </c>
      <c r="L14" s="265"/>
      <c r="N14" s="265">
        <f>K14*I13</f>
        <v>-1847.1954515858283</v>
      </c>
      <c r="O14" s="265"/>
    </row>
    <row r="15" spans="2:17" x14ac:dyDescent="0.25">
      <c r="B15" s="1">
        <f>MAX($B$2:B14)+1</f>
        <v>11</v>
      </c>
      <c r="C15" s="2" t="s">
        <v>0</v>
      </c>
      <c r="D15" s="9">
        <f t="shared" ref="D15:E17" si="0">D9</f>
        <v>0.47499000000000002</v>
      </c>
      <c r="E15" s="3">
        <f t="shared" si="0"/>
        <v>4.9155999999999998E-2</v>
      </c>
      <c r="F15" s="3">
        <f>ROUND(+D15*E15,5)</f>
        <v>2.3349999999999999E-2</v>
      </c>
      <c r="H15" s="3">
        <f>F15</f>
        <v>2.3349999999999999E-2</v>
      </c>
      <c r="K15" s="265">
        <v>724414.76388063503</v>
      </c>
      <c r="L15" s="265">
        <f>K15-K14</f>
        <v>104550.51838203706</v>
      </c>
      <c r="N15" s="265">
        <f>L15*I13</f>
        <v>-311.56054477847152</v>
      </c>
      <c r="O15" s="265">
        <f>SUM(N14:N15)</f>
        <v>-2158.7559963642998</v>
      </c>
      <c r="Q15" s="10"/>
    </row>
    <row r="16" spans="2:17" x14ac:dyDescent="0.25">
      <c r="B16" s="1">
        <f>MAX($B$2:B15)+1</f>
        <v>12</v>
      </c>
      <c r="C16" s="2" t="s">
        <v>1</v>
      </c>
      <c r="D16" s="3">
        <f t="shared" si="0"/>
        <v>5.5010000000000003E-2</v>
      </c>
      <c r="E16" s="9">
        <v>7.46E-2</v>
      </c>
      <c r="F16" s="3">
        <f>ROUND(+D16*E16,5)</f>
        <v>4.1000000000000003E-3</v>
      </c>
      <c r="H16" s="3">
        <f>F16</f>
        <v>4.1000000000000003E-3</v>
      </c>
      <c r="K16" s="265">
        <v>791964.57190512796</v>
      </c>
      <c r="L16" s="265">
        <f>K16-K15</f>
        <v>67549.80802449293</v>
      </c>
      <c r="N16" s="265">
        <f>L16*I13</f>
        <v>-201.29842791298964</v>
      </c>
      <c r="O16" s="265"/>
      <c r="Q16" s="10"/>
    </row>
    <row r="17" spans="2:17" x14ac:dyDescent="0.25">
      <c r="B17" s="1">
        <f>MAX($B$2:B16)+1</f>
        <v>13</v>
      </c>
      <c r="C17" s="2" t="s">
        <v>2</v>
      </c>
      <c r="D17" s="3">
        <f t="shared" si="0"/>
        <v>0</v>
      </c>
      <c r="E17" s="3">
        <f t="shared" si="0"/>
        <v>0</v>
      </c>
      <c r="F17" s="3">
        <f>ROUND(+D17*E17,5)</f>
        <v>0</v>
      </c>
      <c r="H17" s="3">
        <f>F17</f>
        <v>0</v>
      </c>
      <c r="K17" s="265"/>
      <c r="L17" s="265"/>
      <c r="N17" s="265"/>
      <c r="O17" s="265"/>
      <c r="Q17" s="10"/>
    </row>
    <row r="18" spans="2:17" x14ac:dyDescent="0.25">
      <c r="B18" s="1">
        <f>MAX($B$2:B17)+1</f>
        <v>14</v>
      </c>
      <c r="C18" s="2" t="s">
        <v>3</v>
      </c>
      <c r="D18" s="9">
        <f>D12</f>
        <v>0.47</v>
      </c>
      <c r="E18" s="9">
        <v>9.4E-2</v>
      </c>
      <c r="F18" s="3">
        <f>ROUND(+D18*E18,5)</f>
        <v>4.4179999999999997E-2</v>
      </c>
      <c r="G18" s="7">
        <f>G6</f>
        <v>1.33137833224769</v>
      </c>
      <c r="H18" s="3">
        <f>ROUND(+F18*G18,5)</f>
        <v>5.8819999999999997E-2</v>
      </c>
      <c r="K18" s="265"/>
      <c r="L18" s="265"/>
      <c r="N18" s="265">
        <f>K14*I19</f>
        <v>-4456.8239251349123</v>
      </c>
      <c r="O18" s="265"/>
      <c r="Q18" s="10"/>
    </row>
    <row r="19" spans="2:17" ht="15.75" thickBot="1" x14ac:dyDescent="0.3">
      <c r="B19" s="1">
        <f>MAX($B$2:B18)+1</f>
        <v>15</v>
      </c>
      <c r="C19" s="4" t="s">
        <v>4</v>
      </c>
      <c r="D19" s="5">
        <f>SUM(D15:D18)</f>
        <v>1</v>
      </c>
      <c r="E19" s="3"/>
      <c r="F19" s="6">
        <f>SUM(F15:F18)</f>
        <v>7.1629999999999999E-2</v>
      </c>
      <c r="H19" s="6">
        <f>SUM(H15:H18)</f>
        <v>8.6269999999999999E-2</v>
      </c>
      <c r="I19" s="8">
        <f>H19-H13</f>
        <v>-7.1899999999999881E-3</v>
      </c>
      <c r="J19" s="8"/>
      <c r="K19" s="265"/>
      <c r="L19" s="265"/>
      <c r="M19" s="8"/>
      <c r="N19" s="265">
        <f>L15*I19</f>
        <v>-751.71822716684517</v>
      </c>
      <c r="O19" s="265">
        <f>SUM(N18:N19)</f>
        <v>-5208.5421523017576</v>
      </c>
      <c r="P19" s="10"/>
      <c r="Q19" s="10"/>
    </row>
    <row r="20" spans="2:17" ht="15.75" thickTop="1" x14ac:dyDescent="0.25">
      <c r="K20" s="265"/>
      <c r="L20" s="265"/>
      <c r="N20" s="265">
        <f>L16*I19</f>
        <v>-485.68311969610335</v>
      </c>
      <c r="O20" s="265"/>
      <c r="Q20" s="10"/>
    </row>
  </sheetData>
  <mergeCells count="2">
    <mergeCell ref="K12:L12"/>
    <mergeCell ref="N12:O12"/>
  </mergeCells>
  <printOptions horizontalCentered="1"/>
  <pageMargins left="0.7" right="0.7" top="1.25" bottom="0.75" header="0.5" footer="0.3"/>
  <pageSetup scale="8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0"/>
  <sheetViews>
    <sheetView zoomScale="70" zoomScaleNormal="70" workbookViewId="0"/>
  </sheetViews>
  <sheetFormatPr defaultColWidth="8.625" defaultRowHeight="15" x14ac:dyDescent="0.25"/>
  <cols>
    <col min="1" max="1" width="6.25" style="53" customWidth="1"/>
    <col min="2" max="2" width="41.625" style="53" bestFit="1" customWidth="1"/>
    <col min="3" max="3" width="20.125" style="53" customWidth="1"/>
    <col min="4" max="4" width="15.625" style="53" customWidth="1"/>
    <col min="5" max="5" width="16.75" style="53" customWidth="1"/>
    <col min="6" max="6" width="5.5" style="53" bestFit="1" customWidth="1"/>
    <col min="7" max="7" width="16.125" style="53" customWidth="1"/>
    <col min="8" max="8" width="13.25" style="54" bestFit="1" customWidth="1"/>
    <col min="9" max="9" width="13.5" style="53" bestFit="1" customWidth="1"/>
    <col min="10" max="11" width="11.625" style="53" bestFit="1" customWidth="1"/>
    <col min="12" max="12" width="13" style="53" bestFit="1" customWidth="1"/>
    <col min="13" max="13" width="12.625" style="53" bestFit="1" customWidth="1"/>
    <col min="14" max="14" width="12.875" style="53" bestFit="1" customWidth="1"/>
    <col min="15" max="16" width="11.625" style="53" bestFit="1" customWidth="1"/>
    <col min="17" max="18" width="11.5" style="53" bestFit="1" customWidth="1"/>
    <col min="19" max="19" width="11.75" style="53" bestFit="1" customWidth="1"/>
    <col min="20" max="21" width="11.125" style="53" bestFit="1" customWidth="1"/>
    <col min="22" max="16384" width="8.625" style="53"/>
  </cols>
  <sheetData>
    <row r="1" spans="1:26" x14ac:dyDescent="0.25">
      <c r="B1" s="53" t="s">
        <v>72</v>
      </c>
    </row>
    <row r="2" spans="1:26" x14ac:dyDescent="0.25">
      <c r="B2" s="53" t="s">
        <v>71</v>
      </c>
    </row>
    <row r="3" spans="1:26" x14ac:dyDescent="0.25">
      <c r="B3" s="53" t="s">
        <v>70</v>
      </c>
    </row>
    <row r="4" spans="1:26" x14ac:dyDescent="0.25">
      <c r="G4" s="99"/>
      <c r="H4" s="104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5" spans="1:26" x14ac:dyDescent="0.25">
      <c r="A5" s="53">
        <v>1</v>
      </c>
      <c r="B5" s="114" t="s">
        <v>69</v>
      </c>
      <c r="C5" s="114"/>
      <c r="G5" s="113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1:26" ht="15.75" customHeight="1" x14ac:dyDescent="0.25">
      <c r="A6" s="53">
        <v>2</v>
      </c>
      <c r="B6" s="82" t="s">
        <v>68</v>
      </c>
      <c r="C6" s="107">
        <v>1067047.2</v>
      </c>
      <c r="D6" s="64"/>
      <c r="E6" s="64"/>
      <c r="F6" s="64"/>
      <c r="G6" s="103"/>
      <c r="H6" s="101"/>
      <c r="I6" s="111"/>
      <c r="J6" s="111"/>
      <c r="K6" s="110"/>
      <c r="L6" s="110"/>
      <c r="M6" s="110"/>
      <c r="N6" s="110"/>
      <c r="O6" s="110"/>
      <c r="P6" s="110"/>
      <c r="Q6" s="111"/>
      <c r="R6" s="111"/>
      <c r="S6" s="110"/>
      <c r="T6" s="110"/>
      <c r="V6" s="64"/>
      <c r="W6" s="64"/>
      <c r="X6" s="64"/>
      <c r="Y6" s="64"/>
      <c r="Z6" s="64"/>
    </row>
    <row r="7" spans="1:26" x14ac:dyDescent="0.25">
      <c r="A7" s="53">
        <v>3</v>
      </c>
      <c r="B7" s="82" t="s">
        <v>67</v>
      </c>
      <c r="C7" s="90">
        <v>668580.02999999991</v>
      </c>
      <c r="D7" s="64"/>
      <c r="E7" s="64"/>
      <c r="F7" s="64"/>
      <c r="G7" s="99"/>
      <c r="H7" s="109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V7" s="64"/>
      <c r="W7" s="64"/>
      <c r="X7" s="64"/>
      <c r="Y7" s="64"/>
      <c r="Z7" s="64"/>
    </row>
    <row r="8" spans="1:26" x14ac:dyDescent="0.25">
      <c r="A8" s="53">
        <v>4</v>
      </c>
      <c r="B8" s="82" t="s">
        <v>66</v>
      </c>
      <c r="C8" s="107">
        <v>124102.42000000001</v>
      </c>
      <c r="D8" s="64"/>
      <c r="E8" s="64"/>
      <c r="F8" s="64"/>
      <c r="G8" s="103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V8" s="64"/>
      <c r="W8" s="64"/>
      <c r="X8" s="64"/>
      <c r="Y8" s="64"/>
      <c r="Z8" s="64"/>
    </row>
    <row r="9" spans="1:26" x14ac:dyDescent="0.25">
      <c r="A9" s="53">
        <v>5</v>
      </c>
      <c r="B9" s="53" t="s">
        <v>65</v>
      </c>
      <c r="C9" s="106">
        <v>1109045.72</v>
      </c>
      <c r="D9" s="64"/>
      <c r="E9" s="64"/>
      <c r="F9" s="64"/>
      <c r="G9" s="105"/>
      <c r="H9" s="95"/>
      <c r="I9" s="95"/>
      <c r="J9" s="95"/>
      <c r="K9" s="95"/>
      <c r="L9" s="95"/>
      <c r="M9" s="95"/>
      <c r="N9" s="95"/>
      <c r="O9" s="95"/>
      <c r="P9" s="96"/>
      <c r="Q9" s="96"/>
      <c r="R9" s="96"/>
      <c r="S9" s="95"/>
      <c r="T9" s="95"/>
      <c r="V9" s="64"/>
      <c r="W9" s="64"/>
      <c r="X9" s="64"/>
      <c r="Y9" s="64"/>
      <c r="Z9" s="64"/>
    </row>
    <row r="10" spans="1:26" x14ac:dyDescent="0.25">
      <c r="A10" s="53">
        <v>6</v>
      </c>
      <c r="B10" s="91" t="s">
        <v>64</v>
      </c>
      <c r="C10" s="90">
        <f>SUM(C6:C9)</f>
        <v>2968775.37</v>
      </c>
      <c r="D10" s="64"/>
      <c r="E10" s="64"/>
      <c r="F10" s="64"/>
      <c r="G10" s="99"/>
      <c r="H10" s="104"/>
      <c r="I10" s="99"/>
      <c r="J10" s="99"/>
      <c r="K10" s="99"/>
      <c r="L10" s="99"/>
      <c r="M10" s="99"/>
      <c r="N10" s="99"/>
      <c r="O10" s="99"/>
      <c r="P10" s="100"/>
      <c r="Q10" s="100"/>
      <c r="R10" s="100"/>
      <c r="S10" s="99"/>
      <c r="T10" s="99"/>
      <c r="V10" s="64"/>
      <c r="W10" s="64"/>
      <c r="X10" s="64"/>
      <c r="Y10" s="64"/>
      <c r="Z10" s="64"/>
    </row>
    <row r="11" spans="1:26" x14ac:dyDescent="0.25">
      <c r="A11" s="53">
        <v>7</v>
      </c>
      <c r="B11" s="82" t="s">
        <v>63</v>
      </c>
      <c r="C11" s="94">
        <v>5884412.0400000019</v>
      </c>
      <c r="D11" s="92"/>
      <c r="E11" s="64"/>
      <c r="F11" s="64"/>
      <c r="G11" s="103"/>
      <c r="H11" s="101"/>
      <c r="I11" s="101"/>
      <c r="J11" s="101"/>
      <c r="K11" s="101"/>
      <c r="L11" s="101"/>
      <c r="M11" s="101"/>
      <c r="N11" s="101"/>
      <c r="O11" s="101"/>
      <c r="P11" s="102"/>
      <c r="Q11" s="102"/>
      <c r="R11" s="102"/>
      <c r="S11" s="101"/>
      <c r="T11" s="101"/>
      <c r="V11" s="64"/>
      <c r="W11" s="64"/>
      <c r="X11" s="64"/>
      <c r="Y11" s="64"/>
      <c r="Z11" s="64"/>
    </row>
    <row r="12" spans="1:26" x14ac:dyDescent="0.25">
      <c r="A12" s="53">
        <v>8</v>
      </c>
      <c r="B12" s="53" t="s">
        <v>62</v>
      </c>
      <c r="C12" s="89">
        <f>-C7</f>
        <v>-668580.02999999991</v>
      </c>
      <c r="D12" s="64"/>
      <c r="E12" s="64"/>
      <c r="F12" s="64"/>
      <c r="G12" s="99"/>
      <c r="H12" s="99"/>
      <c r="I12" s="99"/>
      <c r="J12" s="99"/>
      <c r="K12" s="99"/>
      <c r="L12" s="99"/>
      <c r="M12" s="99"/>
      <c r="N12" s="99"/>
      <c r="O12" s="99"/>
      <c r="P12" s="100"/>
      <c r="Q12" s="100"/>
      <c r="R12" s="100"/>
      <c r="S12" s="99"/>
      <c r="T12" s="99"/>
      <c r="V12" s="64"/>
      <c r="W12" s="64"/>
      <c r="X12" s="64"/>
      <c r="Y12" s="64"/>
      <c r="Z12" s="64"/>
    </row>
    <row r="13" spans="1:26" x14ac:dyDescent="0.25">
      <c r="A13" s="53">
        <v>9</v>
      </c>
      <c r="B13" s="53" t="s">
        <v>61</v>
      </c>
      <c r="C13" s="98">
        <f>-C9</f>
        <v>-1109045.72</v>
      </c>
      <c r="D13" s="64"/>
      <c r="E13" s="64"/>
      <c r="F13" s="64"/>
      <c r="G13" s="97"/>
      <c r="H13" s="95"/>
      <c r="I13" s="95"/>
      <c r="J13" s="95"/>
      <c r="K13" s="95"/>
      <c r="L13" s="95"/>
      <c r="M13" s="95"/>
      <c r="N13" s="95"/>
      <c r="O13" s="95"/>
      <c r="P13" s="96"/>
      <c r="Q13" s="96"/>
      <c r="R13" s="96"/>
      <c r="S13" s="95"/>
      <c r="T13" s="95"/>
      <c r="V13" s="64"/>
      <c r="W13" s="64"/>
      <c r="X13" s="64"/>
      <c r="Y13" s="64"/>
      <c r="Z13" s="64"/>
    </row>
    <row r="14" spans="1:26" x14ac:dyDescent="0.25">
      <c r="A14" s="53">
        <v>10</v>
      </c>
      <c r="B14" s="87" t="s">
        <v>60</v>
      </c>
      <c r="C14" s="90">
        <f>SUM(C10:C13)</f>
        <v>7075561.660000002</v>
      </c>
      <c r="D14" s="64"/>
      <c r="E14" s="64"/>
      <c r="F14" s="64"/>
      <c r="V14" s="64"/>
      <c r="W14" s="64"/>
      <c r="X14" s="64"/>
      <c r="Y14" s="64"/>
      <c r="Z14" s="64"/>
    </row>
    <row r="15" spans="1:26" x14ac:dyDescent="0.25">
      <c r="C15" s="90"/>
      <c r="D15" s="64"/>
      <c r="E15" s="64"/>
      <c r="F15" s="64"/>
      <c r="V15" s="64"/>
      <c r="W15" s="64"/>
      <c r="X15" s="64"/>
      <c r="Y15" s="64"/>
      <c r="Z15" s="64"/>
    </row>
    <row r="16" spans="1:26" x14ac:dyDescent="0.25">
      <c r="A16" s="53">
        <v>11</v>
      </c>
      <c r="B16" s="82" t="s">
        <v>59</v>
      </c>
      <c r="C16" s="94">
        <v>-1055334.4400000002</v>
      </c>
      <c r="D16" s="92"/>
      <c r="E16" s="64"/>
      <c r="F16" s="64"/>
      <c r="V16" s="64"/>
      <c r="W16" s="64"/>
      <c r="X16" s="64"/>
      <c r="Y16" s="64"/>
      <c r="Z16" s="64"/>
    </row>
    <row r="17" spans="1:26" x14ac:dyDescent="0.25">
      <c r="A17" s="53">
        <v>12</v>
      </c>
      <c r="B17" s="82" t="s">
        <v>58</v>
      </c>
      <c r="C17" s="93">
        <v>-158487.77000000002</v>
      </c>
      <c r="D17" s="92"/>
      <c r="E17" s="64"/>
      <c r="F17" s="64"/>
      <c r="V17" s="64"/>
      <c r="W17" s="64"/>
      <c r="X17" s="64"/>
      <c r="Y17" s="64"/>
      <c r="Z17" s="64"/>
    </row>
    <row r="18" spans="1:26" x14ac:dyDescent="0.25">
      <c r="A18" s="53">
        <v>13</v>
      </c>
      <c r="B18" s="91" t="s">
        <v>57</v>
      </c>
      <c r="C18" s="90">
        <f>SUM(C16:C17)</f>
        <v>-1213822.2100000002</v>
      </c>
      <c r="D18" s="64"/>
      <c r="E18" s="64"/>
      <c r="F18" s="64"/>
      <c r="V18" s="64"/>
      <c r="W18" s="64"/>
      <c r="X18" s="64"/>
      <c r="Y18" s="64"/>
      <c r="Z18" s="64"/>
    </row>
    <row r="19" spans="1:26" x14ac:dyDescent="0.25">
      <c r="A19" s="53">
        <v>14</v>
      </c>
      <c r="C19" s="86"/>
      <c r="D19" s="64"/>
      <c r="E19" s="64"/>
      <c r="F19" s="64"/>
      <c r="V19" s="64"/>
      <c r="W19" s="64"/>
      <c r="X19" s="64"/>
      <c r="Y19" s="64"/>
      <c r="Z19" s="64"/>
    </row>
    <row r="20" spans="1:26" x14ac:dyDescent="0.25">
      <c r="A20" s="53">
        <v>15</v>
      </c>
      <c r="C20" s="86"/>
      <c r="D20" s="64"/>
      <c r="E20" s="64"/>
      <c r="F20" s="64"/>
      <c r="G20" s="64"/>
      <c r="H20" s="72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</row>
    <row r="21" spans="1:26" ht="15.75" x14ac:dyDescent="0.25">
      <c r="A21" s="53">
        <v>16</v>
      </c>
      <c r="B21" s="87" t="s">
        <v>56</v>
      </c>
      <c r="C21" s="89">
        <f>+C14+C18</f>
        <v>5861739.450000002</v>
      </c>
      <c r="D21" s="64"/>
      <c r="E21" s="64"/>
      <c r="F21" s="64"/>
      <c r="G21" s="64"/>
      <c r="H21" s="72"/>
      <c r="I21" s="64"/>
      <c r="J21" s="64"/>
      <c r="K21" s="85"/>
      <c r="L21" s="84"/>
      <c r="M21" s="83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</row>
    <row r="22" spans="1:26" ht="15.75" x14ac:dyDescent="0.25">
      <c r="A22" s="53">
        <v>17</v>
      </c>
      <c r="B22" s="55" t="s">
        <v>55</v>
      </c>
      <c r="C22" s="88">
        <v>2062982.39</v>
      </c>
      <c r="D22" s="64"/>
      <c r="E22" s="64"/>
      <c r="F22" s="64"/>
      <c r="G22" s="64"/>
      <c r="H22" s="72"/>
      <c r="I22" s="64"/>
      <c r="J22" s="64"/>
      <c r="K22" s="85"/>
      <c r="L22" s="84"/>
      <c r="M22" s="83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</row>
    <row r="23" spans="1:26" ht="15.75" x14ac:dyDescent="0.25">
      <c r="A23" s="53">
        <v>18</v>
      </c>
      <c r="B23" s="87" t="s">
        <v>54</v>
      </c>
      <c r="C23" s="86">
        <f>+C21+C22</f>
        <v>7924721.8400000017</v>
      </c>
      <c r="D23" s="64"/>
      <c r="E23" s="64"/>
      <c r="F23" s="64"/>
      <c r="G23" s="64"/>
      <c r="H23" s="72"/>
      <c r="I23" s="64"/>
      <c r="J23" s="64"/>
      <c r="K23" s="64"/>
      <c r="L23" s="84"/>
      <c r="M23" s="83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</row>
    <row r="24" spans="1:26" ht="15.75" x14ac:dyDescent="0.25">
      <c r="C24" s="64"/>
      <c r="D24" s="64"/>
      <c r="E24" s="64"/>
      <c r="F24" s="64"/>
      <c r="G24" s="64"/>
      <c r="H24" s="72"/>
      <c r="I24" s="64"/>
      <c r="J24" s="64"/>
      <c r="K24" s="85"/>
      <c r="L24" s="84"/>
      <c r="M24" s="83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</row>
    <row r="25" spans="1:26" x14ac:dyDescent="0.25">
      <c r="A25" s="53">
        <v>19</v>
      </c>
      <c r="B25" s="82" t="s">
        <v>53</v>
      </c>
      <c r="C25" s="81">
        <f>+C23/2</f>
        <v>3962360.9200000009</v>
      </c>
      <c r="D25" s="64"/>
      <c r="E25" s="64"/>
      <c r="F25" s="64"/>
      <c r="G25" s="64"/>
      <c r="H25" s="72"/>
      <c r="I25" s="80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</row>
    <row r="26" spans="1:26" x14ac:dyDescent="0.25">
      <c r="A26" s="53">
        <v>20</v>
      </c>
      <c r="B26" s="53" t="s">
        <v>52</v>
      </c>
      <c r="C26" s="79">
        <f>+C25/(1-0.04924)</f>
        <v>4167572.173839876</v>
      </c>
      <c r="D26" s="64"/>
      <c r="E26" s="64"/>
      <c r="F26" s="64"/>
      <c r="G26" s="64"/>
      <c r="H26" s="72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</row>
    <row r="27" spans="1:26" ht="15.75" customHeight="1" x14ac:dyDescent="0.25">
      <c r="C27" s="64"/>
      <c r="D27" s="64"/>
      <c r="E27" s="64"/>
      <c r="F27" s="64"/>
      <c r="G27" s="64"/>
      <c r="H27" s="72"/>
      <c r="I27" s="64"/>
      <c r="J27" s="78"/>
      <c r="K27" s="78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</row>
    <row r="28" spans="1:26" x14ac:dyDescent="0.25">
      <c r="A28" s="53">
        <v>21</v>
      </c>
      <c r="B28" s="53" t="s">
        <v>51</v>
      </c>
      <c r="C28" s="64"/>
      <c r="D28" s="64"/>
      <c r="E28" s="64"/>
      <c r="F28" s="64"/>
      <c r="G28" s="64"/>
      <c r="H28" s="72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</row>
    <row r="29" spans="1:26" ht="15.75" thickBot="1" x14ac:dyDescent="0.3">
      <c r="C29" s="64"/>
      <c r="D29" s="64"/>
      <c r="E29" s="64"/>
      <c r="F29" s="64"/>
      <c r="G29" s="64"/>
      <c r="H29" s="72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</row>
    <row r="30" spans="1:26" ht="15.75" thickBot="1" x14ac:dyDescent="0.3">
      <c r="A30" s="53">
        <v>22</v>
      </c>
      <c r="B30" s="77" t="s">
        <v>50</v>
      </c>
      <c r="C30" s="76" t="s">
        <v>49</v>
      </c>
      <c r="D30" s="53" t="s">
        <v>48</v>
      </c>
      <c r="E30" s="64" t="s">
        <v>47</v>
      </c>
      <c r="F30" s="64"/>
      <c r="G30" s="75" t="s">
        <v>46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</row>
    <row r="31" spans="1:26" x14ac:dyDescent="0.25">
      <c r="A31" s="53">
        <v>23</v>
      </c>
      <c r="B31" s="54">
        <v>503</v>
      </c>
      <c r="C31" s="74">
        <v>132185007</v>
      </c>
      <c r="D31" s="66">
        <v>0.838644458553651</v>
      </c>
      <c r="E31" s="72">
        <f>+C26*D31</f>
        <v>3495111.3092132052</v>
      </c>
      <c r="F31" s="72"/>
      <c r="G31" s="71">
        <f>ROUND(E31/C31,5)</f>
        <v>2.6440000000000002E-2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</row>
    <row r="32" spans="1:26" x14ac:dyDescent="0.25">
      <c r="B32" s="54"/>
      <c r="C32" s="73"/>
      <c r="D32" s="69"/>
      <c r="E32" s="72"/>
      <c r="F32" s="72"/>
      <c r="G32" s="71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</row>
    <row r="33" spans="1:25" x14ac:dyDescent="0.25">
      <c r="A33" s="53">
        <v>24</v>
      </c>
      <c r="B33" s="54">
        <v>504</v>
      </c>
      <c r="C33" s="70">
        <v>93408945</v>
      </c>
      <c r="D33" s="66">
        <v>0.1370087305481609</v>
      </c>
      <c r="E33" s="72">
        <f>+C26*D33</f>
        <v>570993.77300564072</v>
      </c>
      <c r="F33" s="72"/>
      <c r="G33" s="71">
        <f>ROUND(E33/C33,5)</f>
        <v>6.11E-3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</row>
    <row r="34" spans="1:25" x14ac:dyDescent="0.25">
      <c r="B34" s="54"/>
      <c r="C34" s="70"/>
      <c r="D34" s="69"/>
      <c r="E34" s="60"/>
      <c r="F34" s="60"/>
      <c r="G34" s="68"/>
      <c r="H34" s="64"/>
    </row>
    <row r="35" spans="1:25" x14ac:dyDescent="0.25">
      <c r="A35" s="53">
        <v>25</v>
      </c>
      <c r="B35" s="54">
        <v>505</v>
      </c>
      <c r="C35" s="70">
        <v>12346309</v>
      </c>
      <c r="D35" s="66">
        <v>1.7763673718470565E-2</v>
      </c>
      <c r="E35" s="60">
        <f>+C26*D35</f>
        <v>74031.392294268648</v>
      </c>
      <c r="F35" s="60"/>
      <c r="G35" s="71">
        <f>ROUND(E35/C35,5)</f>
        <v>6.0000000000000001E-3</v>
      </c>
      <c r="H35" s="64"/>
    </row>
    <row r="36" spans="1:25" x14ac:dyDescent="0.25">
      <c r="B36" s="54"/>
      <c r="C36" s="70"/>
      <c r="D36" s="69"/>
      <c r="E36" s="60"/>
      <c r="F36" s="60"/>
      <c r="G36" s="68"/>
      <c r="H36" s="64"/>
    </row>
    <row r="37" spans="1:25" x14ac:dyDescent="0.25">
      <c r="A37" s="53">
        <v>26</v>
      </c>
      <c r="B37" s="54">
        <v>511</v>
      </c>
      <c r="C37" s="70">
        <v>16688677</v>
      </c>
      <c r="D37" s="66">
        <v>2.1792195123483352E-3</v>
      </c>
      <c r="E37" s="60">
        <f>+C26*D37</f>
        <v>9082.0546003518266</v>
      </c>
      <c r="F37" s="60"/>
      <c r="G37" s="71">
        <f>ROUND(E37/C37,5)</f>
        <v>5.4000000000000001E-4</v>
      </c>
      <c r="H37" s="64"/>
    </row>
    <row r="38" spans="1:25" x14ac:dyDescent="0.25">
      <c r="B38" s="54"/>
      <c r="C38" s="70"/>
      <c r="D38" s="69"/>
      <c r="E38" s="60"/>
      <c r="F38" s="60"/>
      <c r="G38" s="68"/>
      <c r="H38" s="64"/>
    </row>
    <row r="39" spans="1:25" x14ac:dyDescent="0.25">
      <c r="A39" s="53">
        <v>27</v>
      </c>
      <c r="B39" s="54">
        <v>663</v>
      </c>
      <c r="C39" s="70">
        <v>854941070</v>
      </c>
      <c r="D39" s="66">
        <v>4.2502788257031904E-3</v>
      </c>
      <c r="E39" s="60">
        <f>+C26*D39</f>
        <v>17713.34376506144</v>
      </c>
      <c r="F39" s="60"/>
      <c r="G39" s="71">
        <f>ROUND(E39/C39,5)</f>
        <v>2.0000000000000002E-5</v>
      </c>
      <c r="H39" s="64"/>
    </row>
    <row r="40" spans="1:25" x14ac:dyDescent="0.25">
      <c r="B40" s="54"/>
      <c r="C40" s="70"/>
      <c r="D40" s="69"/>
      <c r="E40" s="60"/>
      <c r="F40" s="60"/>
      <c r="G40" s="68"/>
      <c r="H40" s="64"/>
    </row>
    <row r="41" spans="1:25" ht="15.75" thickBot="1" x14ac:dyDescent="0.3">
      <c r="A41" s="53">
        <v>28</v>
      </c>
      <c r="B41" s="54">
        <v>570</v>
      </c>
      <c r="C41" s="67">
        <v>2097598</v>
      </c>
      <c r="D41" s="66">
        <v>1.5363884166601514E-4</v>
      </c>
      <c r="E41" s="60">
        <f>+C26*D41</f>
        <v>640.30096134827522</v>
      </c>
      <c r="F41" s="60"/>
      <c r="G41" s="65">
        <f>ROUND(E41/C41,5)</f>
        <v>3.1E-4</v>
      </c>
      <c r="H41" s="64"/>
    </row>
    <row r="42" spans="1:25" ht="15.75" thickTop="1" x14ac:dyDescent="0.25">
      <c r="E42" s="54"/>
      <c r="F42" s="54"/>
      <c r="H42" s="64"/>
    </row>
    <row r="43" spans="1:25" x14ac:dyDescent="0.25">
      <c r="A43" s="53">
        <v>29</v>
      </c>
      <c r="B43" s="55" t="s">
        <v>45</v>
      </c>
      <c r="C43" s="63">
        <f>SUM(C31:C42)</f>
        <v>1111667606</v>
      </c>
      <c r="D43" s="62">
        <f>SUM(D31:D42)</f>
        <v>0.99999999999999989</v>
      </c>
      <c r="E43" s="61">
        <f>SUM(E31:E42)</f>
        <v>4167572.173839876</v>
      </c>
      <c r="F43" s="60"/>
      <c r="H43" s="53"/>
    </row>
    <row r="45" spans="1:25" x14ac:dyDescent="0.25">
      <c r="B45" s="55" t="s">
        <v>44</v>
      </c>
      <c r="E45" s="59">
        <v>370707520</v>
      </c>
      <c r="F45" s="57"/>
      <c r="G45" s="58"/>
    </row>
    <row r="46" spans="1:25" x14ac:dyDescent="0.25">
      <c r="B46" s="55" t="s">
        <v>43</v>
      </c>
      <c r="E46" s="57">
        <f>+E43/E45</f>
        <v>1.1242211039689391E-2</v>
      </c>
    </row>
    <row r="49" spans="2:12" x14ac:dyDescent="0.25">
      <c r="B49" s="56"/>
    </row>
    <row r="56" spans="2:12" x14ac:dyDescent="0.25">
      <c r="L56" s="55"/>
    </row>
    <row r="57" spans="2:12" x14ac:dyDescent="0.25">
      <c r="L57" s="55"/>
    </row>
    <row r="58" spans="2:12" x14ac:dyDescent="0.25">
      <c r="L58" s="55"/>
    </row>
    <row r="59" spans="2:12" x14ac:dyDescent="0.25">
      <c r="L59" s="55"/>
    </row>
    <row r="60" spans="2:12" x14ac:dyDescent="0.25">
      <c r="L60" s="55"/>
    </row>
    <row r="61" spans="2:12" x14ac:dyDescent="0.25">
      <c r="L61" s="55"/>
    </row>
    <row r="62" spans="2:12" x14ac:dyDescent="0.25">
      <c r="L62" s="55"/>
    </row>
    <row r="63" spans="2:12" x14ac:dyDescent="0.25">
      <c r="L63" s="55"/>
    </row>
    <row r="64" spans="2:12" x14ac:dyDescent="0.25">
      <c r="L64" s="55"/>
    </row>
    <row r="65" spans="12:12" x14ac:dyDescent="0.25">
      <c r="L65" s="55"/>
    </row>
    <row r="66" spans="12:12" x14ac:dyDescent="0.25">
      <c r="L66" s="55"/>
    </row>
    <row r="67" spans="12:12" x14ac:dyDescent="0.25">
      <c r="L67" s="55"/>
    </row>
    <row r="68" spans="12:12" x14ac:dyDescent="0.25">
      <c r="L68" s="55"/>
    </row>
    <row r="69" spans="12:12" x14ac:dyDescent="0.25">
      <c r="L69" s="55"/>
    </row>
    <row r="70" spans="12:12" x14ac:dyDescent="0.25">
      <c r="L70" s="55"/>
    </row>
  </sheetData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2024-10-02T07:00:00+00:00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895110D-40FD-488E-A7D2-CDA6BC09BDD7}"/>
</file>

<file path=customXml/itemProps2.xml><?xml version="1.0" encoding="utf-8"?>
<ds:datastoreItem xmlns:ds="http://schemas.openxmlformats.org/officeDocument/2006/customXml" ds:itemID="{DCAAA49C-E93D-436C-9890-7D9884E68228}"/>
</file>

<file path=customXml/itemProps3.xml><?xml version="1.0" encoding="utf-8"?>
<ds:datastoreItem xmlns:ds="http://schemas.openxmlformats.org/officeDocument/2006/customXml" ds:itemID="{D9ACB14D-472B-4840-87A6-A3109E16BB9A}"/>
</file>

<file path=customXml/itemProps4.xml><?xml version="1.0" encoding="utf-8"?>
<ds:datastoreItem xmlns:ds="http://schemas.openxmlformats.org/officeDocument/2006/customXml" ds:itemID="{FAC972D4-AD4D-42E9-BBB6-6D6E001442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Table 1</vt:lpstr>
      <vt:lpstr>Table 2</vt:lpstr>
      <vt:lpstr>Table 3</vt:lpstr>
      <vt:lpstr>Table 4</vt:lpstr>
      <vt:lpstr>Table 5</vt:lpstr>
      <vt:lpstr>Exhbit JAL-6</vt:lpstr>
      <vt:lpstr>Exhibit JAL-7</vt:lpstr>
      <vt:lpstr>ROR Impact WP</vt:lpstr>
      <vt:lpstr>Copy of Exh. ZLH-2</vt:lpstr>
      <vt:lpstr>WUTC DR 46 =&gt;</vt:lpstr>
      <vt:lpstr>MYRP Plant Update</vt:lpstr>
      <vt:lpstr>Variance Analysis</vt:lpstr>
      <vt:lpstr>'Exhbit JAL-6'!Print_Area</vt:lpstr>
      <vt:lpstr>'Exhibit JAL-7'!Print_Area</vt:lpstr>
      <vt:lpstr>'MYRP Plant Update'!Print_Area</vt:lpstr>
      <vt:lpstr>'Table 3'!Print_Area</vt:lpstr>
      <vt:lpstr>'MYRP Plant Update'!Print_Titles</vt:lpstr>
      <vt:lpstr>'Variance Analysis'!Print_Titles</vt:lpstr>
    </vt:vector>
  </TitlesOfParts>
  <Company>BAI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Leyko, James</dc:creator>
  <cp:lastModifiedBy>Navarro, Adrienne</cp:lastModifiedBy>
  <cp:lastPrinted>2024-09-26T21:12:33Z</cp:lastPrinted>
  <dcterms:created xsi:type="dcterms:W3CDTF">2024-08-27T18:15:56Z</dcterms:created>
  <dcterms:modified xsi:type="dcterms:W3CDTF">2024-09-26T21:19:31Z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{AF0DCC8C-E9C1-419A-9821-7CE5A7597957}</vt:lpwstr>
  </property>
  <property fmtid="{D5CDD505-2E9C-101B-9397-08002B2CF9AE}" pid="3" name="ContentTypeId">
    <vt:lpwstr>0x0101006E56B4D1795A2E4DB2F0B01679ED314A009EB8DA041E6AD244B4287ED7B15DC401</vt:lpwstr>
  </property>
  <property fmtid="{D5CDD505-2E9C-101B-9397-08002B2CF9AE}" pid="4" name="_docset_NoMedatataSyncRequired">
    <vt:lpwstr>False</vt:lpwstr>
  </property>
</Properties>
</file>