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0376" windowHeight="10848" firstSheet="7" activeTab="10"/>
  </bookViews>
  <sheets>
    <sheet name="Class Summary" sheetId="1" r:id="rId1"/>
    <sheet name="Energy Summary" sheetId="2" r:id="rId2"/>
    <sheet name="Demand Summary" sheetId="3" r:id="rId3"/>
    <sheet name="Customer Summary" sheetId="4" r:id="rId4"/>
    <sheet name="Revenue Summary" sheetId="5" r:id="rId5"/>
    <sheet name="Expense Summary" sheetId="6" r:id="rId6"/>
    <sheet name="Ratebase Summary" sheetId="7" r:id="rId7"/>
    <sheet name="Basic Charge" sheetId="8" r:id="rId8"/>
    <sheet name="Sch 40 Feeder " sheetId="9" r:id="rId9"/>
    <sheet name="Sch 40 Substation O&amp;M" sheetId="10" r:id="rId10"/>
    <sheet name="Sch 40 Substation A&amp;G" sheetId="11" r:id="rId11"/>
  </sheets>
  <externalReferences>
    <externalReference r:id="rId12"/>
  </externalReferences>
  <definedNames>
    <definedName name="CASE">[1]INPUTS!$C$11</definedName>
    <definedName name="EffTax">[1]INPUTS!$F$36</definedName>
    <definedName name="FTAX">[1]INPUTS!$F$35</definedName>
    <definedName name="_xlnm.Print_Area" localSheetId="7">'Basic Charge'!$A$1:$O$61</definedName>
    <definedName name="_xlnm.Print_Area" localSheetId="0">'Class Summary'!$A$1:$P$350</definedName>
    <definedName name="_xlnm.Print_Area" localSheetId="3">'Customer Summary'!$A$1:$M$26</definedName>
    <definedName name="_xlnm.Print_Area" localSheetId="2">'Demand Summary'!$A$1:$M$26</definedName>
    <definedName name="_xlnm.Print_Area" localSheetId="1">'Energy Summary'!$A$1:$M$28</definedName>
    <definedName name="_xlnm.Print_Area" localSheetId="5">'Expense Summary'!$A$1:$O$141</definedName>
    <definedName name="_xlnm.Print_Area" localSheetId="6">'Ratebase Summary'!$A$1:$O$148</definedName>
    <definedName name="_xlnm.Print_Area" localSheetId="4">'Revenue Summary'!$A$1:$O$50</definedName>
    <definedName name="_xlnm.Print_Area" localSheetId="8">'Sch 40 Feeder '!$A$1:$G$31</definedName>
    <definedName name="_xlnm.Print_Area" localSheetId="10">'Sch 40 Substation A&amp;G'!$A$1:$C$25</definedName>
    <definedName name="_xlnm.Print_Area" localSheetId="9">'Sch 40 Substation O&amp;M'!$A$1:$C$33</definedName>
    <definedName name="_xlnm.Print_Titles" localSheetId="7">'Basic Charge'!$1:$6</definedName>
    <definedName name="_xlnm.Print_Titles" localSheetId="0">'Class Summary'!$A:$E</definedName>
    <definedName name="_xlnm.Print_Titles" localSheetId="3">'Customer Summary'!$A:$C</definedName>
    <definedName name="_xlnm.Print_Titles" localSheetId="2">'Demand Summary'!$A:$C</definedName>
    <definedName name="_xlnm.Print_Titles" localSheetId="1">'Energy Summary'!$A:$C</definedName>
    <definedName name="_xlnm.Print_Titles" localSheetId="5">'Expense Summary'!$1:$6</definedName>
    <definedName name="_xlnm.Print_Titles" localSheetId="6">'Ratebase Summary'!$1:$6</definedName>
    <definedName name="_xlnm.Print_Titles" localSheetId="4">'Revenue Summary'!$1:$6</definedName>
    <definedName name="_xlnm.Print_Titles" localSheetId="8">'Sch 40 Feeder '!$B:$C,'Sch 40 Feeder '!$5:$6</definedName>
    <definedName name="_xlnm.Print_Titles" localSheetId="10">'Sch 40 Substation A&amp;G'!$B:$C,'Sch 40 Substation A&amp;G'!$5:$6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TAX">[1]INPUTS!$F$34</definedName>
  </definedNames>
  <calcPr calcId="145621"/>
</workbook>
</file>

<file path=xl/calcChain.xml><?xml version="1.0" encoding="utf-8"?>
<calcChain xmlns="http://schemas.openxmlformats.org/spreadsheetml/2006/main">
  <c r="A348" i="1" l="1"/>
  <c r="A278" i="1"/>
  <c r="A272" i="1"/>
  <c r="A266" i="1"/>
  <c r="E350" i="1" l="1"/>
  <c r="A22" i="11" l="1"/>
  <c r="A23" i="11" s="1"/>
  <c r="A24" i="11" s="1"/>
  <c r="A25" i="11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10" i="11"/>
  <c r="A20" i="10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9" i="10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E14" i="9"/>
  <c r="G14" i="9"/>
  <c r="A9" i="9"/>
  <c r="A10" i="9" s="1"/>
  <c r="A11" i="9" s="1"/>
  <c r="A12" i="9" s="1"/>
  <c r="A13" i="9" s="1"/>
  <c r="A14" i="9" s="1"/>
  <c r="A15" i="9" s="1"/>
  <c r="D51" i="8"/>
  <c r="D47" i="8"/>
  <c r="D42" i="8"/>
  <c r="D39" i="8"/>
  <c r="D35" i="8"/>
  <c r="D25" i="8"/>
  <c r="D22" i="8"/>
  <c r="D19" i="8"/>
  <c r="D17" i="8"/>
  <c r="D13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D7" i="8"/>
  <c r="O5" i="8"/>
  <c r="N5" i="8"/>
  <c r="M5" i="8"/>
  <c r="L5" i="8"/>
  <c r="K5" i="8"/>
  <c r="J5" i="8"/>
  <c r="I5" i="8"/>
  <c r="H5" i="8"/>
  <c r="G5" i="8"/>
  <c r="F5" i="8"/>
  <c r="A1" i="8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7"/>
  <c r="O5" i="7"/>
  <c r="N5" i="7"/>
  <c r="M5" i="7"/>
  <c r="L5" i="7"/>
  <c r="K5" i="7"/>
  <c r="J5" i="7"/>
  <c r="I5" i="7"/>
  <c r="H5" i="7"/>
  <c r="G5" i="7"/>
  <c r="F5" i="7"/>
  <c r="A1" i="7"/>
  <c r="A1" i="9" s="1"/>
  <c r="A1" i="10" s="1"/>
  <c r="A1" i="11" s="1"/>
  <c r="C365" i="1"/>
  <c r="C370" i="1" s="1"/>
  <c r="C364" i="1"/>
  <c r="C369" i="1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8" i="6"/>
  <c r="O5" i="6"/>
  <c r="N5" i="6"/>
  <c r="M5" i="6"/>
  <c r="L5" i="6"/>
  <c r="K5" i="6"/>
  <c r="J5" i="6"/>
  <c r="I5" i="6"/>
  <c r="H5" i="6"/>
  <c r="G5" i="6"/>
  <c r="F5" i="6"/>
  <c r="A1" i="6"/>
  <c r="A27" i="5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19" i="5"/>
  <c r="A20" i="5" s="1"/>
  <c r="A21" i="5" s="1"/>
  <c r="A22" i="5" s="1"/>
  <c r="A23" i="5" s="1"/>
  <c r="A24" i="5" s="1"/>
  <c r="A25" i="5" s="1"/>
  <c r="A26" i="5" s="1"/>
  <c r="A16" i="5"/>
  <c r="A17" i="5" s="1"/>
  <c r="A18" i="5" s="1"/>
  <c r="O15" i="5"/>
  <c r="A8" i="5"/>
  <c r="A9" i="5" s="1"/>
  <c r="A10" i="5" s="1"/>
  <c r="A11" i="5" s="1"/>
  <c r="A12" i="5" s="1"/>
  <c r="A13" i="5" s="1"/>
  <c r="A14" i="5" s="1"/>
  <c r="A15" i="5" s="1"/>
  <c r="O5" i="5"/>
  <c r="N5" i="5"/>
  <c r="M5" i="5"/>
  <c r="L5" i="5"/>
  <c r="K5" i="5"/>
  <c r="J5" i="5"/>
  <c r="I5" i="5"/>
  <c r="H5" i="5"/>
  <c r="G5" i="5"/>
  <c r="F5" i="5"/>
  <c r="A1" i="5"/>
  <c r="A25" i="4"/>
  <c r="A26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10" i="4"/>
  <c r="M6" i="4"/>
  <c r="L6" i="4"/>
  <c r="K6" i="4"/>
  <c r="J6" i="4"/>
  <c r="I6" i="4"/>
  <c r="H6" i="4"/>
  <c r="G6" i="4"/>
  <c r="F6" i="4"/>
  <c r="E6" i="4"/>
  <c r="D6" i="4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10" i="3"/>
  <c r="A11" i="3" s="1"/>
  <c r="M6" i="3"/>
  <c r="L6" i="3"/>
  <c r="K6" i="3"/>
  <c r="J6" i="3"/>
  <c r="I6" i="3"/>
  <c r="H6" i="3"/>
  <c r="G6" i="3"/>
  <c r="F6" i="3"/>
  <c r="E6" i="3"/>
  <c r="D6" i="3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M6" i="2"/>
  <c r="L6" i="2"/>
  <c r="K6" i="2"/>
  <c r="J6" i="2"/>
  <c r="I6" i="2"/>
  <c r="H6" i="2"/>
  <c r="G6" i="2"/>
  <c r="F6" i="2"/>
  <c r="E6" i="2"/>
  <c r="D6" i="2"/>
  <c r="F372" i="1"/>
  <c r="C366" i="1"/>
  <c r="C371" i="1" s="1"/>
  <c r="C363" i="1"/>
  <c r="C368" i="1" s="1"/>
  <c r="B349" i="1"/>
  <c r="B347" i="1"/>
  <c r="B342" i="1"/>
  <c r="C341" i="1"/>
  <c r="B335" i="1"/>
  <c r="C332" i="1"/>
  <c r="B332" i="1" s="1"/>
  <c r="C323" i="1"/>
  <c r="B317" i="1"/>
  <c r="C296" i="1"/>
  <c r="B296" i="1" s="1"/>
  <c r="B291" i="1"/>
  <c r="B288" i="1"/>
  <c r="B279" i="1"/>
  <c r="B278" i="1"/>
  <c r="B267" i="1"/>
  <c r="A263" i="1"/>
  <c r="A264" i="1" s="1"/>
  <c r="A265" i="1" s="1"/>
  <c r="A267" i="1" s="1"/>
  <c r="A268" i="1" s="1"/>
  <c r="A269" i="1" s="1"/>
  <c r="A270" i="1" s="1"/>
  <c r="A271" i="1" s="1"/>
  <c r="A273" i="1" s="1"/>
  <c r="A274" i="1" s="1"/>
  <c r="A275" i="1" s="1"/>
  <c r="A276" i="1" s="1"/>
  <c r="A277" i="1" s="1"/>
  <c r="A343" i="1" s="1"/>
  <c r="A344" i="1" s="1"/>
  <c r="A345" i="1" s="1"/>
  <c r="A346" i="1" s="1"/>
  <c r="A347" i="1" s="1"/>
  <c r="A349" i="1" s="1"/>
  <c r="A350" i="1" s="1"/>
  <c r="P259" i="1"/>
  <c r="O259" i="1"/>
  <c r="N259" i="1"/>
  <c r="M259" i="1"/>
  <c r="L259" i="1"/>
  <c r="K259" i="1"/>
  <c r="J259" i="1"/>
  <c r="I259" i="1"/>
  <c r="H259" i="1"/>
  <c r="G259" i="1"/>
  <c r="A255" i="1"/>
  <c r="A254" i="1"/>
  <c r="B251" i="1"/>
  <c r="B250" i="1"/>
  <c r="B249" i="1"/>
  <c r="W246" i="1"/>
  <c r="C245" i="1"/>
  <c r="W238" i="1"/>
  <c r="B246" i="1"/>
  <c r="W237" i="1"/>
  <c r="C236" i="1"/>
  <c r="B236" i="1" s="1"/>
  <c r="W229" i="1"/>
  <c r="W228" i="1"/>
  <c r="C227" i="1"/>
  <c r="W220" i="1"/>
  <c r="B228" i="1"/>
  <c r="W219" i="1"/>
  <c r="C218" i="1"/>
  <c r="B218" i="1" s="1"/>
  <c r="W211" i="1"/>
  <c r="W210" i="1"/>
  <c r="C209" i="1"/>
  <c r="W202" i="1"/>
  <c r="B210" i="1"/>
  <c r="W201" i="1"/>
  <c r="C200" i="1"/>
  <c r="B200" i="1" s="1"/>
  <c r="W193" i="1"/>
  <c r="W192" i="1"/>
  <c r="C191" i="1"/>
  <c r="W184" i="1"/>
  <c r="B192" i="1"/>
  <c r="W183" i="1"/>
  <c r="C182" i="1"/>
  <c r="B182" i="1" s="1"/>
  <c r="B171" i="1"/>
  <c r="C170" i="1"/>
  <c r="A167" i="1"/>
  <c r="A168" i="1" s="1"/>
  <c r="A169" i="1" s="1"/>
  <c r="P163" i="1"/>
  <c r="O163" i="1"/>
  <c r="N163" i="1"/>
  <c r="M163" i="1"/>
  <c r="L163" i="1"/>
  <c r="K163" i="1"/>
  <c r="J163" i="1"/>
  <c r="I163" i="1"/>
  <c r="H163" i="1"/>
  <c r="G163" i="1"/>
  <c r="A159" i="1"/>
  <c r="A158" i="1"/>
  <c r="B155" i="1"/>
  <c r="C154" i="1"/>
  <c r="B153" i="1"/>
  <c r="B152" i="1"/>
  <c r="B151" i="1"/>
  <c r="B133" i="1"/>
  <c r="B132" i="1"/>
  <c r="B130" i="1"/>
  <c r="B121" i="1"/>
  <c r="B112" i="1"/>
  <c r="B101" i="1"/>
  <c r="B94" i="1"/>
  <c r="B73" i="1"/>
  <c r="A69" i="1"/>
  <c r="A70" i="1" s="1"/>
  <c r="A71" i="1" s="1"/>
  <c r="P65" i="1"/>
  <c r="O65" i="1"/>
  <c r="N65" i="1"/>
  <c r="M65" i="1"/>
  <c r="L65" i="1"/>
  <c r="K65" i="1"/>
  <c r="J65" i="1"/>
  <c r="I65" i="1"/>
  <c r="H65" i="1"/>
  <c r="G65" i="1"/>
  <c r="A61" i="1"/>
  <c r="A6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E15" i="5"/>
  <c r="C20" i="11"/>
  <c r="A170" i="1" l="1"/>
  <c r="A171" i="1" s="1"/>
  <c r="A172" i="1" s="1"/>
  <c r="A173" i="1" s="1"/>
  <c r="A174" i="1" s="1"/>
  <c r="A175" i="1" s="1"/>
  <c r="A72" i="1"/>
  <c r="A73" i="1" s="1"/>
  <c r="A74" i="1" s="1"/>
  <c r="A75" i="1" s="1"/>
  <c r="A76" i="1" s="1"/>
  <c r="A77" i="1" s="1"/>
  <c r="E34" i="6"/>
  <c r="G25" i="9"/>
  <c r="B273" i="1"/>
  <c r="B272" i="1"/>
  <c r="B271" i="1"/>
  <c r="B270" i="1"/>
  <c r="E30" i="6"/>
  <c r="C18" i="11" s="1"/>
  <c r="E139" i="6"/>
  <c r="E55" i="6"/>
  <c r="C13" i="11" s="1"/>
  <c r="C305" i="1"/>
  <c r="B305" i="1" s="1"/>
  <c r="B304" i="1"/>
  <c r="B302" i="1"/>
  <c r="B306" i="1"/>
  <c r="B299" i="1"/>
  <c r="B300" i="1"/>
  <c r="B303" i="1"/>
  <c r="O48" i="5"/>
  <c r="E79" i="7"/>
  <c r="B144" i="1"/>
  <c r="E25" i="9"/>
  <c r="E114" i="7"/>
  <c r="E14" i="6"/>
  <c r="E23" i="6"/>
  <c r="C19" i="11" s="1"/>
  <c r="C93" i="1"/>
  <c r="B93" i="1" s="1"/>
  <c r="C111" i="1"/>
  <c r="B111" i="1" s="1"/>
  <c r="C129" i="1"/>
  <c r="B129" i="1" s="1"/>
  <c r="B327" i="1"/>
  <c r="B345" i="1"/>
  <c r="E360" i="1"/>
  <c r="E26" i="7"/>
  <c r="G10" i="9"/>
  <c r="B85" i="1"/>
  <c r="C84" i="1"/>
  <c r="B84" i="1" s="1"/>
  <c r="B81" i="1"/>
  <c r="B82" i="1"/>
  <c r="B83" i="1"/>
  <c r="B92" i="1"/>
  <c r="B89" i="1"/>
  <c r="B90" i="1"/>
  <c r="B91" i="1"/>
  <c r="B88" i="1"/>
  <c r="B87" i="1"/>
  <c r="B108" i="1"/>
  <c r="B105" i="1"/>
  <c r="B107" i="1"/>
  <c r="B106" i="1"/>
  <c r="B110" i="1"/>
  <c r="B109" i="1"/>
  <c r="B125" i="1"/>
  <c r="B124" i="1"/>
  <c r="B126" i="1"/>
  <c r="B128" i="1"/>
  <c r="B127" i="1"/>
  <c r="B123" i="1"/>
  <c r="E91" i="6"/>
  <c r="C20" i="10" s="1"/>
  <c r="C72" i="1"/>
  <c r="B72" i="1" s="1"/>
  <c r="B71" i="1"/>
  <c r="B69" i="1"/>
  <c r="B70" i="1"/>
  <c r="B76" i="1"/>
  <c r="B137" i="1"/>
  <c r="C176" i="1"/>
  <c r="B176" i="1" s="1"/>
  <c r="B175" i="1"/>
  <c r="B174" i="1"/>
  <c r="B177" i="1"/>
  <c r="B173" i="1"/>
  <c r="B277" i="1"/>
  <c r="B284" i="1"/>
  <c r="B292" i="1"/>
  <c r="C11" i="11"/>
  <c r="C78" i="1"/>
  <c r="B78" i="1" s="1"/>
  <c r="B77" i="1"/>
  <c r="B75" i="1"/>
  <c r="B79" i="1"/>
  <c r="B145" i="1"/>
  <c r="B141" i="1"/>
  <c r="B146" i="1"/>
  <c r="B143" i="1"/>
  <c r="B142" i="1"/>
  <c r="C147" i="1"/>
  <c r="B147" i="1" s="1"/>
  <c r="B148" i="1"/>
  <c r="B275" i="1"/>
  <c r="C287" i="1"/>
  <c r="B287" i="1" s="1"/>
  <c r="B283" i="1"/>
  <c r="B285" i="1"/>
  <c r="B281" i="1"/>
  <c r="B315" i="1"/>
  <c r="B312" i="1"/>
  <c r="C314" i="1"/>
  <c r="B314" i="1" s="1"/>
  <c r="B310" i="1"/>
  <c r="B311" i="1"/>
  <c r="B313" i="1"/>
  <c r="A38" i="7"/>
  <c r="A39" i="7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B98" i="1"/>
  <c r="B99" i="1"/>
  <c r="C102" i="1"/>
  <c r="B102" i="1" s="1"/>
  <c r="B103" i="1"/>
  <c r="B114" i="1"/>
  <c r="B115" i="1"/>
  <c r="B118" i="1"/>
  <c r="B119" i="1"/>
  <c r="B134" i="1"/>
  <c r="B135" i="1"/>
  <c r="C138" i="1"/>
  <c r="B138" i="1" s="1"/>
  <c r="B139" i="1"/>
  <c r="B169" i="1"/>
  <c r="B170" i="1"/>
  <c r="B179" i="1"/>
  <c r="B180" i="1"/>
  <c r="B183" i="1"/>
  <c r="B185" i="1"/>
  <c r="B187" i="1"/>
  <c r="B189" i="1"/>
  <c r="B191" i="1"/>
  <c r="B195" i="1"/>
  <c r="B197" i="1"/>
  <c r="B199" i="1"/>
  <c r="B201" i="1"/>
  <c r="B203" i="1"/>
  <c r="B205" i="1"/>
  <c r="B207" i="1"/>
  <c r="B209" i="1"/>
  <c r="B213" i="1"/>
  <c r="B215" i="1"/>
  <c r="B217" i="1"/>
  <c r="B219" i="1"/>
  <c r="B221" i="1"/>
  <c r="B223" i="1"/>
  <c r="B225" i="1"/>
  <c r="B227" i="1"/>
  <c r="B231" i="1"/>
  <c r="B233" i="1"/>
  <c r="B235" i="1"/>
  <c r="B237" i="1"/>
  <c r="B239" i="1"/>
  <c r="B241" i="1"/>
  <c r="B243" i="1"/>
  <c r="B245" i="1"/>
  <c r="B263" i="1"/>
  <c r="B265" i="1"/>
  <c r="B266" i="1"/>
  <c r="B276" i="1"/>
  <c r="B297" i="1"/>
  <c r="B290" i="1"/>
  <c r="B295" i="1"/>
  <c r="B323" i="1"/>
  <c r="B324" i="1"/>
  <c r="B320" i="1"/>
  <c r="B333" i="1"/>
  <c r="B330" i="1"/>
  <c r="B326" i="1"/>
  <c r="B329" i="1"/>
  <c r="B331" i="1"/>
  <c r="B96" i="1"/>
  <c r="B97" i="1"/>
  <c r="B100" i="1"/>
  <c r="B116" i="1"/>
  <c r="B117" i="1"/>
  <c r="C120" i="1"/>
  <c r="B120" i="1" s="1"/>
  <c r="B136" i="1"/>
  <c r="B167" i="1"/>
  <c r="B168" i="1"/>
  <c r="B181" i="1"/>
  <c r="B186" i="1"/>
  <c r="B188" i="1"/>
  <c r="B190" i="1"/>
  <c r="B194" i="1"/>
  <c r="B196" i="1"/>
  <c r="B198" i="1"/>
  <c r="B204" i="1"/>
  <c r="B206" i="1"/>
  <c r="B208" i="1"/>
  <c r="B212" i="1"/>
  <c r="B214" i="1"/>
  <c r="B216" i="1"/>
  <c r="B222" i="1"/>
  <c r="B224" i="1"/>
  <c r="B226" i="1"/>
  <c r="B230" i="1"/>
  <c r="B232" i="1"/>
  <c r="B234" i="1"/>
  <c r="B240" i="1"/>
  <c r="B242" i="1"/>
  <c r="B244" i="1"/>
  <c r="B264" i="1"/>
  <c r="B341" i="1"/>
  <c r="B337" i="1"/>
  <c r="B339" i="1"/>
  <c r="B346" i="1"/>
  <c r="E374" i="1"/>
  <c r="A3" i="8"/>
  <c r="A3" i="7"/>
  <c r="A2" i="9" s="1"/>
  <c r="A2" i="10" s="1"/>
  <c r="A2" i="11" s="1"/>
  <c r="A3" i="5"/>
  <c r="A3" i="6"/>
  <c r="E85" i="7"/>
  <c r="E66" i="6"/>
  <c r="C14" i="11" s="1"/>
  <c r="E134" i="6"/>
  <c r="E9" i="9"/>
  <c r="E10" i="9"/>
  <c r="E47" i="6"/>
  <c r="C25" i="9"/>
  <c r="E121" i="7"/>
  <c r="E19" i="6"/>
  <c r="C17" i="11" s="1"/>
  <c r="A176" i="1" l="1"/>
  <c r="A177" i="1" s="1"/>
  <c r="A178" i="1" s="1"/>
  <c r="A179" i="1" s="1"/>
  <c r="A180" i="1" s="1"/>
  <c r="A181" i="1" s="1"/>
  <c r="A78" i="1"/>
  <c r="A79" i="1" s="1"/>
  <c r="A80" i="1" s="1"/>
  <c r="A81" i="1" s="1"/>
  <c r="A82" i="1" s="1"/>
  <c r="A83" i="1" s="1"/>
  <c r="B328" i="1"/>
  <c r="B308" i="1"/>
  <c r="C19" i="10"/>
  <c r="C21" i="10" s="1"/>
  <c r="C12" i="11"/>
  <c r="E125" i="6"/>
  <c r="E144" i="7"/>
  <c r="E146" i="7" s="1"/>
  <c r="B301" i="1"/>
  <c r="E48" i="5"/>
  <c r="B318" i="1"/>
  <c r="B282" i="1"/>
  <c r="E50" i="7"/>
  <c r="C16" i="11"/>
  <c r="C10" i="11"/>
  <c r="E109" i="7"/>
  <c r="B340" i="1"/>
  <c r="B319" i="1"/>
  <c r="B293" i="1"/>
  <c r="D25" i="9"/>
  <c r="D26" i="9" s="1"/>
  <c r="E11" i="5"/>
  <c r="G9" i="9"/>
  <c r="E64" i="7"/>
  <c r="C9" i="10"/>
  <c r="E95" i="6"/>
  <c r="E97" i="6" s="1"/>
  <c r="E73" i="7"/>
  <c r="E20" i="7"/>
  <c r="B338" i="1"/>
  <c r="B321" i="1"/>
  <c r="B322" i="1"/>
  <c r="B294" i="1"/>
  <c r="B269" i="1"/>
  <c r="F25" i="9"/>
  <c r="F26" i="9" s="1"/>
  <c r="E79" i="6"/>
  <c r="B336" i="1"/>
  <c r="B309" i="1"/>
  <c r="B286" i="1"/>
  <c r="E14" i="7"/>
  <c r="C13" i="10" s="1"/>
  <c r="T129" i="1"/>
  <c r="U120" i="1"/>
  <c r="J147" i="1"/>
  <c r="K120" i="1"/>
  <c r="M102" i="1"/>
  <c r="L102" i="1"/>
  <c r="K129" i="1"/>
  <c r="U102" i="1"/>
  <c r="U93" i="1"/>
  <c r="T93" i="1"/>
  <c r="O102" i="1"/>
  <c r="O93" i="1"/>
  <c r="A182" i="1" l="1"/>
  <c r="A247" i="1" s="1"/>
  <c r="A248" i="1" s="1"/>
  <c r="A249" i="1" s="1"/>
  <c r="A250" i="1" s="1"/>
  <c r="A251" i="1" s="1"/>
  <c r="A252" i="1" s="1"/>
  <c r="A84" i="1"/>
  <c r="A149" i="1" s="1"/>
  <c r="A150" i="1" s="1"/>
  <c r="A151" i="1" s="1"/>
  <c r="A152" i="1" s="1"/>
  <c r="A153" i="1" s="1"/>
  <c r="N147" i="1"/>
  <c r="M147" i="1"/>
  <c r="S147" i="1"/>
  <c r="G111" i="1"/>
  <c r="N102" i="1"/>
  <c r="L147" i="1"/>
  <c r="H102" i="1"/>
  <c r="S138" i="1"/>
  <c r="S120" i="1"/>
  <c r="U147" i="1"/>
  <c r="O147" i="1"/>
  <c r="O129" i="1"/>
  <c r="M120" i="1"/>
  <c r="U138" i="1"/>
  <c r="H111" i="1"/>
  <c r="S111" i="1"/>
  <c r="N93" i="1"/>
  <c r="T138" i="1"/>
  <c r="K138" i="1"/>
  <c r="I120" i="1"/>
  <c r="K102" i="1"/>
  <c r="U71" i="1"/>
  <c r="N129" i="1"/>
  <c r="T111" i="1"/>
  <c r="L120" i="1"/>
  <c r="E110" i="1"/>
  <c r="C10" i="9"/>
  <c r="C24" i="10"/>
  <c r="E50" i="5"/>
  <c r="U77" i="1"/>
  <c r="E127" i="1"/>
  <c r="E89" i="1"/>
  <c r="H138" i="1"/>
  <c r="J111" i="1"/>
  <c r="U111" i="1"/>
  <c r="N120" i="1"/>
  <c r="H93" i="1"/>
  <c r="S93" i="1"/>
  <c r="N111" i="1"/>
  <c r="E100" i="1"/>
  <c r="U129" i="1"/>
  <c r="E123" i="1"/>
  <c r="G129" i="1"/>
  <c r="E98" i="1"/>
  <c r="M138" i="1"/>
  <c r="H147" i="1"/>
  <c r="J93" i="1"/>
  <c r="M93" i="1"/>
  <c r="E126" i="1"/>
  <c r="G102" i="1"/>
  <c r="E96" i="1"/>
  <c r="J129" i="1"/>
  <c r="E128" i="1"/>
  <c r="G93" i="1"/>
  <c r="J120" i="1"/>
  <c r="E125" i="1"/>
  <c r="G120" i="1"/>
  <c r="E124" i="1"/>
  <c r="M111" i="1"/>
  <c r="E143" i="1"/>
  <c r="E119" i="1"/>
  <c r="E107" i="1"/>
  <c r="S102" i="1"/>
  <c r="N138" i="1"/>
  <c r="E135" i="1"/>
  <c r="L129" i="1"/>
  <c r="O120" i="1"/>
  <c r="M129" i="1"/>
  <c r="E137" i="1"/>
  <c r="E144" i="1"/>
  <c r="J102" i="1"/>
  <c r="E116" i="1"/>
  <c r="E118" i="1"/>
  <c r="E117" i="1"/>
  <c r="E146" i="1"/>
  <c r="I111" i="1"/>
  <c r="O138" i="1"/>
  <c r="S129" i="1"/>
  <c r="I102" i="1"/>
  <c r="K147" i="1"/>
  <c r="T147" i="1"/>
  <c r="E106" i="1"/>
  <c r="L93" i="1"/>
  <c r="G147" i="1"/>
  <c r="I147" i="1"/>
  <c r="C8" i="10"/>
  <c r="C10" i="10" s="1"/>
  <c r="C23" i="11"/>
  <c r="E81" i="6"/>
  <c r="E99" i="6" s="1"/>
  <c r="E141" i="6" s="1"/>
  <c r="C21" i="11"/>
  <c r="K111" i="1"/>
  <c r="E145" i="1"/>
  <c r="P147" i="1"/>
  <c r="R147" i="1"/>
  <c r="E115" i="1"/>
  <c r="E136" i="1"/>
  <c r="E142" i="1"/>
  <c r="I129" i="1"/>
  <c r="L138" i="1"/>
  <c r="G138" i="1"/>
  <c r="E132" i="1"/>
  <c r="E91" i="1"/>
  <c r="E92" i="1"/>
  <c r="R120" i="1"/>
  <c r="I93" i="1"/>
  <c r="E90" i="1"/>
  <c r="E99" i="1"/>
  <c r="T102" i="1"/>
  <c r="I138" i="1"/>
  <c r="E88" i="1"/>
  <c r="E109" i="1"/>
  <c r="E101" i="1"/>
  <c r="E133" i="1"/>
  <c r="J138" i="1"/>
  <c r="E134" i="1"/>
  <c r="K93" i="1"/>
  <c r="E108" i="1"/>
  <c r="E97" i="1"/>
  <c r="T120" i="1"/>
  <c r="L111" i="1"/>
  <c r="H129" i="1"/>
  <c r="O111" i="1"/>
  <c r="E77" i="1"/>
  <c r="H120" i="1"/>
  <c r="E66" i="7"/>
  <c r="C12" i="10" s="1"/>
  <c r="C23" i="10"/>
  <c r="C25" i="10" s="1"/>
  <c r="C27" i="10" s="1"/>
  <c r="C9" i="9"/>
  <c r="F9" i="9" s="1"/>
  <c r="L363" i="1"/>
  <c r="C14" i="10"/>
  <c r="K15" i="5"/>
  <c r="H339" i="1"/>
  <c r="G302" i="1"/>
  <c r="H285" i="1"/>
  <c r="I309" i="1"/>
  <c r="H291" i="1"/>
  <c r="I300" i="1"/>
  <c r="I321" i="1"/>
  <c r="M363" i="1"/>
  <c r="J363" i="1"/>
  <c r="G15" i="5"/>
  <c r="I276" i="1"/>
  <c r="I312" i="1"/>
  <c r="H312" i="1"/>
  <c r="I286" i="1"/>
  <c r="I322" i="1"/>
  <c r="G304" i="1"/>
  <c r="G300" i="1"/>
  <c r="G283" i="1"/>
  <c r="I302" i="1"/>
  <c r="G282" i="1"/>
  <c r="I303" i="1"/>
  <c r="G284" i="1"/>
  <c r="H328" i="1"/>
  <c r="R15" i="5"/>
  <c r="H15" i="5"/>
  <c r="S15" i="5"/>
  <c r="F15" i="5"/>
  <c r="G363" i="1"/>
  <c r="P363" i="1"/>
  <c r="H363" i="1"/>
  <c r="I301" i="1"/>
  <c r="H302" i="1"/>
  <c r="I310" i="1"/>
  <c r="G293" i="1"/>
  <c r="I304" i="1"/>
  <c r="G292" i="1"/>
  <c r="I320" i="1"/>
  <c r="H327" i="1"/>
  <c r="H337" i="1"/>
  <c r="G301" i="1"/>
  <c r="I340" i="1"/>
  <c r="H338" i="1"/>
  <c r="H330" i="1"/>
  <c r="G328" i="1"/>
  <c r="G285" i="1"/>
  <c r="I313" i="1"/>
  <c r="H276" i="1"/>
  <c r="L15" i="5"/>
  <c r="N15" i="5"/>
  <c r="O363" i="1"/>
  <c r="I15" i="5"/>
  <c r="I319" i="1"/>
  <c r="H282" i="1"/>
  <c r="G310" i="1"/>
  <c r="H322" i="1"/>
  <c r="G339" i="1"/>
  <c r="H283" i="1"/>
  <c r="H292" i="1"/>
  <c r="G309" i="1"/>
  <c r="H340" i="1"/>
  <c r="G294" i="1"/>
  <c r="H329" i="1"/>
  <c r="G336" i="1"/>
  <c r="I337" i="1"/>
  <c r="I285" i="1"/>
  <c r="G331" i="1"/>
  <c r="G291" i="1"/>
  <c r="H331" i="1"/>
  <c r="I295" i="1"/>
  <c r="I271" i="1"/>
  <c r="G318" i="1"/>
  <c r="I292" i="1"/>
  <c r="G271" i="1"/>
  <c r="G303" i="1"/>
  <c r="I284" i="1"/>
  <c r="I265" i="1"/>
  <c r="G286" i="1"/>
  <c r="H271" i="1"/>
  <c r="I336" i="1"/>
  <c r="G337" i="1"/>
  <c r="I291" i="1"/>
  <c r="I328" i="1"/>
  <c r="G338" i="1"/>
  <c r="H295" i="1"/>
  <c r="H294" i="1"/>
  <c r="A154" i="1" l="1"/>
  <c r="A155" i="1" s="1"/>
  <c r="A156" i="1" s="1"/>
  <c r="I11" i="5"/>
  <c r="E82" i="1"/>
  <c r="J319" i="1"/>
  <c r="W214" i="1"/>
  <c r="F26" i="7"/>
  <c r="J336" i="1"/>
  <c r="J15" i="5"/>
  <c r="P93" i="1"/>
  <c r="E141" i="1"/>
  <c r="E147" i="1" s="1"/>
  <c r="R138" i="1"/>
  <c r="R111" i="1"/>
  <c r="P129" i="1"/>
  <c r="P102" i="1"/>
  <c r="H11" i="5"/>
  <c r="J331" i="1"/>
  <c r="W199" i="1"/>
  <c r="J310" i="1"/>
  <c r="W186" i="1"/>
  <c r="W217" i="1"/>
  <c r="J284" i="1"/>
  <c r="J311" i="1"/>
  <c r="J339" i="1"/>
  <c r="J271" i="1"/>
  <c r="J330" i="1"/>
  <c r="O26" i="7"/>
  <c r="W187" i="1"/>
  <c r="D9" i="9"/>
  <c r="D11" i="9"/>
  <c r="P120" i="1"/>
  <c r="F11" i="9"/>
  <c r="P111" i="1"/>
  <c r="R102" i="1"/>
  <c r="E105" i="1"/>
  <c r="E111" i="1" s="1"/>
  <c r="W235" i="1"/>
  <c r="W244" i="1"/>
  <c r="J301" i="1"/>
  <c r="L26" i="7"/>
  <c r="W188" i="1"/>
  <c r="J300" i="1"/>
  <c r="J309" i="1"/>
  <c r="E8" i="8"/>
  <c r="C15" i="10"/>
  <c r="C17" i="10" s="1"/>
  <c r="C29" i="10" s="1"/>
  <c r="C33" i="10" s="1"/>
  <c r="E138" i="1"/>
  <c r="E148" i="7"/>
  <c r="E114" i="1"/>
  <c r="E120" i="1" s="1"/>
  <c r="E87" i="1"/>
  <c r="E93" i="1" s="1"/>
  <c r="D10" i="9"/>
  <c r="F10" i="9"/>
  <c r="E71" i="1"/>
  <c r="F11" i="5"/>
  <c r="W206" i="1"/>
  <c r="J312" i="1"/>
  <c r="I26" i="7"/>
  <c r="J302" i="1"/>
  <c r="J328" i="1"/>
  <c r="G26" i="7"/>
  <c r="N26" i="7"/>
  <c r="J327" i="1"/>
  <c r="W205" i="1"/>
  <c r="J303" i="1"/>
  <c r="W207" i="1"/>
  <c r="W196" i="1"/>
  <c r="J320" i="1"/>
  <c r="W225" i="1"/>
  <c r="J282" i="1"/>
  <c r="R93" i="1"/>
  <c r="C25" i="11"/>
  <c r="P138" i="1"/>
  <c r="E102" i="1"/>
  <c r="E129" i="1"/>
  <c r="U82" i="1"/>
  <c r="R129" i="1"/>
  <c r="G11" i="5"/>
  <c r="O20" i="7"/>
  <c r="H20" i="7"/>
  <c r="J294" i="1"/>
  <c r="K20" i="7"/>
  <c r="K26" i="7"/>
  <c r="I363" i="1"/>
  <c r="M15" i="5"/>
  <c r="H26" i="7"/>
  <c r="E310" i="1"/>
  <c r="E320" i="1"/>
  <c r="E330" i="1"/>
  <c r="E302" i="1"/>
  <c r="E295" i="1"/>
  <c r="I331" i="1"/>
  <c r="H321" i="1"/>
  <c r="W234" i="1"/>
  <c r="U218" i="1"/>
  <c r="I330" i="1"/>
  <c r="E283" i="1"/>
  <c r="G295" i="1"/>
  <c r="J291" i="1"/>
  <c r="J286" i="1"/>
  <c r="J304" i="1"/>
  <c r="G313" i="1"/>
  <c r="H309" i="1"/>
  <c r="E319" i="1"/>
  <c r="H311" i="1"/>
  <c r="U209" i="1"/>
  <c r="H318" i="1"/>
  <c r="J283" i="1"/>
  <c r="E339" i="1"/>
  <c r="I311" i="1"/>
  <c r="E331" i="1"/>
  <c r="E337" i="1"/>
  <c r="H304" i="1"/>
  <c r="I282" i="1"/>
  <c r="J292" i="1"/>
  <c r="G329" i="1"/>
  <c r="E300" i="1"/>
  <c r="G340" i="1"/>
  <c r="G321" i="1"/>
  <c r="H313" i="1"/>
  <c r="E311" i="1"/>
  <c r="U236" i="1"/>
  <c r="E282" i="1"/>
  <c r="E294" i="1"/>
  <c r="U191" i="1"/>
  <c r="U200" i="1"/>
  <c r="H303" i="1"/>
  <c r="J322" i="1"/>
  <c r="E309" i="1"/>
  <c r="H319" i="1"/>
  <c r="E284" i="1"/>
  <c r="E338" i="1"/>
  <c r="H265" i="1"/>
  <c r="J293" i="1"/>
  <c r="I338" i="1"/>
  <c r="H300" i="1"/>
  <c r="G322" i="1"/>
  <c r="E303" i="1"/>
  <c r="H284" i="1"/>
  <c r="U227" i="1"/>
  <c r="J295" i="1"/>
  <c r="E340" i="1"/>
  <c r="E286" i="1"/>
  <c r="E285" i="1"/>
  <c r="E293" i="1"/>
  <c r="E322" i="1"/>
  <c r="G320" i="1"/>
  <c r="G330" i="1"/>
  <c r="E329" i="1"/>
  <c r="I293" i="1"/>
  <c r="H286" i="1"/>
  <c r="E318" i="1"/>
  <c r="J313" i="1"/>
  <c r="J340" i="1"/>
  <c r="J265" i="1"/>
  <c r="H320" i="1"/>
  <c r="H301" i="1"/>
  <c r="J338" i="1"/>
  <c r="G276" i="1"/>
  <c r="J321" i="1"/>
  <c r="H310" i="1"/>
  <c r="J285" i="1"/>
  <c r="J276" i="1"/>
  <c r="I329" i="1"/>
  <c r="I283" i="1"/>
  <c r="E301" i="1"/>
  <c r="E328" i="1"/>
  <c r="E327" i="1"/>
  <c r="G327" i="1"/>
  <c r="E304" i="1"/>
  <c r="E292" i="1"/>
  <c r="E336" i="1"/>
  <c r="H293" i="1"/>
  <c r="H336" i="1"/>
  <c r="J318" i="1"/>
  <c r="G265" i="1"/>
  <c r="G319" i="1"/>
  <c r="W224" i="1"/>
  <c r="E291" i="1"/>
  <c r="I318" i="1"/>
  <c r="G311" i="1"/>
  <c r="E313" i="1"/>
  <c r="W231" i="1"/>
  <c r="I294" i="1"/>
  <c r="E321" i="1"/>
  <c r="I327" i="1"/>
  <c r="W213" i="1"/>
  <c r="G312" i="1"/>
  <c r="E312" i="1"/>
  <c r="I339" i="1"/>
  <c r="U245" i="1"/>
  <c r="E32" i="8" l="1"/>
  <c r="D32" i="8" s="1"/>
  <c r="E9" i="8"/>
  <c r="D9" i="8" s="1"/>
  <c r="E33" i="8"/>
  <c r="D33" i="8" s="1"/>
  <c r="J209" i="1"/>
  <c r="J299" i="1"/>
  <c r="L245" i="1"/>
  <c r="S245" i="1"/>
  <c r="J236" i="1"/>
  <c r="J326" i="1"/>
  <c r="N218" i="1"/>
  <c r="H227" i="1"/>
  <c r="H317" i="1"/>
  <c r="T236" i="1"/>
  <c r="L200" i="1"/>
  <c r="W216" i="1"/>
  <c r="R312" i="1"/>
  <c r="R209" i="1"/>
  <c r="W203" i="1"/>
  <c r="R299" i="1"/>
  <c r="L191" i="1"/>
  <c r="G290" i="1"/>
  <c r="G200" i="1"/>
  <c r="P236" i="1"/>
  <c r="G209" i="1"/>
  <c r="G299" i="1"/>
  <c r="W204" i="1"/>
  <c r="R300" i="1"/>
  <c r="P227" i="1"/>
  <c r="L218" i="1"/>
  <c r="I245" i="1"/>
  <c r="I335" i="1"/>
  <c r="T209" i="1"/>
  <c r="J200" i="1"/>
  <c r="J290" i="1"/>
  <c r="P209" i="1"/>
  <c r="K363" i="1"/>
  <c r="T64" i="6"/>
  <c r="U64" i="6" s="1"/>
  <c r="T130" i="7"/>
  <c r="U130" i="7"/>
  <c r="I50" i="1"/>
  <c r="T41" i="6"/>
  <c r="U41" i="6" s="1"/>
  <c r="T98" i="7"/>
  <c r="U98" i="7"/>
  <c r="T94" i="7"/>
  <c r="U94" i="7"/>
  <c r="U100" i="7"/>
  <c r="T100" i="7"/>
  <c r="U132" i="7"/>
  <c r="U101" i="7"/>
  <c r="T101" i="7"/>
  <c r="U34" i="7"/>
  <c r="T34" i="7"/>
  <c r="U105" i="7"/>
  <c r="T105" i="7"/>
  <c r="U42" i="5"/>
  <c r="H50" i="1"/>
  <c r="T39" i="7"/>
  <c r="U39" i="7"/>
  <c r="U14" i="5"/>
  <c r="U15" i="5" s="1"/>
  <c r="Q15" i="5"/>
  <c r="T14" i="5"/>
  <c r="T15" i="5" s="1"/>
  <c r="T18" i="7"/>
  <c r="U18" i="7"/>
  <c r="U88" i="7"/>
  <c r="R26" i="7"/>
  <c r="I236" i="1"/>
  <c r="I326" i="1"/>
  <c r="W232" i="1"/>
  <c r="R328" i="1"/>
  <c r="P191" i="1"/>
  <c r="N227" i="1"/>
  <c r="R335" i="1"/>
  <c r="R245" i="1"/>
  <c r="W239" i="1"/>
  <c r="W226" i="1"/>
  <c r="R322" i="1"/>
  <c r="E227" i="1"/>
  <c r="E317" i="1"/>
  <c r="O245" i="1"/>
  <c r="M245" i="1"/>
  <c r="H191" i="1"/>
  <c r="H281" i="1"/>
  <c r="R191" i="1"/>
  <c r="W185" i="1"/>
  <c r="R281" i="1"/>
  <c r="I218" i="1"/>
  <c r="I308" i="1"/>
  <c r="P218" i="1"/>
  <c r="H200" i="1"/>
  <c r="H290" i="1"/>
  <c r="I191" i="1"/>
  <c r="I281" i="1"/>
  <c r="J227" i="1"/>
  <c r="J317" i="1"/>
  <c r="K209" i="1"/>
  <c r="K200" i="1"/>
  <c r="T200" i="1"/>
  <c r="T218" i="1"/>
  <c r="N236" i="1"/>
  <c r="S209" i="1"/>
  <c r="R339" i="1"/>
  <c r="W243" i="1"/>
  <c r="O209" i="1"/>
  <c r="I227" i="1"/>
  <c r="I317" i="1"/>
  <c r="K245" i="1"/>
  <c r="T227" i="1"/>
  <c r="O200" i="1"/>
  <c r="L209" i="1"/>
  <c r="G227" i="1"/>
  <c r="G317" i="1"/>
  <c r="L236" i="1"/>
  <c r="M227" i="1"/>
  <c r="G191" i="1"/>
  <c r="G281" i="1"/>
  <c r="K218" i="1"/>
  <c r="N363" i="1"/>
  <c r="T124" i="7"/>
  <c r="T36" i="7"/>
  <c r="T26" i="5"/>
  <c r="T52" i="6"/>
  <c r="U52" i="6" s="1"/>
  <c r="W197" i="1"/>
  <c r="R293" i="1"/>
  <c r="U33" i="5"/>
  <c r="T33" i="5"/>
  <c r="T53" i="6"/>
  <c r="U53" i="6" s="1"/>
  <c r="U24" i="5"/>
  <c r="T24" i="5"/>
  <c r="U46" i="7"/>
  <c r="U48" i="7"/>
  <c r="T48" i="7"/>
  <c r="T47" i="7"/>
  <c r="U47" i="7"/>
  <c r="U30" i="7"/>
  <c r="T30" i="7"/>
  <c r="U103" i="7"/>
  <c r="T103" i="7"/>
  <c r="W180" i="1"/>
  <c r="R276" i="1"/>
  <c r="U32" i="5"/>
  <c r="T32" i="5"/>
  <c r="T89" i="6"/>
  <c r="U89" i="6" s="1"/>
  <c r="U20" i="5"/>
  <c r="T20" i="5"/>
  <c r="U25" i="5"/>
  <c r="J337" i="1"/>
  <c r="T60" i="6"/>
  <c r="U60" i="6" s="1"/>
  <c r="W222" i="1"/>
  <c r="T133" i="6"/>
  <c r="U133" i="6" s="1"/>
  <c r="T132" i="6"/>
  <c r="U132" i="6" s="1"/>
  <c r="U9" i="5"/>
  <c r="W215" i="1"/>
  <c r="R311" i="1"/>
  <c r="J218" i="1"/>
  <c r="J308" i="1"/>
  <c r="N200" i="1"/>
  <c r="M209" i="1"/>
  <c r="M191" i="1"/>
  <c r="I200" i="1"/>
  <c r="I290" i="1"/>
  <c r="N209" i="1"/>
  <c r="H218" i="1"/>
  <c r="H308" i="1"/>
  <c r="T245" i="1"/>
  <c r="S236" i="1"/>
  <c r="S191" i="1"/>
  <c r="S200" i="1"/>
  <c r="W240" i="1"/>
  <c r="R336" i="1"/>
  <c r="R218" i="1"/>
  <c r="W212" i="1"/>
  <c r="R308" i="1"/>
  <c r="S227" i="1"/>
  <c r="K236" i="1"/>
  <c r="N245" i="1"/>
  <c r="W241" i="1"/>
  <c r="R337" i="1"/>
  <c r="W242" i="1"/>
  <c r="R338" i="1"/>
  <c r="P245" i="1"/>
  <c r="R200" i="1"/>
  <c r="W194" i="1"/>
  <c r="R290" i="1"/>
  <c r="T63" i="6"/>
  <c r="U63" i="6" s="1"/>
  <c r="T51" i="6"/>
  <c r="U51" i="6" s="1"/>
  <c r="T25" i="5"/>
  <c r="T141" i="7"/>
  <c r="T128" i="7"/>
  <c r="T25" i="7"/>
  <c r="U25" i="7"/>
  <c r="U124" i="7"/>
  <c r="T23" i="7"/>
  <c r="Q26" i="7"/>
  <c r="U23" i="7"/>
  <c r="U99" i="7"/>
  <c r="D8" i="8"/>
  <c r="U26" i="5"/>
  <c r="T96" i="7"/>
  <c r="U96" i="7"/>
  <c r="T92" i="7"/>
  <c r="U92" i="7"/>
  <c r="T54" i="6"/>
  <c r="U54" i="6" s="1"/>
  <c r="G50" i="1"/>
  <c r="U36" i="7"/>
  <c r="T35" i="7"/>
  <c r="U35" i="7"/>
  <c r="U107" i="7"/>
  <c r="T107" i="7"/>
  <c r="U40" i="7"/>
  <c r="T40" i="7"/>
  <c r="U82" i="7"/>
  <c r="T82" i="7"/>
  <c r="U141" i="7"/>
  <c r="U90" i="7"/>
  <c r="T90" i="7"/>
  <c r="T43" i="7"/>
  <c r="U43" i="7"/>
  <c r="T125" i="7"/>
  <c r="U125" i="7"/>
  <c r="J329" i="1"/>
  <c r="T131" i="7"/>
  <c r="U131" i="7"/>
  <c r="T109" i="6"/>
  <c r="U109" i="6" s="1"/>
  <c r="U24" i="7"/>
  <c r="T18" i="6"/>
  <c r="U18" i="6" s="1"/>
  <c r="Q11" i="5"/>
  <c r="U8" i="5"/>
  <c r="E218" i="1"/>
  <c r="E308" i="1"/>
  <c r="J245" i="1"/>
  <c r="J335" i="1"/>
  <c r="G245" i="1"/>
  <c r="G335" i="1"/>
  <c r="W190" i="1"/>
  <c r="R286" i="1"/>
  <c r="T191" i="1"/>
  <c r="O236" i="1"/>
  <c r="G236" i="1"/>
  <c r="G326" i="1"/>
  <c r="E209" i="1"/>
  <c r="E299" i="1"/>
  <c r="E191" i="1"/>
  <c r="E281" i="1"/>
  <c r="I209" i="1"/>
  <c r="I299" i="1"/>
  <c r="M218" i="1"/>
  <c r="O227" i="1"/>
  <c r="W189" i="1"/>
  <c r="R285" i="1"/>
  <c r="J191" i="1"/>
  <c r="J281" i="1"/>
  <c r="P200" i="1"/>
  <c r="G218" i="1"/>
  <c r="G308" i="1"/>
  <c r="R291" i="1"/>
  <c r="W195" i="1"/>
  <c r="R227" i="1"/>
  <c r="W221" i="1"/>
  <c r="R317" i="1"/>
  <c r="W208" i="1"/>
  <c r="R304" i="1"/>
  <c r="L227" i="1"/>
  <c r="R236" i="1"/>
  <c r="W230" i="1"/>
  <c r="R326" i="1"/>
  <c r="H245" i="1"/>
  <c r="H335" i="1"/>
  <c r="M236" i="1"/>
  <c r="O218" i="1"/>
  <c r="H236" i="1"/>
  <c r="H326" i="1"/>
  <c r="E200" i="1"/>
  <c r="E290" i="1"/>
  <c r="K191" i="1"/>
  <c r="N191" i="1"/>
  <c r="H209" i="1"/>
  <c r="H299" i="1"/>
  <c r="K227" i="1"/>
  <c r="O191" i="1"/>
  <c r="M200" i="1"/>
  <c r="S218" i="1"/>
  <c r="T132" i="7"/>
  <c r="T24" i="7"/>
  <c r="T46" i="7"/>
  <c r="T62" i="6"/>
  <c r="U62" i="6" s="1"/>
  <c r="T83" i="7"/>
  <c r="T88" i="7"/>
  <c r="M20" i="7"/>
  <c r="M26" i="7"/>
  <c r="T99" i="7"/>
  <c r="T42" i="5"/>
  <c r="W198" i="1"/>
  <c r="T19" i="7"/>
  <c r="U19" i="7"/>
  <c r="T71" i="7"/>
  <c r="U71" i="7"/>
  <c r="T65" i="6"/>
  <c r="U65" i="6" s="1"/>
  <c r="T29" i="7"/>
  <c r="U29" i="7"/>
  <c r="U104" i="7"/>
  <c r="T104" i="7"/>
  <c r="U102" i="7"/>
  <c r="T102" i="7"/>
  <c r="T138" i="7"/>
  <c r="U138" i="7"/>
  <c r="U18" i="5"/>
  <c r="T18" i="5"/>
  <c r="T111" i="6"/>
  <c r="U111" i="6" s="1"/>
  <c r="U12" i="7"/>
  <c r="T12" i="7"/>
  <c r="U19" i="5"/>
  <c r="T19" i="5"/>
  <c r="T84" i="6"/>
  <c r="U89" i="7"/>
  <c r="T89" i="7"/>
  <c r="U40" i="5"/>
  <c r="T40" i="5"/>
  <c r="W223" i="1"/>
  <c r="J50" i="1"/>
  <c r="U83" i="7"/>
  <c r="T59" i="6"/>
  <c r="U59" i="6" s="1"/>
  <c r="W233" i="1"/>
  <c r="U128" i="7"/>
  <c r="U10" i="5"/>
  <c r="F20" i="7"/>
  <c r="L85" i="7"/>
  <c r="H85" i="7"/>
  <c r="G85" i="7"/>
  <c r="L20" i="7"/>
  <c r="I85" i="7"/>
  <c r="K85" i="7"/>
  <c r="N85" i="7"/>
  <c r="F85" i="7"/>
  <c r="O85" i="7"/>
  <c r="N66" i="6"/>
  <c r="E271" i="1"/>
  <c r="E276" i="1"/>
  <c r="E265" i="1"/>
  <c r="G12" i="8"/>
  <c r="W200" i="1" l="1"/>
  <c r="W236" i="1"/>
  <c r="W227" i="1"/>
  <c r="J26" i="7"/>
  <c r="W245" i="1"/>
  <c r="H66" i="6"/>
  <c r="E363" i="1"/>
  <c r="H368" i="1" s="1"/>
  <c r="G66" i="6"/>
  <c r="E10" i="8"/>
  <c r="K66" i="6"/>
  <c r="F66" i="6"/>
  <c r="L12" i="8"/>
  <c r="I66" i="6"/>
  <c r="K12" i="8"/>
  <c r="T9" i="5"/>
  <c r="T10" i="5"/>
  <c r="D10" i="8"/>
  <c r="J12" i="8"/>
  <c r="E245" i="1"/>
  <c r="E335" i="1"/>
  <c r="L66" i="6"/>
  <c r="S66" i="6"/>
  <c r="I20" i="7"/>
  <c r="O12" i="8"/>
  <c r="U180" i="1"/>
  <c r="T26" i="7"/>
  <c r="W218" i="1"/>
  <c r="R50" i="1"/>
  <c r="G20" i="7"/>
  <c r="U41" i="7"/>
  <c r="M85" i="7"/>
  <c r="T131" i="6"/>
  <c r="U131" i="6" s="1"/>
  <c r="T61" i="6"/>
  <c r="U61" i="6" s="1"/>
  <c r="S85" i="7"/>
  <c r="R20" i="7"/>
  <c r="S20" i="7"/>
  <c r="H12" i="8"/>
  <c r="U169" i="1"/>
  <c r="S26" i="7"/>
  <c r="F12" i="8"/>
  <c r="N20" i="7"/>
  <c r="W191" i="1"/>
  <c r="I12" i="8"/>
  <c r="E236" i="1"/>
  <c r="E326" i="1"/>
  <c r="U26" i="7"/>
  <c r="W169" i="1"/>
  <c r="R265" i="1"/>
  <c r="N12" i="8"/>
  <c r="U175" i="1"/>
  <c r="T45" i="7"/>
  <c r="U45" i="7"/>
  <c r="W17" i="1"/>
  <c r="W209" i="1"/>
  <c r="E11" i="8"/>
  <c r="M66" i="6"/>
  <c r="J66" i="6"/>
  <c r="T41" i="7"/>
  <c r="R85" i="7"/>
  <c r="J85" i="7"/>
  <c r="O66" i="6"/>
  <c r="R66" i="6"/>
  <c r="J20" i="7"/>
  <c r="U84" i="6"/>
  <c r="U11" i="5"/>
  <c r="W175" i="1"/>
  <c r="R271" i="1"/>
  <c r="U21" i="5"/>
  <c r="T21" i="5"/>
  <c r="U17" i="1"/>
  <c r="R11" i="5"/>
  <c r="W350" i="1"/>
  <c r="R340" i="1"/>
  <c r="R327" i="1"/>
  <c r="R284" i="1"/>
  <c r="R309" i="1"/>
  <c r="R301" i="1"/>
  <c r="R329" i="1"/>
  <c r="R319" i="1"/>
  <c r="R282" i="1"/>
  <c r="R313" i="1"/>
  <c r="R294" i="1"/>
  <c r="R303" i="1"/>
  <c r="R330" i="1"/>
  <c r="R295" i="1"/>
  <c r="R331" i="1"/>
  <c r="R302" i="1"/>
  <c r="R321" i="1"/>
  <c r="R318" i="1"/>
  <c r="R310" i="1"/>
  <c r="R320" i="1"/>
  <c r="R283" i="1"/>
  <c r="R292" i="1"/>
  <c r="E49" i="8"/>
  <c r="D49" i="8" s="1"/>
  <c r="F19" i="6"/>
  <c r="H19" i="6"/>
  <c r="G19" i="6"/>
  <c r="N19" i="6"/>
  <c r="L19" i="6"/>
  <c r="I19" i="6"/>
  <c r="K19" i="6"/>
  <c r="M368" i="1" l="1"/>
  <c r="L368" i="1"/>
  <c r="O368" i="1"/>
  <c r="G368" i="1"/>
  <c r="N368" i="1"/>
  <c r="J368" i="1"/>
  <c r="P368" i="1"/>
  <c r="K368" i="1"/>
  <c r="I368" i="1"/>
  <c r="D11" i="8"/>
  <c r="E12" i="8"/>
  <c r="O19" i="6"/>
  <c r="W330" i="1"/>
  <c r="W327" i="1"/>
  <c r="W302" i="1"/>
  <c r="W331" i="1"/>
  <c r="W282" i="1"/>
  <c r="W320" i="1"/>
  <c r="W309" i="1"/>
  <c r="W284" i="1"/>
  <c r="W292" i="1"/>
  <c r="W283" i="1"/>
  <c r="W310" i="1"/>
  <c r="W303" i="1"/>
  <c r="W301" i="1"/>
  <c r="W340" i="1"/>
  <c r="W321" i="1"/>
  <c r="W295" i="1"/>
  <c r="W313" i="1"/>
  <c r="W300" i="1"/>
  <c r="M12" i="8"/>
  <c r="W322" i="1"/>
  <c r="W304" i="1"/>
  <c r="W294" i="1"/>
  <c r="W293" i="1"/>
  <c r="W317" i="1"/>
  <c r="U38" i="5"/>
  <c r="T38" i="5"/>
  <c r="T93" i="7"/>
  <c r="U93" i="7"/>
  <c r="W281" i="1"/>
  <c r="W338" i="1"/>
  <c r="T124" i="6"/>
  <c r="U124" i="6" s="1"/>
  <c r="T135" i="7"/>
  <c r="U135" i="7"/>
  <c r="S19" i="6"/>
  <c r="W308" i="1"/>
  <c r="U27" i="5"/>
  <c r="T27" i="5"/>
  <c r="U44" i="7"/>
  <c r="T44" i="7"/>
  <c r="U22" i="5"/>
  <c r="T22" i="5"/>
  <c r="W265" i="1"/>
  <c r="W319" i="1"/>
  <c r="W276" i="1"/>
  <c r="U91" i="7"/>
  <c r="T91" i="7"/>
  <c r="S340" i="1"/>
  <c r="S295" i="1"/>
  <c r="S312" i="1"/>
  <c r="S303" i="1"/>
  <c r="S322" i="1"/>
  <c r="S284" i="1"/>
  <c r="S336" i="1"/>
  <c r="S271" i="1"/>
  <c r="S292" i="1"/>
  <c r="S300" i="1"/>
  <c r="S301" i="1"/>
  <c r="S282" i="1"/>
  <c r="S310" i="1"/>
  <c r="S311" i="1"/>
  <c r="S328" i="1"/>
  <c r="S313" i="1"/>
  <c r="S339" i="1"/>
  <c r="S302" i="1"/>
  <c r="S286" i="1"/>
  <c r="S321" i="1"/>
  <c r="S331" i="1"/>
  <c r="S283" i="1"/>
  <c r="S285" i="1"/>
  <c r="S281" i="1"/>
  <c r="S304" i="1"/>
  <c r="S308" i="1"/>
  <c r="S335" i="1"/>
  <c r="S276" i="1"/>
  <c r="S309" i="1"/>
  <c r="S299" i="1"/>
  <c r="S326" i="1"/>
  <c r="S327" i="1"/>
  <c r="S330" i="1"/>
  <c r="S318" i="1"/>
  <c r="S290" i="1"/>
  <c r="S293" i="1"/>
  <c r="S338" i="1"/>
  <c r="S337" i="1"/>
  <c r="S294" i="1"/>
  <c r="S319" i="1"/>
  <c r="S317" i="1"/>
  <c r="S329" i="1"/>
  <c r="S320" i="1"/>
  <c r="S265" i="1"/>
  <c r="S291" i="1"/>
  <c r="W312" i="1"/>
  <c r="W335" i="1"/>
  <c r="W271" i="1"/>
  <c r="W337" i="1"/>
  <c r="W326" i="1"/>
  <c r="T84" i="7"/>
  <c r="T85" i="7" s="1"/>
  <c r="U84" i="7"/>
  <c r="U85" i="7" s="1"/>
  <c r="Q85" i="7"/>
  <c r="T97" i="7"/>
  <c r="U97" i="7"/>
  <c r="T31" i="7"/>
  <c r="U31" i="7"/>
  <c r="W311" i="1"/>
  <c r="T114" i="6"/>
  <c r="U114" i="6" s="1"/>
  <c r="W299" i="1"/>
  <c r="W339" i="1"/>
  <c r="W336" i="1"/>
  <c r="U38" i="7"/>
  <c r="T38" i="7"/>
  <c r="E17" i="1"/>
  <c r="S50" i="1"/>
  <c r="W318" i="1"/>
  <c r="W285" i="1"/>
  <c r="T37" i="7"/>
  <c r="U37" i="7"/>
  <c r="T115" i="6"/>
  <c r="U115" i="6" s="1"/>
  <c r="J11" i="5"/>
  <c r="S11" i="5"/>
  <c r="T8" i="5"/>
  <c r="T11" i="5" s="1"/>
  <c r="J19" i="6"/>
  <c r="R19" i="6"/>
  <c r="M19" i="6"/>
  <c r="W290" i="1"/>
  <c r="W286" i="1"/>
  <c r="U23" i="5"/>
  <c r="T23" i="5"/>
  <c r="T17" i="7"/>
  <c r="T20" i="7" s="1"/>
  <c r="Q20" i="7"/>
  <c r="U17" i="7"/>
  <c r="U20" i="7" s="1"/>
  <c r="U41" i="5"/>
  <c r="T41" i="5"/>
  <c r="Q66" i="6"/>
  <c r="T58" i="6"/>
  <c r="W291" i="1"/>
  <c r="U47" i="5"/>
  <c r="T47" i="5"/>
  <c r="U95" i="7"/>
  <c r="T95" i="7"/>
  <c r="W328" i="1"/>
  <c r="W329" i="1"/>
  <c r="W16" i="1"/>
  <c r="E368" i="1" l="1"/>
  <c r="Q19" i="6"/>
  <c r="T17" i="6"/>
  <c r="U43" i="5"/>
  <c r="T43" i="5"/>
  <c r="T331" i="1"/>
  <c r="T302" i="1"/>
  <c r="T313" i="1"/>
  <c r="T322" i="1"/>
  <c r="T303" i="1"/>
  <c r="T329" i="1"/>
  <c r="T311" i="1"/>
  <c r="T321" i="1"/>
  <c r="T293" i="1"/>
  <c r="T309" i="1"/>
  <c r="T284" i="1"/>
  <c r="T283" i="1"/>
  <c r="T330" i="1"/>
  <c r="T291" i="1"/>
  <c r="T339" i="1"/>
  <c r="T282" i="1"/>
  <c r="T320" i="1"/>
  <c r="T265" i="1"/>
  <c r="T337" i="1"/>
  <c r="T318" i="1"/>
  <c r="T294" i="1"/>
  <c r="T338" i="1"/>
  <c r="T328" i="1"/>
  <c r="T301" i="1"/>
  <c r="T285" i="1"/>
  <c r="T340" i="1"/>
  <c r="T336" i="1"/>
  <c r="T295" i="1"/>
  <c r="T292" i="1"/>
  <c r="T304" i="1"/>
  <c r="T312" i="1"/>
  <c r="T310" i="1"/>
  <c r="T300" i="1"/>
  <c r="T319" i="1"/>
  <c r="T327" i="1"/>
  <c r="T286" i="1"/>
  <c r="T326" i="1"/>
  <c r="T290" i="1"/>
  <c r="T299" i="1"/>
  <c r="T317" i="1"/>
  <c r="T276" i="1"/>
  <c r="T271" i="1"/>
  <c r="T308" i="1"/>
  <c r="T335" i="1"/>
  <c r="T281" i="1"/>
  <c r="T66" i="6"/>
  <c r="U58" i="6"/>
  <c r="U66" i="6" s="1"/>
  <c r="T116" i="6"/>
  <c r="U116" i="6" s="1"/>
  <c r="T50" i="1"/>
  <c r="K11" i="5"/>
  <c r="K318" i="1"/>
  <c r="K339" i="1"/>
  <c r="K283" i="1"/>
  <c r="K295" i="1"/>
  <c r="K284" i="1"/>
  <c r="K310" i="1"/>
  <c r="K286" i="1"/>
  <c r="K292" i="1"/>
  <c r="K331" i="1"/>
  <c r="K300" i="1"/>
  <c r="K338" i="1"/>
  <c r="K319" i="1"/>
  <c r="K321" i="1"/>
  <c r="K329" i="1"/>
  <c r="K340" i="1"/>
  <c r="K309" i="1"/>
  <c r="K302" i="1"/>
  <c r="K304" i="1"/>
  <c r="K337" i="1"/>
  <c r="K335" i="1"/>
  <c r="K330" i="1"/>
  <c r="K308" i="1"/>
  <c r="K293" i="1"/>
  <c r="K320" i="1"/>
  <c r="K303" i="1"/>
  <c r="K282" i="1"/>
  <c r="K328" i="1"/>
  <c r="K327" i="1"/>
  <c r="K301" i="1"/>
  <c r="K322" i="1"/>
  <c r="K313" i="1"/>
  <c r="K326" i="1"/>
  <c r="K290" i="1"/>
  <c r="K294" i="1"/>
  <c r="K312" i="1"/>
  <c r="K311" i="1"/>
  <c r="K281" i="1"/>
  <c r="K336" i="1"/>
  <c r="K299" i="1"/>
  <c r="K285" i="1"/>
  <c r="K291" i="1"/>
  <c r="K317" i="1"/>
  <c r="K276" i="1"/>
  <c r="K265" i="1"/>
  <c r="K271" i="1"/>
  <c r="T128" i="6"/>
  <c r="U32" i="7"/>
  <c r="T32" i="7"/>
  <c r="U42" i="7"/>
  <c r="T42" i="7"/>
  <c r="T33" i="7"/>
  <c r="U33" i="7"/>
  <c r="K50" i="1"/>
  <c r="U16" i="1"/>
  <c r="D12" i="8"/>
  <c r="L11" i="5" l="1"/>
  <c r="U128" i="6"/>
  <c r="T19" i="6"/>
  <c r="U17" i="6"/>
  <c r="U19" i="6" s="1"/>
  <c r="L282" i="1"/>
  <c r="L322" i="1"/>
  <c r="L303" i="1"/>
  <c r="L321" i="1"/>
  <c r="L271" i="1"/>
  <c r="L300" i="1"/>
  <c r="L301" i="1"/>
  <c r="L327" i="1"/>
  <c r="L302" i="1"/>
  <c r="L329" i="1"/>
  <c r="L283" i="1"/>
  <c r="L336" i="1"/>
  <c r="L309" i="1"/>
  <c r="L328" i="1"/>
  <c r="L284" i="1"/>
  <c r="L276" i="1"/>
  <c r="L291" i="1"/>
  <c r="L294" i="1"/>
  <c r="L331" i="1"/>
  <c r="L293" i="1"/>
  <c r="L311" i="1"/>
  <c r="L319" i="1"/>
  <c r="L281" i="1"/>
  <c r="L339" i="1"/>
  <c r="L286" i="1"/>
  <c r="L265" i="1"/>
  <c r="L330" i="1"/>
  <c r="L318" i="1"/>
  <c r="L304" i="1"/>
  <c r="L317" i="1"/>
  <c r="L292" i="1"/>
  <c r="L313" i="1"/>
  <c r="L308" i="1"/>
  <c r="L299" i="1"/>
  <c r="L312" i="1"/>
  <c r="L285" i="1"/>
  <c r="L310" i="1"/>
  <c r="L295" i="1"/>
  <c r="L338" i="1"/>
  <c r="L320" i="1"/>
  <c r="L335" i="1"/>
  <c r="L290" i="1"/>
  <c r="L337" i="1"/>
  <c r="L340" i="1"/>
  <c r="L326" i="1"/>
  <c r="L50" i="1"/>
  <c r="M300" i="1" l="1"/>
  <c r="M284" i="1"/>
  <c r="M310" i="1"/>
  <c r="M311" i="1"/>
  <c r="M282" i="1"/>
  <c r="M293" i="1"/>
  <c r="M301" i="1"/>
  <c r="M286" i="1"/>
  <c r="M276" i="1"/>
  <c r="M320" i="1"/>
  <c r="M283" i="1"/>
  <c r="M309" i="1"/>
  <c r="M318" i="1"/>
  <c r="M292" i="1"/>
  <c r="M321" i="1"/>
  <c r="M327" i="1"/>
  <c r="M338" i="1"/>
  <c r="M303" i="1"/>
  <c r="M294" i="1"/>
  <c r="M285" i="1"/>
  <c r="M313" i="1"/>
  <c r="M330" i="1"/>
  <c r="M304" i="1"/>
  <c r="M328" i="1"/>
  <c r="M331" i="1"/>
  <c r="M336" i="1"/>
  <c r="M308" i="1"/>
  <c r="M340" i="1"/>
  <c r="M322" i="1"/>
  <c r="M312" i="1"/>
  <c r="M337" i="1"/>
  <c r="M319" i="1"/>
  <c r="M271" i="1"/>
  <c r="M295" i="1"/>
  <c r="M339" i="1"/>
  <c r="M329" i="1"/>
  <c r="M302" i="1"/>
  <c r="M291" i="1"/>
  <c r="M265" i="1"/>
  <c r="M335" i="1"/>
  <c r="M317" i="1"/>
  <c r="M299" i="1"/>
  <c r="M281" i="1"/>
  <c r="M326" i="1"/>
  <c r="M290" i="1"/>
  <c r="M50" i="1"/>
  <c r="M11" i="5" l="1"/>
  <c r="N50" i="1"/>
  <c r="N11" i="5" l="1"/>
  <c r="N320" i="1"/>
  <c r="N293" i="1"/>
  <c r="N311" i="1"/>
  <c r="N285" i="1"/>
  <c r="N283" i="1"/>
  <c r="N330" i="1"/>
  <c r="N292" i="1"/>
  <c r="N284" i="1"/>
  <c r="N304" i="1"/>
  <c r="N338" i="1"/>
  <c r="N282" i="1"/>
  <c r="N303" i="1"/>
  <c r="N286" i="1"/>
  <c r="N331" i="1"/>
  <c r="N294" i="1"/>
  <c r="N319" i="1"/>
  <c r="N301" i="1"/>
  <c r="N328" i="1"/>
  <c r="N295" i="1"/>
  <c r="N318" i="1"/>
  <c r="N310" i="1"/>
  <c r="N291" i="1"/>
  <c r="N290" i="1"/>
  <c r="N321" i="1"/>
  <c r="N299" i="1"/>
  <c r="N335" i="1"/>
  <c r="N322" i="1"/>
  <c r="N327" i="1"/>
  <c r="N313" i="1"/>
  <c r="N340" i="1"/>
  <c r="N312" i="1"/>
  <c r="N281" i="1"/>
  <c r="N271" i="1"/>
  <c r="N276" i="1"/>
  <c r="N317" i="1"/>
  <c r="N326" i="1"/>
  <c r="N309" i="1"/>
  <c r="N300" i="1"/>
  <c r="N308" i="1"/>
  <c r="N329" i="1"/>
  <c r="N339" i="1"/>
  <c r="N337" i="1"/>
  <c r="N302" i="1"/>
  <c r="N336" i="1"/>
  <c r="N265" i="1"/>
  <c r="O11" i="5" l="1"/>
  <c r="O50" i="5" s="1"/>
  <c r="E54" i="8"/>
  <c r="E16" i="1"/>
  <c r="O50" i="1"/>
  <c r="O336" i="1"/>
  <c r="O338" i="1"/>
  <c r="O302" i="1"/>
  <c r="O292" i="1"/>
  <c r="O330" i="1"/>
  <c r="O329" i="1"/>
  <c r="O313" i="1"/>
  <c r="O339" i="1"/>
  <c r="O311" i="1"/>
  <c r="O322" i="1"/>
  <c r="O283" i="1"/>
  <c r="O304" i="1"/>
  <c r="O271" i="1"/>
  <c r="O340" i="1"/>
  <c r="O301" i="1"/>
  <c r="O309" i="1"/>
  <c r="O318" i="1"/>
  <c r="O319" i="1"/>
  <c r="O327" i="1"/>
  <c r="O276" i="1"/>
  <c r="O312" i="1"/>
  <c r="O300" i="1"/>
  <c r="O337" i="1"/>
  <c r="O328" i="1"/>
  <c r="O321" i="1"/>
  <c r="O310" i="1"/>
  <c r="O282" i="1"/>
  <c r="O320" i="1"/>
  <c r="O290" i="1"/>
  <c r="O285" i="1"/>
  <c r="O303" i="1"/>
  <c r="O293" i="1"/>
  <c r="O295" i="1"/>
  <c r="O331" i="1"/>
  <c r="O265" i="1"/>
  <c r="O286" i="1"/>
  <c r="O294" i="1"/>
  <c r="O281" i="1"/>
  <c r="O291" i="1"/>
  <c r="O335" i="1"/>
  <c r="O299" i="1"/>
  <c r="O284" i="1"/>
  <c r="O326" i="1"/>
  <c r="O317" i="1"/>
  <c r="O308" i="1"/>
  <c r="P338" i="1" l="1"/>
  <c r="P282" i="1"/>
  <c r="P327" i="1"/>
  <c r="P300" i="1"/>
  <c r="P319" i="1"/>
  <c r="P330" i="1"/>
  <c r="P302" i="1"/>
  <c r="P328" i="1"/>
  <c r="P286" i="1"/>
  <c r="P265" i="1"/>
  <c r="P284" i="1"/>
  <c r="P295" i="1"/>
  <c r="P293" i="1"/>
  <c r="P318" i="1"/>
  <c r="P304" i="1"/>
  <c r="P322" i="1"/>
  <c r="P311" i="1"/>
  <c r="P292" i="1"/>
  <c r="P331" i="1"/>
  <c r="P329" i="1"/>
  <c r="P309" i="1"/>
  <c r="P303" i="1"/>
  <c r="P294" i="1"/>
  <c r="P317" i="1"/>
  <c r="P299" i="1"/>
  <c r="P312" i="1"/>
  <c r="P301" i="1"/>
  <c r="P336" i="1"/>
  <c r="P339" i="1"/>
  <c r="P321" i="1"/>
  <c r="P291" i="1"/>
  <c r="P337" i="1"/>
  <c r="P313" i="1"/>
  <c r="P283" i="1"/>
  <c r="P335" i="1"/>
  <c r="P290" i="1"/>
  <c r="P320" i="1"/>
  <c r="P310" i="1"/>
  <c r="P276" i="1"/>
  <c r="P285" i="1"/>
  <c r="P326" i="1"/>
  <c r="P281" i="1"/>
  <c r="P308" i="1"/>
  <c r="P340" i="1"/>
  <c r="P271" i="1"/>
  <c r="P50" i="1"/>
  <c r="E50" i="1" l="1"/>
  <c r="S45" i="1" l="1"/>
  <c r="M45" i="1"/>
  <c r="T45" i="1"/>
  <c r="O45" i="1"/>
  <c r="N45" i="1"/>
  <c r="J45" i="1"/>
  <c r="L45" i="1"/>
  <c r="H45" i="1"/>
  <c r="I45" i="1"/>
  <c r="P45" i="1"/>
  <c r="S44" i="1" l="1"/>
  <c r="R45" i="1"/>
  <c r="W23" i="1"/>
  <c r="U23" i="1"/>
  <c r="K45" i="1"/>
  <c r="T44" i="1"/>
  <c r="W11" i="1" l="1"/>
  <c r="U10" i="1"/>
  <c r="U22" i="1"/>
  <c r="U11" i="1"/>
  <c r="W10" i="1"/>
  <c r="W22" i="1"/>
  <c r="R44" i="1"/>
  <c r="H26" i="2" l="1"/>
  <c r="E26" i="2"/>
  <c r="M26" i="2"/>
  <c r="C26" i="4"/>
  <c r="E23" i="1"/>
  <c r="G45" i="1"/>
  <c r="E45" i="1" s="1"/>
  <c r="E10" i="1"/>
  <c r="E22" i="1"/>
  <c r="I26" i="2"/>
  <c r="G26" i="2"/>
  <c r="F26" i="2"/>
  <c r="E11" i="1"/>
  <c r="J26" i="3"/>
  <c r="M26" i="3"/>
  <c r="Q26" i="3"/>
  <c r="F26" i="3"/>
  <c r="I26" i="3"/>
  <c r="C26" i="3"/>
  <c r="L26" i="3" l="1"/>
  <c r="I78" i="1"/>
  <c r="O26" i="3"/>
  <c r="T78" i="1"/>
  <c r="L78" i="1"/>
  <c r="K26" i="4"/>
  <c r="K26" i="2"/>
  <c r="C26" i="2"/>
  <c r="G78" i="1"/>
  <c r="M78" i="1"/>
  <c r="H78" i="1"/>
  <c r="J78" i="1"/>
  <c r="F26" i="4"/>
  <c r="J26" i="4"/>
  <c r="J26" i="2"/>
  <c r="H26" i="4"/>
  <c r="E26" i="4"/>
  <c r="L26" i="2"/>
  <c r="E75" i="1"/>
  <c r="S78" i="1"/>
  <c r="O78" i="1"/>
  <c r="G26" i="4"/>
  <c r="M26" i="4"/>
  <c r="I26" i="4"/>
  <c r="L26" i="4"/>
  <c r="T13" i="1"/>
  <c r="J72" i="1"/>
  <c r="I72" i="1"/>
  <c r="T72" i="1"/>
  <c r="L72" i="1"/>
  <c r="O72" i="1"/>
  <c r="H72" i="1"/>
  <c r="M72" i="1"/>
  <c r="S72" i="1"/>
  <c r="P13" i="1"/>
  <c r="E26" i="3"/>
  <c r="O13" i="1"/>
  <c r="D26" i="4"/>
  <c r="M13" i="1"/>
  <c r="D26" i="2"/>
  <c r="L13" i="1"/>
  <c r="I13" i="1"/>
  <c r="N13" i="1"/>
  <c r="E70" i="1" l="1"/>
  <c r="P72" i="1"/>
  <c r="T84" i="1"/>
  <c r="R78" i="1"/>
  <c r="U70" i="1"/>
  <c r="U76" i="1"/>
  <c r="D26" i="3"/>
  <c r="N33" i="1"/>
  <c r="L33" i="1"/>
  <c r="N72" i="1"/>
  <c r="R72" i="1"/>
  <c r="T33" i="1"/>
  <c r="L84" i="1"/>
  <c r="P78" i="1"/>
  <c r="O33" i="1"/>
  <c r="P33" i="1"/>
  <c r="I84" i="1"/>
  <c r="J84" i="1"/>
  <c r="J13" i="1"/>
  <c r="G26" i="3"/>
  <c r="M84" i="1"/>
  <c r="E76" i="1"/>
  <c r="E78" i="1" s="1"/>
  <c r="N78" i="1"/>
  <c r="I33" i="1"/>
  <c r="M33" i="1"/>
  <c r="G84" i="1"/>
  <c r="U153" i="1"/>
  <c r="S13" i="1"/>
  <c r="P26" i="3"/>
  <c r="O84" i="1"/>
  <c r="U83" i="1"/>
  <c r="N84" i="1"/>
  <c r="K78" i="1"/>
  <c r="U75" i="1"/>
  <c r="K26" i="3"/>
  <c r="H26" i="3"/>
  <c r="H13" i="1"/>
  <c r="P156" i="1" l="1"/>
  <c r="P84" i="1"/>
  <c r="E152" i="1"/>
  <c r="U78" i="1"/>
  <c r="H84" i="1"/>
  <c r="G72" i="1"/>
  <c r="E69" i="1"/>
  <c r="E72" i="1" s="1"/>
  <c r="E153" i="1"/>
  <c r="S154" i="1"/>
  <c r="S156" i="1"/>
  <c r="S33" i="1"/>
  <c r="U152" i="1"/>
  <c r="R84" i="1"/>
  <c r="E81" i="1"/>
  <c r="M156" i="1"/>
  <c r="M154" i="1"/>
  <c r="O154" i="1"/>
  <c r="O156" i="1"/>
  <c r="J33" i="1"/>
  <c r="K84" i="1"/>
  <c r="U81" i="1"/>
  <c r="U84" i="1" s="1"/>
  <c r="K72" i="1"/>
  <c r="U69" i="1"/>
  <c r="U72" i="1" s="1"/>
  <c r="T156" i="1"/>
  <c r="T154" i="1"/>
  <c r="J154" i="1"/>
  <c r="J156" i="1"/>
  <c r="H156" i="1"/>
  <c r="H154" i="1"/>
  <c r="I154" i="1"/>
  <c r="I156" i="1"/>
  <c r="L156" i="1"/>
  <c r="L154" i="1"/>
  <c r="H33" i="1"/>
  <c r="E83" i="1"/>
  <c r="W12" i="1"/>
  <c r="W13" i="1" s="1"/>
  <c r="R13" i="1"/>
  <c r="S84" i="1"/>
  <c r="P154" i="1" l="1"/>
  <c r="N154" i="1"/>
  <c r="N156" i="1"/>
  <c r="R33" i="1"/>
  <c r="K156" i="1"/>
  <c r="U151" i="1"/>
  <c r="K154" i="1"/>
  <c r="E84" i="1"/>
  <c r="C12" i="9" s="1"/>
  <c r="R154" i="1"/>
  <c r="R156" i="1"/>
  <c r="E151" i="1"/>
  <c r="E154" i="1" s="1"/>
  <c r="G154" i="1"/>
  <c r="G156" i="1"/>
  <c r="E12" i="1"/>
  <c r="E13" i="1" s="1"/>
  <c r="G13" i="1"/>
  <c r="U12" i="1"/>
  <c r="U13" i="1" s="1"/>
  <c r="K13" i="1"/>
  <c r="M270" i="1"/>
  <c r="S270" i="1"/>
  <c r="H270" i="1"/>
  <c r="I270" i="1"/>
  <c r="P270" i="1"/>
  <c r="L270" i="1"/>
  <c r="O270" i="1"/>
  <c r="T270" i="1"/>
  <c r="J270" i="1"/>
  <c r="C14" i="4"/>
  <c r="C18" i="4" s="1"/>
  <c r="I14" i="6"/>
  <c r="K50" i="7"/>
  <c r="N34" i="6"/>
  <c r="F55" i="6"/>
  <c r="F23" i="6"/>
  <c r="K109" i="7"/>
  <c r="M34" i="6"/>
  <c r="F109" i="7"/>
  <c r="N55" i="6"/>
  <c r="G55" i="6"/>
  <c r="H55" i="6"/>
  <c r="M55" i="6"/>
  <c r="N14" i="6"/>
  <c r="H23" i="6"/>
  <c r="G23" i="6"/>
  <c r="I50" i="7"/>
  <c r="L50" i="7"/>
  <c r="O50" i="7"/>
  <c r="H50" i="7"/>
  <c r="F34" i="6"/>
  <c r="I34" i="6"/>
  <c r="O109" i="7"/>
  <c r="E270" i="1"/>
  <c r="F14" i="6"/>
  <c r="K23" i="6"/>
  <c r="N23" i="6"/>
  <c r="I23" i="6"/>
  <c r="G50" i="7"/>
  <c r="N50" i="7"/>
  <c r="F50" i="7"/>
  <c r="L34" i="6"/>
  <c r="H34" i="6"/>
  <c r="O34" i="6"/>
  <c r="E31" i="8"/>
  <c r="D31" i="8" s="1"/>
  <c r="K55" i="6"/>
  <c r="I55" i="6"/>
  <c r="C23" i="9" l="1"/>
  <c r="C27" i="9" s="1"/>
  <c r="I109" i="7"/>
  <c r="K91" i="6"/>
  <c r="M23" i="6"/>
  <c r="G79" i="7"/>
  <c r="L14" i="6"/>
  <c r="M14" i="6"/>
  <c r="K14" i="6"/>
  <c r="K14" i="4"/>
  <c r="K18" i="4" s="1"/>
  <c r="E30" i="8"/>
  <c r="D30" i="8" s="1"/>
  <c r="O23" i="6"/>
  <c r="J14" i="4"/>
  <c r="J18" i="4" s="1"/>
  <c r="L14" i="2"/>
  <c r="L18" i="2" s="1"/>
  <c r="E28" i="8"/>
  <c r="D28" i="8" s="1"/>
  <c r="E27" i="8"/>
  <c r="D27" i="8" s="1"/>
  <c r="H79" i="7"/>
  <c r="R34" i="6"/>
  <c r="S23" i="6"/>
  <c r="S34" i="6"/>
  <c r="S50" i="7"/>
  <c r="F14" i="4"/>
  <c r="F18" i="4" s="1"/>
  <c r="N270" i="1"/>
  <c r="I30" i="6"/>
  <c r="O55" i="6"/>
  <c r="O79" i="7"/>
  <c r="C11" i="9"/>
  <c r="C15" i="9"/>
  <c r="C29" i="9" s="1"/>
  <c r="L109" i="7"/>
  <c r="R50" i="7"/>
  <c r="H91" i="6"/>
  <c r="G91" i="6"/>
  <c r="M109" i="7"/>
  <c r="E29" i="8"/>
  <c r="D29" i="8" s="1"/>
  <c r="J55" i="6"/>
  <c r="R55" i="6"/>
  <c r="M50" i="7"/>
  <c r="O91" i="6"/>
  <c r="G14" i="2"/>
  <c r="G18" i="2" s="1"/>
  <c r="S347" i="1"/>
  <c r="L91" i="6"/>
  <c r="J23" i="6"/>
  <c r="R109" i="7"/>
  <c r="H14" i="6"/>
  <c r="G34" i="6"/>
  <c r="M14" i="4"/>
  <c r="M18" i="4" s="1"/>
  <c r="K33" i="1"/>
  <c r="N30" i="6"/>
  <c r="G109" i="7"/>
  <c r="F30" i="6"/>
  <c r="S55" i="6"/>
  <c r="N109" i="7"/>
  <c r="J50" i="7"/>
  <c r="K79" i="7"/>
  <c r="L30" i="6"/>
  <c r="G14" i="6"/>
  <c r="N91" i="6"/>
  <c r="E14" i="4"/>
  <c r="E18" i="4" s="1"/>
  <c r="I79" i="7"/>
  <c r="J34" i="6"/>
  <c r="G33" i="1"/>
  <c r="U156" i="1"/>
  <c r="U154" i="1"/>
  <c r="C31" i="9"/>
  <c r="C26" i="9"/>
  <c r="T110" i="6"/>
  <c r="U110" i="6" s="1"/>
  <c r="L79" i="7"/>
  <c r="G30" i="6"/>
  <c r="H30" i="6"/>
  <c r="S109" i="7"/>
  <c r="F79" i="7"/>
  <c r="F91" i="6"/>
  <c r="M14" i="2"/>
  <c r="M18" i="2" s="1"/>
  <c r="O14" i="6"/>
  <c r="M30" i="6"/>
  <c r="K14" i="2"/>
  <c r="K18" i="2" s="1"/>
  <c r="K34" i="6"/>
  <c r="G14" i="4"/>
  <c r="G18" i="4" s="1"/>
  <c r="K30" i="6"/>
  <c r="H109" i="7"/>
  <c r="L23" i="6"/>
  <c r="L55" i="6"/>
  <c r="I91" i="6"/>
  <c r="R23" i="6"/>
  <c r="N79" i="7"/>
  <c r="E156" i="1"/>
  <c r="E18" i="8"/>
  <c r="D18" i="8" s="1"/>
  <c r="L14" i="4"/>
  <c r="L18" i="4" s="1"/>
  <c r="O277" i="1"/>
  <c r="I14" i="4"/>
  <c r="I18" i="4" s="1"/>
  <c r="P277" i="1"/>
  <c r="L277" i="1"/>
  <c r="J277" i="1"/>
  <c r="S277" i="1"/>
  <c r="F14" i="2"/>
  <c r="F18" i="2" s="1"/>
  <c r="C14" i="2"/>
  <c r="C18" i="2" s="1"/>
  <c r="H277" i="1"/>
  <c r="E14" i="2"/>
  <c r="E18" i="2" s="1"/>
  <c r="N34" i="8"/>
  <c r="K34" i="8"/>
  <c r="I34" i="8"/>
  <c r="O34" i="8"/>
  <c r="G34" i="8"/>
  <c r="H34" i="8"/>
  <c r="L34" i="8"/>
  <c r="D14" i="4"/>
  <c r="D18" i="4" s="1"/>
  <c r="G14" i="3"/>
  <c r="G18" i="3" s="1"/>
  <c r="T264" i="1"/>
  <c r="H264" i="1"/>
  <c r="S264" i="1"/>
  <c r="T347" i="1"/>
  <c r="T346" i="1"/>
  <c r="S346" i="1"/>
  <c r="I264" i="1"/>
  <c r="M264" i="1"/>
  <c r="L264" i="1"/>
  <c r="O264" i="1"/>
  <c r="M14" i="3"/>
  <c r="M18" i="3" s="1"/>
  <c r="P264" i="1"/>
  <c r="Q14" i="3" l="1"/>
  <c r="Q18" i="3" s="1"/>
  <c r="S91" i="6"/>
  <c r="S30" i="6"/>
  <c r="T105" i="6"/>
  <c r="U105" i="6" s="1"/>
  <c r="T38" i="6"/>
  <c r="U38" i="6" s="1"/>
  <c r="P346" i="1"/>
  <c r="M79" i="7"/>
  <c r="T29" i="6"/>
  <c r="U29" i="6" s="1"/>
  <c r="D14" i="2"/>
  <c r="D18" i="2" s="1"/>
  <c r="J14" i="3"/>
  <c r="J18" i="3" s="1"/>
  <c r="S14" i="6"/>
  <c r="T120" i="6"/>
  <c r="U120" i="6" s="1"/>
  <c r="E14" i="3"/>
  <c r="E18" i="3" s="1"/>
  <c r="P14" i="3"/>
  <c r="P18" i="3" s="1"/>
  <c r="I14" i="3"/>
  <c r="I18" i="3" s="1"/>
  <c r="N277" i="1"/>
  <c r="R30" i="6"/>
  <c r="H14" i="2"/>
  <c r="H18" i="2" s="1"/>
  <c r="T104" i="6"/>
  <c r="U104" i="6" s="1"/>
  <c r="T43" i="6"/>
  <c r="U43" i="6" s="1"/>
  <c r="T42" i="6"/>
  <c r="U42" i="6" s="1"/>
  <c r="M91" i="6"/>
  <c r="T27" i="6"/>
  <c r="U27" i="6" s="1"/>
  <c r="U77" i="7"/>
  <c r="T77" i="7"/>
  <c r="R79" i="7"/>
  <c r="U108" i="7"/>
  <c r="T108" i="7"/>
  <c r="T87" i="6"/>
  <c r="U87" i="6" s="1"/>
  <c r="T117" i="6"/>
  <c r="U117" i="6" s="1"/>
  <c r="J14" i="2"/>
  <c r="J18" i="2" s="1"/>
  <c r="M277" i="1"/>
  <c r="J264" i="1"/>
  <c r="U28" i="5"/>
  <c r="T28" i="5"/>
  <c r="U34" i="5"/>
  <c r="T34" i="5"/>
  <c r="T102" i="6"/>
  <c r="T140" i="7"/>
  <c r="U140" i="7"/>
  <c r="T121" i="6"/>
  <c r="U121" i="6" s="1"/>
  <c r="Q79" i="7"/>
  <c r="U76" i="7"/>
  <c r="T76" i="7"/>
  <c r="T39" i="6"/>
  <c r="U39" i="6" s="1"/>
  <c r="J14" i="6"/>
  <c r="T86" i="6"/>
  <c r="U86" i="6" s="1"/>
  <c r="Q23" i="6"/>
  <c r="T22" i="6"/>
  <c r="T40" i="6"/>
  <c r="U40" i="6" s="1"/>
  <c r="T127" i="7"/>
  <c r="U127" i="7"/>
  <c r="T90" i="6"/>
  <c r="U90" i="6" s="1"/>
  <c r="U44" i="5"/>
  <c r="T44" i="5"/>
  <c r="F14" i="3"/>
  <c r="F18" i="3" s="1"/>
  <c r="U174" i="1"/>
  <c r="K270" i="1"/>
  <c r="U78" i="7"/>
  <c r="T78" i="7"/>
  <c r="T49" i="7"/>
  <c r="T50" i="7" s="1"/>
  <c r="U49" i="7"/>
  <c r="U50" i="7" s="1"/>
  <c r="Q50" i="7"/>
  <c r="T50" i="6"/>
  <c r="Q55" i="6"/>
  <c r="U29" i="5"/>
  <c r="T29" i="5"/>
  <c r="T85" i="6"/>
  <c r="Q91" i="6"/>
  <c r="I277" i="1"/>
  <c r="M34" i="8"/>
  <c r="O30" i="6"/>
  <c r="S79" i="7"/>
  <c r="E26" i="9"/>
  <c r="E27" i="9" s="1"/>
  <c r="G26" i="9"/>
  <c r="G27" i="9" s="1"/>
  <c r="E33" i="1"/>
  <c r="J30" i="6"/>
  <c r="J79" i="7"/>
  <c r="T12" i="6"/>
  <c r="Q14" i="6"/>
  <c r="T108" i="6"/>
  <c r="U108" i="6" s="1"/>
  <c r="E11" i="9"/>
  <c r="E12" i="9" s="1"/>
  <c r="E15" i="9" s="1"/>
  <c r="G11" i="9"/>
  <c r="G12" i="9" s="1"/>
  <c r="G15" i="9" s="1"/>
  <c r="R91" i="6"/>
  <c r="U106" i="7"/>
  <c r="U109" i="7" s="1"/>
  <c r="T106" i="7"/>
  <c r="Q109" i="7"/>
  <c r="T88" i="6"/>
  <c r="U88" i="6" s="1"/>
  <c r="U39" i="5"/>
  <c r="T39" i="5"/>
  <c r="I14" i="2"/>
  <c r="I18" i="2" s="1"/>
  <c r="T137" i="7"/>
  <c r="U137" i="7"/>
  <c r="T70" i="7"/>
  <c r="U70" i="7"/>
  <c r="T134" i="7"/>
  <c r="U134" i="7"/>
  <c r="E15" i="8"/>
  <c r="D15" i="8" s="1"/>
  <c r="J347" i="1"/>
  <c r="L14" i="3"/>
  <c r="L18" i="3" s="1"/>
  <c r="N346" i="1"/>
  <c r="N264" i="1"/>
  <c r="C14" i="3"/>
  <c r="C18" i="3" s="1"/>
  <c r="H14" i="3"/>
  <c r="H18" i="3" s="1"/>
  <c r="J34" i="8"/>
  <c r="U37" i="5"/>
  <c r="T37" i="5"/>
  <c r="R14" i="6"/>
  <c r="T28" i="6"/>
  <c r="U28" i="6" s="1"/>
  <c r="U11" i="7"/>
  <c r="T11" i="7"/>
  <c r="U30" i="5"/>
  <c r="T30" i="5"/>
  <c r="Q34" i="6"/>
  <c r="T33" i="6"/>
  <c r="W174" i="1"/>
  <c r="W270" i="1" s="1"/>
  <c r="R270" i="1"/>
  <c r="T26" i="6"/>
  <c r="Q30" i="6"/>
  <c r="H14" i="4"/>
  <c r="H18" i="4" s="1"/>
  <c r="T13" i="6"/>
  <c r="U13" i="6" s="1"/>
  <c r="U36" i="5"/>
  <c r="T36" i="5"/>
  <c r="T103" i="6"/>
  <c r="U103" i="6" s="1"/>
  <c r="T118" i="6"/>
  <c r="U118" i="6" s="1"/>
  <c r="J109" i="7"/>
  <c r="J91" i="6"/>
  <c r="O346" i="1"/>
  <c r="M346" i="1"/>
  <c r="H346" i="1"/>
  <c r="I346" i="1"/>
  <c r="T277" i="1"/>
  <c r="L347" i="1"/>
  <c r="E264" i="1"/>
  <c r="J346" i="1"/>
  <c r="M347" i="1"/>
  <c r="N47" i="6"/>
  <c r="P347" i="1"/>
  <c r="N347" i="1"/>
  <c r="L47" i="6"/>
  <c r="O347" i="1" l="1"/>
  <c r="K47" i="6"/>
  <c r="O14" i="3"/>
  <c r="O18" i="3" s="1"/>
  <c r="K14" i="3"/>
  <c r="K18" i="3" s="1"/>
  <c r="D14" i="3"/>
  <c r="D18" i="3" s="1"/>
  <c r="H47" i="6"/>
  <c r="G47" i="6"/>
  <c r="F47" i="6"/>
  <c r="T109" i="7"/>
  <c r="E26" i="8"/>
  <c r="F34" i="8"/>
  <c r="H26" i="1"/>
  <c r="E347" i="1"/>
  <c r="I26" i="1"/>
  <c r="U26" i="6"/>
  <c r="U30" i="6" s="1"/>
  <c r="T30" i="6"/>
  <c r="E29" i="9"/>
  <c r="E31" i="9"/>
  <c r="U85" i="6"/>
  <c r="U91" i="6" s="1"/>
  <c r="T91" i="6"/>
  <c r="T14" i="6"/>
  <c r="U12" i="6"/>
  <c r="U14" i="6" s="1"/>
  <c r="M47" i="6"/>
  <c r="T44" i="6"/>
  <c r="U44" i="6" s="1"/>
  <c r="U168" i="1"/>
  <c r="K264" i="1"/>
  <c r="T79" i="7"/>
  <c r="U102" i="6"/>
  <c r="T46" i="1"/>
  <c r="S47" i="1"/>
  <c r="T47" i="1"/>
  <c r="T37" i="6"/>
  <c r="U50" i="6"/>
  <c r="U55" i="6" s="1"/>
  <c r="T55" i="6"/>
  <c r="T23" i="6"/>
  <c r="U22" i="6"/>
  <c r="U23" i="6" s="1"/>
  <c r="R277" i="1"/>
  <c r="W181" i="1"/>
  <c r="W277" i="1" s="1"/>
  <c r="E40" i="8"/>
  <c r="D40" i="8" s="1"/>
  <c r="J47" i="6"/>
  <c r="S46" i="1"/>
  <c r="R47" i="6"/>
  <c r="J26" i="1"/>
  <c r="O26" i="1"/>
  <c r="I347" i="1"/>
  <c r="I47" i="6"/>
  <c r="L346" i="1"/>
  <c r="T34" i="6"/>
  <c r="U33" i="6"/>
  <c r="U34" i="6" s="1"/>
  <c r="W168" i="1"/>
  <c r="W264" i="1" s="1"/>
  <c r="R264" i="1"/>
  <c r="G31" i="9"/>
  <c r="G29" i="9"/>
  <c r="U79" i="7"/>
  <c r="G264" i="1"/>
  <c r="G270" i="1"/>
  <c r="E346" i="1"/>
  <c r="G277" i="1"/>
  <c r="E37" i="8" l="1"/>
  <c r="D37" i="8" s="1"/>
  <c r="S26" i="1"/>
  <c r="H347" i="1"/>
  <c r="S47" i="6"/>
  <c r="T122" i="6"/>
  <c r="U122" i="6" s="1"/>
  <c r="S48" i="1"/>
  <c r="N170" i="1"/>
  <c r="N266" i="1" s="1"/>
  <c r="T113" i="6"/>
  <c r="U113" i="6" s="1"/>
  <c r="T26" i="1"/>
  <c r="O47" i="6"/>
  <c r="E277" i="1"/>
  <c r="T48" i="1"/>
  <c r="U37" i="6"/>
  <c r="U45" i="5"/>
  <c r="T45" i="5"/>
  <c r="E34" i="8"/>
  <c r="D34" i="8" s="1"/>
  <c r="D26" i="8"/>
  <c r="M182" i="1"/>
  <c r="M278" i="1" s="1"/>
  <c r="M275" i="1"/>
  <c r="E275" i="1"/>
  <c r="I182" i="1"/>
  <c r="I278" i="1" s="1"/>
  <c r="I275" i="1"/>
  <c r="M170" i="1"/>
  <c r="M266" i="1" s="1"/>
  <c r="M263" i="1"/>
  <c r="O176" i="1"/>
  <c r="O272" i="1" s="1"/>
  <c r="O269" i="1"/>
  <c r="L170" i="1"/>
  <c r="L266" i="1" s="1"/>
  <c r="L263" i="1"/>
  <c r="J176" i="1"/>
  <c r="J272" i="1" s="1"/>
  <c r="J269" i="1"/>
  <c r="W251" i="1"/>
  <c r="W347" i="1" s="1"/>
  <c r="R347" i="1"/>
  <c r="T126" i="7"/>
  <c r="U126" i="7"/>
  <c r="U46" i="5"/>
  <c r="T46" i="5"/>
  <c r="T136" i="7"/>
  <c r="U136" i="7"/>
  <c r="U25" i="1"/>
  <c r="T106" i="6"/>
  <c r="O170" i="1"/>
  <c r="O266" i="1" s="1"/>
  <c r="O263" i="1"/>
  <c r="U251" i="1"/>
  <c r="K347" i="1"/>
  <c r="T142" i="7"/>
  <c r="U142" i="7"/>
  <c r="U24" i="1"/>
  <c r="K26" i="1"/>
  <c r="E41" i="8"/>
  <c r="D41" i="8" s="1"/>
  <c r="S182" i="1"/>
  <c r="S278" i="1" s="1"/>
  <c r="S275" i="1"/>
  <c r="I263" i="1"/>
  <c r="I170" i="1"/>
  <c r="I266" i="1" s="1"/>
  <c r="E176" i="1"/>
  <c r="E272" i="1" s="1"/>
  <c r="E269" i="1"/>
  <c r="L176" i="1"/>
  <c r="L272" i="1" s="1"/>
  <c r="L269" i="1"/>
  <c r="T176" i="1"/>
  <c r="T272" i="1" s="1"/>
  <c r="T269" i="1"/>
  <c r="L182" i="1"/>
  <c r="L278" i="1" s="1"/>
  <c r="L275" i="1"/>
  <c r="U250" i="1"/>
  <c r="K346" i="1"/>
  <c r="T45" i="6"/>
  <c r="U45" i="6" s="1"/>
  <c r="T46" i="6"/>
  <c r="U46" i="6" s="1"/>
  <c r="T57" i="7"/>
  <c r="U57" i="7"/>
  <c r="T139" i="7"/>
  <c r="U139" i="7"/>
  <c r="T119" i="6"/>
  <c r="U119" i="6" s="1"/>
  <c r="U181" i="1"/>
  <c r="K277" i="1"/>
  <c r="N26" i="1"/>
  <c r="T129" i="7"/>
  <c r="U129" i="7"/>
  <c r="W25" i="1"/>
  <c r="R47" i="1"/>
  <c r="N176" i="1"/>
  <c r="N272" i="1" s="1"/>
  <c r="N269" i="1"/>
  <c r="O182" i="1"/>
  <c r="O278" i="1" s="1"/>
  <c r="O275" i="1"/>
  <c r="G176" i="1"/>
  <c r="G272" i="1" s="1"/>
  <c r="G269" i="1"/>
  <c r="J170" i="1"/>
  <c r="J266" i="1" s="1"/>
  <c r="J263" i="1"/>
  <c r="H176" i="1"/>
  <c r="H272" i="1" s="1"/>
  <c r="H269" i="1"/>
  <c r="P182" i="1"/>
  <c r="P278" i="1" s="1"/>
  <c r="P275" i="1"/>
  <c r="P170" i="1"/>
  <c r="P266" i="1" s="1"/>
  <c r="P263" i="1"/>
  <c r="S170" i="1"/>
  <c r="S266" i="1" s="1"/>
  <c r="S263" i="1"/>
  <c r="I176" i="1"/>
  <c r="I272" i="1" s="1"/>
  <c r="I269" i="1"/>
  <c r="H182" i="1"/>
  <c r="H278" i="1" s="1"/>
  <c r="H275" i="1"/>
  <c r="M176" i="1"/>
  <c r="M272" i="1" s="1"/>
  <c r="M269" i="1"/>
  <c r="J182" i="1"/>
  <c r="J278" i="1" s="1"/>
  <c r="J275" i="1"/>
  <c r="P176" i="1"/>
  <c r="P272" i="1" s="1"/>
  <c r="P269" i="1"/>
  <c r="T275" i="1"/>
  <c r="T182" i="1"/>
  <c r="T278" i="1" s="1"/>
  <c r="T263" i="1"/>
  <c r="T170" i="1"/>
  <c r="T266" i="1" s="1"/>
  <c r="G182" i="1"/>
  <c r="G278" i="1" s="1"/>
  <c r="G275" i="1"/>
  <c r="H170" i="1"/>
  <c r="H266" i="1" s="1"/>
  <c r="H263" i="1"/>
  <c r="S176" i="1"/>
  <c r="S272" i="1" s="1"/>
  <c r="S269" i="1"/>
  <c r="T123" i="6"/>
  <c r="U123" i="6" s="1"/>
  <c r="R346" i="1"/>
  <c r="W250" i="1"/>
  <c r="W346" i="1" s="1"/>
  <c r="R46" i="1"/>
  <c r="R48" i="1" s="1"/>
  <c r="W24" i="1"/>
  <c r="R26" i="1"/>
  <c r="Q47" i="6"/>
  <c r="U31" i="5"/>
  <c r="T31" i="5"/>
  <c r="L26" i="1"/>
  <c r="P26" i="1"/>
  <c r="M26" i="1"/>
  <c r="G347" i="1"/>
  <c r="G364" i="1"/>
  <c r="H364" i="1"/>
  <c r="M364" i="1"/>
  <c r="J364" i="1"/>
  <c r="G346" i="1"/>
  <c r="O364" i="1"/>
  <c r="L364" i="1"/>
  <c r="I364" i="1"/>
  <c r="E182" i="1" l="1"/>
  <c r="E278" i="1" s="1"/>
  <c r="N263" i="1"/>
  <c r="P364" i="1"/>
  <c r="W26" i="1"/>
  <c r="U26" i="1"/>
  <c r="M252" i="1"/>
  <c r="M348" i="1" s="1"/>
  <c r="M345" i="1"/>
  <c r="R263" i="1"/>
  <c r="R170" i="1"/>
  <c r="W167" i="1"/>
  <c r="W263" i="1" s="1"/>
  <c r="N182" i="1"/>
  <c r="N278" i="1" s="1"/>
  <c r="N275" i="1"/>
  <c r="U106" i="6"/>
  <c r="U167" i="1"/>
  <c r="U170" i="1" s="1"/>
  <c r="K263" i="1"/>
  <c r="K170" i="1"/>
  <c r="K266" i="1" s="1"/>
  <c r="R176" i="1"/>
  <c r="W173" i="1"/>
  <c r="W269" i="1" s="1"/>
  <c r="R269" i="1"/>
  <c r="R182" i="1"/>
  <c r="W179" i="1"/>
  <c r="W275" i="1" s="1"/>
  <c r="R275" i="1"/>
  <c r="T47" i="6"/>
  <c r="S252" i="1"/>
  <c r="S348" i="1" s="1"/>
  <c r="S345" i="1"/>
  <c r="T76" i="6"/>
  <c r="U76" i="6" s="1"/>
  <c r="K364" i="1"/>
  <c r="O252" i="1"/>
  <c r="O348" i="1" s="1"/>
  <c r="O345" i="1"/>
  <c r="H252" i="1"/>
  <c r="H348" i="1" s="1"/>
  <c r="H345" i="1"/>
  <c r="E24" i="1"/>
  <c r="G26" i="1"/>
  <c r="K176" i="1"/>
  <c r="K272" i="1" s="1"/>
  <c r="U173" i="1"/>
  <c r="U176" i="1" s="1"/>
  <c r="K269" i="1"/>
  <c r="U179" i="1"/>
  <c r="U182" i="1" s="1"/>
  <c r="K275" i="1"/>
  <c r="K182" i="1"/>
  <c r="K278" i="1" s="1"/>
  <c r="U47" i="6"/>
  <c r="I252" i="1"/>
  <c r="I348" i="1" s="1"/>
  <c r="I345" i="1"/>
  <c r="T252" i="1"/>
  <c r="T348" i="1" s="1"/>
  <c r="T345" i="1"/>
  <c r="N364" i="1"/>
  <c r="G170" i="1"/>
  <c r="G266" i="1" s="1"/>
  <c r="G263" i="1"/>
  <c r="L252" i="1"/>
  <c r="L348" i="1" s="1"/>
  <c r="L345" i="1"/>
  <c r="P252" i="1"/>
  <c r="P348" i="1" s="1"/>
  <c r="P345" i="1"/>
  <c r="J252" i="1"/>
  <c r="J348" i="1" s="1"/>
  <c r="J345" i="1"/>
  <c r="T70" i="6" l="1"/>
  <c r="U70" i="6" s="1"/>
  <c r="T71" i="6"/>
  <c r="U71" i="6" s="1"/>
  <c r="G64" i="7"/>
  <c r="I64" i="7"/>
  <c r="G252" i="1"/>
  <c r="G348" i="1" s="1"/>
  <c r="G345" i="1"/>
  <c r="K252" i="1"/>
  <c r="K348" i="1" s="1"/>
  <c r="U249" i="1"/>
  <c r="U252" i="1" s="1"/>
  <c r="K345" i="1"/>
  <c r="R278" i="1"/>
  <c r="W182" i="1"/>
  <c r="W278" i="1" s="1"/>
  <c r="R266" i="1"/>
  <c r="W170" i="1"/>
  <c r="W266" i="1" s="1"/>
  <c r="L64" i="7"/>
  <c r="E364" i="1"/>
  <c r="T78" i="6"/>
  <c r="U78" i="6" s="1"/>
  <c r="T72" i="6"/>
  <c r="U72" i="6" s="1"/>
  <c r="H64" i="7"/>
  <c r="F64" i="7"/>
  <c r="E170" i="1"/>
  <c r="E266" i="1" s="1"/>
  <c r="E263" i="1"/>
  <c r="K64" i="7"/>
  <c r="N252" i="1"/>
  <c r="N348" i="1" s="1"/>
  <c r="N345" i="1"/>
  <c r="T77" i="6"/>
  <c r="U77" i="6" s="1"/>
  <c r="T69" i="6"/>
  <c r="E25" i="1"/>
  <c r="E26" i="1" s="1"/>
  <c r="O64" i="7"/>
  <c r="N64" i="7"/>
  <c r="T60" i="7"/>
  <c r="U60" i="7"/>
  <c r="U59" i="7"/>
  <c r="T59" i="7"/>
  <c r="R252" i="1"/>
  <c r="W249" i="1"/>
  <c r="W345" i="1" s="1"/>
  <c r="R345" i="1"/>
  <c r="T58" i="7"/>
  <c r="U58" i="7"/>
  <c r="W176" i="1"/>
  <c r="W272" i="1" s="1"/>
  <c r="R272" i="1"/>
  <c r="M64" i="7" l="1"/>
  <c r="T74" i="6"/>
  <c r="U74" i="6" s="1"/>
  <c r="T75" i="6"/>
  <c r="U75" i="6" s="1"/>
  <c r="E14" i="8"/>
  <c r="D14" i="8" s="1"/>
  <c r="P369" i="1"/>
  <c r="M369" i="1"/>
  <c r="I369" i="1"/>
  <c r="G369" i="1"/>
  <c r="H369" i="1"/>
  <c r="L369" i="1"/>
  <c r="O369" i="1"/>
  <c r="J369" i="1"/>
  <c r="R348" i="1"/>
  <c r="W252" i="1"/>
  <c r="W348" i="1" s="1"/>
  <c r="U55" i="7"/>
  <c r="T55" i="7"/>
  <c r="T56" i="7"/>
  <c r="U56" i="7"/>
  <c r="T62" i="7"/>
  <c r="U62" i="7"/>
  <c r="U69" i="6"/>
  <c r="S64" i="7"/>
  <c r="N369" i="1"/>
  <c r="U63" i="7"/>
  <c r="T63" i="7"/>
  <c r="T129" i="6"/>
  <c r="T54" i="7"/>
  <c r="U54" i="7"/>
  <c r="T61" i="7"/>
  <c r="U61" i="7"/>
  <c r="R64" i="7"/>
  <c r="T133" i="7"/>
  <c r="U133" i="7"/>
  <c r="T53" i="7"/>
  <c r="U53" i="7"/>
  <c r="Q64" i="7"/>
  <c r="E252" i="1"/>
  <c r="E348" i="1" s="1"/>
  <c r="E345" i="1"/>
  <c r="K369" i="1"/>
  <c r="J64" i="7"/>
  <c r="G144" i="7"/>
  <c r="L48" i="5"/>
  <c r="L50" i="5" s="1"/>
  <c r="I95" i="6"/>
  <c r="I97" i="6" s="1"/>
  <c r="I79" i="6"/>
  <c r="I81" i="6" s="1"/>
  <c r="K48" i="5"/>
  <c r="K50" i="5" s="1"/>
  <c r="G14" i="7"/>
  <c r="G66" i="7" s="1"/>
  <c r="N23" i="8"/>
  <c r="N59" i="8" s="1"/>
  <c r="K23" i="8"/>
  <c r="K59" i="8" s="1"/>
  <c r="H23" i="8"/>
  <c r="H59" i="8" s="1"/>
  <c r="H95" i="6"/>
  <c r="H97" i="6" s="1"/>
  <c r="F73" i="7"/>
  <c r="G73" i="7"/>
  <c r="H73" i="7"/>
  <c r="G79" i="6"/>
  <c r="G81" i="6" s="1"/>
  <c r="H79" i="6"/>
  <c r="H81" i="6" s="1"/>
  <c r="I23" i="8"/>
  <c r="I59" i="8" s="1"/>
  <c r="M14" i="7"/>
  <c r="N14" i="7"/>
  <c r="N66" i="7" s="1"/>
  <c r="L14" i="7"/>
  <c r="L66" i="7" s="1"/>
  <c r="G95" i="6"/>
  <c r="G97" i="6" s="1"/>
  <c r="L95" i="6"/>
  <c r="L97" i="6" s="1"/>
  <c r="K73" i="7"/>
  <c r="M73" i="7"/>
  <c r="N144" i="7"/>
  <c r="H144" i="7"/>
  <c r="I144" i="7"/>
  <c r="L79" i="6"/>
  <c r="L81" i="6" s="1"/>
  <c r="I14" i="7"/>
  <c r="I66" i="7" s="1"/>
  <c r="M48" i="5"/>
  <c r="M50" i="5" s="1"/>
  <c r="F48" i="5"/>
  <c r="F50" i="5" s="1"/>
  <c r="I48" i="5"/>
  <c r="I50" i="5" s="1"/>
  <c r="K95" i="6"/>
  <c r="K97" i="6" s="1"/>
  <c r="L73" i="7"/>
  <c r="O73" i="7"/>
  <c r="M144" i="7"/>
  <c r="N79" i="6"/>
  <c r="N81" i="6" s="1"/>
  <c r="E16" i="8"/>
  <c r="D16" i="8" s="1"/>
  <c r="F14" i="7"/>
  <c r="F66" i="7" s="1"/>
  <c r="O14" i="7"/>
  <c r="O66" i="7" s="1"/>
  <c r="H14" i="7"/>
  <c r="H66" i="7" s="1"/>
  <c r="K14" i="7"/>
  <c r="K66" i="7" s="1"/>
  <c r="F114" i="7"/>
  <c r="K114" i="7"/>
  <c r="H48" i="5"/>
  <c r="H50" i="5" s="1"/>
  <c r="G48" i="5"/>
  <c r="G50" i="5" s="1"/>
  <c r="F125" i="6"/>
  <c r="K125" i="6"/>
  <c r="I125" i="6"/>
  <c r="F95" i="6"/>
  <c r="F97" i="6" s="1"/>
  <c r="N73" i="7"/>
  <c r="I73" i="7"/>
  <c r="L144" i="7"/>
  <c r="F144" i="7"/>
  <c r="K144" i="7"/>
  <c r="F79" i="6"/>
  <c r="F81" i="6" s="1"/>
  <c r="K79" i="6"/>
  <c r="K81" i="6" s="1"/>
  <c r="K99" i="6" l="1"/>
  <c r="M66" i="7"/>
  <c r="I114" i="7"/>
  <c r="U64" i="7"/>
  <c r="M79" i="6"/>
  <c r="M81" i="6" s="1"/>
  <c r="G125" i="6"/>
  <c r="L99" i="6"/>
  <c r="H114" i="7"/>
  <c r="I99" i="6"/>
  <c r="L114" i="7"/>
  <c r="T64" i="7"/>
  <c r="O114" i="7"/>
  <c r="R48" i="5"/>
  <c r="R50" i="5" s="1"/>
  <c r="O79" i="6"/>
  <c r="O81" i="6" s="1"/>
  <c r="S95" i="6"/>
  <c r="S97" i="6" s="1"/>
  <c r="S14" i="7"/>
  <c r="S66" i="7" s="1"/>
  <c r="K44" i="1"/>
  <c r="L44" i="1"/>
  <c r="M44" i="1"/>
  <c r="S144" i="7"/>
  <c r="F99" i="6"/>
  <c r="E43" i="8"/>
  <c r="D43" i="8" s="1"/>
  <c r="L125" i="6"/>
  <c r="S73" i="7"/>
  <c r="R79" i="6"/>
  <c r="R81" i="6" s="1"/>
  <c r="G99" i="6"/>
  <c r="J48" i="5"/>
  <c r="J50" i="5" s="1"/>
  <c r="J14" i="7"/>
  <c r="H99" i="6"/>
  <c r="S114" i="7"/>
  <c r="U129" i="6"/>
  <c r="H44" i="1"/>
  <c r="P44" i="1"/>
  <c r="S48" i="5"/>
  <c r="S50" i="5" s="1"/>
  <c r="J144" i="7"/>
  <c r="R73" i="7"/>
  <c r="J95" i="6"/>
  <c r="J97" i="6" s="1"/>
  <c r="J99" i="6" s="1"/>
  <c r="N125" i="6"/>
  <c r="J79" i="6"/>
  <c r="J81" i="6" s="1"/>
  <c r="O144" i="7"/>
  <c r="O95" i="6"/>
  <c r="O97" i="6" s="1"/>
  <c r="J73" i="7"/>
  <c r="M95" i="6"/>
  <c r="M97" i="6" s="1"/>
  <c r="J114" i="7"/>
  <c r="G114" i="7"/>
  <c r="N44" i="1"/>
  <c r="J44" i="1"/>
  <c r="E369" i="1"/>
  <c r="G44" i="1"/>
  <c r="M23" i="8"/>
  <c r="M59" i="8" s="1"/>
  <c r="M114" i="7"/>
  <c r="R125" i="6"/>
  <c r="H125" i="6"/>
  <c r="O125" i="6"/>
  <c r="N114" i="7"/>
  <c r="R14" i="7"/>
  <c r="R66" i="7" s="1"/>
  <c r="R144" i="7"/>
  <c r="R95" i="6"/>
  <c r="R97" i="6" s="1"/>
  <c r="J23" i="8"/>
  <c r="J59" i="8" s="1"/>
  <c r="N95" i="6"/>
  <c r="N97" i="6" s="1"/>
  <c r="N99" i="6" s="1"/>
  <c r="N48" i="5"/>
  <c r="N50" i="5" s="1"/>
  <c r="J66" i="7"/>
  <c r="S79" i="6"/>
  <c r="S81" i="6" s="1"/>
  <c r="O44" i="1"/>
  <c r="I44" i="1"/>
  <c r="L23" i="8"/>
  <c r="L59" i="8" s="1"/>
  <c r="O99" i="6" l="1"/>
  <c r="J125" i="6"/>
  <c r="E44" i="8"/>
  <c r="D44" i="8" s="1"/>
  <c r="M99" i="6"/>
  <c r="S99" i="6"/>
  <c r="U112" i="7"/>
  <c r="Q114" i="7"/>
  <c r="T112" i="7"/>
  <c r="U35" i="5"/>
  <c r="U48" i="5" s="1"/>
  <c r="U50" i="5" s="1"/>
  <c r="T35" i="5"/>
  <c r="T48" i="5" s="1"/>
  <c r="T50" i="5" s="1"/>
  <c r="Q48" i="5"/>
  <c r="Q50" i="5" s="1"/>
  <c r="E20" i="8"/>
  <c r="D20" i="8" s="1"/>
  <c r="E48" i="8"/>
  <c r="D48" i="8" s="1"/>
  <c r="R99" i="6"/>
  <c r="T72" i="7"/>
  <c r="T73" i="7" s="1"/>
  <c r="U72" i="7"/>
  <c r="U73" i="7" s="1"/>
  <c r="Q73" i="7"/>
  <c r="T107" i="6"/>
  <c r="Q125" i="6"/>
  <c r="R114" i="7"/>
  <c r="E36" i="8"/>
  <c r="D36" i="8" s="1"/>
  <c r="T112" i="6"/>
  <c r="U112" i="6" s="1"/>
  <c r="E44" i="1"/>
  <c r="M125" i="6"/>
  <c r="T73" i="6"/>
  <c r="Q79" i="6"/>
  <c r="Q81" i="6" s="1"/>
  <c r="E45" i="8"/>
  <c r="D45" i="8" s="1"/>
  <c r="G23" i="8"/>
  <c r="G59" i="8" s="1"/>
  <c r="O23" i="8"/>
  <c r="O59" i="8" s="1"/>
  <c r="Q95" i="6"/>
  <c r="Q97" i="6" s="1"/>
  <c r="T94" i="6"/>
  <c r="T143" i="7"/>
  <c r="T144" i="7" s="1"/>
  <c r="U143" i="7"/>
  <c r="U144" i="7" s="1"/>
  <c r="Q144" i="7"/>
  <c r="T113" i="7"/>
  <c r="U113" i="7"/>
  <c r="S125" i="6"/>
  <c r="U13" i="7"/>
  <c r="U14" i="7" s="1"/>
  <c r="U66" i="7" s="1"/>
  <c r="T13" i="7"/>
  <c r="T14" i="7" s="1"/>
  <c r="T66" i="7" s="1"/>
  <c r="Q14" i="7"/>
  <c r="Q66" i="7" s="1"/>
  <c r="Q99" i="6" l="1"/>
  <c r="S39" i="1"/>
  <c r="S51" i="1" s="1"/>
  <c r="S52" i="1" s="1"/>
  <c r="S19" i="1"/>
  <c r="S28" i="1" s="1"/>
  <c r="M39" i="1"/>
  <c r="M51" i="1" s="1"/>
  <c r="M52" i="1" s="1"/>
  <c r="M19" i="1"/>
  <c r="M28" i="1" s="1"/>
  <c r="G52" i="8"/>
  <c r="G60" i="8" s="1"/>
  <c r="G61" i="8" s="1"/>
  <c r="U107" i="6"/>
  <c r="U125" i="6" s="1"/>
  <c r="T125" i="6"/>
  <c r="T114" i="7"/>
  <c r="E18" i="1"/>
  <c r="E19" i="1" s="1"/>
  <c r="H19" i="1"/>
  <c r="H28" i="1" s="1"/>
  <c r="H39" i="1"/>
  <c r="H51" i="1" s="1"/>
  <c r="H52" i="1" s="1"/>
  <c r="G39" i="1"/>
  <c r="G19" i="1"/>
  <c r="G28" i="1" s="1"/>
  <c r="J19" i="1"/>
  <c r="J28" i="1" s="1"/>
  <c r="J39" i="1"/>
  <c r="J51" i="1" s="1"/>
  <c r="J52" i="1" s="1"/>
  <c r="U94" i="6"/>
  <c r="U95" i="6" s="1"/>
  <c r="U97" i="6" s="1"/>
  <c r="T95" i="6"/>
  <c r="T97" i="6" s="1"/>
  <c r="O39" i="1"/>
  <c r="O51" i="1" s="1"/>
  <c r="O52" i="1" s="1"/>
  <c r="O19" i="1"/>
  <c r="O28" i="1" s="1"/>
  <c r="L39" i="1"/>
  <c r="L51" i="1" s="1"/>
  <c r="L52" i="1" s="1"/>
  <c r="L19" i="1"/>
  <c r="L28" i="1" s="1"/>
  <c r="J52" i="8"/>
  <c r="J60" i="8" s="1"/>
  <c r="J61" i="8" s="1"/>
  <c r="I19" i="1"/>
  <c r="I28" i="1" s="1"/>
  <c r="I39" i="1"/>
  <c r="I51" i="1" s="1"/>
  <c r="I52" i="1" s="1"/>
  <c r="T39" i="1"/>
  <c r="T51" i="1" s="1"/>
  <c r="T52" i="1" s="1"/>
  <c r="T19" i="1"/>
  <c r="T28" i="1" s="1"/>
  <c r="F23" i="8"/>
  <c r="F59" i="8" s="1"/>
  <c r="E21" i="8"/>
  <c r="L52" i="8"/>
  <c r="L60" i="8" s="1"/>
  <c r="L61" i="8" s="1"/>
  <c r="O52" i="8"/>
  <c r="O60" i="8" s="1"/>
  <c r="O61" i="8" s="1"/>
  <c r="P39" i="1"/>
  <c r="P51" i="1" s="1"/>
  <c r="P52" i="1" s="1"/>
  <c r="P19" i="1"/>
  <c r="P28" i="1" s="1"/>
  <c r="U73" i="6"/>
  <c r="U79" i="6" s="1"/>
  <c r="U81" i="6" s="1"/>
  <c r="T79" i="6"/>
  <c r="T81" i="6" s="1"/>
  <c r="U114" i="7"/>
  <c r="O121" i="7"/>
  <c r="O146" i="7" s="1"/>
  <c r="G121" i="7"/>
  <c r="G146" i="7" s="1"/>
  <c r="G148" i="7" s="1"/>
  <c r="I121" i="7"/>
  <c r="I146" i="7" s="1"/>
  <c r="I148" i="7" s="1"/>
  <c r="F121" i="7"/>
  <c r="F146" i="7" s="1"/>
  <c r="F148" i="7" s="1"/>
  <c r="H121" i="7"/>
  <c r="H146" i="7" s="1"/>
  <c r="H148" i="7" s="1"/>
  <c r="N121" i="7"/>
  <c r="N146" i="7" s="1"/>
  <c r="N148" i="7" s="1"/>
  <c r="K121" i="7"/>
  <c r="K146" i="7" s="1"/>
  <c r="K148" i="7" s="1"/>
  <c r="H52" i="8" l="1"/>
  <c r="H60" i="8" s="1"/>
  <c r="H61" i="8" s="1"/>
  <c r="M52" i="8"/>
  <c r="M60" i="8" s="1"/>
  <c r="M61" i="8" s="1"/>
  <c r="K52" i="8"/>
  <c r="K60" i="8" s="1"/>
  <c r="K61" i="8" s="1"/>
  <c r="N52" i="8"/>
  <c r="N60" i="8" s="1"/>
  <c r="N61" i="8" s="1"/>
  <c r="I52" i="8"/>
  <c r="I60" i="8" s="1"/>
  <c r="I61" i="8" s="1"/>
  <c r="S121" i="7"/>
  <c r="S146" i="7" s="1"/>
  <c r="S148" i="7" s="1"/>
  <c r="L53" i="1"/>
  <c r="M53" i="1"/>
  <c r="L121" i="7"/>
  <c r="L146" i="7" s="1"/>
  <c r="L148" i="7" s="1"/>
  <c r="P29" i="1"/>
  <c r="P34" i="1"/>
  <c r="E23" i="8"/>
  <c r="D21" i="8"/>
  <c r="I53" i="1"/>
  <c r="J29" i="1"/>
  <c r="J34" i="1"/>
  <c r="E38" i="8"/>
  <c r="D38" i="8" s="1"/>
  <c r="U18" i="1"/>
  <c r="U19" i="1" s="1"/>
  <c r="K39" i="1"/>
  <c r="K51" i="1" s="1"/>
  <c r="K52" i="1" s="1"/>
  <c r="K19" i="1"/>
  <c r="K28" i="1" s="1"/>
  <c r="E46" i="8"/>
  <c r="D46" i="8" s="1"/>
  <c r="S53" i="1"/>
  <c r="J53" i="1"/>
  <c r="R121" i="7"/>
  <c r="R146" i="7" s="1"/>
  <c r="R148" i="7" s="1"/>
  <c r="O148" i="7"/>
  <c r="P53" i="1"/>
  <c r="I29" i="1"/>
  <c r="I34" i="1"/>
  <c r="T99" i="6"/>
  <c r="G29" i="1"/>
  <c r="G34" i="1"/>
  <c r="W18" i="1"/>
  <c r="W19" i="1" s="1"/>
  <c r="W28" i="1" s="1"/>
  <c r="W29" i="1" s="1"/>
  <c r="R39" i="1"/>
  <c r="R19" i="1"/>
  <c r="R28" i="1" s="1"/>
  <c r="U116" i="7"/>
  <c r="T116" i="7"/>
  <c r="N39" i="1"/>
  <c r="N51" i="1" s="1"/>
  <c r="N52" i="1" s="1"/>
  <c r="N19" i="1"/>
  <c r="N28" i="1" s="1"/>
  <c r="J121" i="7"/>
  <c r="J146" i="7" s="1"/>
  <c r="J148" i="7" s="1"/>
  <c r="T53" i="1"/>
  <c r="O53" i="1"/>
  <c r="H29" i="1"/>
  <c r="H34" i="1"/>
  <c r="S29" i="1"/>
  <c r="S34" i="1"/>
  <c r="S36" i="1" s="1"/>
  <c r="S38" i="1" s="1"/>
  <c r="S40" i="1" s="1"/>
  <c r="M121" i="7"/>
  <c r="M146" i="7" s="1"/>
  <c r="M148" i="7" s="1"/>
  <c r="T29" i="1"/>
  <c r="T34" i="1"/>
  <c r="T36" i="1" s="1"/>
  <c r="T38" i="1" s="1"/>
  <c r="T40" i="1" s="1"/>
  <c r="L29" i="1"/>
  <c r="L34" i="1"/>
  <c r="O29" i="1"/>
  <c r="O34" i="1"/>
  <c r="U99" i="6"/>
  <c r="G51" i="1"/>
  <c r="H53" i="1"/>
  <c r="M29" i="1"/>
  <c r="M34" i="1"/>
  <c r="E39" i="1" l="1"/>
  <c r="E28" i="1"/>
  <c r="E29" i="1" s="1"/>
  <c r="S58" i="1"/>
  <c r="T58" i="1"/>
  <c r="K53" i="1"/>
  <c r="S41" i="1"/>
  <c r="S56" i="1"/>
  <c r="S54" i="1"/>
  <c r="R51" i="1"/>
  <c r="R52" i="1" s="1"/>
  <c r="W39" i="1"/>
  <c r="E59" i="8"/>
  <c r="D23" i="8"/>
  <c r="T56" i="1"/>
  <c r="T41" i="1"/>
  <c r="T120" i="7"/>
  <c r="T121" i="7" s="1"/>
  <c r="T146" i="7" s="1"/>
  <c r="T148" i="7" s="1"/>
  <c r="Q121" i="7"/>
  <c r="Q146" i="7" s="1"/>
  <c r="Q148" i="7" s="1"/>
  <c r="U120" i="7"/>
  <c r="U121" i="7" s="1"/>
  <c r="U146" i="7" s="1"/>
  <c r="U148" i="7" s="1"/>
  <c r="N53" i="1"/>
  <c r="F52" i="8"/>
  <c r="F60" i="8" s="1"/>
  <c r="F61" i="8" s="1"/>
  <c r="E50" i="8"/>
  <c r="E51" i="1"/>
  <c r="E52" i="1" s="1"/>
  <c r="G52" i="1"/>
  <c r="T54" i="1"/>
  <c r="N29" i="1"/>
  <c r="N34" i="1"/>
  <c r="R29" i="1"/>
  <c r="R34" i="1"/>
  <c r="R36" i="1" s="1"/>
  <c r="U28" i="1"/>
  <c r="K29" i="1"/>
  <c r="K34" i="1"/>
  <c r="G53" i="1" l="1"/>
  <c r="D50" i="8"/>
  <c r="E52" i="8"/>
  <c r="R53" i="1"/>
  <c r="R54" i="1" s="1"/>
  <c r="R38" i="1"/>
  <c r="R58" i="1" s="1"/>
  <c r="W36" i="1"/>
  <c r="E34" i="1"/>
  <c r="E53" i="1" l="1"/>
  <c r="R40" i="1"/>
  <c r="W38" i="1"/>
  <c r="W58" i="1" s="1"/>
  <c r="E60" i="8"/>
  <c r="E61" i="8" s="1"/>
  <c r="D52" i="8"/>
  <c r="S134" i="6"/>
  <c r="R134" i="6"/>
  <c r="M139" i="6" l="1"/>
  <c r="N366" i="1"/>
  <c r="O365" i="1"/>
  <c r="N134" i="6"/>
  <c r="K139" i="6"/>
  <c r="L366" i="1"/>
  <c r="I366" i="1"/>
  <c r="H139" i="6"/>
  <c r="M365" i="1"/>
  <c r="L134" i="6"/>
  <c r="I365" i="1"/>
  <c r="H134" i="6"/>
  <c r="L139" i="6"/>
  <c r="M366" i="1"/>
  <c r="S139" i="6"/>
  <c r="S141" i="6" s="1"/>
  <c r="G365" i="1"/>
  <c r="F134" i="6"/>
  <c r="I139" i="6"/>
  <c r="J366" i="1"/>
  <c r="H365" i="1"/>
  <c r="G134" i="6"/>
  <c r="J365" i="1"/>
  <c r="I134" i="6"/>
  <c r="W40" i="1"/>
  <c r="R41" i="1"/>
  <c r="R56" i="1"/>
  <c r="O366" i="1"/>
  <c r="N139" i="6"/>
  <c r="N141" i="6" s="1"/>
  <c r="F139" i="6"/>
  <c r="F141" i="6" s="1"/>
  <c r="G366" i="1"/>
  <c r="G139" i="6"/>
  <c r="H366" i="1"/>
  <c r="L141" i="6" l="1"/>
  <c r="G141" i="6"/>
  <c r="P365" i="1"/>
  <c r="O134" i="6"/>
  <c r="W41" i="1"/>
  <c r="W56" i="1"/>
  <c r="T130" i="6"/>
  <c r="Q134" i="6"/>
  <c r="N365" i="1"/>
  <c r="M134" i="6"/>
  <c r="O139" i="6"/>
  <c r="P366" i="1"/>
  <c r="J139" i="6"/>
  <c r="K366" i="1"/>
  <c r="I141" i="6"/>
  <c r="T138" i="6"/>
  <c r="U138" i="6" s="1"/>
  <c r="T137" i="6"/>
  <c r="Q139" i="6"/>
  <c r="Q141" i="6" s="1"/>
  <c r="R139" i="6"/>
  <c r="R141" i="6" s="1"/>
  <c r="L365" i="1"/>
  <c r="K134" i="6"/>
  <c r="K365" i="1"/>
  <c r="J134" i="6"/>
  <c r="H141" i="6"/>
  <c r="K141" i="6"/>
  <c r="M141" i="6"/>
  <c r="E365" i="1" l="1"/>
  <c r="H370" i="1" s="1"/>
  <c r="H46" i="1" s="1"/>
  <c r="E366" i="1"/>
  <c r="J371" i="1" s="1"/>
  <c r="J47" i="1" s="1"/>
  <c r="O141" i="6"/>
  <c r="U137" i="6"/>
  <c r="U139" i="6" s="1"/>
  <c r="T139" i="6"/>
  <c r="J141" i="6"/>
  <c r="U130" i="6"/>
  <c r="U134" i="6" s="1"/>
  <c r="T134" i="6"/>
  <c r="K370" i="1" l="1"/>
  <c r="K46" i="1" s="1"/>
  <c r="P370" i="1"/>
  <c r="L370" i="1"/>
  <c r="L372" i="1" s="1"/>
  <c r="O371" i="1"/>
  <c r="O47" i="1" s="1"/>
  <c r="L371" i="1"/>
  <c r="L47" i="1" s="1"/>
  <c r="I371" i="1"/>
  <c r="I47" i="1" s="1"/>
  <c r="O370" i="1"/>
  <c r="O46" i="1" s="1"/>
  <c r="I370" i="1"/>
  <c r="I36" i="1" s="1"/>
  <c r="G370" i="1"/>
  <c r="G46" i="1" s="1"/>
  <c r="J370" i="1"/>
  <c r="J46" i="1" s="1"/>
  <c r="J48" i="1" s="1"/>
  <c r="M370" i="1"/>
  <c r="N370" i="1"/>
  <c r="N46" i="1" s="1"/>
  <c r="M371" i="1"/>
  <c r="M47" i="1" s="1"/>
  <c r="N371" i="1"/>
  <c r="N47" i="1" s="1"/>
  <c r="K371" i="1"/>
  <c r="K47" i="1" s="1"/>
  <c r="P371" i="1"/>
  <c r="P47" i="1" s="1"/>
  <c r="H371" i="1"/>
  <c r="G371" i="1"/>
  <c r="G47" i="1" s="1"/>
  <c r="P46" i="1"/>
  <c r="L46" i="1"/>
  <c r="T141" i="6"/>
  <c r="U141" i="6"/>
  <c r="M372" i="1" l="1"/>
  <c r="L36" i="1"/>
  <c r="I46" i="1"/>
  <c r="I48" i="1" s="1"/>
  <c r="O48" i="1"/>
  <c r="O372" i="1"/>
  <c r="M46" i="1"/>
  <c r="M48" i="1" s="1"/>
  <c r="O36" i="1"/>
  <c r="O38" i="1" s="1"/>
  <c r="G372" i="1"/>
  <c r="I372" i="1"/>
  <c r="L48" i="1"/>
  <c r="E370" i="1"/>
  <c r="J36" i="1"/>
  <c r="J54" i="1" s="1"/>
  <c r="N36" i="1"/>
  <c r="N54" i="1" s="1"/>
  <c r="J372" i="1"/>
  <c r="M36" i="1"/>
  <c r="M38" i="1" s="1"/>
  <c r="P36" i="1"/>
  <c r="P38" i="1" s="1"/>
  <c r="P372" i="1"/>
  <c r="E371" i="1"/>
  <c r="P48" i="1"/>
  <c r="N48" i="1"/>
  <c r="N372" i="1"/>
  <c r="K36" i="1"/>
  <c r="K38" i="1" s="1"/>
  <c r="K372" i="1"/>
  <c r="H47" i="1"/>
  <c r="H48" i="1" s="1"/>
  <c r="H36" i="1"/>
  <c r="H372" i="1"/>
  <c r="G36" i="1"/>
  <c r="G38" i="1" s="1"/>
  <c r="G58" i="1" s="1"/>
  <c r="K48" i="1"/>
  <c r="I38" i="1"/>
  <c r="I54" i="1"/>
  <c r="G48" i="1"/>
  <c r="L38" i="1"/>
  <c r="L54" i="1"/>
  <c r="O54" i="1" l="1"/>
  <c r="J38" i="1"/>
  <c r="E46" i="1"/>
  <c r="N38" i="1"/>
  <c r="N40" i="1" s="1"/>
  <c r="P54" i="1"/>
  <c r="E372" i="1"/>
  <c r="M54" i="1"/>
  <c r="G54" i="1"/>
  <c r="E36" i="1"/>
  <c r="E35" i="1" s="1"/>
  <c r="E47" i="1"/>
  <c r="H38" i="1"/>
  <c r="H54" i="1"/>
  <c r="K54" i="1"/>
  <c r="O40" i="1"/>
  <c r="O58" i="1"/>
  <c r="I40" i="1"/>
  <c r="I58" i="1"/>
  <c r="K40" i="1"/>
  <c r="K58" i="1"/>
  <c r="G40" i="1"/>
  <c r="J40" i="1"/>
  <c r="J58" i="1"/>
  <c r="L40" i="1"/>
  <c r="L58" i="1"/>
  <c r="M40" i="1"/>
  <c r="M58" i="1"/>
  <c r="P40" i="1"/>
  <c r="P58" i="1"/>
  <c r="E48" i="1" l="1"/>
  <c r="N58" i="1"/>
  <c r="E54" i="1"/>
  <c r="H58" i="1"/>
  <c r="H40" i="1"/>
  <c r="E38" i="1"/>
  <c r="E58" i="1" s="1"/>
  <c r="L56" i="1"/>
  <c r="L41" i="1"/>
  <c r="K41" i="1"/>
  <c r="K56" i="1"/>
  <c r="P56" i="1"/>
  <c r="P41" i="1"/>
  <c r="N41" i="1"/>
  <c r="N56" i="1"/>
  <c r="M41" i="1"/>
  <c r="M56" i="1"/>
  <c r="E40" i="1"/>
  <c r="G41" i="1"/>
  <c r="G56" i="1"/>
  <c r="I56" i="1"/>
  <c r="I41" i="1"/>
  <c r="O56" i="1"/>
  <c r="O41" i="1"/>
  <c r="J41" i="1"/>
  <c r="J56" i="1"/>
  <c r="H41" i="1" l="1"/>
  <c r="H56" i="1"/>
  <c r="E41" i="1"/>
  <c r="E56" i="1"/>
  <c r="K57" i="1" s="1"/>
  <c r="L57" i="1" l="1"/>
  <c r="M57" i="1"/>
  <c r="J57" i="1"/>
  <c r="E57" i="1"/>
  <c r="S57" i="1"/>
  <c r="T57" i="1"/>
  <c r="R57" i="1"/>
  <c r="W57" i="1"/>
  <c r="H57" i="1"/>
  <c r="P57" i="1"/>
  <c r="I57" i="1"/>
  <c r="G57" i="1"/>
  <c r="N57" i="1"/>
  <c r="O57" i="1"/>
</calcChain>
</file>

<file path=xl/sharedStrings.xml><?xml version="1.0" encoding="utf-8"?>
<sst xmlns="http://schemas.openxmlformats.org/spreadsheetml/2006/main" count="1190" uniqueCount="552">
  <si>
    <t>Puget Sound Energy</t>
  </si>
  <si>
    <t>ELECTRIC COST OF SERVICE SUMMARY</t>
  </si>
  <si>
    <t>Line No.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</si>
  <si>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</si>
  <si>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</si>
  <si>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</si>
  <si>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</si>
  <si>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</si>
  <si>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</si>
  <si>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</si>
  <si>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</si>
  <si>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</si>
  <si>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</si>
  <si>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</si>
  <si>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</t>
  </si>
  <si>
    <t>Pri Volt Sch 31</t>
  </si>
  <si>
    <t>Pri Volt Sch 35</t>
  </si>
  <si>
    <t>Pri Volt Sch 43</t>
  </si>
  <si>
    <t>check</t>
  </si>
  <si>
    <t>Pri Volt
Sch 31/35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</si>
  <si>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</si>
  <si>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</si>
  <si>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</si>
  <si>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</si>
  <si>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</si>
  <si>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</si>
  <si>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</si>
  <si>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</si>
  <si>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</si>
  <si>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</si>
  <si>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</si>
  <si>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</si>
  <si>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Rate Base</t>
  </si>
  <si>
    <t>Plant in Service</t>
  </si>
  <si>
    <t>Accumulated Reserve</t>
  </si>
  <si>
    <t>Other Ratebase Items</t>
  </si>
  <si>
    <t>TOTAL RATE BASE</t>
  </si>
  <si>
    <t>Firm Sales</t>
  </si>
  <si>
    <t>Non-Firm Sales</t>
  </si>
  <si>
    <t>Other Operating Revenue</t>
  </si>
  <si>
    <t>Expenses at Current Rates</t>
  </si>
  <si>
    <t>Operation and Maintenance</t>
  </si>
  <si>
    <t>Depreciation Expense</t>
  </si>
  <si>
    <t>Taxes Other Than Income</t>
  </si>
  <si>
    <t>Income Taxes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</si>
  <si>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</si>
  <si>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</si>
  <si>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</si>
  <si>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</si>
  <si>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Revenue Conversion Factor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</si>
  <si>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</si>
  <si>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</si>
  <si>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</si>
  <si>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</si>
  <si>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</si>
  <si>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Expense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</si>
  <si>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</si>
  <si>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</si>
  <si>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</si>
  <si>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</si>
  <si>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</si>
  <si>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Deficiency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</si>
  <si>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</si>
  <si>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</si>
  <si>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</si>
  <si>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</si>
  <si>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</si>
  <si>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</si>
  <si>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</si>
  <si>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</si>
  <si>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Unit Costs (per kWh)</t>
  </si>
  <si>
    <t>Total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</si>
  <si>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</si>
  <si>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</si>
  <si>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</si>
  <si>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</si>
  <si>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</si>
  <si>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</si>
  <si>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</si>
  <si>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</si>
  <si>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>ELECTRIC COST OF SERVICE SUMMARY - ENERGY RELATED</t>
  </si>
  <si>
    <t>(f)</t>
  </si>
  <si>
    <t>(i)</t>
  </si>
  <si>
    <t>(j)</t>
  </si>
  <si>
    <t>Expense</t>
  </si>
  <si>
    <t>TOTAL EXPENSES</t>
  </si>
  <si>
    <t>Requested Return on Net Investment</t>
  </si>
  <si>
    <t>Total Cost of Service</t>
  </si>
  <si>
    <t>Construction Work in Progress</t>
  </si>
  <si>
    <t>Working Capital Assets</t>
  </si>
  <si>
    <t>Other Items</t>
  </si>
  <si>
    <t>ELECTRIC COST OF SERVICE SUMMARY - DEMAND RELATED</t>
  </si>
  <si>
    <t>ELECTRIC COST OF SERVICE SUMMARY - CUSTOMER RELATED</t>
  </si>
  <si>
    <t>ELECTRIC COST OF SERVICE SUMMARY - REVENUE SUMMARY</t>
  </si>
  <si>
    <t>COS ID</t>
  </si>
  <si>
    <t>Account Description</t>
  </si>
  <si>
    <t>Allocation Method</t>
  </si>
  <si>
    <t>Pri Volt
Sch 31</t>
  </si>
  <si>
    <t>Pri Volt
Sch 35</t>
  </si>
  <si>
    <t>Pri Volt
Sch 43</t>
  </si>
  <si>
    <t>Pri Volt</t>
  </si>
  <si>
    <t>Pri Volt Sch 31/35</t>
  </si>
  <si>
    <t>SALES REVENUE</t>
  </si>
  <si>
    <t>ELECTRIC COST OF SERVICE SUMMARY - EXPENSE SUMMARY</t>
  </si>
  <si>
    <t>Pri Volt Sch 3135</t>
  </si>
  <si>
    <t>TOTAL OPERATING EXPENSES</t>
  </si>
  <si>
    <t>ELECTRIC COST OF SERVICE SUMMARY - CUSTOMER CHARGE SUMMARY</t>
  </si>
  <si>
    <t>PLANT INVESTMENT:</t>
  </si>
  <si>
    <t>Meters (A/C 370)</t>
  </si>
  <si>
    <t>UG Service (A/C 369)</t>
  </si>
  <si>
    <t>OH Service (A/C 369)</t>
  </si>
  <si>
    <t>Transformers (A/C 368)</t>
  </si>
  <si>
    <t>Subtotal Transformer, Meter &amp; Service</t>
  </si>
  <si>
    <t>General Plant</t>
  </si>
  <si>
    <t>Prod, Trans &amp; Dist Plant</t>
  </si>
  <si>
    <t>Related General Plant</t>
  </si>
  <si>
    <t>Related Distribution Accumulated Depreciation</t>
  </si>
  <si>
    <t>General Accumulated Depreciation</t>
  </si>
  <si>
    <t>Related General Accumulated Depreciation</t>
  </si>
  <si>
    <t>Net Plant Investment</t>
  </si>
  <si>
    <t>EXPENSE:</t>
  </si>
  <si>
    <t>OE - Supervision &amp; Eng (A/C 580)</t>
  </si>
  <si>
    <t>OE - Meters (A/C 586)</t>
  </si>
  <si>
    <t>OE - Customer Installation (A/C 587)</t>
  </si>
  <si>
    <t>ME - Line Transformers (A/C 595)</t>
  </si>
  <si>
    <t>ME - Meters (A/C 597)</t>
  </si>
  <si>
    <t>CAE - Supervision (A/C 901)</t>
  </si>
  <si>
    <t>CAE - Meter Reading (A/C 902)</t>
  </si>
  <si>
    <t>CAE - Records &amp; Collections (A/C 903)</t>
  </si>
  <si>
    <t>Subtotal O&amp;M and Cust Acctg Expense</t>
  </si>
  <si>
    <t>Total Admin &amp; General</t>
  </si>
  <si>
    <t>Total Prod, Tran, Dist &amp; Customer Expense</t>
  </si>
  <si>
    <t>Related Admin &amp; General</t>
  </si>
  <si>
    <t>Distribution Depreciation Expense</t>
  </si>
  <si>
    <t>Related Distribution Depreciation Expense</t>
  </si>
  <si>
    <t>Total Depreciation Expense</t>
  </si>
  <si>
    <t>General Distribution Expense</t>
  </si>
  <si>
    <t>Depreciation Net of General Expense</t>
  </si>
  <si>
    <t>Related General Depr Expense</t>
  </si>
  <si>
    <t>Total Plant in Service</t>
  </si>
  <si>
    <t>Property Tax (A/C 236)</t>
  </si>
  <si>
    <t>Related Property Tax</t>
  </si>
  <si>
    <t>Total Related Expense</t>
  </si>
  <si>
    <t>Customers (Annual)</t>
  </si>
  <si>
    <t>Cost of Capital (Net of Tax)</t>
  </si>
  <si>
    <t>Conversion Factor</t>
  </si>
  <si>
    <t>1 - FIT Rate</t>
  </si>
  <si>
    <t>$ / Month per Customer for Plant Investment</t>
  </si>
  <si>
    <t>$ / Month per Customer for Expense</t>
  </si>
  <si>
    <t>TOTAL MONTHLY CUSTOMER CHARGE</t>
  </si>
  <si>
    <t>Sch 40 Feeder Allocation</t>
  </si>
  <si>
    <t>FERC 364 &amp; 365</t>
  </si>
  <si>
    <t>FERC 366 &amp; 367</t>
  </si>
  <si>
    <t>% to Total</t>
  </si>
  <si>
    <t>OH Lines</t>
  </si>
  <si>
    <t>UG Lines</t>
  </si>
  <si>
    <t>Distribution Ratebase</t>
  </si>
  <si>
    <t>Direct Ratebase</t>
  </si>
  <si>
    <t>Direct Accumulated Depreciation</t>
  </si>
  <si>
    <t>Indirect Ratebase</t>
  </si>
  <si>
    <t>Net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</si>
  <si>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</si>
  <si>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</si>
  <si>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</si>
  <si>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</si>
  <si>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</si>
  <si>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</si>
  <si>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</si>
  <si>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</si>
  <si>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</si>
  <si>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</si>
  <si>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</si>
  <si>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</si>
  <si>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Sch 40 Substation O&amp;M Overhead</t>
  </si>
  <si>
    <t>Substation 
O&amp;M  %</t>
  </si>
  <si>
    <t>A&amp;G - Operating Expense</t>
  </si>
  <si>
    <t>A&amp;G - Maintenance Expense</t>
  </si>
  <si>
    <t>Total A&amp;G</t>
  </si>
  <si>
    <t>Plant In Service</t>
  </si>
  <si>
    <t>Intangible Plant</t>
  </si>
  <si>
    <t>Accumulated Reserve for Depreciation</t>
  </si>
  <si>
    <t>Net Plant In Service</t>
  </si>
  <si>
    <t>% A&amp;G to Total Net Plant</t>
  </si>
  <si>
    <t>Distribution Operating Expense</t>
  </si>
  <si>
    <t>Distribution Maintenance Expense</t>
  </si>
  <si>
    <t>Total Distribution O&amp;M Expense</t>
  </si>
  <si>
    <t>Distribution Plant in Service</t>
  </si>
  <si>
    <t xml:space="preserve">Distribution Accumulated Reserve for Depreciation </t>
  </si>
  <si>
    <t>Distribution Net Plant in Service</t>
  </si>
  <si>
    <t>% Dist O&amp;M Expense to Net Plant</t>
  </si>
  <si>
    <t>Total O&amp;M and A&amp;G</t>
  </si>
  <si>
    <t>Revenue Sensitive Factor</t>
  </si>
  <si>
    <t>After Tax Rate</t>
  </si>
  <si>
    <t>Sch 40 Substation Administrative &amp; General Overhead</t>
  </si>
  <si>
    <t>Substation 
A&amp;G  %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</si>
  <si>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</si>
  <si>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</si>
  <si>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</si>
  <si>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</si>
  <si>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</si>
  <si>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</si>
  <si>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</si>
  <si>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</si>
  <si>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</si>
  <si>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</si>
  <si>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</si>
  <si>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</si>
  <si>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</si>
  <si>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</si>
  <si>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Demand</t>
  </si>
  <si>
    <t>Adjusted Test Year Twelve Months ended September 2016 @ Proforma Rev Requirement</t>
  </si>
  <si>
    <t>Production</t>
  </si>
  <si>
    <t>Energy</t>
  </si>
  <si>
    <t>Customer</t>
  </si>
  <si>
    <t>~</t>
  </si>
  <si>
    <t>Transmission</t>
  </si>
  <si>
    <t>Distribution</t>
  </si>
  <si>
    <t>Revenue at Current Rates</t>
  </si>
  <si>
    <t>TOTAL REVENUE - Current</t>
  </si>
  <si>
    <t>TOTAL EXPENSES - Current</t>
  </si>
  <si>
    <t>OPERATING INCOME - Current</t>
  </si>
  <si>
    <t>Current Rate of Return</t>
  </si>
  <si>
    <t>REVENUE</t>
  </si>
  <si>
    <t>Sales of Electricity - Firm Revenue</t>
  </si>
  <si>
    <t>PROFORMA_RETAIL</t>
  </si>
  <si>
    <t>Sales of Electricity - Transportation Revenue - Retail</t>
  </si>
  <si>
    <t>DIR_449</t>
  </si>
  <si>
    <t>Sales of Electricity - Small Firm Resale</t>
  </si>
  <si>
    <t>DIR_RESALE_SMALL</t>
  </si>
  <si>
    <t>NON FIRM REVENUE</t>
  </si>
  <si>
    <t>Sales of Electricity - Non Firm Revenue</t>
  </si>
  <si>
    <t>PC4</t>
  </si>
  <si>
    <t>TOTAL NON FIRM REVENUE</t>
  </si>
  <si>
    <t>OTHER OPERATING REVENUE</t>
  </si>
  <si>
    <t>Late Payment Revenue - Interest</t>
  </si>
  <si>
    <t>DIR450.01</t>
  </si>
  <si>
    <t>Late Payment Revenue - Field Call</t>
  </si>
  <si>
    <t>DIR450.02</t>
  </si>
  <si>
    <t xml:space="preserve">Misc Service Revenue - Temporary Service </t>
  </si>
  <si>
    <t>CUST_2</t>
  </si>
  <si>
    <t>Misc Service Revenue - Reconnection Charge</t>
  </si>
  <si>
    <t>DIR451.02</t>
  </si>
  <si>
    <t>Misc Service Revenue - Modified Service Charge</t>
  </si>
  <si>
    <t>Misc Service Revenue - Line Extension/UG Conversions</t>
  </si>
  <si>
    <t>Misc Service Revenue - Billing Initiation Charge</t>
  </si>
  <si>
    <t>DIR451.05</t>
  </si>
  <si>
    <t>Misc Service Revenue - NSF Handling Chg</t>
  </si>
  <si>
    <t>DIR451.06</t>
  </si>
  <si>
    <t>Misc Service Revenue - Deferred FIT CIAC</t>
  </si>
  <si>
    <t>DIR252.00</t>
  </si>
  <si>
    <t>Misc Service Revenue - Energy Diversion</t>
  </si>
  <si>
    <t>Rental Revenue - Steam Plant</t>
  </si>
  <si>
    <t>PP.T</t>
  </si>
  <si>
    <t>Rental Revenue - Distribution Pole Contacts</t>
  </si>
  <si>
    <t>D364.T</t>
  </si>
  <si>
    <t>Rental Revenue - Personal Cell Site</t>
  </si>
  <si>
    <t>Rental Revenue - Land &amp; Bldg</t>
  </si>
  <si>
    <t>PTDP.T</t>
  </si>
  <si>
    <t>Rental Revenue - Transf &amp; Equip</t>
  </si>
  <si>
    <t>DIR454.05</t>
  </si>
  <si>
    <t>Other Elect Revenue -  Wheeling</t>
  </si>
  <si>
    <t>Other Elect Revenue - Dist O&amp;M</t>
  </si>
  <si>
    <t>LINE.T</t>
  </si>
  <si>
    <t>Other Elect Revenue - Summit Buyout</t>
  </si>
  <si>
    <t>GP.T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</si>
  <si>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</si>
  <si>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</si>
  <si>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</si>
  <si>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</si>
  <si>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</si>
  <si>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DIR373.00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</si>
  <si>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</si>
  <si>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</si>
  <si>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</si>
  <si>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</si>
  <si>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</si>
  <si>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DP.T</t>
  </si>
  <si>
    <t>Other Elect Revenue -  Decoupling Amortization</t>
  </si>
  <si>
    <t>Other Elect Revenue - Transmission Transportation</t>
  </si>
  <si>
    <t>TOTAL OTHER OPERATING INCOME</t>
  </si>
  <si>
    <t>TOTAL REVENUE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</si>
  <si>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</si>
  <si>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</si>
  <si>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</si>
  <si>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</si>
  <si>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</si>
  <si>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</si>
  <si>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</si>
  <si>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Sub-total</t>
  </si>
  <si>
    <t>Production - O&amp;M - Purchase Power</t>
  </si>
  <si>
    <t>Purch Pwr - Other</t>
  </si>
  <si>
    <t>Purch Pwr - Res Exchange</t>
  </si>
  <si>
    <t>BPAX</t>
  </si>
  <si>
    <t>Production - O&amp;M - Wheeling</t>
  </si>
  <si>
    <t>Wheeling by Others - Wheeling</t>
  </si>
  <si>
    <t>Production - O&amp;M - Other</t>
  </si>
  <si>
    <t xml:space="preserve">Steam Prod O&amp;M </t>
  </si>
  <si>
    <t>Hydro Prod O&amp;M - O&amp;M</t>
  </si>
  <si>
    <t>Other Prod O&amp;M - O&amp;M</t>
  </si>
  <si>
    <t>System Control &amp; Load Dispatch</t>
  </si>
  <si>
    <t>Transmission  - O&amp;M</t>
  </si>
  <si>
    <t>TP.T</t>
  </si>
  <si>
    <t>Distribution Expense - Operating</t>
  </si>
  <si>
    <t>Dist O&amp;M - Load Dispatch</t>
  </si>
  <si>
    <t>DES3.T</t>
  </si>
  <si>
    <t>Dist O&amp;M - Station</t>
  </si>
  <si>
    <t>D362.T</t>
  </si>
  <si>
    <t>Dist O&amp;M - OVHD Lines</t>
  </si>
  <si>
    <t>Dist O&amp;M - UNGD Lines</t>
  </si>
  <si>
    <t>D366.T</t>
  </si>
  <si>
    <t>Dist O&amp;M - Street Lighting</t>
  </si>
  <si>
    <t>Dist O&amp;M - Meter</t>
  </si>
  <si>
    <t>D370.T</t>
  </si>
  <si>
    <t>Dist O&amp;M - Cust Installations - Meters</t>
  </si>
  <si>
    <t>Dist O&amp;M - Rents</t>
  </si>
  <si>
    <t>Dist O&amp;M - Supr &amp; Eng</t>
  </si>
  <si>
    <t>DES1.T</t>
  </si>
  <si>
    <t>Dist O&amp;M - Miscellaneous</t>
  </si>
  <si>
    <t>Customer Accounts Expense</t>
  </si>
  <si>
    <t>CAE - Suprv</t>
  </si>
  <si>
    <t>CAES1.T</t>
  </si>
  <si>
    <t>CAE - Meter Reading</t>
  </si>
  <si>
    <t>CUST_4</t>
  </si>
  <si>
    <t>CAE - Records &amp; Collections</t>
  </si>
  <si>
    <t>CUST_3</t>
  </si>
  <si>
    <t xml:space="preserve">CAE - Uncollect Accts </t>
  </si>
  <si>
    <t>DIR904.00</t>
  </si>
  <si>
    <t>CAE - Miscellaneous</t>
  </si>
  <si>
    <t>CUST_1</t>
  </si>
  <si>
    <t>Customer Service &amp; Information Expense</t>
  </si>
  <si>
    <t>Cust Svc Exp - Cust Assistance</t>
  </si>
  <si>
    <t>RESID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</si>
  <si>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</si>
  <si>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</si>
  <si>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</si>
  <si>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</si>
  <si>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</si>
  <si>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</si>
  <si>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</si>
  <si>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</si>
  <si>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</si>
  <si>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ADJPTDCE.T</t>
  </si>
  <si>
    <t>A&amp;G Exp - Office Supplies</t>
  </si>
  <si>
    <t>A&amp;G Exp - Transf (credit)</t>
  </si>
  <si>
    <t>A&amp;G Exp - Outside Svcs</t>
  </si>
  <si>
    <t>A&amp;G Exp - Prop Insurance - Other</t>
  </si>
  <si>
    <t>PTDGP.T</t>
  </si>
  <si>
    <t>A&amp;G Exp - Injuries &amp; Damages - Other</t>
  </si>
  <si>
    <t>SW.T</t>
  </si>
  <si>
    <t>A&amp;G Exp - Pensions &amp; Benefits</t>
  </si>
  <si>
    <t xml:space="preserve">A&amp;G Exp - Reg Comm Exp </t>
  </si>
  <si>
    <t>PTDE.T</t>
  </si>
  <si>
    <t>A&amp;G Exp - Miscellaneous</t>
  </si>
  <si>
    <t>A&amp;G Exp - Rents</t>
  </si>
  <si>
    <t>Distribution Expense - Maintenance</t>
  </si>
  <si>
    <t>Dist O&amp;M - Structure</t>
  </si>
  <si>
    <t>D361.T</t>
  </si>
  <si>
    <t>Dist O&amp;M - Station Eqpt</t>
  </si>
  <si>
    <t>Dist O&amp;M - Lines Transformers</t>
  </si>
  <si>
    <t>D368.T</t>
  </si>
  <si>
    <t>Dist O&amp;M - Meters</t>
  </si>
  <si>
    <t>General Expense - Maintenance &amp; Other</t>
  </si>
  <si>
    <t>A&amp;G Exp - Maint of Gen Plant</t>
  </si>
  <si>
    <t>TOTAL MAINTENANCE EXPENSES</t>
  </si>
  <si>
    <t>TOTAL O &amp; M EXPENSES</t>
  </si>
  <si>
    <t>Depr Exp - Production Steam Baseload</t>
  </si>
  <si>
    <t>Depr Exp - Production Hydro</t>
  </si>
  <si>
    <t>Depr Exp - Production Other</t>
  </si>
  <si>
    <t>Depr Exp - Transmission</t>
  </si>
  <si>
    <t>Depr Exp - Distribution</t>
  </si>
  <si>
    <t>Depr Exp - General</t>
  </si>
  <si>
    <t>Depr Exp - FAS 143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</si>
  <si>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</si>
  <si>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</si>
  <si>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</si>
  <si>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</si>
  <si>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</si>
  <si>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</si>
  <si>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</si>
  <si>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</si>
  <si>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</si>
  <si>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</si>
  <si>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</si>
  <si>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TDP.T</t>
  </si>
  <si>
    <t>Regulatory Debit / Credit - Production</t>
  </si>
  <si>
    <t>Accretion Exp - FAS 143</t>
  </si>
  <si>
    <t>Gain/Loss on Utility Plant</t>
  </si>
  <si>
    <t>Gain/Loss Disp Allowance</t>
  </si>
  <si>
    <t>FAS 133 Gain / Loss</t>
  </si>
  <si>
    <t>TOTAL DEPRECIATION EXPENSES</t>
  </si>
  <si>
    <t>Taxes (Other Than Income)</t>
  </si>
  <si>
    <t>Property Taxes</t>
  </si>
  <si>
    <t>Payroll Taxes</t>
  </si>
  <si>
    <t>Other Taxes - Wash Excise - Allocated</t>
  </si>
  <si>
    <t>REVFAC1.T</t>
  </si>
  <si>
    <t>Other Taxes - Muni</t>
  </si>
  <si>
    <t>Other Taxes - MT Corp License</t>
  </si>
  <si>
    <t>ENERGY_2</t>
  </si>
  <si>
    <t>Other Taxes - MT Elec Energy Lic</t>
  </si>
  <si>
    <t>TOTAL TAXES OTHER THAN INCOME</t>
  </si>
  <si>
    <t>INCOME TAXES</t>
  </si>
  <si>
    <t>409.10</t>
  </si>
  <si>
    <t>Current Federal Income Tax @ Rate</t>
  </si>
  <si>
    <t>RB.T</t>
  </si>
  <si>
    <t>410.10</t>
  </si>
  <si>
    <t>Provision for Def Inc Tax</t>
  </si>
  <si>
    <t>TOTAL FIT</t>
  </si>
  <si>
    <t>RATE BASE</t>
  </si>
  <si>
    <t>Plant-in-Service</t>
  </si>
  <si>
    <t>Production Plant</t>
  </si>
  <si>
    <t>Transmission Plant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</si>
  <si>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</si>
  <si>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</si>
  <si>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</si>
  <si>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</si>
  <si>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</si>
  <si>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</si>
  <si>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</si>
  <si>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</si>
  <si>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</si>
  <si>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</si>
  <si>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</si>
  <si>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</si>
  <si>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</si>
  <si>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</si>
  <si>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</si>
  <si>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</si>
  <si>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</si>
  <si>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</si>
  <si>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</si>
  <si>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</si>
  <si>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</si>
  <si>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</si>
  <si>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</si>
  <si>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</si>
  <si>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</si>
  <si>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</si>
  <si>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</si>
  <si>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</si>
  <si>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</si>
  <si>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</si>
  <si>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</si>
  <si>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</si>
  <si>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</si>
  <si>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</si>
  <si>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</si>
  <si>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</si>
  <si>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</si>
  <si>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</si>
  <si>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</si>
  <si>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</si>
  <si>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</si>
  <si>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</si>
  <si>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</si>
  <si>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</si>
  <si>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</si>
  <si>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Meters</t>
  </si>
  <si>
    <t>METER</t>
  </si>
  <si>
    <t xml:space="preserve">Str &amp; Area Lighting Sys </t>
  </si>
  <si>
    <t>Asset Retirement Obligation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</si>
  <si>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</si>
  <si>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</si>
  <si>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</si>
  <si>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</si>
  <si>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</si>
  <si>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</si>
  <si>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</si>
  <si>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</si>
  <si>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</si>
  <si>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</si>
  <si>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</si>
  <si>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</si>
  <si>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</si>
  <si>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 Amortization - Production</t>
  </si>
  <si>
    <t>Accum Amortization - Transmission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</si>
  <si>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</si>
  <si>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</si>
  <si>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</si>
  <si>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</si>
  <si>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</si>
  <si>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</si>
  <si>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</si>
  <si>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</si>
  <si>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</si>
  <si>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108.04_L</t>
  </si>
  <si>
    <t>Accum Depreciation Transmission Sch 62</t>
  </si>
  <si>
    <t>108.05_360a</t>
  </si>
  <si>
    <t>Land Rights - Assigned</t>
  </si>
  <si>
    <t>DIR108.360</t>
  </si>
  <si>
    <t>108.05_360b</t>
  </si>
  <si>
    <t>Land Rights</t>
  </si>
  <si>
    <t>108.05_361a</t>
  </si>
  <si>
    <t>DIR108.361</t>
  </si>
  <si>
    <t>108.05_361b</t>
  </si>
  <si>
    <t>108.05_362a</t>
  </si>
  <si>
    <t>DIR108.362</t>
  </si>
  <si>
    <t>108.05_362b</t>
  </si>
  <si>
    <t>108.10_363</t>
  </si>
  <si>
    <t>108.10_364a</t>
  </si>
  <si>
    <t>108.10_364b</t>
  </si>
  <si>
    <t>Poles &amp; OH Conductor - Assigned</t>
  </si>
  <si>
    <t>DIR108.364</t>
  </si>
  <si>
    <t>108.10_365a</t>
  </si>
  <si>
    <t>108.10_366a</t>
  </si>
  <si>
    <t>UG Conduit &amp; Conductor - Assigned</t>
  </si>
  <si>
    <t>DIR108.366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</si>
  <si>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</si>
  <si>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</si>
  <si>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</si>
  <si>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</si>
  <si>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</si>
  <si>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</si>
  <si>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</si>
  <si>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</si>
  <si>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</si>
  <si>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</si>
  <si>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</si>
  <si>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</si>
  <si>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</si>
  <si>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</si>
  <si>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</si>
  <si>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</si>
  <si>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</si>
  <si>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</si>
  <si>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</si>
  <si>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</si>
  <si>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</si>
  <si>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WC</t>
  </si>
  <si>
    <t>Working Capital</t>
  </si>
  <si>
    <t>EPIS.T</t>
  </si>
  <si>
    <t>Misc Def Debits - Production</t>
  </si>
  <si>
    <t>Misc Def Debits - Transmission</t>
  </si>
  <si>
    <t>Misc Def Debits - Distribution</t>
  </si>
  <si>
    <t xml:space="preserve">Accum Deferred Income Tax - Prod </t>
  </si>
  <si>
    <t>Accum Deferred Income Tax - Trans</t>
  </si>
  <si>
    <t>Accum Deferred Income Tax - General</t>
  </si>
  <si>
    <t>Customer Deposits</t>
  </si>
  <si>
    <t>DIR235.00</t>
  </si>
  <si>
    <t>Customer Deposits - Transmission</t>
  </si>
  <si>
    <t>Customer Advances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</si>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</sst>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_(* #,##0_);_(* \(#,##0\);_(* &quot;-&quot;??_);_(@_)"/>
    <numFmt numFmtId="169" formatCode="0.0000%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0.00_)"/>
    <numFmt numFmtId="176" formatCode="&quot;$&quot;#,##0;\-&quot;$&quot;#,##0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&quot;$&quot;#,##0.0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12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3"/>
    <xf numFmtId="41" fontId="2" fillId="2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5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172" fontId="9" fillId="0" borderId="0" applyFill="0" applyBorder="0" applyAlignment="0"/>
    <xf numFmtId="41" fontId="4" fillId="2" borderId="0"/>
    <xf numFmtId="0" fontId="10" fillId="21" borderId="6" applyNumberFormat="0" applyAlignment="0" applyProtection="0"/>
    <xf numFmtId="41" fontId="4" fillId="22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73" fontId="15" fillId="0" borderId="0">
      <protection locked="0"/>
    </xf>
    <xf numFmtId="0" fontId="13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2" fillId="0" borderId="0"/>
    <xf numFmtId="0" fontId="13" fillId="0" borderId="0"/>
    <xf numFmtId="0" fontId="12" fillId="0" borderId="0"/>
    <xf numFmtId="0" fontId="1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4" fontId="4" fillId="0" borderId="0"/>
    <xf numFmtId="0" fontId="18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12" fillId="0" borderId="0"/>
    <xf numFmtId="0" fontId="19" fillId="5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0" fontId="21" fillId="0" borderId="7" applyNumberFormat="0" applyAlignment="0" applyProtection="0">
      <alignment horizontal="left"/>
    </xf>
    <xf numFmtId="0" fontId="21" fillId="0" borderId="1">
      <alignment horizontal="lef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22" fillId="0" borderId="0"/>
    <xf numFmtId="40" fontId="22" fillId="0" borderId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0" fontId="23" fillId="8" borderId="9" applyNumberFormat="0" applyAlignment="0" applyProtection="0"/>
    <xf numFmtId="0" fontId="23" fillId="8" borderId="9" applyNumberFormat="0" applyAlignment="0" applyProtection="0"/>
    <xf numFmtId="0" fontId="23" fillId="8" borderId="9" applyNumberFormat="0" applyAlignment="0" applyProtection="0"/>
    <xf numFmtId="41" fontId="24" fillId="23" borderId="3">
      <alignment horizontal="left"/>
      <protection locked="0"/>
    </xf>
    <xf numFmtId="10" fontId="24" fillId="23" borderId="3">
      <alignment horizontal="right"/>
      <protection locked="0"/>
    </xf>
    <xf numFmtId="0" fontId="20" fillId="22" borderId="0"/>
    <xf numFmtId="3" fontId="25" fillId="0" borderId="0" applyFill="0" applyBorder="0" applyAlignment="0" applyProtection="0"/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0" fontId="26" fillId="24" borderId="0" applyNumberFormat="0" applyBorder="0" applyAlignment="0" applyProtection="0"/>
    <xf numFmtId="37" fontId="27" fillId="0" borderId="0"/>
    <xf numFmtId="175" fontId="28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4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30" fillId="26" borderId="13" applyNumberFormat="0" applyAlignment="0" applyProtection="0"/>
    <xf numFmtId="0" fontId="12" fillId="0" borderId="0"/>
    <xf numFmtId="0" fontId="12" fillId="0" borderId="0"/>
    <xf numFmtId="0" fontId="13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7" borderId="3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1" fillId="0" borderId="14">
      <alignment horizontal="center"/>
    </xf>
    <xf numFmtId="3" fontId="29" fillId="0" borderId="0" applyFont="0" applyFill="0" applyBorder="0" applyAlignment="0" applyProtection="0"/>
    <xf numFmtId="0" fontId="29" fillId="28" borderId="0" applyNumberFormat="0" applyFont="0" applyBorder="0" applyAlignment="0" applyProtection="0"/>
    <xf numFmtId="0" fontId="13" fillId="0" borderId="0"/>
    <xf numFmtId="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42" fontId="4" fillId="2" borderId="0"/>
    <xf numFmtId="42" fontId="4" fillId="2" borderId="2">
      <alignment vertical="center"/>
    </xf>
    <xf numFmtId="0" fontId="3" fillId="2" borderId="5" applyNumberFormat="0">
      <alignment horizontal="center" vertical="center" wrapText="1"/>
    </xf>
    <xf numFmtId="10" fontId="4" fillId="2" borderId="0"/>
    <xf numFmtId="177" fontId="4" fillId="2" borderId="0"/>
    <xf numFmtId="168" fontId="22" fillId="0" borderId="0" applyBorder="0" applyAlignment="0"/>
    <xf numFmtId="42" fontId="4" fillId="2" borderId="4">
      <alignment horizontal="left"/>
    </xf>
    <xf numFmtId="177" fontId="34" fillId="2" borderId="4">
      <alignment horizontal="left"/>
    </xf>
    <xf numFmtId="14" fontId="35" fillId="0" borderId="0" applyNumberFormat="0" applyFill="0" applyBorder="0" applyAlignment="0" applyProtection="0">
      <alignment horizontal="left"/>
    </xf>
    <xf numFmtId="178" fontId="4" fillId="0" borderId="0" applyFont="0" applyFill="0" applyAlignment="0">
      <alignment horizontal="right"/>
    </xf>
    <xf numFmtId="4" fontId="36" fillId="23" borderId="13" applyNumberFormat="0" applyProtection="0">
      <alignment vertical="center"/>
    </xf>
    <xf numFmtId="4" fontId="37" fillId="23" borderId="13" applyNumberFormat="0" applyProtection="0">
      <alignment vertical="center"/>
    </xf>
    <xf numFmtId="4" fontId="36" fillId="23" borderId="13" applyNumberFormat="0" applyProtection="0">
      <alignment horizontal="left" vertical="center" indent="1"/>
    </xf>
    <xf numFmtId="4" fontId="36" fillId="23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30" borderId="13" applyNumberFormat="0" applyProtection="0">
      <alignment horizontal="right" vertical="center"/>
    </xf>
    <xf numFmtId="4" fontId="36" fillId="31" borderId="13" applyNumberFormat="0" applyProtection="0">
      <alignment horizontal="right" vertical="center"/>
    </xf>
    <xf numFmtId="4" fontId="36" fillId="32" borderId="13" applyNumberFormat="0" applyProtection="0">
      <alignment horizontal="right" vertical="center"/>
    </xf>
    <xf numFmtId="4" fontId="36" fillId="33" borderId="13" applyNumberFormat="0" applyProtection="0">
      <alignment horizontal="right" vertical="center"/>
    </xf>
    <xf numFmtId="4" fontId="36" fillId="34" borderId="13" applyNumberFormat="0" applyProtection="0">
      <alignment horizontal="right" vertical="center"/>
    </xf>
    <xf numFmtId="4" fontId="36" fillId="35" borderId="13" applyNumberFormat="0" applyProtection="0">
      <alignment horizontal="right" vertical="center"/>
    </xf>
    <xf numFmtId="4" fontId="36" fillId="36" borderId="13" applyNumberFormat="0" applyProtection="0">
      <alignment horizontal="right" vertical="center"/>
    </xf>
    <xf numFmtId="4" fontId="36" fillId="37" borderId="13" applyNumberFormat="0" applyProtection="0">
      <alignment horizontal="right" vertical="center"/>
    </xf>
    <xf numFmtId="4" fontId="36" fillId="38" borderId="13" applyNumberFormat="0" applyProtection="0">
      <alignment horizontal="right" vertical="center"/>
    </xf>
    <xf numFmtId="4" fontId="38" fillId="39" borderId="13" applyNumberFormat="0" applyProtection="0">
      <alignment horizontal="left" vertical="center" indent="1"/>
    </xf>
    <xf numFmtId="4" fontId="36" fillId="40" borderId="15" applyNumberFormat="0" applyProtection="0">
      <alignment horizontal="left" vertical="center" indent="1"/>
    </xf>
    <xf numFmtId="4" fontId="39" fillId="41" borderId="0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40" borderId="13" applyNumberFormat="0" applyProtection="0">
      <alignment horizontal="left" vertical="center" indent="1"/>
    </xf>
    <xf numFmtId="4" fontId="36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44" borderId="13" applyNumberFormat="0" applyProtection="0">
      <alignment vertical="center"/>
    </xf>
    <xf numFmtId="4" fontId="37" fillId="44" borderId="13" applyNumberFormat="0" applyProtection="0">
      <alignment vertical="center"/>
    </xf>
    <xf numFmtId="4" fontId="36" fillId="44" borderId="13" applyNumberFormat="0" applyProtection="0">
      <alignment horizontal="left" vertical="center" indent="1"/>
    </xf>
    <xf numFmtId="4" fontId="36" fillId="44" borderId="13" applyNumberFormat="0" applyProtection="0">
      <alignment horizontal="left" vertical="center" indent="1"/>
    </xf>
    <xf numFmtId="4" fontId="36" fillId="40" borderId="13" applyNumberFormat="0" applyProtection="0">
      <alignment horizontal="right" vertical="center"/>
    </xf>
    <xf numFmtId="4" fontId="37" fillId="40" borderId="13" applyNumberFormat="0" applyProtection="0">
      <alignment horizontal="right" vertical="center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0" fillId="0" borderId="0"/>
    <xf numFmtId="4" fontId="41" fillId="40" borderId="13" applyNumberFormat="0" applyProtection="0">
      <alignment horizontal="right" vertical="center"/>
    </xf>
    <xf numFmtId="39" fontId="4" fillId="45" borderId="0"/>
    <xf numFmtId="38" fontId="20" fillId="0" borderId="16"/>
    <xf numFmtId="38" fontId="20" fillId="0" borderId="16"/>
    <xf numFmtId="38" fontId="20" fillId="0" borderId="16"/>
    <xf numFmtId="38" fontId="20" fillId="0" borderId="16"/>
    <xf numFmtId="38" fontId="20" fillId="0" borderId="16"/>
    <xf numFmtId="38" fontId="22" fillId="0" borderId="4"/>
    <xf numFmtId="39" fontId="35" fillId="46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40" fontId="42" fillId="0" borderId="0" applyBorder="0">
      <alignment horizontal="right"/>
    </xf>
    <xf numFmtId="41" fontId="43" fillId="2" borderId="0">
      <alignment horizontal="left"/>
    </xf>
    <xf numFmtId="179" fontId="44" fillId="2" borderId="0">
      <alignment horizontal="left" vertical="center"/>
    </xf>
    <xf numFmtId="0" fontId="3" fillId="2" borderId="0">
      <alignment horizontal="left" wrapText="1"/>
    </xf>
    <xf numFmtId="0" fontId="45" fillId="0" borderId="0">
      <alignment horizontal="left" vertical="center"/>
    </xf>
    <xf numFmtId="0" fontId="11" fillId="0" borderId="17" applyNumberFormat="0" applyFont="0" applyFill="0" applyAlignment="0" applyProtection="0"/>
    <xf numFmtId="0" fontId="13" fillId="0" borderId="18"/>
    <xf numFmtId="0" fontId="46" fillId="0" borderId="0" applyNumberFormat="0" applyFill="0" applyBorder="0" applyAlignment="0" applyProtection="0"/>
  </cellStyleXfs>
  <cellXfs count="94">
    <xf numFmtId="164" fontId="0" fillId="0" borderId="0" xfId="0">
      <alignment horizontal="left" wrapText="1"/>
    </xf>
    <xf numFmtId="0" fontId="3" fillId="2" borderId="0" xfId="0" applyNumberFormat="1" applyFont="1" applyFill="1" applyAlignment="1"/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center" wrapText="1"/>
    </xf>
    <xf numFmtId="0" fontId="0" fillId="2" borderId="0" xfId="0" applyNumberFormat="1" applyFill="1" applyAlignment="1"/>
    <xf numFmtId="165" fontId="0" fillId="2" borderId="0" xfId="2" applyNumberFormat="1" applyFont="1" applyFill="1" applyAlignment="1"/>
    <xf numFmtId="165" fontId="0" fillId="2" borderId="0" xfId="0" applyNumberFormat="1" applyFill="1" applyAlignment="1"/>
    <xf numFmtId="0" fontId="3" fillId="2" borderId="2" xfId="0" applyNumberFormat="1" applyFont="1" applyFill="1" applyBorder="1" applyAlignment="1"/>
    <xf numFmtId="165" fontId="3" fillId="2" borderId="2" xfId="2" applyNumberFormat="1" applyFont="1" applyFill="1" applyBorder="1" applyAlignment="1"/>
    <xf numFmtId="10" fontId="3" fillId="0" borderId="2" xfId="3" applyFont="1" applyBorder="1"/>
    <xf numFmtId="0" fontId="4" fillId="2" borderId="0" xfId="0" applyNumberFormat="1" applyFont="1" applyFill="1" applyBorder="1" applyAlignment="1"/>
    <xf numFmtId="10" fontId="4" fillId="0" borderId="0" xfId="3" applyFont="1" applyBorder="1"/>
    <xf numFmtId="166" fontId="0" fillId="2" borderId="0" xfId="1" applyNumberFormat="1" applyFont="1" applyFill="1" applyAlignment="1"/>
    <xf numFmtId="0" fontId="3" fillId="2" borderId="1" xfId="0" applyNumberFormat="1" applyFont="1" applyFill="1" applyBorder="1" applyAlignment="1"/>
    <xf numFmtId="165" fontId="3" fillId="2" borderId="1" xfId="2" applyNumberFormat="1" applyFont="1" applyFill="1" applyBorder="1" applyAlignment="1"/>
    <xf numFmtId="0" fontId="0" fillId="2" borderId="1" xfId="0" applyNumberFormat="1" applyFill="1" applyBorder="1" applyAlignment="1"/>
    <xf numFmtId="165" fontId="0" fillId="2" borderId="1" xfId="2" applyNumberFormat="1" applyFont="1" applyFill="1" applyBorder="1" applyAlignment="1"/>
    <xf numFmtId="0" fontId="0" fillId="2" borderId="2" xfId="0" applyNumberFormat="1" applyFill="1" applyBorder="1" applyAlignment="1"/>
    <xf numFmtId="0" fontId="0" fillId="2" borderId="2" xfId="0" quotePrefix="1" applyNumberFormat="1" applyFill="1" applyBorder="1" applyAlignment="1">
      <alignment horizontal="left"/>
    </xf>
    <xf numFmtId="165" fontId="0" fillId="2" borderId="2" xfId="2" applyNumberFormat="1" applyFont="1" applyFill="1" applyBorder="1" applyAlignment="1"/>
    <xf numFmtId="43" fontId="3" fillId="2" borderId="1" xfId="1" applyFont="1" applyFill="1" applyBorder="1" applyAlignment="1"/>
    <xf numFmtId="43" fontId="3" fillId="2" borderId="2" xfId="1" applyFont="1" applyFill="1" applyBorder="1" applyAlignment="1"/>
    <xf numFmtId="0" fontId="0" fillId="2" borderId="0" xfId="0" applyNumberFormat="1" applyFill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0" fillId="2" borderId="0" xfId="0" applyNumberFormat="1" applyFill="1" applyAlignment="1"/>
    <xf numFmtId="41" fontId="0" fillId="2" borderId="0" xfId="0" applyNumberFormat="1" applyFill="1" applyAlignment="1"/>
    <xf numFmtId="167" fontId="0" fillId="2" borderId="0" xfId="2" applyNumberFormat="1" applyFont="1" applyFill="1" applyAlignment="1"/>
    <xf numFmtId="167" fontId="3" fillId="2" borderId="1" xfId="2" applyNumberFormat="1" applyFont="1" applyFill="1" applyBorder="1" applyAlignment="1"/>
    <xf numFmtId="168" fontId="3" fillId="2" borderId="1" xfId="1" applyNumberFormat="1" applyFont="1" applyFill="1" applyBorder="1" applyAlignment="1"/>
    <xf numFmtId="0" fontId="3" fillId="2" borderId="1" xfId="0" applyNumberFormat="1" applyFont="1" applyFill="1" applyBorder="1" applyAlignment="1">
      <alignment horizontal="left" wrapText="1"/>
    </xf>
    <xf numFmtId="2" fontId="0" fillId="2" borderId="0" xfId="0" applyNumberFormat="1" applyFill="1" applyAlignment="1"/>
    <xf numFmtId="2" fontId="3" fillId="2" borderId="1" xfId="0" applyNumberFormat="1" applyFont="1" applyFill="1" applyBorder="1" applyAlignment="1"/>
    <xf numFmtId="2" fontId="3" fillId="2" borderId="2" xfId="0" applyNumberFormat="1" applyFont="1" applyFill="1" applyBorder="1" applyAlignment="1"/>
    <xf numFmtId="0" fontId="3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165" fontId="0" fillId="2" borderId="0" xfId="2" applyNumberFormat="1" applyFont="1" applyFill="1" applyAlignment="1">
      <alignment horizontal="center"/>
    </xf>
    <xf numFmtId="165" fontId="3" fillId="2" borderId="1" xfId="2" applyNumberFormat="1" applyFont="1" applyFill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/>
    <xf numFmtId="165" fontId="3" fillId="2" borderId="4" xfId="2" applyNumberFormat="1" applyFont="1" applyFill="1" applyBorder="1" applyAlignment="1"/>
    <xf numFmtId="0" fontId="0" fillId="2" borderId="0" xfId="0" applyNumberFormat="1" applyFill="1" applyBorder="1" applyAlignment="1"/>
    <xf numFmtId="165" fontId="0" fillId="0" borderId="0" xfId="2" applyNumberFormat="1" applyFont="1" applyFill="1" applyAlignment="1">
      <alignment horizontal="left" wrapText="1"/>
    </xf>
    <xf numFmtId="168" fontId="0" fillId="2" borderId="0" xfId="1" applyNumberFormat="1" applyFont="1" applyFill="1" applyAlignment="1"/>
    <xf numFmtId="9" fontId="4" fillId="0" borderId="0" xfId="3" applyNumberFormat="1" applyFont="1" applyBorder="1"/>
    <xf numFmtId="44" fontId="3" fillId="2" borderId="0" xfId="2" applyFont="1" applyFill="1" applyAlignment="1"/>
    <xf numFmtId="44" fontId="3" fillId="2" borderId="2" xfId="2" applyFont="1" applyFill="1" applyBorder="1" applyAlignment="1"/>
    <xf numFmtId="0" fontId="3" fillId="2" borderId="5" xfId="0" applyNumberFormat="1" applyFont="1" applyFill="1" applyBorder="1" applyAlignment="1"/>
    <xf numFmtId="0" fontId="3" fillId="2" borderId="5" xfId="0" applyNumberFormat="1" applyFont="1" applyFill="1" applyBorder="1" applyAlignment="1">
      <alignment horizontal="center"/>
    </xf>
    <xf numFmtId="0" fontId="3" fillId="2" borderId="5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3" fillId="2" borderId="0" xfId="0" applyNumberFormat="1" applyFont="1" applyFill="1" applyAlignment="1">
      <alignment horizontal="left"/>
    </xf>
    <xf numFmtId="10" fontId="4" fillId="0" borderId="0" xfId="3" applyFont="1" applyBorder="1" applyAlignment="1">
      <alignment horizontal="center"/>
    </xf>
    <xf numFmtId="0" fontId="3" fillId="2" borderId="4" xfId="0" quotePrefix="1" applyNumberFormat="1" applyFont="1" applyFill="1" applyBorder="1" applyAlignment="1">
      <alignment horizontal="left"/>
    </xf>
    <xf numFmtId="10" fontId="3" fillId="0" borderId="4" xfId="3" applyFont="1" applyBorder="1" applyAlignment="1">
      <alignment horizontal="center"/>
    </xf>
    <xf numFmtId="165" fontId="0" fillId="0" borderId="0" xfId="2" applyNumberFormat="1" applyFont="1" applyFill="1" applyBorder="1" applyAlignment="1"/>
    <xf numFmtId="10" fontId="4" fillId="0" borderId="0" xfId="3" applyFont="1" applyBorder="1" applyAlignment="1">
      <alignment horizontal="right"/>
    </xf>
    <xf numFmtId="10" fontId="3" fillId="0" borderId="1" xfId="3" applyFont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/>
    <xf numFmtId="165" fontId="0" fillId="2" borderId="4" xfId="2" applyNumberFormat="1" applyFont="1" applyFill="1" applyBorder="1" applyAlignment="1"/>
    <xf numFmtId="10" fontId="3" fillId="0" borderId="2" xfId="3" applyFont="1" applyBorder="1" applyAlignment="1">
      <alignment horizontal="right"/>
    </xf>
    <xf numFmtId="0" fontId="0" fillId="2" borderId="0" xfId="0" applyNumberFormat="1" applyFill="1" applyAlignment="1">
      <alignment wrapText="1"/>
    </xf>
    <xf numFmtId="164" fontId="3" fillId="0" borderId="0" xfId="0" applyFont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41" fontId="2" fillId="2" borderId="0" xfId="4"/>
    <xf numFmtId="165" fontId="2" fillId="2" borderId="0" xfId="2" applyNumberFormat="1" applyFill="1"/>
    <xf numFmtId="0" fontId="3" fillId="2" borderId="1" xfId="0" quotePrefix="1" applyNumberFormat="1" applyFont="1" applyFill="1" applyBorder="1" applyAlignment="1">
      <alignment horizontal="left"/>
    </xf>
    <xf numFmtId="10" fontId="3" fillId="0" borderId="1" xfId="3" applyFont="1" applyBorder="1" applyAlignment="1">
      <alignment horizontal="right"/>
    </xf>
    <xf numFmtId="0" fontId="0" fillId="2" borderId="0" xfId="0" quotePrefix="1" applyNumberFormat="1" applyFill="1" applyAlignment="1">
      <alignment horizontal="left"/>
    </xf>
    <xf numFmtId="169" fontId="4" fillId="0" borderId="0" xfId="3" applyNumberFormat="1" applyFont="1" applyFill="1" applyBorder="1" applyAlignment="1">
      <alignment horizontal="right"/>
    </xf>
    <xf numFmtId="169" fontId="3" fillId="0" borderId="2" xfId="3" applyNumberFormat="1" applyFont="1" applyBorder="1" applyAlignment="1">
      <alignment horizontal="right"/>
    </xf>
    <xf numFmtId="0" fontId="0" fillId="2" borderId="0" xfId="0" applyNumberFormat="1" applyFill="1" applyAlignment="1">
      <alignment horizontal="left" indent="1"/>
    </xf>
    <xf numFmtId="0" fontId="0" fillId="2" borderId="0" xfId="0" applyNumberFormat="1" applyFill="1" applyAlignment="1">
      <alignment horizontal="left" indent="2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165" fontId="3" fillId="2" borderId="0" xfId="2" applyNumberFormat="1" applyFont="1" applyFill="1" applyBorder="1" applyAlignment="1"/>
    <xf numFmtId="9" fontId="3" fillId="0" borderId="2" xfId="3" applyNumberFormat="1" applyFont="1" applyBorder="1" applyAlignment="1">
      <alignment horizontal="right"/>
    </xf>
    <xf numFmtId="0" fontId="3" fillId="2" borderId="0" xfId="0" applyNumberFormat="1" applyFont="1" applyFill="1" applyAlignment="1">
      <alignment horizontal="center" wrapText="1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center"/>
    </xf>
    <xf numFmtId="0" fontId="3" fillId="2" borderId="4" xfId="0" quotePrefix="1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wrapText="1"/>
    </xf>
  </cellXfs>
  <cellStyles count="412">
    <cellStyle name="_x0013_" xfId="5"/>
    <cellStyle name="_4.06E Pass Throughs" xfId="6"/>
    <cellStyle name="_4.06E Pass Throughs_04 07E Wild Horse Wind Expansion (C) (2)" xfId="7"/>
    <cellStyle name="_4.06E Pass Throughs_04 07E Wild Horse Wind Expansion (C) (2)_Electric Rev Req Model (2009 GRC) " xfId="8"/>
    <cellStyle name="_4.06E Pass Throughs_Production Adj 4.37" xfId="9"/>
    <cellStyle name="_4.06E Pass Throughs_Purchased Power Adj 4.03" xfId="10"/>
    <cellStyle name="_4.06E Pass Throughs_ROR 5.02" xfId="11"/>
    <cellStyle name="_4.13E Montana Energy Tax" xfId="12"/>
    <cellStyle name="_4.13E Montana Energy Tax_04 07E Wild Horse Wind Expansion (C) (2)" xfId="13"/>
    <cellStyle name="_4.13E Montana Energy Tax_04 07E Wild Horse Wind Expansion (C) (2)_Electric Rev Req Model (2009 GRC) " xfId="14"/>
    <cellStyle name="_4.13E Montana Energy Tax_Production Adj 4.37" xfId="15"/>
    <cellStyle name="_4.13E Montana Energy Tax_Purchased Power Adj 4.03" xfId="16"/>
    <cellStyle name="_4.13E Montana Energy Tax_ROR 5.02" xfId="17"/>
    <cellStyle name="_Book1" xfId="18"/>
    <cellStyle name="_Book1 (2)" xfId="19"/>
    <cellStyle name="_Book1 (2)_04 07E Wild Horse Wind Expansion (C) (2)" xfId="20"/>
    <cellStyle name="_Book1 (2)_04 07E Wild Horse Wind Expansion (C) (2)_Electric Rev Req Model (2009 GRC) " xfId="21"/>
    <cellStyle name="_Book1 (2)_Production Adj 4.37" xfId="22"/>
    <cellStyle name="_Book1 (2)_Purchased Power Adj 4.03" xfId="23"/>
    <cellStyle name="_Book1 (2)_ROR 5.02" xfId="24"/>
    <cellStyle name="_Book1_Production Adj 4.37" xfId="25"/>
    <cellStyle name="_Book1_Purchased Power Adj 4.03" xfId="26"/>
    <cellStyle name="_Book1_ROR 5.02" xfId="27"/>
    <cellStyle name="_Book2" xfId="28"/>
    <cellStyle name="_Book2_04 07E Wild Horse Wind Expansion (C) (2)" xfId="29"/>
    <cellStyle name="_Book2_04 07E Wild Horse Wind Expansion (C) (2)_Electric Rev Req Model (2009 GRC) " xfId="30"/>
    <cellStyle name="_Book2_Production Adj 4.37" xfId="31"/>
    <cellStyle name="_Book2_Purchased Power Adj 4.03" xfId="32"/>
    <cellStyle name="_Book2_ROR 5.02" xfId="33"/>
    <cellStyle name="_Chelan Debt Forecast 12.19.05" xfId="34"/>
    <cellStyle name="_Chelan Debt Forecast 12.19.05_Production Adj 4.37" xfId="35"/>
    <cellStyle name="_Chelan Debt Forecast 12.19.05_Purchased Power Adj 4.03" xfId="36"/>
    <cellStyle name="_Chelan Debt Forecast 12.19.05_ROR 5.02" xfId="37"/>
    <cellStyle name="_Costs not in AURORA 06GRC" xfId="38"/>
    <cellStyle name="_Costs not in AURORA 06GRC_04 07E Wild Horse Wind Expansion (C) (2)" xfId="39"/>
    <cellStyle name="_Costs not in AURORA 06GRC_04 07E Wild Horse Wind Expansion (C) (2)_Electric Rev Req Model (2009 GRC) " xfId="40"/>
    <cellStyle name="_Costs not in AURORA 06GRC_Production Adj 4.37" xfId="41"/>
    <cellStyle name="_Costs not in AURORA 06GRC_Purchased Power Adj 4.03" xfId="42"/>
    <cellStyle name="_Costs not in AURORA 06GRC_ROR 5.02" xfId="43"/>
    <cellStyle name="_Costs not in AURORA 2006GRC 6.15.06" xfId="44"/>
    <cellStyle name="_Costs not in AURORA 2006GRC 6.15.06_04 07E Wild Horse Wind Expansion (C) (2)" xfId="45"/>
    <cellStyle name="_Costs not in AURORA 2006GRC 6.15.06_04 07E Wild Horse Wind Expansion (C) (2)_Electric Rev Req Model (2009 GRC) " xfId="46"/>
    <cellStyle name="_Costs not in AURORA 2006GRC 6.15.06_Production Adj 4.37" xfId="47"/>
    <cellStyle name="_Costs not in AURORA 2006GRC 6.15.06_Purchased Power Adj 4.03" xfId="48"/>
    <cellStyle name="_Costs not in AURORA 2006GRC 6.15.06_ROR 5.02" xfId="49"/>
    <cellStyle name="_Costs not in AURORA 2006GRC w gas price updated" xfId="50"/>
    <cellStyle name="_Costs not in AURORA 2006GRC w gas price updated_Electric Rev Req Model (2009 GRC) " xfId="51"/>
    <cellStyle name="_Costs not in AURORA 2007 Rate Case" xfId="52"/>
    <cellStyle name="_Costs not in AURORA 2007 Rate Case_Production Adj 4.37" xfId="53"/>
    <cellStyle name="_Costs not in AURORA 2007 Rate Case_Purchased Power Adj 4.03" xfId="54"/>
    <cellStyle name="_Costs not in AURORA 2007 Rate Case_ROR 5.02" xfId="55"/>
    <cellStyle name="_Costs not in KWI3000 '06Budget" xfId="56"/>
    <cellStyle name="_Costs not in KWI3000 '06Budget_Production Adj 4.37" xfId="57"/>
    <cellStyle name="_Costs not in KWI3000 '06Budget_Purchased Power Adj 4.03" xfId="58"/>
    <cellStyle name="_Costs not in KWI3000 '06Budget_ROR 5.02" xfId="59"/>
    <cellStyle name="_DEM-WP (C) Power Cost 2006GRC Order" xfId="60"/>
    <cellStyle name="_DEM-WP (C) Power Cost 2006GRC Order_04 07E Wild Horse Wind Expansion (C) (2)" xfId="61"/>
    <cellStyle name="_DEM-WP (C) Power Cost 2006GRC Order_04 07E Wild Horse Wind Expansion (C) (2)_Electric Rev Req Model (2009 GRC) " xfId="62"/>
    <cellStyle name="_DEM-WP (C) Power Cost 2006GRC Order_Production Adj 4.37" xfId="63"/>
    <cellStyle name="_DEM-WP (C) Power Cost 2006GRC Order_Purchased Power Adj 4.03" xfId="64"/>
    <cellStyle name="_DEM-WP (C) Power Cost 2006GRC Order_ROR 5.02" xfId="65"/>
    <cellStyle name="_DEM-WP Revised (HC) Wild Horse 2006GRC" xfId="66"/>
    <cellStyle name="_DEM-WP Revised (HC) Wild Horse 2006GRC_Electric Rev Req Model (2009 GRC) " xfId="67"/>
    <cellStyle name="_DEM-WP(C) Costs not in AURORA 2006GRC" xfId="68"/>
    <cellStyle name="_DEM-WP(C) Costs not in AURORA 2006GRC_Production Adj 4.37" xfId="69"/>
    <cellStyle name="_DEM-WP(C) Costs not in AURORA 2006GRC_Purchased Power Adj 4.03" xfId="70"/>
    <cellStyle name="_DEM-WP(C) Costs not in AURORA 2006GRC_ROR 5.02" xfId="71"/>
    <cellStyle name="_DEM-WP(C) Costs not in AURORA 2007GRC" xfId="72"/>
    <cellStyle name="_DEM-WP(C) Costs not in AURORA 2007GRC_Electric Rev Req Model (2009 GRC) " xfId="73"/>
    <cellStyle name="_DEM-WP(C) Costs not in AURORA 2007PCORC-5.07Update" xfId="74"/>
    <cellStyle name="_DEM-WP(C) Costs not in AURORA 2007PCORC-5.07Update_Electric Rev Req Model (2009 GRC) " xfId="75"/>
    <cellStyle name="_DEM-WP(C) Sumas Proforma 11.5.07" xfId="76"/>
    <cellStyle name="_DEM-WP(C) Westside Hydro Data_051007" xfId="77"/>
    <cellStyle name="_DEM-WP(C) Westside Hydro Data_051007_Electric Rev Req Model (2009 GRC) " xfId="78"/>
    <cellStyle name="_x0013__Electric Rev Req Model (2009 GRC) " xfId="79"/>
    <cellStyle name="_Fuel Prices 4-14" xfId="80"/>
    <cellStyle name="_Fuel Prices 4-14_04 07E Wild Horse Wind Expansion (C) (2)" xfId="81"/>
    <cellStyle name="_Fuel Prices 4-14_04 07E Wild Horse Wind Expansion (C) (2)_Electric Rev Req Model (2009 GRC) " xfId="82"/>
    <cellStyle name="_Fuel Prices 4-14_Production Adj 4.37" xfId="83"/>
    <cellStyle name="_Fuel Prices 4-14_Purchased Power Adj 4.03" xfId="84"/>
    <cellStyle name="_Fuel Prices 4-14_ROR 5.02" xfId="85"/>
    <cellStyle name="_Fuel Prices 4-14_Sch 40 Interim Energy Rates " xfId="86"/>
    <cellStyle name="_NIM 06 Base Case Current Trends" xfId="87"/>
    <cellStyle name="_NIM 06 Base Case Current Trends_Electric Rev Req Model (2009 GRC) " xfId="88"/>
    <cellStyle name="_Portfolio SPlan Base Case.xls Chart 1" xfId="89"/>
    <cellStyle name="_Portfolio SPlan Base Case.xls Chart 1_Electric Rev Req Model (2009 GRC) " xfId="90"/>
    <cellStyle name="_Portfolio SPlan Base Case.xls Chart 2" xfId="91"/>
    <cellStyle name="_Portfolio SPlan Base Case.xls Chart 2_Electric Rev Req Model (2009 GRC) " xfId="92"/>
    <cellStyle name="_Portfolio SPlan Base Case.xls Chart 3" xfId="93"/>
    <cellStyle name="_Portfolio SPlan Base Case.xls Chart 3_Electric Rev Req Model (2009 GRC) " xfId="94"/>
    <cellStyle name="_Power Cost Value Copy 11.30.05 gas 1.09.06 AURORA at 1.10.06" xfId="95"/>
    <cellStyle name="_Power Cost Value Copy 11.30.05 gas 1.09.06 AURORA at 1.10.06_04 07E Wild Horse Wind Expansion (C) (2)" xfId="96"/>
    <cellStyle name="_Power Cost Value Copy 11.30.05 gas 1.09.06 AURORA at 1.10.06_04 07E Wild Horse Wind Expansion (C) (2)_Electric Rev Req Model (2009 GRC) " xfId="97"/>
    <cellStyle name="_Power Cost Value Copy 11.30.05 gas 1.09.06 AURORA at 1.10.06_Production Adj 4.37" xfId="98"/>
    <cellStyle name="_Power Cost Value Copy 11.30.05 gas 1.09.06 AURORA at 1.10.06_Purchased Power Adj 4.03" xfId="99"/>
    <cellStyle name="_Power Cost Value Copy 11.30.05 gas 1.09.06 AURORA at 1.10.06_ROR 5.02" xfId="100"/>
    <cellStyle name="_Power Cost Value Copy 11.30.05 gas 1.09.06 AURORA at 1.10.06_Sch 40 Interim Energy Rates " xfId="101"/>
    <cellStyle name="_Recon to Darrin's 5.11.05 proforma" xfId="102"/>
    <cellStyle name="_Recon to Darrin's 5.11.05 proforma_Production Adj 4.37" xfId="103"/>
    <cellStyle name="_Recon to Darrin's 5.11.05 proforma_Purchased Power Adj 4.03" xfId="104"/>
    <cellStyle name="_Recon to Darrin's 5.11.05 proforma_ROR 5.02" xfId="105"/>
    <cellStyle name="_Tenaska Comparison" xfId="106"/>
    <cellStyle name="_Tenaska Comparison_Production Adj 4.37" xfId="107"/>
    <cellStyle name="_Tenaska Comparison_Purchased Power Adj 4.03" xfId="108"/>
    <cellStyle name="_Tenaska Comparison_ROR 5.02" xfId="109"/>
    <cellStyle name="_Value Copy 11 30 05 gas 12 09 05 AURORA at 12 14 05" xfId="110"/>
    <cellStyle name="_Value Copy 11 30 05 gas 12 09 05 AURORA at 12 14 05_04 07E Wild Horse Wind Expansion (C) (2)" xfId="111"/>
    <cellStyle name="_Value Copy 11 30 05 gas 12 09 05 AURORA at 12 14 05_04 07E Wild Horse Wind Expansion (C) (2)_Electric Rev Req Model (2009 GRC) " xfId="112"/>
    <cellStyle name="_Value Copy 11 30 05 gas 12 09 05 AURORA at 12 14 05_Production Adj 4.37" xfId="113"/>
    <cellStyle name="_Value Copy 11 30 05 gas 12 09 05 AURORA at 12 14 05_Purchased Power Adj 4.03" xfId="114"/>
    <cellStyle name="_Value Copy 11 30 05 gas 12 09 05 AURORA at 12 14 05_ROR 5.02" xfId="115"/>
    <cellStyle name="_Value Copy 11 30 05 gas 12 09 05 AURORA at 12 14 05_Sch 40 Interim Energy Rates " xfId="116"/>
    <cellStyle name="_VC 6.15.06 update on 06GRC power costs.xls Chart 1" xfId="117"/>
    <cellStyle name="_VC 6.15.06 update on 06GRC power costs.xls Chart 1_04 07E Wild Horse Wind Expansion (C) (2)" xfId="118"/>
    <cellStyle name="_VC 6.15.06 update on 06GRC power costs.xls Chart 1_04 07E Wild Horse Wind Expansion (C) (2)_Electric Rev Req Model (2009 GRC) " xfId="119"/>
    <cellStyle name="_VC 6.15.06 update on 06GRC power costs.xls Chart 1_Production Adj 4.37" xfId="120"/>
    <cellStyle name="_VC 6.15.06 update on 06GRC power costs.xls Chart 1_Purchased Power Adj 4.03" xfId="121"/>
    <cellStyle name="_VC 6.15.06 update on 06GRC power costs.xls Chart 1_ROR 5.02" xfId="122"/>
    <cellStyle name="_VC 6.15.06 update on 06GRC power costs.xls Chart 2" xfId="123"/>
    <cellStyle name="_VC 6.15.06 update on 06GRC power costs.xls Chart 2_04 07E Wild Horse Wind Expansion (C) (2)" xfId="124"/>
    <cellStyle name="_VC 6.15.06 update on 06GRC power costs.xls Chart 2_04 07E Wild Horse Wind Expansion (C) (2)_Electric Rev Req Model (2009 GRC) " xfId="125"/>
    <cellStyle name="_VC 6.15.06 update on 06GRC power costs.xls Chart 2_Production Adj 4.37" xfId="126"/>
    <cellStyle name="_VC 6.15.06 update on 06GRC power costs.xls Chart 2_Purchased Power Adj 4.03" xfId="127"/>
    <cellStyle name="_VC 6.15.06 update on 06GRC power costs.xls Chart 2_ROR 5.02" xfId="128"/>
    <cellStyle name="_VC 6.15.06 update on 06GRC power costs.xls Chart 3" xfId="129"/>
    <cellStyle name="_VC 6.15.06 update on 06GRC power costs.xls Chart 3_04 07E Wild Horse Wind Expansion (C) (2)" xfId="130"/>
    <cellStyle name="_VC 6.15.06 update on 06GRC power costs.xls Chart 3_04 07E Wild Horse Wind Expansion (C) (2)_Electric Rev Req Model (2009 GRC) " xfId="131"/>
    <cellStyle name="_VC 6.15.06 update on 06GRC power costs.xls Chart 3_Production Adj 4.37" xfId="132"/>
    <cellStyle name="_VC 6.15.06 update on 06GRC power costs.xls Chart 3_Purchased Power Adj 4.03" xfId="133"/>
    <cellStyle name="_VC 6.15.06 update on 06GRC power costs.xls Chart 3_ROR 5.02" xfId="134"/>
    <cellStyle name="0,0_x000d__x000a_NA_x000d__x000a_" xfId="135"/>
    <cellStyle name="20% - Accent1 2" xfId="136"/>
    <cellStyle name="20% - Accent1 3" xfId="137"/>
    <cellStyle name="20% - Accent1 4" xfId="138"/>
    <cellStyle name="20% - Accent2 2" xfId="139"/>
    <cellStyle name="20% - Accent2 3" xfId="140"/>
    <cellStyle name="20% - Accent2 4" xfId="141"/>
    <cellStyle name="20% - Accent3 2" xfId="142"/>
    <cellStyle name="20% - Accent3 3" xfId="143"/>
    <cellStyle name="20% - Accent3 4" xfId="144"/>
    <cellStyle name="20% - Accent4 2" xfId="145"/>
    <cellStyle name="20% - Accent4 3" xfId="146"/>
    <cellStyle name="20% - Accent4 4" xfId="147"/>
    <cellStyle name="20% - Accent5 2" xfId="148"/>
    <cellStyle name="20% - Accent5 3" xfId="149"/>
    <cellStyle name="20% - Accent5 4" xfId="150"/>
    <cellStyle name="20% - Accent6 2" xfId="151"/>
    <cellStyle name="20% - Accent6 3" xfId="152"/>
    <cellStyle name="20% - Accent6 4" xfId="153"/>
    <cellStyle name="40% - Accent1 2" xfId="154"/>
    <cellStyle name="40% - Accent1 3" xfId="155"/>
    <cellStyle name="40% - Accent1 4" xfId="156"/>
    <cellStyle name="40% - Accent2 2" xfId="157"/>
    <cellStyle name="40% - Accent2 3" xfId="158"/>
    <cellStyle name="40% - Accent2 4" xfId="159"/>
    <cellStyle name="40% - Accent3 2" xfId="160"/>
    <cellStyle name="40% - Accent3 3" xfId="161"/>
    <cellStyle name="40% - Accent3 4" xfId="162"/>
    <cellStyle name="40% - Accent4 2" xfId="163"/>
    <cellStyle name="40% - Accent4 3" xfId="164"/>
    <cellStyle name="40% - Accent4 4" xfId="165"/>
    <cellStyle name="40% - Accent5 2" xfId="166"/>
    <cellStyle name="40% - Accent5 3" xfId="167"/>
    <cellStyle name="40% - Accent5 4" xfId="168"/>
    <cellStyle name="40% - Accent6 2" xfId="169"/>
    <cellStyle name="40% - Accent6 3" xfId="170"/>
    <cellStyle name="40% - Accent6 4" xfId="171"/>
    <cellStyle name="60% - Accent1 2" xfId="172"/>
    <cellStyle name="60% - Accent2 2" xfId="173"/>
    <cellStyle name="60% - Accent3 2" xfId="174"/>
    <cellStyle name="60% - Accent4 2" xfId="175"/>
    <cellStyle name="60% - Accent5 2" xfId="176"/>
    <cellStyle name="60% - Accent6 2" xfId="177"/>
    <cellStyle name="Accent1 2" xfId="178"/>
    <cellStyle name="Accent2 2" xfId="179"/>
    <cellStyle name="Accent3 2" xfId="180"/>
    <cellStyle name="Accent4 2" xfId="181"/>
    <cellStyle name="Accent5 2" xfId="182"/>
    <cellStyle name="Accent6 2" xfId="183"/>
    <cellStyle name="Bad 2" xfId="184"/>
    <cellStyle name="Calc Currency (0)" xfId="185"/>
    <cellStyle name="Calculation" xfId="4" builtinId="22"/>
    <cellStyle name="Calculation 2" xfId="186"/>
    <cellStyle name="Check Cell 2" xfId="187"/>
    <cellStyle name="CheckCell" xfId="188"/>
    <cellStyle name="Comma" xfId="1" builtinId="3"/>
    <cellStyle name="Comma 10" xfId="189"/>
    <cellStyle name="Comma 11" xfId="190"/>
    <cellStyle name="Comma 2" xfId="191"/>
    <cellStyle name="Comma 2 2" xfId="192"/>
    <cellStyle name="Comma 3" xfId="193"/>
    <cellStyle name="Comma 4" xfId="194"/>
    <cellStyle name="Comma 5" xfId="195"/>
    <cellStyle name="Comma 6" xfId="196"/>
    <cellStyle name="Comma 7" xfId="197"/>
    <cellStyle name="Comma 8" xfId="198"/>
    <cellStyle name="Comma 8 2" xfId="199"/>
    <cellStyle name="Comma 9" xfId="200"/>
    <cellStyle name="Comma0" xfId="201"/>
    <cellStyle name="Comma0 - Style2" xfId="202"/>
    <cellStyle name="Comma0 - Style4" xfId="203"/>
    <cellStyle name="Comma0 - Style5" xfId="204"/>
    <cellStyle name="Comma0 2" xfId="205"/>
    <cellStyle name="Comma0 3" xfId="206"/>
    <cellStyle name="Comma0 4" xfId="207"/>
    <cellStyle name="Comma0_00COS Ind Allocators" xfId="208"/>
    <cellStyle name="Comma1 - Style1" xfId="209"/>
    <cellStyle name="Copied" xfId="210"/>
    <cellStyle name="COST1" xfId="211"/>
    <cellStyle name="Curren - Style1" xfId="212"/>
    <cellStyle name="Curren - Style2" xfId="213"/>
    <cellStyle name="Curren - Style5" xfId="214"/>
    <cellStyle name="Curren - Style6" xfId="215"/>
    <cellStyle name="Currency" xfId="2" builtinId="4"/>
    <cellStyle name="Currency 10" xfId="216"/>
    <cellStyle name="Currency 2" xfId="217"/>
    <cellStyle name="Currency 3" xfId="218"/>
    <cellStyle name="Currency 3 2" xfId="219"/>
    <cellStyle name="Currency 4" xfId="220"/>
    <cellStyle name="Currency 5" xfId="221"/>
    <cellStyle name="Currency 6" xfId="222"/>
    <cellStyle name="Currency 7" xfId="223"/>
    <cellStyle name="Currency 8" xfId="224"/>
    <cellStyle name="Currency 9" xfId="225"/>
    <cellStyle name="Currency0" xfId="226"/>
    <cellStyle name="Date" xfId="227"/>
    <cellStyle name="Date 2" xfId="228"/>
    <cellStyle name="Date 3" xfId="229"/>
    <cellStyle name="Date 4" xfId="230"/>
    <cellStyle name="Entered" xfId="231"/>
    <cellStyle name="Explanatory Text 2" xfId="232"/>
    <cellStyle name="Fixed" xfId="233"/>
    <cellStyle name="Fixed3 - Style3" xfId="234"/>
    <cellStyle name="Good 2" xfId="235"/>
    <cellStyle name="Grey" xfId="236"/>
    <cellStyle name="Grey 2" xfId="237"/>
    <cellStyle name="Grey 3" xfId="238"/>
    <cellStyle name="Grey 4" xfId="239"/>
    <cellStyle name="Grey_ERB" xfId="240"/>
    <cellStyle name="Header1" xfId="241"/>
    <cellStyle name="Header2" xfId="242"/>
    <cellStyle name="Heading 1 2" xfId="243"/>
    <cellStyle name="Heading 2 2" xfId="244"/>
    <cellStyle name="Heading1" xfId="245"/>
    <cellStyle name="Heading2" xfId="246"/>
    <cellStyle name="Input [yellow]" xfId="247"/>
    <cellStyle name="Input [yellow] 2" xfId="248"/>
    <cellStyle name="Input [yellow] 3" xfId="249"/>
    <cellStyle name="Input [yellow] 4" xfId="250"/>
    <cellStyle name="Input [yellow]_ERB" xfId="251"/>
    <cellStyle name="Input 2" xfId="252"/>
    <cellStyle name="Input 3" xfId="253"/>
    <cellStyle name="Input 4" xfId="254"/>
    <cellStyle name="Input Cells" xfId="255"/>
    <cellStyle name="Input Cells Percent" xfId="256"/>
    <cellStyle name="Lines" xfId="257"/>
    <cellStyle name="LINKED" xfId="258"/>
    <cellStyle name="modified border" xfId="259"/>
    <cellStyle name="modified border 2" xfId="260"/>
    <cellStyle name="modified border 3" xfId="261"/>
    <cellStyle name="modified border 4" xfId="262"/>
    <cellStyle name="modified border1" xfId="263"/>
    <cellStyle name="modified border1 2" xfId="264"/>
    <cellStyle name="modified border1 3" xfId="265"/>
    <cellStyle name="modified border1 4" xfId="266"/>
    <cellStyle name="Neutral 2" xfId="267"/>
    <cellStyle name="no dec" xfId="268"/>
    <cellStyle name="Normal" xfId="0" builtinId="0"/>
    <cellStyle name="Normal - Style1" xfId="269"/>
    <cellStyle name="Normal - Style1 2" xfId="270"/>
    <cellStyle name="Normal - Style1 3" xfId="271"/>
    <cellStyle name="Normal - Style1 4" xfId="272"/>
    <cellStyle name="Normal - Style1_Depreciation Exp" xfId="273"/>
    <cellStyle name="Normal 10" xfId="274"/>
    <cellStyle name="Normal 11" xfId="275"/>
    <cellStyle name="Normal 12" xfId="276"/>
    <cellStyle name="Normal 13" xfId="277"/>
    <cellStyle name="Normal 14" xfId="278"/>
    <cellStyle name="Normal 15" xfId="279"/>
    <cellStyle name="Normal 16" xfId="280"/>
    <cellStyle name="Normal 17" xfId="281"/>
    <cellStyle name="Normal 2" xfId="282"/>
    <cellStyle name="Normal 2 2" xfId="283"/>
    <cellStyle name="Normal 2 2 2" xfId="284"/>
    <cellStyle name="Normal 2 2 3" xfId="285"/>
    <cellStyle name="Normal 2 2_4.14E Miscellaneous Operating Expense working file" xfId="286"/>
    <cellStyle name="Normal 2 3" xfId="287"/>
    <cellStyle name="Normal 2 4" xfId="288"/>
    <cellStyle name="Normal 2 5" xfId="289"/>
    <cellStyle name="Normal 2 6" xfId="290"/>
    <cellStyle name="Normal 2 7" xfId="291"/>
    <cellStyle name="Normal 2 8" xfId="292"/>
    <cellStyle name="Normal 2 9" xfId="293"/>
    <cellStyle name="Normal 2_Allocation Method - Working File" xfId="294"/>
    <cellStyle name="Normal 3" xfId="295"/>
    <cellStyle name="Normal 3 2" xfId="296"/>
    <cellStyle name="Normal 3 3" xfId="297"/>
    <cellStyle name="Normal 3_4.14E Miscellaneous Operating Expense working file" xfId="298"/>
    <cellStyle name="Normal 4" xfId="299"/>
    <cellStyle name="Normal 5" xfId="300"/>
    <cellStyle name="Normal 6" xfId="301"/>
    <cellStyle name="Normal 7" xfId="302"/>
    <cellStyle name="Normal 8" xfId="303"/>
    <cellStyle name="Normal 9" xfId="304"/>
    <cellStyle name="Note 10" xfId="305"/>
    <cellStyle name="Note 11" xfId="306"/>
    <cellStyle name="Note 12" xfId="307"/>
    <cellStyle name="Note 2" xfId="308"/>
    <cellStyle name="Note 3" xfId="309"/>
    <cellStyle name="Note 4" xfId="310"/>
    <cellStyle name="Note 5" xfId="311"/>
    <cellStyle name="Note 6" xfId="312"/>
    <cellStyle name="Note 7" xfId="313"/>
    <cellStyle name="Note 8" xfId="314"/>
    <cellStyle name="Note 9" xfId="315"/>
    <cellStyle name="Output 2" xfId="316"/>
    <cellStyle name="Percen - Style1" xfId="317"/>
    <cellStyle name="Percen - Style2" xfId="318"/>
    <cellStyle name="Percen - Style3" xfId="319"/>
    <cellStyle name="Percent" xfId="3" builtinId="5"/>
    <cellStyle name="Percent [2]" xfId="320"/>
    <cellStyle name="Percent 10" xfId="321"/>
    <cellStyle name="Percent 11" xfId="322"/>
    <cellStyle name="Percent 2" xfId="323"/>
    <cellStyle name="Percent 3" xfId="324"/>
    <cellStyle name="Percent 4" xfId="325"/>
    <cellStyle name="Percent 4 2" xfId="326"/>
    <cellStyle name="Percent 5" xfId="327"/>
    <cellStyle name="Percent 6" xfId="328"/>
    <cellStyle name="Percent 7" xfId="329"/>
    <cellStyle name="Percent 8" xfId="330"/>
    <cellStyle name="Percent 9" xfId="331"/>
    <cellStyle name="Processing" xfId="332"/>
    <cellStyle name="PSChar" xfId="333"/>
    <cellStyle name="PSDate" xfId="334"/>
    <cellStyle name="PSDec" xfId="335"/>
    <cellStyle name="PSHeading" xfId="336"/>
    <cellStyle name="PSInt" xfId="337"/>
    <cellStyle name="PSSpacer" xfId="338"/>
    <cellStyle name="purple - Style8" xfId="339"/>
    <cellStyle name="RED" xfId="340"/>
    <cellStyle name="Red - Style7" xfId="341"/>
    <cellStyle name="RED_04 07E Wild Horse Wind Expansion (C) (2)" xfId="342"/>
    <cellStyle name="Report" xfId="343"/>
    <cellStyle name="Report Bar" xfId="344"/>
    <cellStyle name="Report Heading" xfId="345"/>
    <cellStyle name="Report Percent" xfId="346"/>
    <cellStyle name="Report Unit Cost" xfId="347"/>
    <cellStyle name="Reports" xfId="348"/>
    <cellStyle name="Reports Total" xfId="349"/>
    <cellStyle name="Reports Unit Cost Total" xfId="350"/>
    <cellStyle name="RevList" xfId="351"/>
    <cellStyle name="round100" xfId="352"/>
    <cellStyle name="SAPBEXaggData" xfId="353"/>
    <cellStyle name="SAPBEXaggDataEmph" xfId="354"/>
    <cellStyle name="SAPBEXaggItem" xfId="355"/>
    <cellStyle name="SAPBEXaggItemX" xfId="356"/>
    <cellStyle name="SAPBEXchaText" xfId="357"/>
    <cellStyle name="SAPBEXexcBad7" xfId="358"/>
    <cellStyle name="SAPBEXexcBad8" xfId="359"/>
    <cellStyle name="SAPBEXexcBad9" xfId="360"/>
    <cellStyle name="SAPBEXexcCritical4" xfId="361"/>
    <cellStyle name="SAPBEXexcCritical5" xfId="362"/>
    <cellStyle name="SAPBEXexcCritical6" xfId="363"/>
    <cellStyle name="SAPBEXexcGood1" xfId="364"/>
    <cellStyle name="SAPBEXexcGood2" xfId="365"/>
    <cellStyle name="SAPBEXexcGood3" xfId="366"/>
    <cellStyle name="SAPBEXfilterDrill" xfId="367"/>
    <cellStyle name="SAPBEXfilterItem" xfId="368"/>
    <cellStyle name="SAPBEXfilterText" xfId="369"/>
    <cellStyle name="SAPBEXformats" xfId="370"/>
    <cellStyle name="SAPBEXheaderItem" xfId="371"/>
    <cellStyle name="SAPBEXheaderText" xfId="372"/>
    <cellStyle name="SAPBEXHLevel0" xfId="373"/>
    <cellStyle name="SAPBEXHLevel0X" xfId="374"/>
    <cellStyle name="SAPBEXHLevel1" xfId="375"/>
    <cellStyle name="SAPBEXHLevel1X" xfId="376"/>
    <cellStyle name="SAPBEXHLevel2" xfId="377"/>
    <cellStyle name="SAPBEXHLevel2X" xfId="378"/>
    <cellStyle name="SAPBEXHLevel3" xfId="379"/>
    <cellStyle name="SAPBEXHLevel3X" xfId="380"/>
    <cellStyle name="SAPBEXresData" xfId="381"/>
    <cellStyle name="SAPBEXresDataEmph" xfId="382"/>
    <cellStyle name="SAPBEXresItem" xfId="383"/>
    <cellStyle name="SAPBEXresItemX" xfId="384"/>
    <cellStyle name="SAPBEXstdData" xfId="385"/>
    <cellStyle name="SAPBEXstdDataEmph" xfId="386"/>
    <cellStyle name="SAPBEXstdItem" xfId="387"/>
    <cellStyle name="SAPBEXstdItemX" xfId="388"/>
    <cellStyle name="SAPBEXtitle" xfId="389"/>
    <cellStyle name="SAPBEXundefined" xfId="390"/>
    <cellStyle name="shade" xfId="391"/>
    <cellStyle name="StmtTtl1" xfId="392"/>
    <cellStyle name="StmtTtl1 2" xfId="393"/>
    <cellStyle name="StmtTtl1 3" xfId="394"/>
    <cellStyle name="StmtTtl1 4" xfId="395"/>
    <cellStyle name="StmtTtl1_ERB" xfId="396"/>
    <cellStyle name="StmtTtl2" xfId="397"/>
    <cellStyle name="STYL1 - Style1" xfId="398"/>
    <cellStyle name="Style 1" xfId="399"/>
    <cellStyle name="Style 1 2" xfId="400"/>
    <cellStyle name="Style 1 3" xfId="401"/>
    <cellStyle name="Style 1 4" xfId="402"/>
    <cellStyle name="Style 1_4.14E Miscellaneous Operating Expense working file" xfId="403"/>
    <cellStyle name="Subtotal" xfId="404"/>
    <cellStyle name="Sub-total" xfId="405"/>
    <cellStyle name="Title: Major" xfId="406"/>
    <cellStyle name="Title: Minor" xfId="407"/>
    <cellStyle name="Title: Worksheet" xfId="408"/>
    <cellStyle name="Total 2" xfId="409"/>
    <cellStyle name="Total4 - Style4" xfId="410"/>
    <cellStyle name="Warning Text 2" xfId="4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JAP%20Testimony/JAP-07%20(ECOS%20Model%20v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W375"/>
  <sheetViews>
    <sheetView showGridLines="0" view="pageBreakPreview" zoomScale="50" zoomScaleNormal="90" zoomScaleSheetLayoutView="50" workbookViewId="0">
      <pane xSplit="6" ySplit="6" topLeftCell="G343" activePane="bottomRight" state="frozen"/>
      <selection activeCell="A15" sqref="A15"/>
      <selection pane="topRight" activeCell="A15" sqref="A15"/>
      <selection pane="bottomLeft" activeCell="A15" sqref="A15"/>
      <selection pane="bottomRight" activeCell="G7" sqref="G7"/>
    </sheetView>
  </sheetViews>
  <sheetFormatPr defaultColWidth="8.88671875" defaultRowHeight="13.2" x14ac:dyDescent="0.25"/>
  <cols>
    <col min="1" max="1" width="6" style="5" bestFit="1" customWidth="1"/>
    <col min="2" max="2" width="2.33203125" style="5" bestFit="1" customWidth="1"/>
    <col min="3" max="3" width="41" style="5" bestFit="1" customWidth="1"/>
    <col min="4" max="4" width="1.6640625" style="5" customWidth="1"/>
    <col min="5" max="5" width="16.88671875" style="5" bestFit="1" customWidth="1"/>
    <col min="6" max="6" width="6.33203125" style="5" bestFit="1" customWidth="1"/>
    <col min="7" max="7" width="16.88671875" style="5" bestFit="1" customWidth="1"/>
    <col min="8" max="8" width="16.109375" style="5" bestFit="1" customWidth="1"/>
    <col min="9" max="9" width="17.109375" style="5" bestFit="1" customWidth="1"/>
    <col min="10" max="11" width="15.33203125" style="5" bestFit="1" customWidth="1"/>
    <col min="12" max="13" width="14.5546875" style="5" bestFit="1" customWidth="1"/>
    <col min="14" max="14" width="15.6640625" style="5" bestFit="1" customWidth="1"/>
    <col min="15" max="15" width="14.5546875" style="5" bestFit="1" customWidth="1"/>
    <col min="16" max="16" width="12.88671875" style="5" bestFit="1" customWidth="1"/>
    <col min="17" max="17" width="3.33203125" style="5" customWidth="1"/>
    <col min="18" max="18" width="15.33203125" style="5" bestFit="1" customWidth="1"/>
    <col min="19" max="20" width="14" style="5" customWidth="1"/>
    <col min="21" max="21" width="6.109375" style="5" customWidth="1"/>
    <col min="22" max="22" width="2.109375" style="5" customWidth="1"/>
    <col min="23" max="23" width="15.33203125" style="5" bestFit="1" customWidth="1"/>
    <col min="24" max="16384" width="8.88671875" style="5"/>
  </cols>
  <sheetData>
    <row r="1" spans="1:23" s="1" customForma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23" s="1" customForma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3" s="1" customFormat="1" x14ac:dyDescent="0.25">
      <c r="A3" s="88" t="s">
        <v>210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6" spans="1:23" s="4" customFormat="1" ht="42" customHeight="1" x14ac:dyDescent="0.25">
      <c r="A6" s="2" t="s">
        <v>2</v>
      </c>
      <c r="B6" s="2"/>
      <c r="C6" s="2" t="s">
        <v>3</v>
      </c>
      <c r="D6" s="2"/>
      <c r="E6" s="2" t="s">
        <v>4</v>
      </c>
      <c r="F6" s="2"/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3" t="s">
        <v>14</v>
      </c>
      <c r="R6" s="2" t="s">
        <v>15</v>
      </c>
      <c r="S6" s="2" t="s">
        <v>16</v>
      </c>
      <c r="T6" s="2" t="s">
        <v>17</v>
      </c>
      <c r="U6" s="2" t="s">
        <v>18</v>
      </c>
      <c r="W6" s="3" t="s">
        <v>19</v>
      </c>
    </row>
    <row r="7" spans="1:23" s="4" customFormat="1" x14ac:dyDescent="0.25">
      <c r="C7" s="4" t="s">
        <v>20</v>
      </c>
      <c r="E7" s="4" t="s">
        <v>21</v>
      </c>
      <c r="G7" s="4" t="s">
        <v>22</v>
      </c>
      <c r="H7" s="4" t="s">
        <v>23</v>
      </c>
      <c r="I7" s="4" t="s">
        <v>24</v>
      </c>
      <c r="J7" s="4" t="s">
        <v>25</v>
      </c>
      <c r="K7" s="4" t="s">
        <v>26</v>
      </c>
      <c r="L7" s="4" t="s">
        <v>27</v>
      </c>
      <c r="M7" s="4" t="s">
        <v>28</v>
      </c>
      <c r="N7" s="4" t="s">
        <v>29</v>
      </c>
      <c r="O7" s="4" t="s">
        <v>30</v>
      </c>
      <c r="P7" s="4" t="s">
        <v>31</v>
      </c>
    </row>
    <row r="9" spans="1:23" x14ac:dyDescent="0.25">
      <c r="A9" s="5">
        <v>1</v>
      </c>
      <c r="C9" s="1" t="s">
        <v>32</v>
      </c>
    </row>
    <row r="10" spans="1:23" x14ac:dyDescent="0.25">
      <c r="A10" s="5">
        <f>+A9+1</f>
        <v>2</v>
      </c>
      <c r="C10" s="5" t="s">
        <v>33</v>
      </c>
      <c r="E10" s="6">
        <f>SUM(G10:P10)</f>
        <v>9523077020.3544521</v>
      </c>
      <c r="F10" s="6"/>
      <c r="G10" s="6">
        <v>5485102021.7180748</v>
      </c>
      <c r="H10" s="6">
        <v>1193149235.1698897</v>
      </c>
      <c r="I10" s="6">
        <v>1099715628.0808852</v>
      </c>
      <c r="J10" s="6">
        <v>629824031.02399349</v>
      </c>
      <c r="K10" s="6">
        <v>491802285.14425981</v>
      </c>
      <c r="L10" s="6">
        <v>238576203.71430185</v>
      </c>
      <c r="M10" s="6">
        <v>166341625.37958828</v>
      </c>
      <c r="N10" s="6">
        <v>112036258.59686865</v>
      </c>
      <c r="O10" s="6">
        <v>103303150.15132768</v>
      </c>
      <c r="P10" s="6">
        <v>3226581.3752627322</v>
      </c>
      <c r="R10" s="6">
        <v>433452055.53208947</v>
      </c>
      <c r="S10" s="6">
        <v>2177741.5448368117</v>
      </c>
      <c r="T10" s="6">
        <v>56172488.067333527</v>
      </c>
      <c r="U10" s="7">
        <f>SUM(R10:T10)-K10</f>
        <v>0</v>
      </c>
      <c r="W10" s="7">
        <f>+R10+S10</f>
        <v>435629797.07692629</v>
      </c>
    </row>
    <row r="11" spans="1:23" x14ac:dyDescent="0.25">
      <c r="A11" s="5">
        <f t="shared" ref="A11:A58" si="0">+A10+1</f>
        <v>3</v>
      </c>
      <c r="C11" s="5" t="s">
        <v>34</v>
      </c>
      <c r="E11" s="6">
        <f>SUM(G11:P11)</f>
        <v>-3697506273.3020797</v>
      </c>
      <c r="F11" s="6"/>
      <c r="G11" s="6">
        <v>-2150239461.7688298</v>
      </c>
      <c r="H11" s="6">
        <v>-458745112.30684805</v>
      </c>
      <c r="I11" s="6">
        <v>-421791941.85275</v>
      </c>
      <c r="J11" s="6">
        <v>-242377332.26987153</v>
      </c>
      <c r="K11" s="6">
        <v>-187688201.84427068</v>
      </c>
      <c r="L11" s="6">
        <v>-95756891.862078503</v>
      </c>
      <c r="M11" s="6">
        <v>-62546591.001273297</v>
      </c>
      <c r="N11" s="6">
        <v>-37142243.407436922</v>
      </c>
      <c r="O11" s="6">
        <v>-39989889.132016793</v>
      </c>
      <c r="P11" s="6">
        <v>-1228607.8567040951</v>
      </c>
      <c r="R11" s="6">
        <v>-165693651.61758912</v>
      </c>
      <c r="S11" s="6">
        <v>-826227.44166301622</v>
      </c>
      <c r="T11" s="6">
        <v>-21168322.78501853</v>
      </c>
      <c r="U11" s="7">
        <f>SUM(R11:T11)-K11</f>
        <v>0</v>
      </c>
      <c r="W11" s="7">
        <f>+R11+S11</f>
        <v>-166519879.05925214</v>
      </c>
    </row>
    <row r="12" spans="1:23" x14ac:dyDescent="0.25">
      <c r="A12" s="5">
        <f t="shared" si="0"/>
        <v>4</v>
      </c>
      <c r="C12" s="5" t="s">
        <v>35</v>
      </c>
      <c r="E12" s="6">
        <f>SUM(G12:P12)</f>
        <v>-727608314.33511972</v>
      </c>
      <c r="F12" s="6"/>
      <c r="G12" s="6">
        <v>-421537593.17726773</v>
      </c>
      <c r="H12" s="6">
        <v>-113312995.99319904</v>
      </c>
      <c r="I12" s="6">
        <v>-74925729.159569412</v>
      </c>
      <c r="J12" s="6">
        <v>-39751145.978026435</v>
      </c>
      <c r="K12" s="6">
        <v>-32117740.96402546</v>
      </c>
      <c r="L12" s="6">
        <v>-15577053.525251105</v>
      </c>
      <c r="M12" s="6">
        <v>-9580852.7832394931</v>
      </c>
      <c r="N12" s="6">
        <v>-11790699.933250098</v>
      </c>
      <c r="O12" s="6">
        <v>-8790997.6959386319</v>
      </c>
      <c r="P12" s="6">
        <v>-223505.12535232533</v>
      </c>
      <c r="R12" s="6">
        <v>-27642847.47118549</v>
      </c>
      <c r="S12" s="6">
        <v>-168959.9843566833</v>
      </c>
      <c r="T12" s="6">
        <v>-4305933.5084832879</v>
      </c>
      <c r="U12" s="7">
        <f>SUM(R12:T12)-K12</f>
        <v>0</v>
      </c>
      <c r="W12" s="7">
        <f>+R12+S12</f>
        <v>-27811807.455542173</v>
      </c>
    </row>
    <row r="13" spans="1:23" ht="13.8" thickBot="1" x14ac:dyDescent="0.3">
      <c r="A13" s="8">
        <f t="shared" si="0"/>
        <v>5</v>
      </c>
      <c r="B13" s="8"/>
      <c r="C13" s="8" t="s">
        <v>36</v>
      </c>
      <c r="D13" s="8"/>
      <c r="E13" s="9">
        <f>SUM(E10:E12)</f>
        <v>5097962432.7172527</v>
      </c>
      <c r="F13" s="9"/>
      <c r="G13" s="9">
        <f t="shared" ref="G13:P13" si="1">SUM(G10:G12)</f>
        <v>2913324966.7719774</v>
      </c>
      <c r="H13" s="9">
        <f t="shared" si="1"/>
        <v>621091126.86984265</v>
      </c>
      <c r="I13" s="9">
        <f t="shared" si="1"/>
        <v>602997957.06856573</v>
      </c>
      <c r="J13" s="9">
        <f t="shared" si="1"/>
        <v>347695552.77609551</v>
      </c>
      <c r="K13" s="9">
        <f t="shared" si="1"/>
        <v>271996342.33596367</v>
      </c>
      <c r="L13" s="9">
        <f t="shared" si="1"/>
        <v>127242258.32697223</v>
      </c>
      <c r="M13" s="9">
        <f t="shared" si="1"/>
        <v>94214181.595075473</v>
      </c>
      <c r="N13" s="9">
        <f t="shared" si="1"/>
        <v>63103315.256181628</v>
      </c>
      <c r="O13" s="9">
        <f t="shared" si="1"/>
        <v>54522263.32337226</v>
      </c>
      <c r="P13" s="9">
        <f t="shared" si="1"/>
        <v>1774468.3932063116</v>
      </c>
      <c r="R13" s="9">
        <f>SUM(R10:R12)</f>
        <v>240115556.44331485</v>
      </c>
      <c r="S13" s="9">
        <f>SUM(S10:S12)</f>
        <v>1182554.1188171124</v>
      </c>
      <c r="T13" s="9">
        <f>SUM(T10:T12)</f>
        <v>30698231.773831714</v>
      </c>
      <c r="U13" s="9">
        <f>SUM(U10:U12)</f>
        <v>0</v>
      </c>
      <c r="W13" s="9">
        <f>SUM(W10:W12)</f>
        <v>241298110.56213197</v>
      </c>
    </row>
    <row r="14" spans="1:23" ht="13.8" thickTop="1" x14ac:dyDescent="0.25">
      <c r="A14" s="5">
        <f t="shared" si="0"/>
        <v>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R14" s="6"/>
      <c r="S14" s="6"/>
      <c r="T14" s="6"/>
      <c r="U14" s="6"/>
      <c r="W14" s="6"/>
    </row>
    <row r="15" spans="1:23" x14ac:dyDescent="0.25">
      <c r="A15" s="5">
        <f t="shared" si="0"/>
        <v>7</v>
      </c>
      <c r="C15" s="1" t="s">
        <v>217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R15" s="6"/>
      <c r="S15" s="6"/>
      <c r="T15" s="6"/>
      <c r="U15" s="6"/>
      <c r="W15" s="6"/>
    </row>
    <row r="16" spans="1:23" x14ac:dyDescent="0.25">
      <c r="A16" s="5">
        <f t="shared" si="0"/>
        <v>8</v>
      </c>
      <c r="C16" s="5" t="s">
        <v>37</v>
      </c>
      <c r="E16" s="6">
        <f>SUM(G16:P16)</f>
        <v>1963503474.2598827</v>
      </c>
      <c r="F16" s="6"/>
      <c r="G16" s="6">
        <v>1066627453.9781519</v>
      </c>
      <c r="H16" s="6">
        <v>266944270.99453214</v>
      </c>
      <c r="I16" s="6">
        <v>252922819.99481931</v>
      </c>
      <c r="J16" s="6">
        <v>151834734.99688995</v>
      </c>
      <c r="K16" s="6">
        <v>111980714.99770626</v>
      </c>
      <c r="L16" s="6">
        <v>47836622.128961235</v>
      </c>
      <c r="M16" s="6">
        <v>40360091.999173291</v>
      </c>
      <c r="N16" s="6">
        <v>7513279.0699999928</v>
      </c>
      <c r="O16" s="6">
        <v>17167096.999648362</v>
      </c>
      <c r="P16" s="6">
        <v>316389.10000000003</v>
      </c>
      <c r="R16" s="6">
        <v>101394674.99792311</v>
      </c>
      <c r="S16" s="6">
        <v>248213.99999491576</v>
      </c>
      <c r="T16" s="6">
        <v>10337825.999788247</v>
      </c>
      <c r="U16" s="7">
        <f>SUM(R16:T16)-K16</f>
        <v>0</v>
      </c>
      <c r="W16" s="7">
        <f>+R16+S16</f>
        <v>101642888.99791802</v>
      </c>
    </row>
    <row r="17" spans="1:23" x14ac:dyDescent="0.25">
      <c r="A17" s="5">
        <f t="shared" si="0"/>
        <v>9</v>
      </c>
      <c r="C17" s="5" t="s">
        <v>38</v>
      </c>
      <c r="E17" s="6">
        <f>SUM(G17:P17)</f>
        <v>28431646.31933948</v>
      </c>
      <c r="F17" s="6"/>
      <c r="G17" s="6">
        <v>15190536.025972806</v>
      </c>
      <c r="H17" s="6">
        <v>3723995.0355565865</v>
      </c>
      <c r="I17" s="6">
        <v>3749401.8699579462</v>
      </c>
      <c r="J17" s="6">
        <v>2398862.5174212176</v>
      </c>
      <c r="K17" s="6">
        <v>1704842.1709251939</v>
      </c>
      <c r="L17" s="6">
        <v>825578.43923786469</v>
      </c>
      <c r="M17" s="6">
        <v>726003.75123401068</v>
      </c>
      <c r="N17" s="6">
        <v>0</v>
      </c>
      <c r="O17" s="6">
        <v>102759.03973458102</v>
      </c>
      <c r="P17" s="6">
        <v>9667.4692992811761</v>
      </c>
      <c r="R17" s="6">
        <v>1580999.0539625762</v>
      </c>
      <c r="S17" s="6">
        <v>4398.3788170579019</v>
      </c>
      <c r="T17" s="6">
        <v>119444.73814555988</v>
      </c>
      <c r="U17" s="7">
        <f>SUM(R17:T17)-K17</f>
        <v>0</v>
      </c>
      <c r="W17" s="7">
        <f>+R17+S17</f>
        <v>1585397.4327796341</v>
      </c>
    </row>
    <row r="18" spans="1:23" x14ac:dyDescent="0.25">
      <c r="A18" s="5">
        <f t="shared" si="0"/>
        <v>10</v>
      </c>
      <c r="C18" s="5" t="s">
        <v>39</v>
      </c>
      <c r="E18" s="6">
        <f>SUM(G18:P18)</f>
        <v>72413912.629883036</v>
      </c>
      <c r="F18" s="6"/>
      <c r="G18" s="6">
        <v>40045935.287944317</v>
      </c>
      <c r="H18" s="6">
        <v>11842934.229980657</v>
      </c>
      <c r="I18" s="6">
        <v>6750706.4474722017</v>
      </c>
      <c r="J18" s="6">
        <v>3837351.370847329</v>
      </c>
      <c r="K18" s="6">
        <v>3654370.6829840513</v>
      </c>
      <c r="L18" s="6">
        <v>1247801.533352368</v>
      </c>
      <c r="M18" s="6">
        <v>3844778.5370539324</v>
      </c>
      <c r="N18" s="6">
        <v>878719.9249349609</v>
      </c>
      <c r="O18" s="6">
        <v>285578.12052460207</v>
      </c>
      <c r="P18" s="6">
        <v>25736.494788621054</v>
      </c>
      <c r="R18" s="6">
        <v>3321807.9518691567</v>
      </c>
      <c r="S18" s="6">
        <v>16308.324843065382</v>
      </c>
      <c r="T18" s="6">
        <v>316254.40627182944</v>
      </c>
      <c r="U18" s="7">
        <f>SUM(R18:T18)-K18</f>
        <v>0</v>
      </c>
      <c r="W18" s="7">
        <f>+R18+S18</f>
        <v>3338116.276712222</v>
      </c>
    </row>
    <row r="19" spans="1:23" ht="13.8" thickBot="1" x14ac:dyDescent="0.3">
      <c r="A19" s="8">
        <f t="shared" si="0"/>
        <v>11</v>
      </c>
      <c r="B19" s="8"/>
      <c r="C19" s="8" t="s">
        <v>218</v>
      </c>
      <c r="D19" s="8"/>
      <c r="E19" s="9">
        <f>SUM(E16:E18)</f>
        <v>2064349033.2091053</v>
      </c>
      <c r="F19" s="9"/>
      <c r="G19" s="9">
        <f t="shared" ref="G19:P19" si="2">SUM(G16:G18)</f>
        <v>1121863925.292069</v>
      </c>
      <c r="H19" s="9">
        <f t="shared" si="2"/>
        <v>282511200.26006937</v>
      </c>
      <c r="I19" s="9">
        <f t="shared" si="2"/>
        <v>263422928.31224948</v>
      </c>
      <c r="J19" s="9">
        <f t="shared" si="2"/>
        <v>158070948.88515848</v>
      </c>
      <c r="K19" s="9">
        <f t="shared" si="2"/>
        <v>117339927.85161552</v>
      </c>
      <c r="L19" s="9">
        <f t="shared" si="2"/>
        <v>49910002.101551466</v>
      </c>
      <c r="M19" s="9">
        <f t="shared" si="2"/>
        <v>44930874.287461236</v>
      </c>
      <c r="N19" s="9">
        <f t="shared" si="2"/>
        <v>8391998.9949349537</v>
      </c>
      <c r="O19" s="9">
        <f t="shared" si="2"/>
        <v>17555434.159907546</v>
      </c>
      <c r="P19" s="9">
        <f t="shared" si="2"/>
        <v>351793.06408790225</v>
      </c>
      <c r="R19" s="9">
        <f>SUM(R16:R18)</f>
        <v>106297482.00375484</v>
      </c>
      <c r="S19" s="9">
        <f>SUM(S16:S18)</f>
        <v>268920.70365503908</v>
      </c>
      <c r="T19" s="9">
        <f>SUM(T16:T18)</f>
        <v>10773525.144205637</v>
      </c>
      <c r="U19" s="9">
        <f>SUM(U16:U18)</f>
        <v>0</v>
      </c>
      <c r="W19" s="9">
        <f>SUM(W16:W18)</f>
        <v>106566402.70740989</v>
      </c>
    </row>
    <row r="20" spans="1:23" ht="13.8" thickTop="1" x14ac:dyDescent="0.25">
      <c r="A20" s="5">
        <f t="shared" si="0"/>
        <v>12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R20" s="6"/>
      <c r="S20" s="6"/>
      <c r="T20" s="6"/>
      <c r="U20" s="6"/>
      <c r="W20" s="6"/>
    </row>
    <row r="21" spans="1:23" x14ac:dyDescent="0.25">
      <c r="A21" s="5">
        <f t="shared" si="0"/>
        <v>13</v>
      </c>
      <c r="C21" s="1" t="s">
        <v>40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R21" s="6"/>
      <c r="S21" s="6"/>
      <c r="T21" s="6"/>
      <c r="U21" s="6"/>
      <c r="W21" s="6"/>
    </row>
    <row r="22" spans="1:23" x14ac:dyDescent="0.25">
      <c r="A22" s="5">
        <f t="shared" si="0"/>
        <v>14</v>
      </c>
      <c r="C22" s="5" t="s">
        <v>41</v>
      </c>
      <c r="E22" s="6">
        <f>SUM(G22:P22)</f>
        <v>1173152356.8006525</v>
      </c>
      <c r="F22" s="6"/>
      <c r="G22" s="6">
        <v>660615353.72867417</v>
      </c>
      <c r="H22" s="6">
        <v>151142480.35932609</v>
      </c>
      <c r="I22" s="6">
        <v>141553237.11283854</v>
      </c>
      <c r="J22" s="6">
        <v>87871028.238303736</v>
      </c>
      <c r="K22" s="6">
        <v>64706535.322549559</v>
      </c>
      <c r="L22" s="6">
        <v>30103956.412646804</v>
      </c>
      <c r="M22" s="6">
        <v>25575883.403715946</v>
      </c>
      <c r="N22" s="6">
        <v>2661257.9518310297</v>
      </c>
      <c r="O22" s="6">
        <v>8520748.105021935</v>
      </c>
      <c r="P22" s="6">
        <v>401876.16574476974</v>
      </c>
      <c r="R22" s="6">
        <v>59089912.902075648</v>
      </c>
      <c r="S22" s="6">
        <v>215355.88445301831</v>
      </c>
      <c r="T22" s="6">
        <v>5401266.536020888</v>
      </c>
      <c r="U22" s="7">
        <f>SUM(R22:T22)-K22</f>
        <v>0</v>
      </c>
      <c r="W22" s="7">
        <f>+R22+S22</f>
        <v>59305268.786528669</v>
      </c>
    </row>
    <row r="23" spans="1:23" x14ac:dyDescent="0.25">
      <c r="A23" s="5">
        <f t="shared" si="0"/>
        <v>15</v>
      </c>
      <c r="C23" s="5" t="s">
        <v>42</v>
      </c>
      <c r="E23" s="6">
        <f>SUM(G23:P23)</f>
        <v>413783579.47458893</v>
      </c>
      <c r="F23" s="6"/>
      <c r="G23" s="6">
        <v>239697662.60488823</v>
      </c>
      <c r="H23" s="6">
        <v>51969701.678236432</v>
      </c>
      <c r="I23" s="6">
        <v>47643407.207451634</v>
      </c>
      <c r="J23" s="6">
        <v>27369691.083581772</v>
      </c>
      <c r="K23" s="6">
        <v>21308098.10844193</v>
      </c>
      <c r="L23" s="6">
        <v>10338464.95418831</v>
      </c>
      <c r="M23" s="6">
        <v>7263002.0153667592</v>
      </c>
      <c r="N23" s="6">
        <v>3596145.0142465536</v>
      </c>
      <c r="O23" s="6">
        <v>4458183.0248321053</v>
      </c>
      <c r="P23" s="6">
        <v>139223.78335520191</v>
      </c>
      <c r="R23" s="6">
        <v>18808140.336551096</v>
      </c>
      <c r="S23" s="6">
        <v>93198.569812495683</v>
      </c>
      <c r="T23" s="6">
        <v>2406759.2020783392</v>
      </c>
      <c r="U23" s="7">
        <f>SUM(R23:T23)-K23</f>
        <v>0</v>
      </c>
      <c r="W23" s="7">
        <f>+R23+S23</f>
        <v>18901338.906363592</v>
      </c>
    </row>
    <row r="24" spans="1:23" x14ac:dyDescent="0.25">
      <c r="A24" s="5">
        <f t="shared" si="0"/>
        <v>16</v>
      </c>
      <c r="C24" s="5" t="s">
        <v>43</v>
      </c>
      <c r="E24" s="6">
        <f>SUM(G24:P24)</f>
        <v>86578587.631624401</v>
      </c>
      <c r="F24" s="6"/>
      <c r="G24" s="6">
        <v>49456307.339835785</v>
      </c>
      <c r="H24" s="6">
        <v>10954226.980809022</v>
      </c>
      <c r="I24" s="6">
        <v>10194232.944018891</v>
      </c>
      <c r="J24" s="6">
        <v>6126301.1176095828</v>
      </c>
      <c r="K24" s="6">
        <v>4623183.9990855884</v>
      </c>
      <c r="L24" s="6">
        <v>2178535.5738226804</v>
      </c>
      <c r="M24" s="6">
        <v>1724302.7550872003</v>
      </c>
      <c r="N24" s="6">
        <v>521051.05381380371</v>
      </c>
      <c r="O24" s="6">
        <v>771187.21857278212</v>
      </c>
      <c r="P24" s="6">
        <v>29258.64896907625</v>
      </c>
      <c r="R24" s="6">
        <v>4159114.6422085781</v>
      </c>
      <c r="S24" s="6">
        <v>17497.111483878463</v>
      </c>
      <c r="T24" s="6">
        <v>446572.24539313186</v>
      </c>
      <c r="U24" s="7">
        <f>SUM(R24:T24)-K24</f>
        <v>0</v>
      </c>
      <c r="W24" s="7">
        <f>+R24+S24</f>
        <v>4176611.7536924565</v>
      </c>
    </row>
    <row r="25" spans="1:23" x14ac:dyDescent="0.25">
      <c r="A25" s="5">
        <f t="shared" si="0"/>
        <v>17</v>
      </c>
      <c r="C25" s="5" t="s">
        <v>44</v>
      </c>
      <c r="E25" s="6">
        <f>SUM(G25:P25)</f>
        <v>88529187.810786188</v>
      </c>
      <c r="F25" s="6"/>
      <c r="G25" s="6">
        <v>50591642.551539667</v>
      </c>
      <c r="H25" s="6">
        <v>10785621.46033035</v>
      </c>
      <c r="I25" s="6">
        <v>10471422.670407936</v>
      </c>
      <c r="J25" s="6">
        <v>6037942.6680638483</v>
      </c>
      <c r="K25" s="6">
        <v>4723380.2901275596</v>
      </c>
      <c r="L25" s="6">
        <v>2209638.4454706446</v>
      </c>
      <c r="M25" s="6">
        <v>1636086.0023882699</v>
      </c>
      <c r="N25" s="6">
        <v>1095827.0723898043</v>
      </c>
      <c r="O25" s="6">
        <v>946811.93777476216</v>
      </c>
      <c r="P25" s="6">
        <v>30814.712293345445</v>
      </c>
      <c r="R25" s="6">
        <v>4169751.243406354</v>
      </c>
      <c r="S25" s="6">
        <v>20535.764447636004</v>
      </c>
      <c r="T25" s="6">
        <v>533093.28227356938</v>
      </c>
      <c r="U25" s="7">
        <f>SUM(R25:T25)-K25</f>
        <v>0</v>
      </c>
      <c r="W25" s="7">
        <f>+R25+S25</f>
        <v>4190287.00785399</v>
      </c>
    </row>
    <row r="26" spans="1:23" ht="13.8" thickBot="1" x14ac:dyDescent="0.3">
      <c r="A26" s="8">
        <f t="shared" si="0"/>
        <v>18</v>
      </c>
      <c r="B26" s="8"/>
      <c r="C26" s="8" t="s">
        <v>219</v>
      </c>
      <c r="D26" s="8"/>
      <c r="E26" s="9">
        <f>SUM(E22:E25)</f>
        <v>1762043711.7176521</v>
      </c>
      <c r="F26" s="9"/>
      <c r="G26" s="9">
        <f t="shared" ref="G26:P26" si="3">SUM(G22:G25)</f>
        <v>1000360966.2249378</v>
      </c>
      <c r="H26" s="9">
        <f t="shared" si="3"/>
        <v>224852030.47870189</v>
      </c>
      <c r="I26" s="9">
        <f t="shared" si="3"/>
        <v>209862299.934717</v>
      </c>
      <c r="J26" s="9">
        <f t="shared" si="3"/>
        <v>127404963.10755894</v>
      </c>
      <c r="K26" s="9">
        <f t="shared" si="3"/>
        <v>95361197.720204636</v>
      </c>
      <c r="L26" s="9">
        <f t="shared" si="3"/>
        <v>44830595.38612844</v>
      </c>
      <c r="M26" s="9">
        <f t="shared" si="3"/>
        <v>36199274.176558174</v>
      </c>
      <c r="N26" s="9">
        <f t="shared" si="3"/>
        <v>7874281.0922811907</v>
      </c>
      <c r="O26" s="9">
        <f t="shared" si="3"/>
        <v>14696930.286201585</v>
      </c>
      <c r="P26" s="9">
        <f t="shared" si="3"/>
        <v>601173.31036239339</v>
      </c>
      <c r="R26" s="9">
        <f>SUM(R22:R25)</f>
        <v>86226919.12424168</v>
      </c>
      <c r="S26" s="9">
        <f>SUM(S22:S25)</f>
        <v>346587.33019702847</v>
      </c>
      <c r="T26" s="9">
        <f>SUM(T22:T25)</f>
        <v>8787691.2657659277</v>
      </c>
      <c r="U26" s="9">
        <f>SUM(U22:U25)</f>
        <v>0</v>
      </c>
      <c r="W26" s="9">
        <f>SUM(W22:W25)</f>
        <v>86573506.454438701</v>
      </c>
    </row>
    <row r="27" spans="1:23" ht="13.8" thickTop="1" x14ac:dyDescent="0.25">
      <c r="A27" s="5">
        <f t="shared" si="0"/>
        <v>19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R27" s="6"/>
      <c r="S27" s="6"/>
      <c r="T27" s="6"/>
      <c r="U27" s="6"/>
    </row>
    <row r="28" spans="1:23" x14ac:dyDescent="0.25">
      <c r="A28" s="5">
        <f t="shared" si="0"/>
        <v>20</v>
      </c>
      <c r="C28" s="5" t="s">
        <v>220</v>
      </c>
      <c r="E28" s="6">
        <f>SUM(G28:P28)</f>
        <v>302305321.49145293</v>
      </c>
      <c r="F28" s="6"/>
      <c r="G28" s="6">
        <f t="shared" ref="G28:P28" si="4">G19-G26</f>
        <v>121502959.06713116</v>
      </c>
      <c r="H28" s="6">
        <f t="shared" si="4"/>
        <v>57659169.781367481</v>
      </c>
      <c r="I28" s="6">
        <f t="shared" si="4"/>
        <v>53560628.377532482</v>
      </c>
      <c r="J28" s="6">
        <f t="shared" si="4"/>
        <v>30665985.777599543</v>
      </c>
      <c r="K28" s="6">
        <f t="shared" si="4"/>
        <v>21978730.131410882</v>
      </c>
      <c r="L28" s="6">
        <f>L19-L26</f>
        <v>5079406.7154230252</v>
      </c>
      <c r="M28" s="6">
        <f t="shared" si="4"/>
        <v>8731600.1109030619</v>
      </c>
      <c r="N28" s="6">
        <f t="shared" si="4"/>
        <v>517717.90265376307</v>
      </c>
      <c r="O28" s="6">
        <f>O19-O26</f>
        <v>2858503.8737059608</v>
      </c>
      <c r="P28" s="6">
        <f t="shared" si="4"/>
        <v>-249380.24627449113</v>
      </c>
      <c r="R28" s="6">
        <f>R19-R26</f>
        <v>20070562.879513159</v>
      </c>
      <c r="S28" s="6">
        <f>S19-S26</f>
        <v>-77666.62654198939</v>
      </c>
      <c r="T28" s="6">
        <f>T19-T26</f>
        <v>1985833.8784397095</v>
      </c>
      <c r="U28" s="7">
        <f>SUM(R28:T28)-K28</f>
        <v>0</v>
      </c>
      <c r="W28" s="6">
        <f>W19-W26</f>
        <v>19992896.252971187</v>
      </c>
    </row>
    <row r="29" spans="1:23" s="1" customFormat="1" ht="13.8" thickBot="1" x14ac:dyDescent="0.3">
      <c r="A29" s="8">
        <f t="shared" si="0"/>
        <v>21</v>
      </c>
      <c r="B29" s="8"/>
      <c r="C29" s="8" t="s">
        <v>221</v>
      </c>
      <c r="D29" s="8"/>
      <c r="E29" s="10">
        <f>IF(E13=0, 0, E28/E13)</f>
        <v>5.9299244645536139E-2</v>
      </c>
      <c r="F29" s="10"/>
      <c r="G29" s="10">
        <f t="shared" ref="G29:P29" si="5">IF(G13=0, 0, G28/G13)</f>
        <v>4.1705940961937686E-2</v>
      </c>
      <c r="H29" s="10">
        <f t="shared" si="5"/>
        <v>9.2835281791830648E-2</v>
      </c>
      <c r="I29" s="10">
        <f t="shared" si="5"/>
        <v>8.8823896913206635E-2</v>
      </c>
      <c r="J29" s="10">
        <f t="shared" si="5"/>
        <v>8.8197808492958857E-2</v>
      </c>
      <c r="K29" s="10">
        <f t="shared" si="5"/>
        <v>8.0805241506752529E-2</v>
      </c>
      <c r="L29" s="10">
        <f t="shared" si="5"/>
        <v>3.9919180798965087E-2</v>
      </c>
      <c r="M29" s="10">
        <f t="shared" si="5"/>
        <v>9.2678193060475075E-2</v>
      </c>
      <c r="N29" s="10">
        <f>IF(N13=0, 0, N28/N13)</f>
        <v>8.2042900686275302E-3</v>
      </c>
      <c r="O29" s="10">
        <f t="shared" si="5"/>
        <v>5.2428195373184286E-2</v>
      </c>
      <c r="P29" s="10">
        <f t="shared" si="5"/>
        <v>-0.14053800407449496</v>
      </c>
      <c r="R29" s="10">
        <f>IF(R13=0, 0, R28/R13)</f>
        <v>8.3587099381673372E-2</v>
      </c>
      <c r="S29" s="10">
        <f>IF(S13=0, 0, S28/S13)</f>
        <v>-6.5677016642314789E-2</v>
      </c>
      <c r="T29" s="10">
        <f>IF(T13=0, 0, T28/T13)</f>
        <v>6.4688868501296098E-2</v>
      </c>
      <c r="U29" s="5"/>
      <c r="W29" s="10">
        <f>IF(W13=0, 0, W28/W13)</f>
        <v>8.2855585592425132E-2</v>
      </c>
    </row>
    <row r="30" spans="1:23" ht="13.8" thickTop="1" x14ac:dyDescent="0.25">
      <c r="A30" s="5">
        <f t="shared" si="0"/>
        <v>22</v>
      </c>
    </row>
    <row r="31" spans="1:23" x14ac:dyDescent="0.25">
      <c r="A31" s="5">
        <f t="shared" si="0"/>
        <v>23</v>
      </c>
      <c r="C31" s="89" t="s">
        <v>45</v>
      </c>
      <c r="D31" s="89"/>
      <c r="E31" s="89"/>
      <c r="F31" s="89"/>
      <c r="G31" s="89"/>
      <c r="H31" s="89"/>
    </row>
    <row r="32" spans="1:23" s="11" customFormat="1" x14ac:dyDescent="0.25">
      <c r="A32" s="11">
        <f t="shared" si="0"/>
        <v>24</v>
      </c>
      <c r="C32" s="11" t="s">
        <v>46</v>
      </c>
      <c r="E32" s="12">
        <v>7.7399999999999997E-2</v>
      </c>
      <c r="F32" s="12"/>
      <c r="G32" s="12">
        <v>7.7399999999999997E-2</v>
      </c>
      <c r="H32" s="12">
        <v>7.7399999999999997E-2</v>
      </c>
      <c r="I32" s="12">
        <v>7.7399999999999997E-2</v>
      </c>
      <c r="J32" s="12">
        <v>7.7399999999999997E-2</v>
      </c>
      <c r="K32" s="12">
        <v>7.7399999999999997E-2</v>
      </c>
      <c r="L32" s="12">
        <v>7.7399999999999997E-2</v>
      </c>
      <c r="M32" s="12">
        <v>7.7399999999999997E-2</v>
      </c>
      <c r="N32" s="12">
        <v>7.7399999999999997E-2</v>
      </c>
      <c r="O32" s="12">
        <v>7.7399999999999997E-2</v>
      </c>
      <c r="P32" s="12">
        <v>7.7399999999999997E-2</v>
      </c>
      <c r="R32" s="12">
        <v>7.7399999999999997E-2</v>
      </c>
      <c r="S32" s="12">
        <v>7.7399999999999997E-2</v>
      </c>
      <c r="T32" s="12">
        <v>7.7399999999999997E-2</v>
      </c>
      <c r="U32" s="5"/>
      <c r="W32" s="12"/>
    </row>
    <row r="33" spans="1:23" x14ac:dyDescent="0.25">
      <c r="A33" s="5">
        <f t="shared" si="0"/>
        <v>25</v>
      </c>
      <c r="C33" s="5" t="s">
        <v>47</v>
      </c>
      <c r="E33" s="6">
        <f>SUM(G33:P33)</f>
        <v>394582292.2923153</v>
      </c>
      <c r="F33" s="6"/>
      <c r="G33" s="6">
        <f>G32*G13</f>
        <v>225491352.42815104</v>
      </c>
      <c r="H33" s="6">
        <f t="shared" ref="H33:P33" si="6">H32*H13</f>
        <v>48072453.219725817</v>
      </c>
      <c r="I33" s="6">
        <f t="shared" si="6"/>
        <v>46672041.877106987</v>
      </c>
      <c r="J33" s="6">
        <f t="shared" si="6"/>
        <v>26911635.78486979</v>
      </c>
      <c r="K33" s="6">
        <f t="shared" si="6"/>
        <v>21052516.896803588</v>
      </c>
      <c r="L33" s="6">
        <f t="shared" si="6"/>
        <v>9848550.7945076507</v>
      </c>
      <c r="M33" s="6">
        <f t="shared" si="6"/>
        <v>7292177.6554588415</v>
      </c>
      <c r="N33" s="6">
        <f t="shared" si="6"/>
        <v>4884196.6008284576</v>
      </c>
      <c r="O33" s="6">
        <f t="shared" si="6"/>
        <v>4220023.181229013</v>
      </c>
      <c r="P33" s="6">
        <f t="shared" si="6"/>
        <v>137343.85363416851</v>
      </c>
      <c r="R33" s="6">
        <f>R32*R13</f>
        <v>18584944.06871257</v>
      </c>
      <c r="S33" s="6">
        <f>S32*S13</f>
        <v>91529.68879644449</v>
      </c>
      <c r="T33" s="6">
        <f>T32*T13</f>
        <v>2376043.1392945745</v>
      </c>
      <c r="W33" s="6"/>
    </row>
    <row r="34" spans="1:23" x14ac:dyDescent="0.25">
      <c r="A34" s="5">
        <f t="shared" si="0"/>
        <v>26</v>
      </c>
      <c r="C34" s="5" t="s">
        <v>48</v>
      </c>
      <c r="E34" s="6">
        <f>SUM(G34:P34)</f>
        <v>92276970.800862506</v>
      </c>
      <c r="F34" s="6"/>
      <c r="G34" s="6">
        <f>G33-G28</f>
        <v>103988393.36101988</v>
      </c>
      <c r="H34" s="6">
        <f t="shared" ref="H34:P34" si="7">H33-H28</f>
        <v>-9586716.5616416633</v>
      </c>
      <c r="I34" s="6">
        <f t="shared" si="7"/>
        <v>-6888586.5004254952</v>
      </c>
      <c r="J34" s="6">
        <f t="shared" si="7"/>
        <v>-3754349.9927297533</v>
      </c>
      <c r="K34" s="6">
        <f t="shared" si="7"/>
        <v>-926213.2346072942</v>
      </c>
      <c r="L34" s="6">
        <f t="shared" si="7"/>
        <v>4769144.0790846255</v>
      </c>
      <c r="M34" s="6">
        <f t="shared" si="7"/>
        <v>-1439422.4554442205</v>
      </c>
      <c r="N34" s="6">
        <f t="shared" si="7"/>
        <v>4366478.6981746946</v>
      </c>
      <c r="O34" s="6">
        <f t="shared" si="7"/>
        <v>1361519.3075230522</v>
      </c>
      <c r="P34" s="6">
        <f t="shared" si="7"/>
        <v>386724.09990865964</v>
      </c>
      <c r="R34" s="6">
        <f>R33-R28</f>
        <v>-1485618.8108005896</v>
      </c>
      <c r="S34" s="6">
        <f>S33-S28</f>
        <v>169196.31533843389</v>
      </c>
      <c r="T34" s="6">
        <f>T33-T28</f>
        <v>390209.26085486496</v>
      </c>
      <c r="W34" s="6"/>
    </row>
    <row r="35" spans="1:23" x14ac:dyDescent="0.25">
      <c r="A35" s="5">
        <f t="shared" si="0"/>
        <v>27</v>
      </c>
      <c r="C35" s="5" t="s">
        <v>49</v>
      </c>
      <c r="E35" s="13">
        <f>+E34/E36</f>
        <v>0.61905099616839121</v>
      </c>
    </row>
    <row r="36" spans="1:23" ht="13.8" thickBot="1" x14ac:dyDescent="0.3">
      <c r="A36" s="8">
        <f t="shared" si="0"/>
        <v>28</v>
      </c>
      <c r="B36" s="8"/>
      <c r="C36" s="8" t="s">
        <v>50</v>
      </c>
      <c r="D36" s="8"/>
      <c r="E36" s="9">
        <f>SUM(G36:P36)</f>
        <v>149061985.80086249</v>
      </c>
      <c r="F36" s="9"/>
      <c r="G36" s="9">
        <f t="shared" ref="G36:P36" si="8">SUM(G34,G368:G371)</f>
        <v>136750185.66688347</v>
      </c>
      <c r="H36" s="9">
        <f t="shared" si="8"/>
        <v>-2692184.3143813191</v>
      </c>
      <c r="I36" s="9">
        <f t="shared" si="8"/>
        <v>-267249.50619724952</v>
      </c>
      <c r="J36" s="9">
        <f t="shared" si="8"/>
        <v>86365.746688727289</v>
      </c>
      <c r="K36" s="9">
        <f t="shared" si="8"/>
        <v>2052247.3068494156</v>
      </c>
      <c r="L36" s="9">
        <f t="shared" si="8"/>
        <v>6163007.0322122201</v>
      </c>
      <c r="M36" s="9">
        <f t="shared" si="8"/>
        <v>-398013.41572565073</v>
      </c>
      <c r="N36" s="9">
        <f t="shared" si="8"/>
        <v>5014206.0484914668</v>
      </c>
      <c r="O36" s="9">
        <f t="shared" si="8"/>
        <v>1947331.6782994824</v>
      </c>
      <c r="P36" s="9">
        <f t="shared" si="8"/>
        <v>406089.5577419175</v>
      </c>
      <c r="R36" s="9">
        <f>SUM(R34,R368:R371)</f>
        <v>-1485618.8108005896</v>
      </c>
      <c r="S36" s="9">
        <f>SUM(S34,S368:S371)</f>
        <v>169196.31533843389</v>
      </c>
      <c r="T36" s="9">
        <f>SUM(T34,T368:T371)</f>
        <v>390209.26085486496</v>
      </c>
      <c r="W36" s="9">
        <f>+R36+S36</f>
        <v>-1316422.4954621557</v>
      </c>
    </row>
    <row r="37" spans="1:23" ht="13.8" thickTop="1" x14ac:dyDescent="0.25">
      <c r="A37" s="5">
        <f t="shared" si="0"/>
        <v>29</v>
      </c>
    </row>
    <row r="38" spans="1:23" x14ac:dyDescent="0.25">
      <c r="A38" s="5">
        <f t="shared" si="0"/>
        <v>30</v>
      </c>
      <c r="C38" s="5" t="s">
        <v>51</v>
      </c>
      <c r="E38" s="6">
        <f>SUM(G38:P38)</f>
        <v>2213411019.0099678</v>
      </c>
      <c r="F38" s="6"/>
      <c r="G38" s="6">
        <f>G36+G19</f>
        <v>1258614110.9589524</v>
      </c>
      <c r="H38" s="6">
        <f t="shared" ref="H38:P38" si="9">H36+H19</f>
        <v>279819015.94568807</v>
      </c>
      <c r="I38" s="6">
        <f t="shared" si="9"/>
        <v>263155678.80605224</v>
      </c>
      <c r="J38" s="6">
        <f t="shared" si="9"/>
        <v>158157314.6318472</v>
      </c>
      <c r="K38" s="6">
        <f t="shared" si="9"/>
        <v>119392175.15846494</v>
      </c>
      <c r="L38" s="6">
        <f t="shared" si="9"/>
        <v>56073009.133763686</v>
      </c>
      <c r="M38" s="6">
        <f t="shared" si="9"/>
        <v>44532860.871735588</v>
      </c>
      <c r="N38" s="6">
        <f t="shared" si="9"/>
        <v>13406205.043426421</v>
      </c>
      <c r="O38" s="6">
        <f t="shared" si="9"/>
        <v>19502765.838207029</v>
      </c>
      <c r="P38" s="6">
        <f t="shared" si="9"/>
        <v>757882.62182981975</v>
      </c>
      <c r="R38" s="6">
        <f>R36+R19</f>
        <v>104811863.19295424</v>
      </c>
      <c r="S38" s="6">
        <f>S36+S19</f>
        <v>438117.01899347297</v>
      </c>
      <c r="T38" s="6">
        <f>T36+T19</f>
        <v>11163734.405060502</v>
      </c>
      <c r="W38" s="6">
        <f>+R38+S38</f>
        <v>105249980.21194771</v>
      </c>
    </row>
    <row r="39" spans="1:23" x14ac:dyDescent="0.25">
      <c r="A39" s="5">
        <f t="shared" si="0"/>
        <v>31</v>
      </c>
      <c r="C39" s="5" t="s">
        <v>52</v>
      </c>
      <c r="E39" s="6">
        <f>SUM(G39:P39)</f>
        <v>100845558.94922253</v>
      </c>
      <c r="F39" s="6"/>
      <c r="G39" s="6">
        <f>SUM(G17:G18)</f>
        <v>55236471.313917123</v>
      </c>
      <c r="H39" s="6">
        <f t="shared" ref="H39:P39" si="10">SUM(H17:H18)</f>
        <v>15566929.265537243</v>
      </c>
      <c r="I39" s="6">
        <f t="shared" si="10"/>
        <v>10500108.317430148</v>
      </c>
      <c r="J39" s="6">
        <f t="shared" si="10"/>
        <v>6236213.8882685471</v>
      </c>
      <c r="K39" s="6">
        <f t="shared" si="10"/>
        <v>5359212.8539092448</v>
      </c>
      <c r="L39" s="6">
        <f t="shared" si="10"/>
        <v>2073379.9725902327</v>
      </c>
      <c r="M39" s="6">
        <f t="shared" si="10"/>
        <v>4570782.2882879432</v>
      </c>
      <c r="N39" s="6">
        <f>SUM(N17:N18)</f>
        <v>878719.9249349609</v>
      </c>
      <c r="O39" s="6">
        <f t="shared" si="10"/>
        <v>388337.16025918309</v>
      </c>
      <c r="P39" s="6">
        <f t="shared" si="10"/>
        <v>35403.964087902234</v>
      </c>
      <c r="R39" s="6">
        <f>SUM(R17:R18)</f>
        <v>4902807.0058317333</v>
      </c>
      <c r="S39" s="6">
        <f>SUM(S17:S18)</f>
        <v>20706.703660123283</v>
      </c>
      <c r="T39" s="6">
        <f>SUM(T17:T18)</f>
        <v>435699.1444173893</v>
      </c>
      <c r="W39" s="6">
        <f>+R39+S39</f>
        <v>4923513.7094918564</v>
      </c>
    </row>
    <row r="40" spans="1:23" s="1" customFormat="1" x14ac:dyDescent="0.25">
      <c r="A40" s="14">
        <f t="shared" si="0"/>
        <v>32</v>
      </c>
      <c r="B40" s="14"/>
      <c r="C40" s="14" t="s">
        <v>53</v>
      </c>
      <c r="D40" s="14"/>
      <c r="E40" s="15">
        <f>SUM(G40:P40)</f>
        <v>2112565460.0607448</v>
      </c>
      <c r="F40" s="15"/>
      <c r="G40" s="15">
        <f>G38-G39</f>
        <v>1203377639.6450353</v>
      </c>
      <c r="H40" s="15">
        <f t="shared" ref="H40:P40" si="11">H38-H39</f>
        <v>264252086.68015084</v>
      </c>
      <c r="I40" s="15">
        <f t="shared" si="11"/>
        <v>252655570.4886221</v>
      </c>
      <c r="J40" s="15">
        <f t="shared" si="11"/>
        <v>151921100.74357864</v>
      </c>
      <c r="K40" s="15">
        <f t="shared" si="11"/>
        <v>114032962.3045557</v>
      </c>
      <c r="L40" s="15">
        <f t="shared" si="11"/>
        <v>53999629.161173455</v>
      </c>
      <c r="M40" s="15">
        <f t="shared" si="11"/>
        <v>39962078.583447643</v>
      </c>
      <c r="N40" s="15">
        <f>N38-N39</f>
        <v>12527485.11849146</v>
      </c>
      <c r="O40" s="15">
        <f t="shared" si="11"/>
        <v>19114428.677947845</v>
      </c>
      <c r="P40" s="15">
        <f t="shared" si="11"/>
        <v>722478.65774191753</v>
      </c>
      <c r="R40" s="15">
        <f>R38-R39</f>
        <v>99909056.187122509</v>
      </c>
      <c r="S40" s="15">
        <f>S38-S39</f>
        <v>417410.31533334969</v>
      </c>
      <c r="T40" s="15">
        <f>T38-T39</f>
        <v>10728035.260643113</v>
      </c>
      <c r="U40" s="5"/>
      <c r="W40" s="15">
        <f>+R40+S40</f>
        <v>100326466.50245586</v>
      </c>
    </row>
    <row r="41" spans="1:23" s="11" customFormat="1" x14ac:dyDescent="0.25">
      <c r="A41" s="11">
        <f t="shared" si="0"/>
        <v>33</v>
      </c>
      <c r="C41" s="11" t="s">
        <v>54</v>
      </c>
      <c r="E41" s="12">
        <f>IF(E16=0,0,(E40/E16)-1)</f>
        <v>7.591633412161336E-2</v>
      </c>
      <c r="F41" s="12"/>
      <c r="G41" s="12">
        <f t="shared" ref="G41:P41" si="12">IF(G16=0,0,(G40/G16)-1)</f>
        <v>0.12820801223224887</v>
      </c>
      <c r="H41" s="12">
        <f t="shared" si="12"/>
        <v>-1.0085192330036685E-2</v>
      </c>
      <c r="I41" s="12">
        <f t="shared" si="12"/>
        <v>-1.0566444981227052E-3</v>
      </c>
      <c r="J41" s="12">
        <f t="shared" si="12"/>
        <v>5.6881415632892285E-4</v>
      </c>
      <c r="K41" s="12">
        <f t="shared" si="12"/>
        <v>1.8326792313225315E-2</v>
      </c>
      <c r="L41" s="12">
        <f t="shared" si="12"/>
        <v>0.12883449453428297</v>
      </c>
      <c r="M41" s="12">
        <f t="shared" si="12"/>
        <v>-9.8615586836076075E-3</v>
      </c>
      <c r="N41" s="12">
        <f t="shared" si="12"/>
        <v>0.66737918314692268</v>
      </c>
      <c r="O41" s="12">
        <f t="shared" si="12"/>
        <v>0.11343395323853356</v>
      </c>
      <c r="P41" s="12">
        <f t="shared" si="12"/>
        <v>1.2835131100974007</v>
      </c>
      <c r="R41" s="12">
        <f>IF(R16=0,0,(R40/R16)-1)</f>
        <v>-1.4651842523594305E-2</v>
      </c>
      <c r="S41" s="12">
        <f>IF(S16=0,0,(S40/S16)-1)</f>
        <v>0.68165500472132767</v>
      </c>
      <c r="T41" s="12">
        <f>IF(T16=0,0,(T40/T16)-1)</f>
        <v>3.7745775645949164E-2</v>
      </c>
      <c r="U41" s="5"/>
      <c r="W41" s="12">
        <f>IF(W16=0,0,(W40/W16)-1)</f>
        <v>-1.2951447055869592E-2</v>
      </c>
    </row>
    <row r="42" spans="1:23" x14ac:dyDescent="0.25">
      <c r="A42" s="5">
        <f t="shared" si="0"/>
        <v>34</v>
      </c>
    </row>
    <row r="43" spans="1:23" x14ac:dyDescent="0.25">
      <c r="A43" s="5">
        <f t="shared" si="0"/>
        <v>35</v>
      </c>
      <c r="C43" s="1" t="s">
        <v>55</v>
      </c>
    </row>
    <row r="44" spans="1:23" x14ac:dyDescent="0.25">
      <c r="A44" s="5">
        <f t="shared" si="0"/>
        <v>36</v>
      </c>
      <c r="C44" s="5" t="s">
        <v>41</v>
      </c>
      <c r="E44" s="6">
        <f>SUM(G44:P44)</f>
        <v>1174517317.8006523</v>
      </c>
      <c r="F44" s="6"/>
      <c r="G44" s="6">
        <f t="shared" ref="G44:P44" si="13">+G22+G368+G369</f>
        <v>661725340.06366646</v>
      </c>
      <c r="H44" s="6">
        <f t="shared" si="13"/>
        <v>151256842.92862242</v>
      </c>
      <c r="I44" s="6">
        <f t="shared" si="13"/>
        <v>141615059.1378386</v>
      </c>
      <c r="J44" s="6">
        <f t="shared" si="13"/>
        <v>87911666.955581486</v>
      </c>
      <c r="K44" s="6">
        <f t="shared" si="13"/>
        <v>64724225.964848109</v>
      </c>
      <c r="L44" s="6">
        <f t="shared" si="13"/>
        <v>30112155.17226927</v>
      </c>
      <c r="M44" s="6">
        <f t="shared" si="13"/>
        <v>25582930.587447003</v>
      </c>
      <c r="N44" s="6">
        <f t="shared" si="13"/>
        <v>2661712.9610307482</v>
      </c>
      <c r="O44" s="6">
        <f t="shared" si="13"/>
        <v>8525400.0805755388</v>
      </c>
      <c r="P44" s="6">
        <f t="shared" si="13"/>
        <v>401983.94877287833</v>
      </c>
      <c r="R44" s="6">
        <f>+R22+R368+R369</f>
        <v>59089912.902075648</v>
      </c>
      <c r="S44" s="6">
        <f>+S22+S368+S369</f>
        <v>215355.88445301831</v>
      </c>
      <c r="T44" s="6">
        <f>+T22+T368+T369</f>
        <v>5401266.536020888</v>
      </c>
      <c r="W44" s="6"/>
    </row>
    <row r="45" spans="1:23" x14ac:dyDescent="0.25">
      <c r="A45" s="5">
        <f t="shared" si="0"/>
        <v>37</v>
      </c>
      <c r="C45" s="5" t="s">
        <v>42</v>
      </c>
      <c r="E45" s="6">
        <f>SUM(G45:P45)</f>
        <v>413783579.47458893</v>
      </c>
      <c r="F45" s="6"/>
      <c r="G45" s="6">
        <f>+G23</f>
        <v>239697662.60488823</v>
      </c>
      <c r="H45" s="6">
        <f t="shared" ref="H45:P45" si="14">+H23</f>
        <v>51969701.678236432</v>
      </c>
      <c r="I45" s="6">
        <f t="shared" si="14"/>
        <v>47643407.207451634</v>
      </c>
      <c r="J45" s="6">
        <f t="shared" si="14"/>
        <v>27369691.083581772</v>
      </c>
      <c r="K45" s="6">
        <f t="shared" si="14"/>
        <v>21308098.10844193</v>
      </c>
      <c r="L45" s="6">
        <f t="shared" si="14"/>
        <v>10338464.95418831</v>
      </c>
      <c r="M45" s="6">
        <f t="shared" si="14"/>
        <v>7263002.0153667592</v>
      </c>
      <c r="N45" s="6">
        <f t="shared" si="14"/>
        <v>3596145.0142465536</v>
      </c>
      <c r="O45" s="6">
        <f t="shared" si="14"/>
        <v>4458183.0248321053</v>
      </c>
      <c r="P45" s="6">
        <f t="shared" si="14"/>
        <v>139223.78335520191</v>
      </c>
      <c r="R45" s="6">
        <f>+R23</f>
        <v>18808140.336551096</v>
      </c>
      <c r="S45" s="6">
        <f>+S23</f>
        <v>93198.569812495683</v>
      </c>
      <c r="T45" s="6">
        <f>+T23</f>
        <v>2406759.2020783392</v>
      </c>
      <c r="W45" s="6"/>
    </row>
    <row r="46" spans="1:23" x14ac:dyDescent="0.25">
      <c r="A46" s="5">
        <f t="shared" si="0"/>
        <v>38</v>
      </c>
      <c r="C46" s="5" t="s">
        <v>43</v>
      </c>
      <c r="E46" s="6">
        <f>SUM(G46:P46)</f>
        <v>92311064.631624401</v>
      </c>
      <c r="F46" s="6"/>
      <c r="G46" s="6">
        <f t="shared" ref="G46:P46" si="15">+G24+G370</f>
        <v>52713227.996624999</v>
      </c>
      <c r="H46" s="6">
        <f t="shared" si="15"/>
        <v>11680897.128782734</v>
      </c>
      <c r="I46" s="6">
        <f t="shared" si="15"/>
        <v>10876594.478297705</v>
      </c>
      <c r="J46" s="6">
        <f t="shared" si="15"/>
        <v>6537543.9184060153</v>
      </c>
      <c r="K46" s="6">
        <f t="shared" si="15"/>
        <v>4932926.2804641025</v>
      </c>
      <c r="L46" s="6">
        <f t="shared" si="15"/>
        <v>2324025.9544138014</v>
      </c>
      <c r="M46" s="6">
        <f t="shared" si="15"/>
        <v>1840400.8018998518</v>
      </c>
      <c r="N46" s="6">
        <f t="shared" si="15"/>
        <v>553283.39078638353</v>
      </c>
      <c r="O46" s="6">
        <f t="shared" si="15"/>
        <v>820943.31397020235</v>
      </c>
      <c r="P46" s="6">
        <f t="shared" si="15"/>
        <v>31221.367978619492</v>
      </c>
      <c r="R46" s="6">
        <f t="shared" ref="R46:T47" si="16">+R24+R370</f>
        <v>4159114.6422085781</v>
      </c>
      <c r="S46" s="6">
        <f t="shared" si="16"/>
        <v>17497.111483878463</v>
      </c>
      <c r="T46" s="6">
        <f t="shared" si="16"/>
        <v>446572.24539313186</v>
      </c>
      <c r="W46" s="6"/>
    </row>
    <row r="47" spans="1:23" x14ac:dyDescent="0.25">
      <c r="A47" s="5">
        <f t="shared" si="0"/>
        <v>39</v>
      </c>
      <c r="C47" s="5" t="s">
        <v>44</v>
      </c>
      <c r="E47" s="6">
        <f>SUM(G47:P47)</f>
        <v>138216764.81078616</v>
      </c>
      <c r="F47" s="6"/>
      <c r="G47" s="6">
        <f t="shared" ref="G47:P47" si="17">+G25+G371</f>
        <v>78986527.865621701</v>
      </c>
      <c r="H47" s="6">
        <f t="shared" si="17"/>
        <v>16839120.990320645</v>
      </c>
      <c r="I47" s="6">
        <f t="shared" si="17"/>
        <v>16348576.105357306</v>
      </c>
      <c r="J47" s="6">
        <f t="shared" si="17"/>
        <v>9426776.8894081376</v>
      </c>
      <c r="K47" s="6">
        <f t="shared" si="17"/>
        <v>7374407.9079072066</v>
      </c>
      <c r="L47" s="6">
        <f t="shared" si="17"/>
        <v>3449812.2583846515</v>
      </c>
      <c r="M47" s="6">
        <f t="shared" si="17"/>
        <v>2554349.8115631323</v>
      </c>
      <c r="N47" s="6">
        <f t="shared" si="17"/>
        <v>1710867.0765342796</v>
      </c>
      <c r="O47" s="6">
        <f t="shared" si="17"/>
        <v>1478216.237600168</v>
      </c>
      <c r="P47" s="6">
        <f t="shared" si="17"/>
        <v>48109.668088951439</v>
      </c>
      <c r="R47" s="6">
        <f t="shared" si="16"/>
        <v>4169751.243406354</v>
      </c>
      <c r="S47" s="6">
        <f t="shared" si="16"/>
        <v>20535.764447636004</v>
      </c>
      <c r="T47" s="6">
        <f t="shared" si="16"/>
        <v>533093.28227356938</v>
      </c>
      <c r="W47" s="6"/>
    </row>
    <row r="48" spans="1:23" ht="13.8" thickBot="1" x14ac:dyDescent="0.3">
      <c r="A48" s="8">
        <f t="shared" si="0"/>
        <v>40</v>
      </c>
      <c r="B48" s="8"/>
      <c r="C48" s="8" t="s">
        <v>56</v>
      </c>
      <c r="D48" s="8"/>
      <c r="E48" s="9">
        <f>SUM(E44:E47)</f>
        <v>1818828726.7176518</v>
      </c>
      <c r="F48" s="9"/>
      <c r="G48" s="9">
        <f t="shared" ref="G48:P48" si="18">SUM(G44:G47)</f>
        <v>1033122758.5308013</v>
      </c>
      <c r="H48" s="9">
        <f t="shared" si="18"/>
        <v>231746562.72596225</v>
      </c>
      <c r="I48" s="9">
        <f t="shared" si="18"/>
        <v>216483636.92894527</v>
      </c>
      <c r="J48" s="9">
        <f t="shared" si="18"/>
        <v>131245678.84697741</v>
      </c>
      <c r="K48" s="9">
        <f t="shared" si="18"/>
        <v>98339658.261661336</v>
      </c>
      <c r="L48" s="9">
        <f t="shared" si="18"/>
        <v>46224458.339256033</v>
      </c>
      <c r="M48" s="9">
        <f t="shared" si="18"/>
        <v>37240683.21627675</v>
      </c>
      <c r="N48" s="9">
        <f t="shared" si="18"/>
        <v>8522008.4425979648</v>
      </c>
      <c r="O48" s="9">
        <f t="shared" si="18"/>
        <v>15282742.656978015</v>
      </c>
      <c r="P48" s="9">
        <f t="shared" si="18"/>
        <v>620538.76819565124</v>
      </c>
      <c r="R48" s="9">
        <f>SUM(R44:R47)</f>
        <v>86226919.12424168</v>
      </c>
      <c r="S48" s="9">
        <f>SUM(S44:S47)</f>
        <v>346587.33019702847</v>
      </c>
      <c r="T48" s="9">
        <f>SUM(T44:T47)</f>
        <v>8787691.2657659277</v>
      </c>
      <c r="W48" s="9"/>
    </row>
    <row r="49" spans="1:23" ht="13.8" thickTop="1" x14ac:dyDescent="0.25">
      <c r="A49" s="5">
        <f t="shared" si="0"/>
        <v>41</v>
      </c>
    </row>
    <row r="50" spans="1:23" x14ac:dyDescent="0.25">
      <c r="A50" s="5">
        <f t="shared" si="0"/>
        <v>42</v>
      </c>
      <c r="C50" s="5" t="s">
        <v>57</v>
      </c>
      <c r="E50" s="6">
        <f>SUM(G50:P50)</f>
        <v>2112565460.2002203</v>
      </c>
      <c r="F50" s="6"/>
      <c r="G50" s="6">
        <f t="shared" ref="G50:P50" si="19">+G16+G374</f>
        <v>1155396767.5863523</v>
      </c>
      <c r="H50" s="6">
        <f t="shared" si="19"/>
        <v>283606446.9368912</v>
      </c>
      <c r="I50" s="6">
        <f t="shared" si="19"/>
        <v>268709813.87247372</v>
      </c>
      <c r="J50" s="6">
        <f t="shared" si="19"/>
        <v>161311993.15601271</v>
      </c>
      <c r="K50" s="6">
        <f t="shared" si="19"/>
        <v>119185444.47748756</v>
      </c>
      <c r="L50" s="6">
        <f t="shared" si="19"/>
        <v>54188404.999420144</v>
      </c>
      <c r="M50" s="6">
        <f t="shared" si="19"/>
        <v>42879297.977316439</v>
      </c>
      <c r="N50" s="6">
        <f t="shared" si="19"/>
        <v>7968995.0103379935</v>
      </c>
      <c r="O50" s="6">
        <f t="shared" si="19"/>
        <v>18595817.083928432</v>
      </c>
      <c r="P50" s="6">
        <f t="shared" si="19"/>
        <v>722479.10000000009</v>
      </c>
      <c r="R50" s="6">
        <f>+R16+R374</f>
        <v>101394674.99792311</v>
      </c>
      <c r="S50" s="6">
        <f>+S16+S374</f>
        <v>248213.99999491576</v>
      </c>
      <c r="T50" s="6">
        <f>+T16+T374</f>
        <v>10337825.999788247</v>
      </c>
      <c r="W50" s="6"/>
    </row>
    <row r="51" spans="1:23" x14ac:dyDescent="0.25">
      <c r="A51" s="5">
        <f t="shared" si="0"/>
        <v>43</v>
      </c>
      <c r="C51" s="5" t="s">
        <v>58</v>
      </c>
      <c r="E51" s="6">
        <f>SUM(G51:P51)</f>
        <v>100845558.94922253</v>
      </c>
      <c r="F51" s="6"/>
      <c r="G51" s="6">
        <f>+G39</f>
        <v>55236471.313917123</v>
      </c>
      <c r="H51" s="6">
        <f t="shared" ref="H51:P51" si="20">+H39</f>
        <v>15566929.265537243</v>
      </c>
      <c r="I51" s="6">
        <f t="shared" si="20"/>
        <v>10500108.317430148</v>
      </c>
      <c r="J51" s="6">
        <f t="shared" si="20"/>
        <v>6236213.8882685471</v>
      </c>
      <c r="K51" s="6">
        <f t="shared" si="20"/>
        <v>5359212.8539092448</v>
      </c>
      <c r="L51" s="6">
        <f t="shared" si="20"/>
        <v>2073379.9725902327</v>
      </c>
      <c r="M51" s="6">
        <f t="shared" si="20"/>
        <v>4570782.2882879432</v>
      </c>
      <c r="N51" s="6">
        <f t="shared" si="20"/>
        <v>878719.9249349609</v>
      </c>
      <c r="O51" s="6">
        <f t="shared" si="20"/>
        <v>388337.16025918309</v>
      </c>
      <c r="P51" s="6">
        <f t="shared" si="20"/>
        <v>35403.964087902234</v>
      </c>
      <c r="R51" s="6">
        <f>+R39</f>
        <v>4902807.0058317333</v>
      </c>
      <c r="S51" s="6">
        <f>+S39</f>
        <v>20706.703660123283</v>
      </c>
      <c r="T51" s="6">
        <f>+T39</f>
        <v>435699.1444173893</v>
      </c>
      <c r="W51" s="6"/>
    </row>
    <row r="52" spans="1:23" x14ac:dyDescent="0.25">
      <c r="A52" s="16">
        <f t="shared" si="0"/>
        <v>44</v>
      </c>
      <c r="B52" s="16"/>
      <c r="C52" s="16" t="s">
        <v>59</v>
      </c>
      <c r="D52" s="16"/>
      <c r="E52" s="17">
        <f>SUM(E50:E51)</f>
        <v>2213411019.1494427</v>
      </c>
      <c r="F52" s="17"/>
      <c r="G52" s="17">
        <f t="shared" ref="G52:P52" si="21">SUM(G50:G51)</f>
        <v>1210633238.9002695</v>
      </c>
      <c r="H52" s="17">
        <f t="shared" si="21"/>
        <v>299173376.20242846</v>
      </c>
      <c r="I52" s="17">
        <f t="shared" si="21"/>
        <v>279209922.18990386</v>
      </c>
      <c r="J52" s="17">
        <f t="shared" si="21"/>
        <v>167548207.04428127</v>
      </c>
      <c r="K52" s="17">
        <f t="shared" si="21"/>
        <v>124544657.3313968</v>
      </c>
      <c r="L52" s="17">
        <f t="shared" si="21"/>
        <v>56261784.972010374</v>
      </c>
      <c r="M52" s="17">
        <f t="shared" si="21"/>
        <v>47450080.265604384</v>
      </c>
      <c r="N52" s="17">
        <f t="shared" si="21"/>
        <v>8847714.9352729544</v>
      </c>
      <c r="O52" s="17">
        <f t="shared" si="21"/>
        <v>18984154.244187616</v>
      </c>
      <c r="P52" s="17">
        <f t="shared" si="21"/>
        <v>757883.06408790231</v>
      </c>
      <c r="R52" s="17">
        <f>SUM(R50:R51)</f>
        <v>106297482.00375484</v>
      </c>
      <c r="S52" s="17">
        <f>SUM(S50:S51)</f>
        <v>268920.70365503908</v>
      </c>
      <c r="T52" s="17">
        <f>SUM(T50:T51)</f>
        <v>10773525.144205637</v>
      </c>
      <c r="W52" s="17"/>
    </row>
    <row r="53" spans="1:23" x14ac:dyDescent="0.25">
      <c r="A53" s="16">
        <f t="shared" si="0"/>
        <v>45</v>
      </c>
      <c r="B53" s="16"/>
      <c r="C53" s="16" t="s">
        <v>60</v>
      </c>
      <c r="D53" s="16"/>
      <c r="E53" s="17">
        <f>SUM(G53:P53)</f>
        <v>149061985.94033825</v>
      </c>
      <c r="F53" s="17"/>
      <c r="G53" s="17">
        <f>+G52-G19</f>
        <v>88769313.60820055</v>
      </c>
      <c r="H53" s="17">
        <f t="shared" ref="H53:P53" si="22">+H52-H19</f>
        <v>16662175.94235909</v>
      </c>
      <c r="I53" s="17">
        <f t="shared" si="22"/>
        <v>15786993.877654374</v>
      </c>
      <c r="J53" s="17">
        <f t="shared" si="22"/>
        <v>9477258.1591227949</v>
      </c>
      <c r="K53" s="17">
        <f t="shared" si="22"/>
        <v>7204729.4797812849</v>
      </c>
      <c r="L53" s="17">
        <f t="shared" si="22"/>
        <v>6351782.8704589084</v>
      </c>
      <c r="M53" s="17">
        <f t="shared" si="22"/>
        <v>2519205.9781431481</v>
      </c>
      <c r="N53" s="17">
        <f t="shared" si="22"/>
        <v>455715.94033800066</v>
      </c>
      <c r="O53" s="17">
        <f t="shared" si="22"/>
        <v>1428720.0842800699</v>
      </c>
      <c r="P53" s="17">
        <f t="shared" si="22"/>
        <v>406090.00000000006</v>
      </c>
      <c r="R53" s="17">
        <f>+R52-R19</f>
        <v>0</v>
      </c>
      <c r="S53" s="17">
        <f>+S52-S19</f>
        <v>0</v>
      </c>
      <c r="T53" s="17">
        <f>+T52-T19</f>
        <v>0</v>
      </c>
      <c r="W53" s="17"/>
    </row>
    <row r="54" spans="1:23" ht="13.8" thickBot="1" x14ac:dyDescent="0.3">
      <c r="A54" s="18">
        <f t="shared" si="0"/>
        <v>46</v>
      </c>
      <c r="B54" s="18"/>
      <c r="C54" s="19" t="s">
        <v>61</v>
      </c>
      <c r="D54" s="18"/>
      <c r="E54" s="20">
        <f>SUM(G54:P54)</f>
        <v>0.13947574305348098</v>
      </c>
      <c r="F54" s="20"/>
      <c r="G54" s="20">
        <f>+G53-G36</f>
        <v>-47980872.058682919</v>
      </c>
      <c r="H54" s="20">
        <f t="shared" ref="H54:P54" si="23">+H53-H36</f>
        <v>19354360.25674041</v>
      </c>
      <c r="I54" s="20">
        <f t="shared" si="23"/>
        <v>16054243.383851623</v>
      </c>
      <c r="J54" s="20">
        <f t="shared" si="23"/>
        <v>9390892.4124340676</v>
      </c>
      <c r="K54" s="20">
        <f t="shared" si="23"/>
        <v>5152482.1729318695</v>
      </c>
      <c r="L54" s="20">
        <f t="shared" si="23"/>
        <v>188775.83824668825</v>
      </c>
      <c r="M54" s="20">
        <f t="shared" si="23"/>
        <v>2917219.3938687989</v>
      </c>
      <c r="N54" s="20">
        <f t="shared" si="23"/>
        <v>-4558490.1081534661</v>
      </c>
      <c r="O54" s="20">
        <f t="shared" si="23"/>
        <v>-518611.59401941253</v>
      </c>
      <c r="P54" s="20">
        <f t="shared" si="23"/>
        <v>0.44225808256305754</v>
      </c>
      <c r="R54" s="20">
        <f>+R53-R36</f>
        <v>1485618.8108005896</v>
      </c>
      <c r="S54" s="20">
        <f>+S53-S36</f>
        <v>-169196.31533843389</v>
      </c>
      <c r="T54" s="20">
        <f>+T53-T36</f>
        <v>-390209.26085486496</v>
      </c>
      <c r="W54" s="20"/>
    </row>
    <row r="55" spans="1:23" ht="13.8" thickTop="1" x14ac:dyDescent="0.25">
      <c r="A55" s="5">
        <f t="shared" si="0"/>
        <v>47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R55" s="6"/>
      <c r="S55" s="6"/>
      <c r="T55" s="6"/>
      <c r="W55" s="6"/>
    </row>
    <row r="56" spans="1:23" s="1" customFormat="1" x14ac:dyDescent="0.25">
      <c r="A56" s="14">
        <f t="shared" si="0"/>
        <v>48</v>
      </c>
      <c r="B56" s="14"/>
      <c r="C56" s="14" t="s">
        <v>62</v>
      </c>
      <c r="D56" s="14"/>
      <c r="E56" s="21">
        <f>+E16/E40</f>
        <v>0.92944029966457187</v>
      </c>
      <c r="F56" s="21"/>
      <c r="G56" s="21">
        <f>+G16/G40</f>
        <v>0.88636137056093123</v>
      </c>
      <c r="H56" s="21">
        <f t="shared" ref="H56:O56" si="24">+H16/H40</f>
        <v>1.0101879396609643</v>
      </c>
      <c r="I56" s="21">
        <f t="shared" si="24"/>
        <v>1.0010577621767072</v>
      </c>
      <c r="J56" s="21">
        <f t="shared" si="24"/>
        <v>0.99943150920928048</v>
      </c>
      <c r="K56" s="21">
        <f t="shared" si="24"/>
        <v>0.98200303433871727</v>
      </c>
      <c r="L56" s="21">
        <f t="shared" si="24"/>
        <v>0.88586945636575753</v>
      </c>
      <c r="M56" s="21">
        <f t="shared" si="24"/>
        <v>1.009959777615034</v>
      </c>
      <c r="N56" s="21">
        <f t="shared" si="24"/>
        <v>0.59974360367907031</v>
      </c>
      <c r="O56" s="21">
        <f t="shared" si="24"/>
        <v>0.89812242306011991</v>
      </c>
      <c r="P56" s="21">
        <f>+P16/P40</f>
        <v>0.43792172489754011</v>
      </c>
      <c r="R56" s="21">
        <f>+R16/R40</f>
        <v>1.0148697111903264</v>
      </c>
      <c r="S56" s="21">
        <f>+S16/S40</f>
        <v>0.59465229026908117</v>
      </c>
      <c r="T56" s="21">
        <f>+T16/T40</f>
        <v>0.96362714594289334</v>
      </c>
      <c r="U56" s="5"/>
      <c r="W56" s="21">
        <f>+W16/W40</f>
        <v>1.0131213880180854</v>
      </c>
    </row>
    <row r="57" spans="1:23" s="1" customFormat="1" x14ac:dyDescent="0.25">
      <c r="A57" s="14">
        <f t="shared" si="0"/>
        <v>49</v>
      </c>
      <c r="B57" s="14"/>
      <c r="C57" s="14" t="s">
        <v>63</v>
      </c>
      <c r="D57" s="14"/>
      <c r="E57" s="21">
        <f>+E56/$E$56</f>
        <v>1</v>
      </c>
      <c r="F57" s="21"/>
      <c r="G57" s="21">
        <f>+G56/$E$56</f>
        <v>0.95365067652092605</v>
      </c>
      <c r="H57" s="21">
        <f t="shared" ref="H57:O57" si="25">+H56/$E$56</f>
        <v>1.0868777048138902</v>
      </c>
      <c r="I57" s="21">
        <f t="shared" si="25"/>
        <v>1.0770543977251488</v>
      </c>
      <c r="J57" s="21">
        <f t="shared" si="25"/>
        <v>1.0753046855940807</v>
      </c>
      <c r="K57" s="21">
        <f t="shared" si="25"/>
        <v>1.0565531048020136</v>
      </c>
      <c r="L57" s="21">
        <f t="shared" si="25"/>
        <v>0.95312141800335237</v>
      </c>
      <c r="M57" s="21">
        <f t="shared" si="25"/>
        <v>1.0866322215418474</v>
      </c>
      <c r="N57" s="21">
        <f t="shared" si="25"/>
        <v>0.64527393948327116</v>
      </c>
      <c r="O57" s="21">
        <f t="shared" si="25"/>
        <v>0.96630458501126504</v>
      </c>
      <c r="P57" s="21">
        <f>+P56/$E$56</f>
        <v>0.47116713688397505</v>
      </c>
      <c r="R57" s="21">
        <f>+R56/$E$56</f>
        <v>1.0919148992749566</v>
      </c>
      <c r="S57" s="21">
        <f>+S56/$E$56</f>
        <v>0.63979611222333144</v>
      </c>
      <c r="T57" s="21">
        <f>+T56/$E$56</f>
        <v>1.0367821863229507</v>
      </c>
      <c r="U57" s="5"/>
      <c r="W57" s="21">
        <f>+W56/$E$56</f>
        <v>1.0900338498166191</v>
      </c>
    </row>
    <row r="58" spans="1:23" s="1" customFormat="1" ht="13.8" thickBot="1" x14ac:dyDescent="0.3">
      <c r="A58" s="8">
        <f t="shared" si="0"/>
        <v>50</v>
      </c>
      <c r="B58" s="8"/>
      <c r="C58" s="8" t="s">
        <v>64</v>
      </c>
      <c r="D58" s="8"/>
      <c r="E58" s="22">
        <f>+E52/E38</f>
        <v>1.0000000000630136</v>
      </c>
      <c r="F58" s="22"/>
      <c r="G58" s="22">
        <f>+G52/G38</f>
        <v>0.96187801198087175</v>
      </c>
      <c r="H58" s="22">
        <f t="shared" ref="H58:P58" si="26">+H52/H38</f>
        <v>1.069167423062116</v>
      </c>
      <c r="I58" s="22">
        <f t="shared" si="26"/>
        <v>1.0610066385672936</v>
      </c>
      <c r="J58" s="22">
        <f t="shared" si="26"/>
        <v>1.0593769085817741</v>
      </c>
      <c r="K58" s="22">
        <f t="shared" si="26"/>
        <v>1.0431559452375598</v>
      </c>
      <c r="L58" s="22">
        <f t="shared" si="26"/>
        <v>1.0033666079485115</v>
      </c>
      <c r="M58" s="22">
        <f t="shared" si="26"/>
        <v>1.0655071184910179</v>
      </c>
      <c r="N58" s="22">
        <f>+N52/N38</f>
        <v>0.65997162557284106</v>
      </c>
      <c r="O58" s="22">
        <f t="shared" si="26"/>
        <v>0.97340830534900735</v>
      </c>
      <c r="P58" s="22">
        <f t="shared" si="26"/>
        <v>1.000000583544298</v>
      </c>
      <c r="R58" s="22">
        <f>+R52/R38</f>
        <v>1.0141741475205497</v>
      </c>
      <c r="S58" s="22">
        <f>+S52/S38</f>
        <v>0.61381021963688065</v>
      </c>
      <c r="T58" s="22">
        <f>+T52/T38</f>
        <v>0.96504670868217868</v>
      </c>
      <c r="U58" s="5"/>
      <c r="W58" s="22">
        <f>+W52/W38</f>
        <v>0</v>
      </c>
    </row>
    <row r="59" spans="1:23" ht="13.8" thickTop="1" x14ac:dyDescent="0.25"/>
    <row r="60" spans="1:23" x14ac:dyDescent="0.25">
      <c r="A60" s="88" t="str">
        <f>A1</f>
        <v>Puget Sound Energy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</row>
    <row r="61" spans="1:23" x14ac:dyDescent="0.25">
      <c r="A61" s="88" t="str">
        <f>A2</f>
        <v>ELECTRIC COST OF SERVICE SUMMARY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</row>
    <row r="62" spans="1:23" x14ac:dyDescent="0.25">
      <c r="A62" s="88" t="s">
        <v>210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</row>
    <row r="63" spans="1:23" x14ac:dyDescent="0.25">
      <c r="A63" s="88" t="s">
        <v>65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</row>
    <row r="65" spans="1:23" s="4" customFormat="1" ht="49.5" customHeight="1" x14ac:dyDescent="0.25">
      <c r="A65" s="2"/>
      <c r="B65" s="2"/>
      <c r="C65" s="2"/>
      <c r="D65" s="2"/>
      <c r="E65" s="2" t="s">
        <v>66</v>
      </c>
      <c r="F65" s="2"/>
      <c r="G65" s="2" t="str">
        <f>+G6</f>
        <v>Residential
Sch 7</v>
      </c>
      <c r="H65" s="2" t="str">
        <f t="shared" ref="H65:P65" si="27">+H6</f>
        <v>Sec Volt
Sch 24
(kW&lt; 50)</v>
      </c>
      <c r="I65" s="2" t="str">
        <f t="shared" si="27"/>
        <v>Sec Volt
Sch 25
(kW &gt; 50 &amp; &lt; 350)</v>
      </c>
      <c r="J65" s="2" t="str">
        <f t="shared" si="27"/>
        <v>Sec Volt
Sch 26
(kW &gt; 350)</v>
      </c>
      <c r="K65" s="2" t="str">
        <f t="shared" si="27"/>
        <v>Pri Volt
Sch 31/35/43</v>
      </c>
      <c r="L65" s="2" t="str">
        <f t="shared" si="27"/>
        <v>Campus
Sch 40</v>
      </c>
      <c r="M65" s="2" t="str">
        <f t="shared" si="27"/>
        <v>High Volt
Sch 46/49</v>
      </c>
      <c r="N65" s="2" t="str">
        <f t="shared" si="27"/>
        <v>Choice /
Retail Wheeling
Sch 448/449</v>
      </c>
      <c r="O65" s="2" t="str">
        <f t="shared" si="27"/>
        <v>Lighting
Sch 50-59</v>
      </c>
      <c r="P65" s="3" t="str">
        <f t="shared" si="27"/>
        <v>Firm Resale</v>
      </c>
      <c r="R65" s="2" t="s">
        <v>15</v>
      </c>
      <c r="S65" s="2" t="s">
        <v>16</v>
      </c>
      <c r="T65" s="2" t="s">
        <v>17</v>
      </c>
      <c r="U65" s="2" t="s">
        <v>18</v>
      </c>
      <c r="W65" s="2"/>
    </row>
    <row r="66" spans="1:23" s="4" customFormat="1" x14ac:dyDescent="0.25">
      <c r="C66" s="4" t="s">
        <v>20</v>
      </c>
      <c r="E66" s="4" t="s">
        <v>21</v>
      </c>
      <c r="G66" s="4" t="s">
        <v>22</v>
      </c>
      <c r="H66" s="4" t="s">
        <v>23</v>
      </c>
      <c r="I66" s="4" t="s">
        <v>24</v>
      </c>
      <c r="J66" s="4" t="s">
        <v>25</v>
      </c>
      <c r="K66" s="4" t="s">
        <v>26</v>
      </c>
      <c r="L66" s="4" t="s">
        <v>27</v>
      </c>
      <c r="M66" s="4" t="s">
        <v>28</v>
      </c>
      <c r="N66" s="4" t="s">
        <v>29</v>
      </c>
      <c r="O66" s="4" t="s">
        <v>30</v>
      </c>
      <c r="P66" s="4" t="s">
        <v>31</v>
      </c>
      <c r="R66" s="4" t="s">
        <v>26</v>
      </c>
      <c r="W66" s="87"/>
    </row>
    <row r="68" spans="1:23" x14ac:dyDescent="0.25">
      <c r="A68" s="23">
        <v>1</v>
      </c>
      <c r="C68" s="1" t="s">
        <v>211</v>
      </c>
    </row>
    <row r="69" spans="1:23" x14ac:dyDescent="0.25">
      <c r="A69" s="23">
        <f t="shared" ref="A69:A83" si="28">+A68+1</f>
        <v>2</v>
      </c>
      <c r="B69" s="5" t="str">
        <f>IF(OR((C68="~"),(C69="~")),"~","")</f>
        <v/>
      </c>
      <c r="C69" s="5" t="s">
        <v>209</v>
      </c>
      <c r="E69" s="6">
        <f t="shared" ref="E69:E71" si="29">SUM(G69:P69)</f>
        <v>575937930.28124881</v>
      </c>
      <c r="F69" s="6"/>
      <c r="G69" s="6">
        <v>350934861.17234683</v>
      </c>
      <c r="H69" s="6">
        <v>70690369.359818339</v>
      </c>
      <c r="I69" s="6">
        <v>65909885.900170356</v>
      </c>
      <c r="J69" s="6">
        <v>37431934.223375306</v>
      </c>
      <c r="K69" s="6">
        <v>25652817.04658404</v>
      </c>
      <c r="L69" s="6">
        <v>13266070.104220878</v>
      </c>
      <c r="M69" s="6">
        <v>9816006.8202376496</v>
      </c>
      <c r="N69" s="6">
        <v>0</v>
      </c>
      <c r="O69" s="6">
        <v>2012360.5695456429</v>
      </c>
      <c r="P69" s="6">
        <v>223625.08494985764</v>
      </c>
      <c r="R69" s="6">
        <v>25652226.454013612</v>
      </c>
      <c r="S69" s="6">
        <v>590.59257042666729</v>
      </c>
      <c r="T69" s="6">
        <v>0</v>
      </c>
      <c r="U69" s="6">
        <f t="shared" ref="U69:U71" si="30">SUM(R69:T69,-K69)</f>
        <v>0</v>
      </c>
      <c r="W69" s="6"/>
    </row>
    <row r="70" spans="1:23" x14ac:dyDescent="0.25">
      <c r="A70" s="23">
        <f t="shared" si="28"/>
        <v>3</v>
      </c>
      <c r="B70" s="5" t="str">
        <f>IF(OR((C68="~"),(C70="~")),"~","")</f>
        <v/>
      </c>
      <c r="C70" s="5" t="s">
        <v>212</v>
      </c>
      <c r="E70" s="6">
        <f t="shared" si="29"/>
        <v>1727813790.8437476</v>
      </c>
      <c r="F70" s="6"/>
      <c r="G70" s="6">
        <v>879919768.967098</v>
      </c>
      <c r="H70" s="6">
        <v>231056489.62487572</v>
      </c>
      <c r="I70" s="6">
        <v>237895631.16654468</v>
      </c>
      <c r="J70" s="6">
        <v>156942446.74563214</v>
      </c>
      <c r="K70" s="6">
        <v>112486671.65561765</v>
      </c>
      <c r="L70" s="6">
        <v>53628675.594138809</v>
      </c>
      <c r="M70" s="6">
        <v>49010428.084830888</v>
      </c>
      <c r="N70" s="6">
        <v>0</v>
      </c>
      <c r="O70" s="6">
        <v>6313971.0114949495</v>
      </c>
      <c r="P70" s="6">
        <v>559707.99351464235</v>
      </c>
      <c r="R70" s="6">
        <v>102452535.78009577</v>
      </c>
      <c r="S70" s="6">
        <v>355800.05242238386</v>
      </c>
      <c r="T70" s="6">
        <v>9678335.8230994903</v>
      </c>
      <c r="U70" s="6">
        <f t="shared" si="30"/>
        <v>0</v>
      </c>
      <c r="W70" s="6"/>
    </row>
    <row r="71" spans="1:23" x14ac:dyDescent="0.25">
      <c r="A71" s="23">
        <f t="shared" si="28"/>
        <v>4</v>
      </c>
      <c r="B71" s="5" t="str">
        <f>IF(OR((C68="~"),(C71="~")),"~","")</f>
        <v/>
      </c>
      <c r="C71" s="5" t="s">
        <v>213</v>
      </c>
      <c r="E71" s="6">
        <f t="shared" si="29"/>
        <v>0</v>
      </c>
      <c r="F71" s="6"/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R71" s="6">
        <v>0</v>
      </c>
      <c r="S71" s="6">
        <v>0</v>
      </c>
      <c r="T71" s="6">
        <v>0</v>
      </c>
      <c r="U71" s="6">
        <f t="shared" si="30"/>
        <v>0</v>
      </c>
      <c r="W71" s="6"/>
    </row>
    <row r="72" spans="1:23" x14ac:dyDescent="0.25">
      <c r="A72" s="24">
        <f>+A71+1</f>
        <v>5</v>
      </c>
      <c r="B72" s="14" t="str">
        <f>IF(OR((C68="~"),(C72="~")),"~","")</f>
        <v/>
      </c>
      <c r="C72" s="14" t="str">
        <f>IF(C68="~","~","Sub-total")</f>
        <v>Sub-total</v>
      </c>
      <c r="D72" s="14"/>
      <c r="E72" s="15">
        <f>SUM(E69:E71)</f>
        <v>2303751721.1249962</v>
      </c>
      <c r="F72" s="15"/>
      <c r="G72" s="15">
        <f t="shared" ref="G72:P72" si="31">SUM(G69:G71)</f>
        <v>1230854630.1394448</v>
      </c>
      <c r="H72" s="15">
        <f t="shared" si="31"/>
        <v>301746858.98469406</v>
      </c>
      <c r="I72" s="15">
        <f t="shared" si="31"/>
        <v>303805517.066715</v>
      </c>
      <c r="J72" s="15">
        <f t="shared" si="31"/>
        <v>194374380.96900743</v>
      </c>
      <c r="K72" s="15">
        <f t="shared" si="31"/>
        <v>138139488.70220169</v>
      </c>
      <c r="L72" s="15">
        <f t="shared" si="31"/>
        <v>66894745.698359683</v>
      </c>
      <c r="M72" s="15">
        <f t="shared" si="31"/>
        <v>58826434.905068539</v>
      </c>
      <c r="N72" s="15">
        <f t="shared" si="31"/>
        <v>0</v>
      </c>
      <c r="O72" s="15">
        <f t="shared" si="31"/>
        <v>8326331.5810405929</v>
      </c>
      <c r="P72" s="15">
        <f t="shared" si="31"/>
        <v>783333.07846450002</v>
      </c>
      <c r="R72" s="15">
        <f>SUM(R69:R71)</f>
        <v>128104762.23410939</v>
      </c>
      <c r="S72" s="15">
        <f>SUM(S69:S71)</f>
        <v>356390.6449928105</v>
      </c>
      <c r="T72" s="15">
        <f>SUM(T69:T71)</f>
        <v>9678335.8230994903</v>
      </c>
      <c r="U72" s="15">
        <f>SUM(U69:U71)</f>
        <v>0</v>
      </c>
      <c r="W72" s="15"/>
    </row>
    <row r="73" spans="1:23" x14ac:dyDescent="0.25">
      <c r="A73" s="23">
        <f t="shared" si="28"/>
        <v>6</v>
      </c>
      <c r="B73" s="5" t="str">
        <f>IF(OR((C68="~"),(C73="~")),"~","")</f>
        <v/>
      </c>
    </row>
    <row r="74" spans="1:23" x14ac:dyDescent="0.25">
      <c r="A74" s="23">
        <f t="shared" si="28"/>
        <v>7</v>
      </c>
      <c r="C74" s="1" t="s">
        <v>215</v>
      </c>
    </row>
    <row r="75" spans="1:23" x14ac:dyDescent="0.25">
      <c r="A75" s="23">
        <f t="shared" si="28"/>
        <v>8</v>
      </c>
      <c r="B75" s="5" t="str">
        <f>IF(OR((C74="~"),(C75="~")),"~","")</f>
        <v/>
      </c>
      <c r="C75" s="5" t="s">
        <v>209</v>
      </c>
      <c r="E75" s="6">
        <f t="shared" ref="E75:E77" si="32">SUM(G75:P75)</f>
        <v>212420865.97660729</v>
      </c>
      <c r="F75" s="6"/>
      <c r="G75" s="6">
        <v>122762257.41249268</v>
      </c>
      <c r="H75" s="6">
        <v>24728547.317709535</v>
      </c>
      <c r="I75" s="6">
        <v>23056262.782998528</v>
      </c>
      <c r="J75" s="6">
        <v>13094249.825242473</v>
      </c>
      <c r="K75" s="6">
        <v>8973738.656535849</v>
      </c>
      <c r="L75" s="6">
        <v>4640669.5178303542</v>
      </c>
      <c r="M75" s="6">
        <v>3433785.8370730407</v>
      </c>
      <c r="N75" s="6">
        <v>10949173.439108411</v>
      </c>
      <c r="O75" s="6">
        <v>703953.79193743994</v>
      </c>
      <c r="P75" s="6">
        <v>78227.395679059438</v>
      </c>
      <c r="R75" s="6">
        <v>8973532.0584312472</v>
      </c>
      <c r="S75" s="6">
        <v>206.59810460100664</v>
      </c>
      <c r="T75" s="6">
        <v>0</v>
      </c>
      <c r="U75" s="6">
        <f t="shared" ref="U75:U77" si="33">SUM(R75:T75,-K75)</f>
        <v>0</v>
      </c>
      <c r="W75" s="6"/>
    </row>
    <row r="76" spans="1:23" x14ac:dyDescent="0.25">
      <c r="A76" s="23">
        <f t="shared" si="28"/>
        <v>9</v>
      </c>
      <c r="B76" s="5" t="str">
        <f>IF(OR((C74="~"),(C76="~")),"~","")</f>
        <v/>
      </c>
      <c r="C76" s="5" t="s">
        <v>212</v>
      </c>
      <c r="E76" s="6">
        <f t="shared" si="32"/>
        <v>636733908.81012177</v>
      </c>
      <c r="F76" s="6"/>
      <c r="G76" s="6">
        <v>299482259.39748108</v>
      </c>
      <c r="H76" s="6">
        <v>78640487.4645973</v>
      </c>
      <c r="I76" s="6">
        <v>80968201.460206807</v>
      </c>
      <c r="J76" s="6">
        <v>53415641.066825777</v>
      </c>
      <c r="K76" s="6">
        <v>38285038.895161606</v>
      </c>
      <c r="L76" s="6">
        <v>18252615.183632486</v>
      </c>
      <c r="M76" s="6">
        <v>16680786.424553838</v>
      </c>
      <c r="N76" s="6">
        <v>48669410.034937657</v>
      </c>
      <c r="O76" s="6">
        <v>2148971.2709971084</v>
      </c>
      <c r="P76" s="6">
        <v>190497.61172812511</v>
      </c>
      <c r="R76" s="6">
        <v>34869902.891761988</v>
      </c>
      <c r="S76" s="6">
        <v>121097.18107399638</v>
      </c>
      <c r="T76" s="6">
        <v>3294038.8223256241</v>
      </c>
      <c r="U76" s="6">
        <f t="shared" si="33"/>
        <v>0</v>
      </c>
      <c r="W76" s="6"/>
    </row>
    <row r="77" spans="1:23" x14ac:dyDescent="0.25">
      <c r="A77" s="23">
        <f t="shared" si="28"/>
        <v>10</v>
      </c>
      <c r="B77" s="5" t="str">
        <f>IF(OR((C74="~"),(C77="~")),"~","")</f>
        <v/>
      </c>
      <c r="C77" s="5" t="s">
        <v>213</v>
      </c>
      <c r="E77" s="6">
        <f t="shared" si="32"/>
        <v>0</v>
      </c>
      <c r="F77" s="6"/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R77" s="6">
        <v>0</v>
      </c>
      <c r="S77" s="6">
        <v>0</v>
      </c>
      <c r="T77" s="6">
        <v>0</v>
      </c>
      <c r="U77" s="6">
        <f t="shared" si="33"/>
        <v>0</v>
      </c>
      <c r="W77" s="6"/>
    </row>
    <row r="78" spans="1:23" x14ac:dyDescent="0.25">
      <c r="A78" s="24">
        <f>+A77+1</f>
        <v>11</v>
      </c>
      <c r="B78" s="14" t="str">
        <f>IF(OR((C74="~"),(C78="~")),"~","")</f>
        <v/>
      </c>
      <c r="C78" s="14" t="str">
        <f>IF(C74="~","~","Sub-total")</f>
        <v>Sub-total</v>
      </c>
      <c r="D78" s="14"/>
      <c r="E78" s="15">
        <f>SUM(E75:E77)</f>
        <v>849154774.7867291</v>
      </c>
      <c r="F78" s="15"/>
      <c r="G78" s="15">
        <f t="shared" ref="G78:P78" si="34">SUM(G75:G77)</f>
        <v>422244516.80997378</v>
      </c>
      <c r="H78" s="15">
        <f t="shared" si="34"/>
        <v>103369034.78230684</v>
      </c>
      <c r="I78" s="15">
        <f t="shared" si="34"/>
        <v>104024464.24320534</v>
      </c>
      <c r="J78" s="15">
        <f t="shared" si="34"/>
        <v>66509890.892068252</v>
      </c>
      <c r="K78" s="15">
        <f t="shared" si="34"/>
        <v>47258777.551697455</v>
      </c>
      <c r="L78" s="15">
        <f t="shared" si="34"/>
        <v>22893284.701462839</v>
      </c>
      <c r="M78" s="15">
        <f t="shared" si="34"/>
        <v>20114572.261626877</v>
      </c>
      <c r="N78" s="15">
        <f t="shared" si="34"/>
        <v>59618583.474046066</v>
      </c>
      <c r="O78" s="15">
        <f t="shared" si="34"/>
        <v>2852925.0629345486</v>
      </c>
      <c r="P78" s="15">
        <f t="shared" si="34"/>
        <v>268725.00740718457</v>
      </c>
      <c r="R78" s="15">
        <f>SUM(R75:R77)</f>
        <v>43843434.950193234</v>
      </c>
      <c r="S78" s="15">
        <f>SUM(S75:S77)</f>
        <v>121303.7791785974</v>
      </c>
      <c r="T78" s="15">
        <f>SUM(T75:T77)</f>
        <v>3294038.8223256241</v>
      </c>
      <c r="U78" s="15">
        <f>SUM(U75:U77)</f>
        <v>0</v>
      </c>
      <c r="W78" s="15"/>
    </row>
    <row r="79" spans="1:23" x14ac:dyDescent="0.25">
      <c r="A79" s="23">
        <f t="shared" si="28"/>
        <v>12</v>
      </c>
      <c r="B79" s="5" t="str">
        <f>IF(OR((C74="~"),(C79="~")),"~","")</f>
        <v/>
      </c>
    </row>
    <row r="80" spans="1:23" x14ac:dyDescent="0.25">
      <c r="A80" s="23">
        <f t="shared" si="28"/>
        <v>13</v>
      </c>
      <c r="C80" s="1" t="s">
        <v>216</v>
      </c>
    </row>
    <row r="81" spans="1:23" x14ac:dyDescent="0.25">
      <c r="A81" s="23">
        <f t="shared" si="28"/>
        <v>14</v>
      </c>
      <c r="B81" s="5" t="str">
        <f>IF(OR((C80="~"),(C81="~")),"~","")</f>
        <v/>
      </c>
      <c r="C81" s="5" t="s">
        <v>209</v>
      </c>
      <c r="E81" s="6">
        <f t="shared" ref="E81:E83" si="35">SUM(G81:P81)</f>
        <v>1552700879.0364532</v>
      </c>
      <c r="F81" s="6"/>
      <c r="G81" s="6">
        <v>966046915.08743072</v>
      </c>
      <c r="H81" s="6">
        <v>193525430.19120401</v>
      </c>
      <c r="I81" s="6">
        <v>177705603.01865795</v>
      </c>
      <c r="J81" s="6">
        <v>81950077.578496456</v>
      </c>
      <c r="K81" s="6">
        <v>78100937.463575095</v>
      </c>
      <c r="L81" s="6">
        <v>35941084.04237771</v>
      </c>
      <c r="M81" s="6">
        <v>14981413.072013181</v>
      </c>
      <c r="N81" s="6">
        <v>2938357.2188248145</v>
      </c>
      <c r="O81" s="6">
        <v>931196.34608718159</v>
      </c>
      <c r="P81" s="6">
        <v>579865.01778601401</v>
      </c>
      <c r="R81" s="6">
        <v>61811785.024840266</v>
      </c>
      <c r="S81" s="6">
        <v>690700.20033564023</v>
      </c>
      <c r="T81" s="6">
        <v>15598452.238399185</v>
      </c>
      <c r="U81" s="6">
        <f t="shared" ref="U81:U83" si="36">SUM(R81:T81,-K81)</f>
        <v>0</v>
      </c>
      <c r="W81" s="6"/>
    </row>
    <row r="82" spans="1:23" x14ac:dyDescent="0.25">
      <c r="A82" s="23">
        <f t="shared" si="28"/>
        <v>15</v>
      </c>
      <c r="B82" s="5" t="str">
        <f>IF(OR((C80="~"),(C82="~")),"~","")</f>
        <v/>
      </c>
      <c r="C82" s="5" t="s">
        <v>212</v>
      </c>
      <c r="E82" s="6">
        <f t="shared" si="35"/>
        <v>0</v>
      </c>
      <c r="F82" s="6"/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R82" s="6">
        <v>0</v>
      </c>
      <c r="S82" s="6">
        <v>0</v>
      </c>
      <c r="T82" s="6">
        <v>0</v>
      </c>
      <c r="U82" s="6">
        <f t="shared" si="36"/>
        <v>0</v>
      </c>
      <c r="W82" s="6"/>
    </row>
    <row r="83" spans="1:23" x14ac:dyDescent="0.25">
      <c r="A83" s="23">
        <f t="shared" si="28"/>
        <v>16</v>
      </c>
      <c r="B83" s="5" t="str">
        <f>IF(OR((C80="~"),(C83="~")),"~","")</f>
        <v/>
      </c>
      <c r="C83" s="5" t="s">
        <v>213</v>
      </c>
      <c r="E83" s="6">
        <f t="shared" si="35"/>
        <v>392355057.76907527</v>
      </c>
      <c r="F83" s="6"/>
      <c r="G83" s="6">
        <v>294178904.73512906</v>
      </c>
      <c r="H83" s="6">
        <v>22449802.911637794</v>
      </c>
      <c r="I83" s="6">
        <v>17462372.739987426</v>
      </c>
      <c r="J83" s="6">
        <v>4861203.3365233745</v>
      </c>
      <c r="K83" s="6">
        <v>8497138.6184894182</v>
      </c>
      <c r="L83" s="6">
        <v>1513143.8847720013</v>
      </c>
      <c r="M83" s="6">
        <v>291761.35636688489</v>
      </c>
      <c r="N83" s="6">
        <v>546374.56331074645</v>
      </c>
      <c r="O83" s="6">
        <v>42411810.333309948</v>
      </c>
      <c r="P83" s="6">
        <v>142545.28954861374</v>
      </c>
      <c r="R83" s="6">
        <v>6355574.2341719437</v>
      </c>
      <c r="S83" s="6">
        <v>14159.494310064609</v>
      </c>
      <c r="T83" s="6">
        <v>2127404.8900074111</v>
      </c>
      <c r="U83" s="6">
        <f t="shared" si="36"/>
        <v>0</v>
      </c>
      <c r="W83" s="6"/>
    </row>
    <row r="84" spans="1:23" x14ac:dyDescent="0.25">
      <c r="A84" s="24">
        <f>+A83+1</f>
        <v>17</v>
      </c>
      <c r="B84" s="14" t="str">
        <f>IF(OR((C80="~"),(C84="~")),"~","")</f>
        <v/>
      </c>
      <c r="C84" s="14" t="str">
        <f>IF(C80="~","~","Sub-total")</f>
        <v>Sub-total</v>
      </c>
      <c r="D84" s="14"/>
      <c r="E84" s="15">
        <f>SUM(E81:E83)</f>
        <v>1945055936.8055286</v>
      </c>
      <c r="F84" s="15"/>
      <c r="G84" s="15">
        <f t="shared" ref="G84:P84" si="37">SUM(G81:G83)</f>
        <v>1260225819.8225598</v>
      </c>
      <c r="H84" s="15">
        <f t="shared" si="37"/>
        <v>215975233.10284179</v>
      </c>
      <c r="I84" s="15">
        <f t="shared" si="37"/>
        <v>195167975.75864539</v>
      </c>
      <c r="J84" s="15">
        <f t="shared" si="37"/>
        <v>86811280.915019825</v>
      </c>
      <c r="K84" s="15">
        <f t="shared" si="37"/>
        <v>86598076.082064509</v>
      </c>
      <c r="L84" s="15">
        <f t="shared" si="37"/>
        <v>37454227.927149713</v>
      </c>
      <c r="M84" s="15">
        <f t="shared" si="37"/>
        <v>15273174.428380065</v>
      </c>
      <c r="N84" s="15">
        <f t="shared" si="37"/>
        <v>3484731.7821355611</v>
      </c>
      <c r="O84" s="15">
        <f t="shared" si="37"/>
        <v>43343006.679397129</v>
      </c>
      <c r="P84" s="15">
        <f t="shared" si="37"/>
        <v>722410.30733462772</v>
      </c>
      <c r="R84" s="15">
        <f>SUM(R81:R83)</f>
        <v>68167359.259012207</v>
      </c>
      <c r="S84" s="15">
        <f>SUM(S81:S83)</f>
        <v>704859.69464570482</v>
      </c>
      <c r="T84" s="15">
        <f>SUM(T81:T83)</f>
        <v>17725857.128406595</v>
      </c>
      <c r="U84" s="15">
        <f>SUM(U81:U83)</f>
        <v>0</v>
      </c>
      <c r="W84" s="15"/>
    </row>
    <row r="85" spans="1:23" hidden="1" x14ac:dyDescent="0.25">
      <c r="A85" s="23"/>
      <c r="B85" s="5" t="str">
        <f>IF(OR((C80="~"),(C85="~")),"~","")</f>
        <v/>
      </c>
    </row>
    <row r="86" spans="1:23" hidden="1" x14ac:dyDescent="0.25">
      <c r="A86" s="23"/>
      <c r="B86" s="5" t="s">
        <v>214</v>
      </c>
      <c r="C86" s="1"/>
    </row>
    <row r="87" spans="1:23" hidden="1" x14ac:dyDescent="0.25">
      <c r="A87" s="23"/>
      <c r="B87" s="5" t="str">
        <f>IF(OR((B86="~"),(C87="~")),"~","")</f>
        <v>~</v>
      </c>
      <c r="C87" s="5" t="s">
        <v>214</v>
      </c>
      <c r="E87" s="6">
        <f t="shared" ref="E87:E92" si="38">SUM(G87:P87)</f>
        <v>0</v>
      </c>
      <c r="F87" s="6"/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R87" s="6">
        <v>0</v>
      </c>
      <c r="S87" s="6">
        <v>0</v>
      </c>
      <c r="T87" s="6">
        <v>0</v>
      </c>
      <c r="U87" s="6">
        <v>0</v>
      </c>
      <c r="W87" s="6"/>
    </row>
    <row r="88" spans="1:23" hidden="1" x14ac:dyDescent="0.25">
      <c r="A88" s="23"/>
      <c r="B88" s="5" t="str">
        <f>IF(OR((B86="~"),(C88="~")),"~","")</f>
        <v>~</v>
      </c>
      <c r="C88" s="5" t="s">
        <v>214</v>
      </c>
      <c r="E88" s="6">
        <f t="shared" si="38"/>
        <v>0</v>
      </c>
      <c r="F88" s="6"/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R88" s="6">
        <v>0</v>
      </c>
      <c r="S88" s="6">
        <v>0</v>
      </c>
      <c r="T88" s="6">
        <v>0</v>
      </c>
      <c r="U88" s="6">
        <v>0</v>
      </c>
      <c r="W88" s="6"/>
    </row>
    <row r="89" spans="1:23" hidden="1" x14ac:dyDescent="0.25">
      <c r="A89" s="23"/>
      <c r="B89" s="5" t="str">
        <f>IF(OR((B86="~"),(C89="~")),"~","")</f>
        <v>~</v>
      </c>
      <c r="C89" s="5" t="s">
        <v>214</v>
      </c>
      <c r="E89" s="6">
        <f t="shared" si="38"/>
        <v>0</v>
      </c>
      <c r="F89" s="6"/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R89" s="6">
        <v>0</v>
      </c>
      <c r="S89" s="6">
        <v>0</v>
      </c>
      <c r="T89" s="6">
        <v>0</v>
      </c>
      <c r="U89" s="6">
        <v>0</v>
      </c>
      <c r="W89" s="6"/>
    </row>
    <row r="90" spans="1:23" hidden="1" x14ac:dyDescent="0.25">
      <c r="A90" s="23"/>
      <c r="B90" s="5" t="str">
        <f>IF(OR((B86="~"),(C90="~")),"~","")</f>
        <v>~</v>
      </c>
      <c r="C90" s="5" t="s">
        <v>214</v>
      </c>
      <c r="E90" s="6">
        <f t="shared" si="38"/>
        <v>0</v>
      </c>
      <c r="F90" s="6"/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R90" s="6">
        <v>0</v>
      </c>
      <c r="S90" s="6">
        <v>0</v>
      </c>
      <c r="T90" s="6">
        <v>0</v>
      </c>
      <c r="U90" s="6">
        <v>0</v>
      </c>
      <c r="W90" s="6"/>
    </row>
    <row r="91" spans="1:23" hidden="1" x14ac:dyDescent="0.25">
      <c r="A91" s="23"/>
      <c r="B91" s="5" t="str">
        <f>IF(OR((B86="~"),(C91="~")),"~","")</f>
        <v>~</v>
      </c>
      <c r="C91" s="5" t="s">
        <v>214</v>
      </c>
      <c r="E91" s="6">
        <f t="shared" si="38"/>
        <v>0</v>
      </c>
      <c r="F91" s="6"/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R91" s="6">
        <v>0</v>
      </c>
      <c r="S91" s="6">
        <v>0</v>
      </c>
      <c r="T91" s="6">
        <v>0</v>
      </c>
      <c r="U91" s="6">
        <v>0</v>
      </c>
      <c r="W91" s="6"/>
    </row>
    <row r="92" spans="1:23" hidden="1" x14ac:dyDescent="0.25">
      <c r="A92" s="23"/>
      <c r="B92" s="5" t="str">
        <f>IF(OR((B86="~"),(C92="~")),"~","")</f>
        <v>~</v>
      </c>
      <c r="C92" s="5" t="s">
        <v>214</v>
      </c>
      <c r="E92" s="6">
        <f t="shared" si="38"/>
        <v>0</v>
      </c>
      <c r="F92" s="6"/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R92" s="6">
        <v>0</v>
      </c>
      <c r="S92" s="6">
        <v>0</v>
      </c>
      <c r="T92" s="6">
        <v>0</v>
      </c>
      <c r="U92" s="6">
        <v>0</v>
      </c>
      <c r="W92" s="6"/>
    </row>
    <row r="93" spans="1:23" hidden="1" x14ac:dyDescent="0.25">
      <c r="A93" s="24"/>
      <c r="B93" s="14" t="str">
        <f>IF(OR((B86="~"),(C93="~")),"~","")</f>
        <v>~</v>
      </c>
      <c r="C93" s="14" t="str">
        <f>IF(B86="~","~","Sub-total")</f>
        <v>~</v>
      </c>
      <c r="D93" s="14"/>
      <c r="E93" s="15">
        <f>SUM(E87:E92)</f>
        <v>0</v>
      </c>
      <c r="F93" s="15"/>
      <c r="G93" s="15">
        <f t="shared" ref="G93:P93" si="39">SUM(G87:G92)</f>
        <v>0</v>
      </c>
      <c r="H93" s="15">
        <f t="shared" si="39"/>
        <v>0</v>
      </c>
      <c r="I93" s="15">
        <f t="shared" si="39"/>
        <v>0</v>
      </c>
      <c r="J93" s="15">
        <f t="shared" si="39"/>
        <v>0</v>
      </c>
      <c r="K93" s="15">
        <f t="shared" si="39"/>
        <v>0</v>
      </c>
      <c r="L93" s="15">
        <f t="shared" si="39"/>
        <v>0</v>
      </c>
      <c r="M93" s="15">
        <f t="shared" si="39"/>
        <v>0</v>
      </c>
      <c r="N93" s="15">
        <f t="shared" si="39"/>
        <v>0</v>
      </c>
      <c r="O93" s="15">
        <f t="shared" si="39"/>
        <v>0</v>
      </c>
      <c r="P93" s="15">
        <f t="shared" si="39"/>
        <v>0</v>
      </c>
      <c r="R93" s="15">
        <f>SUM(R87:R92)</f>
        <v>0</v>
      </c>
      <c r="S93" s="15">
        <f>SUM(S87:S92)</f>
        <v>0</v>
      </c>
      <c r="T93" s="15">
        <f>SUM(T87:T92)</f>
        <v>0</v>
      </c>
      <c r="U93" s="15">
        <f>SUM(U87:U92)</f>
        <v>0</v>
      </c>
      <c r="W93" s="15"/>
    </row>
    <row r="94" spans="1:23" hidden="1" x14ac:dyDescent="0.25">
      <c r="A94" s="23"/>
      <c r="B94" s="5" t="str">
        <f>IF(OR((B86="~"),(C94="~")),"~","")</f>
        <v>~</v>
      </c>
      <c r="C94" s="1"/>
    </row>
    <row r="95" spans="1:23" hidden="1" x14ac:dyDescent="0.25">
      <c r="A95" s="23"/>
      <c r="B95" s="5" t="s">
        <v>214</v>
      </c>
      <c r="C95" s="1"/>
    </row>
    <row r="96" spans="1:23" hidden="1" x14ac:dyDescent="0.25">
      <c r="A96" s="23"/>
      <c r="B96" s="5" t="str">
        <f>IF(OR((B95="~"),(C96="~")),"~","")</f>
        <v>~</v>
      </c>
      <c r="C96" s="5" t="s">
        <v>214</v>
      </c>
      <c r="E96" s="6">
        <f t="shared" ref="E96:E101" si="40">SUM(G96:P96)</f>
        <v>0</v>
      </c>
      <c r="F96" s="6"/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R96" s="6">
        <v>0</v>
      </c>
      <c r="S96" s="6">
        <v>0</v>
      </c>
      <c r="T96" s="6">
        <v>0</v>
      </c>
      <c r="U96" s="6">
        <v>0</v>
      </c>
      <c r="W96" s="6"/>
    </row>
    <row r="97" spans="1:23" hidden="1" x14ac:dyDescent="0.25">
      <c r="A97" s="23"/>
      <c r="B97" s="5" t="str">
        <f>IF(OR((B95="~"),(C97="~")),"~","")</f>
        <v>~</v>
      </c>
      <c r="C97" s="5" t="s">
        <v>214</v>
      </c>
      <c r="E97" s="6">
        <f t="shared" si="40"/>
        <v>0</v>
      </c>
      <c r="F97" s="6"/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R97" s="6">
        <v>0</v>
      </c>
      <c r="S97" s="6">
        <v>0</v>
      </c>
      <c r="T97" s="6">
        <v>0</v>
      </c>
      <c r="U97" s="6">
        <v>0</v>
      </c>
      <c r="W97" s="6"/>
    </row>
    <row r="98" spans="1:23" hidden="1" x14ac:dyDescent="0.25">
      <c r="A98" s="23"/>
      <c r="B98" s="5" t="str">
        <f>IF(OR((B95="~"),(C98="~")),"~","")</f>
        <v>~</v>
      </c>
      <c r="C98" s="5" t="s">
        <v>214</v>
      </c>
      <c r="E98" s="6">
        <f t="shared" si="40"/>
        <v>0</v>
      </c>
      <c r="F98" s="6"/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R98" s="6">
        <v>0</v>
      </c>
      <c r="S98" s="6">
        <v>0</v>
      </c>
      <c r="T98" s="6">
        <v>0</v>
      </c>
      <c r="U98" s="6">
        <v>0</v>
      </c>
      <c r="W98" s="6"/>
    </row>
    <row r="99" spans="1:23" hidden="1" x14ac:dyDescent="0.25">
      <c r="A99" s="23"/>
      <c r="B99" s="5" t="str">
        <f>IF(OR((B95="~"),(C99="~")),"~","")</f>
        <v>~</v>
      </c>
      <c r="C99" s="5" t="s">
        <v>214</v>
      </c>
      <c r="E99" s="6">
        <f t="shared" si="40"/>
        <v>0</v>
      </c>
      <c r="F99" s="6"/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R99" s="6">
        <v>0</v>
      </c>
      <c r="S99" s="6">
        <v>0</v>
      </c>
      <c r="T99" s="6">
        <v>0</v>
      </c>
      <c r="U99" s="6">
        <v>0</v>
      </c>
      <c r="W99" s="6"/>
    </row>
    <row r="100" spans="1:23" hidden="1" x14ac:dyDescent="0.25">
      <c r="A100" s="23"/>
      <c r="B100" s="5" t="str">
        <f>IF(OR((B95="~"),(C100="~")),"~","")</f>
        <v>~</v>
      </c>
      <c r="C100" s="5" t="s">
        <v>214</v>
      </c>
      <c r="E100" s="6">
        <f t="shared" si="40"/>
        <v>0</v>
      </c>
      <c r="F100" s="6"/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R100" s="6">
        <v>0</v>
      </c>
      <c r="S100" s="6">
        <v>0</v>
      </c>
      <c r="T100" s="6">
        <v>0</v>
      </c>
      <c r="U100" s="6">
        <v>0</v>
      </c>
      <c r="W100" s="6"/>
    </row>
    <row r="101" spans="1:23" hidden="1" x14ac:dyDescent="0.25">
      <c r="A101" s="23"/>
      <c r="B101" s="5" t="str">
        <f>IF(OR((B95="~"),(C101="~")),"~","")</f>
        <v>~</v>
      </c>
      <c r="C101" s="5" t="s">
        <v>214</v>
      </c>
      <c r="E101" s="6">
        <f t="shared" si="40"/>
        <v>0</v>
      </c>
      <c r="F101" s="6"/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R101" s="6">
        <v>0</v>
      </c>
      <c r="S101" s="6">
        <v>0</v>
      </c>
      <c r="T101" s="6">
        <v>0</v>
      </c>
      <c r="U101" s="6">
        <v>0</v>
      </c>
      <c r="W101" s="6"/>
    </row>
    <row r="102" spans="1:23" hidden="1" x14ac:dyDescent="0.25">
      <c r="A102" s="24"/>
      <c r="B102" s="14" t="str">
        <f>IF(OR((B95="~"),(C102="~")),"~","")</f>
        <v>~</v>
      </c>
      <c r="C102" s="14" t="str">
        <f>IF(B95="~","~","Sub-total")</f>
        <v>~</v>
      </c>
      <c r="D102" s="14"/>
      <c r="E102" s="15">
        <f>SUM(E96:E101)</f>
        <v>0</v>
      </c>
      <c r="F102" s="15"/>
      <c r="G102" s="15">
        <f t="shared" ref="G102:P102" si="41">SUM(G96:G101)</f>
        <v>0</v>
      </c>
      <c r="H102" s="15">
        <f t="shared" si="41"/>
        <v>0</v>
      </c>
      <c r="I102" s="15">
        <f t="shared" si="41"/>
        <v>0</v>
      </c>
      <c r="J102" s="15">
        <f t="shared" si="41"/>
        <v>0</v>
      </c>
      <c r="K102" s="15">
        <f t="shared" si="41"/>
        <v>0</v>
      </c>
      <c r="L102" s="15">
        <f t="shared" si="41"/>
        <v>0</v>
      </c>
      <c r="M102" s="15">
        <f t="shared" si="41"/>
        <v>0</v>
      </c>
      <c r="N102" s="15">
        <f t="shared" si="41"/>
        <v>0</v>
      </c>
      <c r="O102" s="15">
        <f t="shared" si="41"/>
        <v>0</v>
      </c>
      <c r="P102" s="15">
        <f t="shared" si="41"/>
        <v>0</v>
      </c>
      <c r="R102" s="15">
        <f>SUM(R96:R101)</f>
        <v>0</v>
      </c>
      <c r="S102" s="15">
        <f>SUM(S96:S101)</f>
        <v>0</v>
      </c>
      <c r="T102" s="15">
        <f>SUM(T96:T101)</f>
        <v>0</v>
      </c>
      <c r="U102" s="15">
        <f>SUM(U96:U101)</f>
        <v>0</v>
      </c>
      <c r="W102" s="15"/>
    </row>
    <row r="103" spans="1:23" hidden="1" x14ac:dyDescent="0.25">
      <c r="A103" s="23"/>
      <c r="B103" s="5" t="str">
        <f>IF(OR((B95="~"),(C103="~")),"~","")</f>
        <v>~</v>
      </c>
      <c r="C103" s="1"/>
    </row>
    <row r="104" spans="1:23" hidden="1" x14ac:dyDescent="0.25">
      <c r="A104" s="23"/>
      <c r="B104" s="5" t="s">
        <v>214</v>
      </c>
      <c r="C104" s="1"/>
    </row>
    <row r="105" spans="1:23" hidden="1" x14ac:dyDescent="0.25">
      <c r="A105" s="23"/>
      <c r="B105" s="5" t="str">
        <f>IF(OR((B104="~"),(C105="~")),"~","")</f>
        <v>~</v>
      </c>
      <c r="C105" s="5" t="s">
        <v>214</v>
      </c>
      <c r="E105" s="6">
        <f t="shared" ref="E105:E110" si="42">SUM(G105:P105)</f>
        <v>0</v>
      </c>
      <c r="F105" s="6"/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R105" s="6">
        <v>0</v>
      </c>
      <c r="S105" s="6">
        <v>0</v>
      </c>
      <c r="T105" s="6">
        <v>0</v>
      </c>
      <c r="U105" s="6">
        <v>0</v>
      </c>
      <c r="W105" s="6"/>
    </row>
    <row r="106" spans="1:23" hidden="1" x14ac:dyDescent="0.25">
      <c r="A106" s="23"/>
      <c r="B106" s="5" t="str">
        <f>IF(OR((B104="~"),(C106="~")),"~","")</f>
        <v>~</v>
      </c>
      <c r="C106" s="5" t="s">
        <v>214</v>
      </c>
      <c r="E106" s="6">
        <f t="shared" si="42"/>
        <v>0</v>
      </c>
      <c r="F106" s="6"/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R106" s="6">
        <v>0</v>
      </c>
      <c r="S106" s="6">
        <v>0</v>
      </c>
      <c r="T106" s="6">
        <v>0</v>
      </c>
      <c r="U106" s="6">
        <v>0</v>
      </c>
      <c r="W106" s="6"/>
    </row>
    <row r="107" spans="1:23" hidden="1" x14ac:dyDescent="0.25">
      <c r="A107" s="23"/>
      <c r="B107" s="5" t="str">
        <f>IF(OR((B104="~"),(C107="~")),"~","")</f>
        <v>~</v>
      </c>
      <c r="C107" s="5" t="s">
        <v>214</v>
      </c>
      <c r="E107" s="6">
        <f t="shared" si="42"/>
        <v>0</v>
      </c>
      <c r="F107" s="6"/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R107" s="6">
        <v>0</v>
      </c>
      <c r="S107" s="6">
        <v>0</v>
      </c>
      <c r="T107" s="6">
        <v>0</v>
      </c>
      <c r="U107" s="6">
        <v>0</v>
      </c>
      <c r="W107" s="6"/>
    </row>
    <row r="108" spans="1:23" hidden="1" x14ac:dyDescent="0.25">
      <c r="A108" s="23"/>
      <c r="B108" s="5" t="str">
        <f>IF(OR((B104="~"),(C108="~")),"~","")</f>
        <v>~</v>
      </c>
      <c r="C108" s="5" t="s">
        <v>214</v>
      </c>
      <c r="E108" s="6">
        <f t="shared" si="42"/>
        <v>0</v>
      </c>
      <c r="F108" s="6"/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R108" s="6">
        <v>0</v>
      </c>
      <c r="S108" s="6">
        <v>0</v>
      </c>
      <c r="T108" s="6">
        <v>0</v>
      </c>
      <c r="U108" s="6">
        <v>0</v>
      </c>
      <c r="W108" s="6"/>
    </row>
    <row r="109" spans="1:23" hidden="1" x14ac:dyDescent="0.25">
      <c r="A109" s="23"/>
      <c r="B109" s="5" t="str">
        <f>IF(OR((B104="~"),(C109="~")),"~","")</f>
        <v>~</v>
      </c>
      <c r="C109" s="5" t="s">
        <v>214</v>
      </c>
      <c r="E109" s="6">
        <f t="shared" si="42"/>
        <v>0</v>
      </c>
      <c r="F109" s="6"/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R109" s="6">
        <v>0</v>
      </c>
      <c r="S109" s="6">
        <v>0</v>
      </c>
      <c r="T109" s="6">
        <v>0</v>
      </c>
      <c r="U109" s="6">
        <v>0</v>
      </c>
      <c r="W109" s="6"/>
    </row>
    <row r="110" spans="1:23" hidden="1" x14ac:dyDescent="0.25">
      <c r="A110" s="23"/>
      <c r="B110" s="5" t="str">
        <f>IF(OR((B104="~"),(C110="~")),"~","")</f>
        <v>~</v>
      </c>
      <c r="C110" s="5" t="s">
        <v>214</v>
      </c>
      <c r="E110" s="6">
        <f t="shared" si="42"/>
        <v>0</v>
      </c>
      <c r="F110" s="6"/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R110" s="6">
        <v>0</v>
      </c>
      <c r="S110" s="6">
        <v>0</v>
      </c>
      <c r="T110" s="6">
        <v>0</v>
      </c>
      <c r="U110" s="6">
        <v>0</v>
      </c>
      <c r="W110" s="6"/>
    </row>
    <row r="111" spans="1:23" hidden="1" x14ac:dyDescent="0.25">
      <c r="A111" s="24"/>
      <c r="B111" s="14" t="str">
        <f>IF(OR((B104="~"),(C111="~")),"~","")</f>
        <v>~</v>
      </c>
      <c r="C111" s="14" t="str">
        <f>IF(B104="~","~","Sub-total")</f>
        <v>~</v>
      </c>
      <c r="D111" s="14"/>
      <c r="E111" s="15">
        <f>SUM(E105:E110)</f>
        <v>0</v>
      </c>
      <c r="F111" s="15"/>
      <c r="G111" s="15">
        <f t="shared" ref="G111:P111" si="43">SUM(G105:G110)</f>
        <v>0</v>
      </c>
      <c r="H111" s="15">
        <f t="shared" si="43"/>
        <v>0</v>
      </c>
      <c r="I111" s="15">
        <f t="shared" si="43"/>
        <v>0</v>
      </c>
      <c r="J111" s="15">
        <f t="shared" si="43"/>
        <v>0</v>
      </c>
      <c r="K111" s="15">
        <f t="shared" si="43"/>
        <v>0</v>
      </c>
      <c r="L111" s="15">
        <f t="shared" si="43"/>
        <v>0</v>
      </c>
      <c r="M111" s="15">
        <f t="shared" si="43"/>
        <v>0</v>
      </c>
      <c r="N111" s="15">
        <f t="shared" si="43"/>
        <v>0</v>
      </c>
      <c r="O111" s="15">
        <f t="shared" si="43"/>
        <v>0</v>
      </c>
      <c r="P111" s="15">
        <f t="shared" si="43"/>
        <v>0</v>
      </c>
      <c r="R111" s="15">
        <f>SUM(R105:R110)</f>
        <v>0</v>
      </c>
      <c r="S111" s="15">
        <f>SUM(S105:S110)</f>
        <v>0</v>
      </c>
      <c r="T111" s="15">
        <f>SUM(T105:T110)</f>
        <v>0</v>
      </c>
      <c r="U111" s="15">
        <f>SUM(U105:U110)</f>
        <v>0</v>
      </c>
      <c r="W111" s="15"/>
    </row>
    <row r="112" spans="1:23" hidden="1" x14ac:dyDescent="0.25">
      <c r="A112" s="23"/>
      <c r="B112" s="5" t="str">
        <f>IF(OR((B104="~"),(C112="~")),"~","")</f>
        <v>~</v>
      </c>
      <c r="C112" s="1"/>
    </row>
    <row r="113" spans="1:23" hidden="1" x14ac:dyDescent="0.25">
      <c r="A113" s="23"/>
      <c r="B113" s="5" t="s">
        <v>214</v>
      </c>
      <c r="C113" s="1"/>
    </row>
    <row r="114" spans="1:23" hidden="1" x14ac:dyDescent="0.25">
      <c r="A114" s="23"/>
      <c r="B114" s="5" t="str">
        <f>IF(OR((B113="~"),(C114="~")),"~","")</f>
        <v>~</v>
      </c>
      <c r="C114" s="5" t="s">
        <v>214</v>
      </c>
      <c r="E114" s="6">
        <f t="shared" ref="E114:E119" si="44">SUM(G114:P114)</f>
        <v>0</v>
      </c>
      <c r="F114" s="6"/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R114" s="6">
        <v>0</v>
      </c>
      <c r="S114" s="6">
        <v>0</v>
      </c>
      <c r="T114" s="6">
        <v>0</v>
      </c>
      <c r="U114" s="6">
        <v>0</v>
      </c>
      <c r="W114" s="6"/>
    </row>
    <row r="115" spans="1:23" hidden="1" x14ac:dyDescent="0.25">
      <c r="A115" s="23"/>
      <c r="B115" s="5" t="str">
        <f>IF(OR((B113="~"),(C115="~")),"~","")</f>
        <v>~</v>
      </c>
      <c r="C115" s="5" t="s">
        <v>214</v>
      </c>
      <c r="E115" s="6">
        <f t="shared" si="44"/>
        <v>0</v>
      </c>
      <c r="F115" s="6"/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R115" s="6">
        <v>0</v>
      </c>
      <c r="S115" s="6">
        <v>0</v>
      </c>
      <c r="T115" s="6">
        <v>0</v>
      </c>
      <c r="U115" s="6">
        <v>0</v>
      </c>
      <c r="W115" s="6"/>
    </row>
    <row r="116" spans="1:23" hidden="1" x14ac:dyDescent="0.25">
      <c r="A116" s="23"/>
      <c r="B116" s="5" t="str">
        <f>IF(OR((B113="~"),(C116="~")),"~","")</f>
        <v>~</v>
      </c>
      <c r="C116" s="5" t="s">
        <v>214</v>
      </c>
      <c r="E116" s="6">
        <f t="shared" si="44"/>
        <v>0</v>
      </c>
      <c r="F116" s="6"/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R116" s="6">
        <v>0</v>
      </c>
      <c r="S116" s="6">
        <v>0</v>
      </c>
      <c r="T116" s="6">
        <v>0</v>
      </c>
      <c r="U116" s="6">
        <v>0</v>
      </c>
      <c r="W116" s="6"/>
    </row>
    <row r="117" spans="1:23" hidden="1" x14ac:dyDescent="0.25">
      <c r="A117" s="23"/>
      <c r="B117" s="5" t="str">
        <f>IF(OR((B113="~"),(C117="~")),"~","")</f>
        <v>~</v>
      </c>
      <c r="C117" s="5" t="s">
        <v>214</v>
      </c>
      <c r="E117" s="6">
        <f t="shared" si="44"/>
        <v>0</v>
      </c>
      <c r="F117" s="6"/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R117" s="6">
        <v>0</v>
      </c>
      <c r="S117" s="6">
        <v>0</v>
      </c>
      <c r="T117" s="6">
        <v>0</v>
      </c>
      <c r="U117" s="6">
        <v>0</v>
      </c>
      <c r="W117" s="6"/>
    </row>
    <row r="118" spans="1:23" hidden="1" x14ac:dyDescent="0.25">
      <c r="A118" s="23"/>
      <c r="B118" s="5" t="str">
        <f>IF(OR((B113="~"),(C118="~")),"~","")</f>
        <v>~</v>
      </c>
      <c r="C118" s="5" t="s">
        <v>214</v>
      </c>
      <c r="E118" s="6">
        <f t="shared" si="44"/>
        <v>0</v>
      </c>
      <c r="F118" s="6"/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R118" s="6">
        <v>0</v>
      </c>
      <c r="S118" s="6">
        <v>0</v>
      </c>
      <c r="T118" s="6">
        <v>0</v>
      </c>
      <c r="U118" s="6">
        <v>0</v>
      </c>
      <c r="W118" s="6"/>
    </row>
    <row r="119" spans="1:23" hidden="1" x14ac:dyDescent="0.25">
      <c r="A119" s="23"/>
      <c r="B119" s="5" t="str">
        <f>IF(OR((B113="~"),(C119="~")),"~","")</f>
        <v>~</v>
      </c>
      <c r="C119" s="5" t="s">
        <v>214</v>
      </c>
      <c r="E119" s="6">
        <f t="shared" si="44"/>
        <v>0</v>
      </c>
      <c r="F119" s="6"/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R119" s="6">
        <v>0</v>
      </c>
      <c r="S119" s="6">
        <v>0</v>
      </c>
      <c r="T119" s="6">
        <v>0</v>
      </c>
      <c r="U119" s="6">
        <v>0</v>
      </c>
      <c r="W119" s="6"/>
    </row>
    <row r="120" spans="1:23" hidden="1" x14ac:dyDescent="0.25">
      <c r="A120" s="24"/>
      <c r="B120" s="14" t="str">
        <f>IF(OR((B113="~"),(C120="~")),"~","")</f>
        <v>~</v>
      </c>
      <c r="C120" s="14" t="str">
        <f>IF(B113="~","~","Sub-total")</f>
        <v>~</v>
      </c>
      <c r="D120" s="14"/>
      <c r="E120" s="15">
        <f>SUM(E114:E119)</f>
        <v>0</v>
      </c>
      <c r="F120" s="15"/>
      <c r="G120" s="15">
        <f t="shared" ref="G120:P120" si="45">SUM(G114:G119)</f>
        <v>0</v>
      </c>
      <c r="H120" s="15">
        <f t="shared" si="45"/>
        <v>0</v>
      </c>
      <c r="I120" s="15">
        <f t="shared" si="45"/>
        <v>0</v>
      </c>
      <c r="J120" s="15">
        <f t="shared" si="45"/>
        <v>0</v>
      </c>
      <c r="K120" s="15">
        <f t="shared" si="45"/>
        <v>0</v>
      </c>
      <c r="L120" s="15">
        <f t="shared" si="45"/>
        <v>0</v>
      </c>
      <c r="M120" s="15">
        <f t="shared" si="45"/>
        <v>0</v>
      </c>
      <c r="N120" s="15">
        <f t="shared" si="45"/>
        <v>0</v>
      </c>
      <c r="O120" s="15">
        <f t="shared" si="45"/>
        <v>0</v>
      </c>
      <c r="P120" s="15">
        <f t="shared" si="45"/>
        <v>0</v>
      </c>
      <c r="R120" s="15">
        <f>SUM(R114:R119)</f>
        <v>0</v>
      </c>
      <c r="S120" s="15">
        <f>SUM(S114:S119)</f>
        <v>0</v>
      </c>
      <c r="T120" s="15">
        <f>SUM(T114:T119)</f>
        <v>0</v>
      </c>
      <c r="U120" s="15">
        <f>SUM(U114:U119)</f>
        <v>0</v>
      </c>
      <c r="W120" s="15"/>
    </row>
    <row r="121" spans="1:23" hidden="1" x14ac:dyDescent="0.25">
      <c r="A121" s="23"/>
      <c r="B121" s="5" t="str">
        <f>IF(OR((B113="~"),(C121="~")),"~","")</f>
        <v>~</v>
      </c>
      <c r="C121" s="1"/>
    </row>
    <row r="122" spans="1:23" hidden="1" x14ac:dyDescent="0.25">
      <c r="A122" s="23"/>
      <c r="B122" s="5" t="s">
        <v>214</v>
      </c>
      <c r="C122" s="1"/>
    </row>
    <row r="123" spans="1:23" hidden="1" x14ac:dyDescent="0.25">
      <c r="A123" s="23"/>
      <c r="B123" s="5" t="str">
        <f>IF(OR((B122="~"),(C123="~")),"~","")</f>
        <v>~</v>
      </c>
      <c r="C123" s="5" t="s">
        <v>214</v>
      </c>
      <c r="E123" s="6">
        <f t="shared" ref="E123:E128" si="46">SUM(G123:P123)</f>
        <v>0</v>
      </c>
      <c r="F123" s="6"/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R123" s="6">
        <v>0</v>
      </c>
      <c r="S123" s="6">
        <v>0</v>
      </c>
      <c r="T123" s="6">
        <v>0</v>
      </c>
      <c r="U123" s="6">
        <v>0</v>
      </c>
      <c r="W123" s="6"/>
    </row>
    <row r="124" spans="1:23" hidden="1" x14ac:dyDescent="0.25">
      <c r="A124" s="23"/>
      <c r="B124" s="5" t="str">
        <f>IF(OR((B122="~"),(C124="~")),"~","")</f>
        <v>~</v>
      </c>
      <c r="C124" s="5" t="s">
        <v>214</v>
      </c>
      <c r="E124" s="6">
        <f t="shared" si="46"/>
        <v>0</v>
      </c>
      <c r="F124" s="6"/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R124" s="6">
        <v>0</v>
      </c>
      <c r="S124" s="6">
        <v>0</v>
      </c>
      <c r="T124" s="6">
        <v>0</v>
      </c>
      <c r="U124" s="6">
        <v>0</v>
      </c>
      <c r="W124" s="6"/>
    </row>
    <row r="125" spans="1:23" hidden="1" x14ac:dyDescent="0.25">
      <c r="A125" s="23"/>
      <c r="B125" s="5" t="str">
        <f>IF(OR((B122="~"),(C125="~")),"~","")</f>
        <v>~</v>
      </c>
      <c r="C125" s="5" t="s">
        <v>214</v>
      </c>
      <c r="E125" s="6">
        <f t="shared" si="46"/>
        <v>0</v>
      </c>
      <c r="F125" s="6"/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R125" s="6">
        <v>0</v>
      </c>
      <c r="S125" s="6">
        <v>0</v>
      </c>
      <c r="T125" s="6">
        <v>0</v>
      </c>
      <c r="U125" s="6">
        <v>0</v>
      </c>
      <c r="W125" s="6"/>
    </row>
    <row r="126" spans="1:23" hidden="1" x14ac:dyDescent="0.25">
      <c r="A126" s="23"/>
      <c r="B126" s="5" t="str">
        <f>IF(OR((B122="~"),(C126="~")),"~","")</f>
        <v>~</v>
      </c>
      <c r="C126" s="5" t="s">
        <v>214</v>
      </c>
      <c r="E126" s="6">
        <f t="shared" si="46"/>
        <v>0</v>
      </c>
      <c r="F126" s="6"/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R126" s="6">
        <v>0</v>
      </c>
      <c r="S126" s="6">
        <v>0</v>
      </c>
      <c r="T126" s="6">
        <v>0</v>
      </c>
      <c r="U126" s="6">
        <v>0</v>
      </c>
      <c r="W126" s="6"/>
    </row>
    <row r="127" spans="1:23" hidden="1" x14ac:dyDescent="0.25">
      <c r="A127" s="23"/>
      <c r="B127" s="5" t="str">
        <f>IF(OR((B122="~"),(C127="~")),"~","")</f>
        <v>~</v>
      </c>
      <c r="C127" s="5" t="s">
        <v>214</v>
      </c>
      <c r="E127" s="6">
        <f t="shared" si="46"/>
        <v>0</v>
      </c>
      <c r="F127" s="6"/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R127" s="6">
        <v>0</v>
      </c>
      <c r="S127" s="6">
        <v>0</v>
      </c>
      <c r="T127" s="6">
        <v>0</v>
      </c>
      <c r="U127" s="6">
        <v>0</v>
      </c>
      <c r="W127" s="6"/>
    </row>
    <row r="128" spans="1:23" hidden="1" x14ac:dyDescent="0.25">
      <c r="A128" s="23"/>
      <c r="B128" s="5" t="str">
        <f>IF(OR((B122="~"),(C128="~")),"~","")</f>
        <v>~</v>
      </c>
      <c r="C128" s="5" t="s">
        <v>214</v>
      </c>
      <c r="E128" s="6">
        <f t="shared" si="46"/>
        <v>0</v>
      </c>
      <c r="F128" s="6"/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R128" s="6">
        <v>0</v>
      </c>
      <c r="S128" s="6">
        <v>0</v>
      </c>
      <c r="T128" s="6">
        <v>0</v>
      </c>
      <c r="U128" s="6">
        <v>0</v>
      </c>
      <c r="W128" s="6"/>
    </row>
    <row r="129" spans="1:23" hidden="1" x14ac:dyDescent="0.25">
      <c r="A129" s="24"/>
      <c r="B129" s="14" t="str">
        <f>IF(OR((B122="~"),(C129="~")),"~","")</f>
        <v>~</v>
      </c>
      <c r="C129" s="14" t="str">
        <f>IF(B122="~","~","Sub-total")</f>
        <v>~</v>
      </c>
      <c r="D129" s="14"/>
      <c r="E129" s="15">
        <f>SUM(E123:E128)</f>
        <v>0</v>
      </c>
      <c r="F129" s="15"/>
      <c r="G129" s="15">
        <f t="shared" ref="G129:P129" si="47">SUM(G123:G128)</f>
        <v>0</v>
      </c>
      <c r="H129" s="15">
        <f t="shared" si="47"/>
        <v>0</v>
      </c>
      <c r="I129" s="15">
        <f t="shared" si="47"/>
        <v>0</v>
      </c>
      <c r="J129" s="15">
        <f t="shared" si="47"/>
        <v>0</v>
      </c>
      <c r="K129" s="15">
        <f t="shared" si="47"/>
        <v>0</v>
      </c>
      <c r="L129" s="15">
        <f t="shared" si="47"/>
        <v>0</v>
      </c>
      <c r="M129" s="15">
        <f t="shared" si="47"/>
        <v>0</v>
      </c>
      <c r="N129" s="15">
        <f t="shared" si="47"/>
        <v>0</v>
      </c>
      <c r="O129" s="15">
        <f t="shared" si="47"/>
        <v>0</v>
      </c>
      <c r="P129" s="15">
        <f t="shared" si="47"/>
        <v>0</v>
      </c>
      <c r="R129" s="15">
        <f>SUM(R123:R128)</f>
        <v>0</v>
      </c>
      <c r="S129" s="15">
        <f>SUM(S123:S128)</f>
        <v>0</v>
      </c>
      <c r="T129" s="15">
        <f>SUM(T123:T128)</f>
        <v>0</v>
      </c>
      <c r="U129" s="15">
        <f>SUM(U123:U128)</f>
        <v>0</v>
      </c>
      <c r="W129" s="15"/>
    </row>
    <row r="130" spans="1:23" hidden="1" x14ac:dyDescent="0.25">
      <c r="A130" s="23"/>
      <c r="B130" s="5" t="str">
        <f>IF(OR((B122="~"),(C130="~")),"~","")</f>
        <v>~</v>
      </c>
      <c r="C130" s="1"/>
    </row>
    <row r="131" spans="1:23" hidden="1" x14ac:dyDescent="0.25">
      <c r="A131" s="23"/>
      <c r="B131" s="5" t="s">
        <v>214</v>
      </c>
      <c r="C131" s="1"/>
    </row>
    <row r="132" spans="1:23" hidden="1" x14ac:dyDescent="0.25">
      <c r="A132" s="23"/>
      <c r="B132" s="5" t="str">
        <f>IF(OR((B131="~"),(C132="~")),"~","")</f>
        <v>~</v>
      </c>
      <c r="C132" s="5" t="s">
        <v>214</v>
      </c>
      <c r="E132" s="6">
        <f t="shared" ref="E132:E137" si="48">SUM(G132:P132)</f>
        <v>0</v>
      </c>
      <c r="F132" s="6"/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R132" s="6">
        <v>0</v>
      </c>
      <c r="S132" s="6">
        <v>0</v>
      </c>
      <c r="T132" s="6">
        <v>0</v>
      </c>
      <c r="U132" s="6">
        <v>0</v>
      </c>
      <c r="W132" s="6"/>
    </row>
    <row r="133" spans="1:23" hidden="1" x14ac:dyDescent="0.25">
      <c r="A133" s="23"/>
      <c r="B133" s="5" t="str">
        <f>IF(OR((B131="~"),(C133="~")),"~","")</f>
        <v>~</v>
      </c>
      <c r="C133" s="5" t="s">
        <v>214</v>
      </c>
      <c r="E133" s="6">
        <f t="shared" si="48"/>
        <v>0</v>
      </c>
      <c r="F133" s="6"/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R133" s="6">
        <v>0</v>
      </c>
      <c r="S133" s="6">
        <v>0</v>
      </c>
      <c r="T133" s="6">
        <v>0</v>
      </c>
      <c r="U133" s="6">
        <v>0</v>
      </c>
      <c r="W133" s="6"/>
    </row>
    <row r="134" spans="1:23" hidden="1" x14ac:dyDescent="0.25">
      <c r="A134" s="23"/>
      <c r="B134" s="5" t="str">
        <f>IF(OR((B131="~"),(C134="~")),"~","")</f>
        <v>~</v>
      </c>
      <c r="C134" s="5" t="s">
        <v>214</v>
      </c>
      <c r="E134" s="6">
        <f t="shared" si="48"/>
        <v>0</v>
      </c>
      <c r="F134" s="6"/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R134" s="6">
        <v>0</v>
      </c>
      <c r="S134" s="6">
        <v>0</v>
      </c>
      <c r="T134" s="6">
        <v>0</v>
      </c>
      <c r="U134" s="6">
        <v>0</v>
      </c>
      <c r="W134" s="6"/>
    </row>
    <row r="135" spans="1:23" hidden="1" x14ac:dyDescent="0.25">
      <c r="A135" s="23"/>
      <c r="B135" s="5" t="str">
        <f>IF(OR((B131="~"),(C135="~")),"~","")</f>
        <v>~</v>
      </c>
      <c r="C135" s="5" t="s">
        <v>214</v>
      </c>
      <c r="E135" s="6">
        <f t="shared" si="48"/>
        <v>0</v>
      </c>
      <c r="F135" s="6"/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R135" s="6">
        <v>0</v>
      </c>
      <c r="S135" s="6">
        <v>0</v>
      </c>
      <c r="T135" s="6">
        <v>0</v>
      </c>
      <c r="U135" s="6">
        <v>0</v>
      </c>
      <c r="W135" s="6"/>
    </row>
    <row r="136" spans="1:23" hidden="1" x14ac:dyDescent="0.25">
      <c r="A136" s="23"/>
      <c r="B136" s="5" t="str">
        <f>IF(OR((B131="~"),(C136="~")),"~","")</f>
        <v>~</v>
      </c>
      <c r="C136" s="5" t="s">
        <v>214</v>
      </c>
      <c r="E136" s="6">
        <f t="shared" si="48"/>
        <v>0</v>
      </c>
      <c r="F136" s="6"/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R136" s="6">
        <v>0</v>
      </c>
      <c r="S136" s="6">
        <v>0</v>
      </c>
      <c r="T136" s="6">
        <v>0</v>
      </c>
      <c r="U136" s="6">
        <v>0</v>
      </c>
      <c r="W136" s="6"/>
    </row>
    <row r="137" spans="1:23" hidden="1" x14ac:dyDescent="0.25">
      <c r="A137" s="23"/>
      <c r="B137" s="5" t="str">
        <f>IF(OR((B131="~"),(C137="~")),"~","")</f>
        <v>~</v>
      </c>
      <c r="C137" s="5" t="s">
        <v>214</v>
      </c>
      <c r="E137" s="6">
        <f t="shared" si="48"/>
        <v>0</v>
      </c>
      <c r="F137" s="6"/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R137" s="6">
        <v>0</v>
      </c>
      <c r="S137" s="6">
        <v>0</v>
      </c>
      <c r="T137" s="6">
        <v>0</v>
      </c>
      <c r="U137" s="6">
        <v>0</v>
      </c>
      <c r="W137" s="6"/>
    </row>
    <row r="138" spans="1:23" hidden="1" x14ac:dyDescent="0.25">
      <c r="A138" s="24"/>
      <c r="B138" s="14" t="str">
        <f>IF(OR((B131="~"),(C138="~")),"~","")</f>
        <v>~</v>
      </c>
      <c r="C138" s="14" t="str">
        <f>IF(B131="~","~","Sub-total")</f>
        <v>~</v>
      </c>
      <c r="D138" s="14"/>
      <c r="E138" s="15">
        <f>SUM(E132:E137)</f>
        <v>0</v>
      </c>
      <c r="F138" s="15"/>
      <c r="G138" s="15">
        <f t="shared" ref="G138:P138" si="49">SUM(G132:G137)</f>
        <v>0</v>
      </c>
      <c r="H138" s="15">
        <f t="shared" si="49"/>
        <v>0</v>
      </c>
      <c r="I138" s="15">
        <f t="shared" si="49"/>
        <v>0</v>
      </c>
      <c r="J138" s="15">
        <f t="shared" si="49"/>
        <v>0</v>
      </c>
      <c r="K138" s="15">
        <f t="shared" si="49"/>
        <v>0</v>
      </c>
      <c r="L138" s="15">
        <f t="shared" si="49"/>
        <v>0</v>
      </c>
      <c r="M138" s="15">
        <f t="shared" si="49"/>
        <v>0</v>
      </c>
      <c r="N138" s="15">
        <f t="shared" si="49"/>
        <v>0</v>
      </c>
      <c r="O138" s="15">
        <f t="shared" si="49"/>
        <v>0</v>
      </c>
      <c r="P138" s="15">
        <f t="shared" si="49"/>
        <v>0</v>
      </c>
      <c r="R138" s="15">
        <f>SUM(R132:R137)</f>
        <v>0</v>
      </c>
      <c r="S138" s="15">
        <f>SUM(S132:S137)</f>
        <v>0</v>
      </c>
      <c r="T138" s="15">
        <f>SUM(T132:T137)</f>
        <v>0</v>
      </c>
      <c r="U138" s="15">
        <f>SUM(U132:U137)</f>
        <v>0</v>
      </c>
      <c r="W138" s="15"/>
    </row>
    <row r="139" spans="1:23" hidden="1" x14ac:dyDescent="0.25">
      <c r="A139" s="23"/>
      <c r="B139" s="5" t="str">
        <f>IF(OR((B131="~"),(C139="~")),"~","")</f>
        <v>~</v>
      </c>
      <c r="C139" s="1"/>
    </row>
    <row r="140" spans="1:23" hidden="1" x14ac:dyDescent="0.25">
      <c r="A140" s="23"/>
      <c r="B140" s="5" t="s">
        <v>214</v>
      </c>
      <c r="C140" s="1"/>
    </row>
    <row r="141" spans="1:23" hidden="1" x14ac:dyDescent="0.25">
      <c r="A141" s="23"/>
      <c r="B141" s="5" t="str">
        <f>IF(OR((B140="~"),(C141="~")),"~","")</f>
        <v>~</v>
      </c>
      <c r="C141" s="5" t="s">
        <v>214</v>
      </c>
      <c r="E141" s="6">
        <f t="shared" ref="E141:E146" si="50">SUM(G141:P141)</f>
        <v>0</v>
      </c>
      <c r="F141" s="6"/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R141" s="6">
        <v>0</v>
      </c>
      <c r="S141" s="6">
        <v>0</v>
      </c>
      <c r="T141" s="6">
        <v>0</v>
      </c>
      <c r="U141" s="6">
        <v>0</v>
      </c>
      <c r="W141" s="6"/>
    </row>
    <row r="142" spans="1:23" hidden="1" x14ac:dyDescent="0.25">
      <c r="A142" s="23"/>
      <c r="B142" s="5" t="str">
        <f>IF(OR((B140="~"),(C142="~")),"~","")</f>
        <v>~</v>
      </c>
      <c r="C142" s="5" t="s">
        <v>214</v>
      </c>
      <c r="E142" s="6">
        <f t="shared" si="50"/>
        <v>0</v>
      </c>
      <c r="F142" s="6"/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R142" s="6">
        <v>0</v>
      </c>
      <c r="S142" s="6">
        <v>0</v>
      </c>
      <c r="T142" s="6">
        <v>0</v>
      </c>
      <c r="U142" s="6">
        <v>0</v>
      </c>
      <c r="W142" s="6"/>
    </row>
    <row r="143" spans="1:23" hidden="1" x14ac:dyDescent="0.25">
      <c r="A143" s="23"/>
      <c r="B143" s="5" t="str">
        <f>IF(OR((B140="~"),(C143="~")),"~","")</f>
        <v>~</v>
      </c>
      <c r="C143" s="5" t="s">
        <v>214</v>
      </c>
      <c r="E143" s="6">
        <f t="shared" si="50"/>
        <v>0</v>
      </c>
      <c r="F143" s="6"/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R143" s="6">
        <v>0</v>
      </c>
      <c r="S143" s="6">
        <v>0</v>
      </c>
      <c r="T143" s="6">
        <v>0</v>
      </c>
      <c r="U143" s="6">
        <v>0</v>
      </c>
      <c r="W143" s="6"/>
    </row>
    <row r="144" spans="1:23" hidden="1" x14ac:dyDescent="0.25">
      <c r="A144" s="23"/>
      <c r="B144" s="5" t="str">
        <f>IF(OR((B140="~"),(C144="~")),"~","")</f>
        <v>~</v>
      </c>
      <c r="C144" s="5" t="s">
        <v>214</v>
      </c>
      <c r="E144" s="6">
        <f t="shared" si="50"/>
        <v>0</v>
      </c>
      <c r="F144" s="6"/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R144" s="6">
        <v>0</v>
      </c>
      <c r="S144" s="6">
        <v>0</v>
      </c>
      <c r="T144" s="6">
        <v>0</v>
      </c>
      <c r="U144" s="6">
        <v>0</v>
      </c>
      <c r="W144" s="6"/>
    </row>
    <row r="145" spans="1:23" hidden="1" x14ac:dyDescent="0.25">
      <c r="A145" s="23"/>
      <c r="B145" s="5" t="str">
        <f>IF(OR((B140="~"),(C145="~")),"~","")</f>
        <v>~</v>
      </c>
      <c r="C145" s="5" t="s">
        <v>214</v>
      </c>
      <c r="E145" s="6">
        <f t="shared" si="50"/>
        <v>0</v>
      </c>
      <c r="F145" s="6"/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R145" s="6">
        <v>0</v>
      </c>
      <c r="S145" s="6">
        <v>0</v>
      </c>
      <c r="T145" s="6">
        <v>0</v>
      </c>
      <c r="U145" s="6">
        <v>0</v>
      </c>
      <c r="W145" s="6"/>
    </row>
    <row r="146" spans="1:23" hidden="1" x14ac:dyDescent="0.25">
      <c r="A146" s="23"/>
      <c r="B146" s="5" t="str">
        <f>IF(OR((B140="~"),(C146="~")),"~","")</f>
        <v>~</v>
      </c>
      <c r="C146" s="5" t="s">
        <v>214</v>
      </c>
      <c r="E146" s="6">
        <f t="shared" si="50"/>
        <v>0</v>
      </c>
      <c r="F146" s="6"/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R146" s="6">
        <v>0</v>
      </c>
      <c r="S146" s="6">
        <v>0</v>
      </c>
      <c r="T146" s="6">
        <v>0</v>
      </c>
      <c r="U146" s="6">
        <v>0</v>
      </c>
      <c r="W146" s="6"/>
    </row>
    <row r="147" spans="1:23" hidden="1" x14ac:dyDescent="0.25">
      <c r="A147" s="24"/>
      <c r="B147" s="14" t="str">
        <f>IF(OR((B140="~"),(C147="~")),"~","")</f>
        <v>~</v>
      </c>
      <c r="C147" s="14" t="str">
        <f>IF(B140="~","~","Sub-total")</f>
        <v>~</v>
      </c>
      <c r="D147" s="14"/>
      <c r="E147" s="15">
        <f>SUM(E141:E146)</f>
        <v>0</v>
      </c>
      <c r="F147" s="15"/>
      <c r="G147" s="15">
        <f t="shared" ref="G147:P147" si="51">SUM(G141:G146)</f>
        <v>0</v>
      </c>
      <c r="H147" s="15">
        <f t="shared" si="51"/>
        <v>0</v>
      </c>
      <c r="I147" s="15">
        <f t="shared" si="51"/>
        <v>0</v>
      </c>
      <c r="J147" s="15">
        <f t="shared" si="51"/>
        <v>0</v>
      </c>
      <c r="K147" s="15">
        <f t="shared" si="51"/>
        <v>0</v>
      </c>
      <c r="L147" s="15">
        <f t="shared" si="51"/>
        <v>0</v>
      </c>
      <c r="M147" s="15">
        <f t="shared" si="51"/>
        <v>0</v>
      </c>
      <c r="N147" s="15">
        <f t="shared" si="51"/>
        <v>0</v>
      </c>
      <c r="O147" s="15">
        <f t="shared" si="51"/>
        <v>0</v>
      </c>
      <c r="P147" s="15">
        <f t="shared" si="51"/>
        <v>0</v>
      </c>
      <c r="R147" s="15">
        <f>SUM(R141:R146)</f>
        <v>0</v>
      </c>
      <c r="S147" s="15">
        <f>SUM(S141:S146)</f>
        <v>0</v>
      </c>
      <c r="T147" s="15">
        <f>SUM(T141:T146)</f>
        <v>0</v>
      </c>
      <c r="U147" s="15">
        <f>SUM(U141:U146)</f>
        <v>0</v>
      </c>
      <c r="W147" s="15"/>
    </row>
    <row r="148" spans="1:23" hidden="1" x14ac:dyDescent="0.25">
      <c r="A148" s="23"/>
      <c r="B148" s="5" t="str">
        <f>IF(OR((B140="~"),(C148="~")),"~","")</f>
        <v>~</v>
      </c>
      <c r="C148" s="1"/>
    </row>
    <row r="149" spans="1:23" x14ac:dyDescent="0.25">
      <c r="A149" s="23">
        <f>+A84+1</f>
        <v>18</v>
      </c>
    </row>
    <row r="150" spans="1:23" x14ac:dyDescent="0.25">
      <c r="A150" s="23">
        <f>+A149+1</f>
        <v>19</v>
      </c>
      <c r="C150" s="1" t="s">
        <v>67</v>
      </c>
    </row>
    <row r="151" spans="1:23" x14ac:dyDescent="0.25">
      <c r="A151" s="23">
        <f>+A150+1</f>
        <v>20</v>
      </c>
      <c r="B151" s="5" t="str">
        <f>IF(OR((C150="~"),(C151="~")),"~","")</f>
        <v/>
      </c>
      <c r="C151" s="5" t="s">
        <v>209</v>
      </c>
      <c r="E151" s="6">
        <f t="shared" ref="E151:E153" si="52">SUM(G151:P151)</f>
        <v>2341059675.2943091</v>
      </c>
      <c r="F151" s="6"/>
      <c r="G151" s="6">
        <v>1439744033.6722703</v>
      </c>
      <c r="H151" s="6">
        <v>288944346.86873186</v>
      </c>
      <c r="I151" s="6">
        <v>266671751.70182684</v>
      </c>
      <c r="J151" s="6">
        <v>132476261.62711424</v>
      </c>
      <c r="K151" s="6">
        <v>112727493.16669497</v>
      </c>
      <c r="L151" s="6">
        <v>53847823.664428942</v>
      </c>
      <c r="M151" s="6">
        <v>28231205.729323871</v>
      </c>
      <c r="N151" s="6">
        <v>13887530.657933226</v>
      </c>
      <c r="O151" s="6">
        <v>3647510.7075702646</v>
      </c>
      <c r="P151" s="6">
        <v>881717.49841493112</v>
      </c>
      <c r="R151" s="6">
        <v>96437543.537285119</v>
      </c>
      <c r="S151" s="6">
        <v>691497.3910106679</v>
      </c>
      <c r="T151" s="6">
        <v>15598452.238399185</v>
      </c>
      <c r="U151" s="6">
        <f t="shared" ref="U151:U153" si="53">SUM(R151:T151,-K151)</f>
        <v>0</v>
      </c>
      <c r="W151" s="6"/>
    </row>
    <row r="152" spans="1:23" x14ac:dyDescent="0.25">
      <c r="A152" s="23">
        <f t="shared" ref="A152:A156" si="54">+A151+1</f>
        <v>21</v>
      </c>
      <c r="B152" s="5" t="str">
        <f>IF(OR((C150="~"),(C152="~")),"~","")</f>
        <v/>
      </c>
      <c r="C152" s="5" t="s">
        <v>212</v>
      </c>
      <c r="E152" s="6">
        <f t="shared" si="52"/>
        <v>2364547699.6538696</v>
      </c>
      <c r="F152" s="6"/>
      <c r="G152" s="6">
        <v>1179402028.3645792</v>
      </c>
      <c r="H152" s="6">
        <v>309696977.08947301</v>
      </c>
      <c r="I152" s="6">
        <v>318863832.62675148</v>
      </c>
      <c r="J152" s="6">
        <v>210358087.81245792</v>
      </c>
      <c r="K152" s="6">
        <v>150771710.55077925</v>
      </c>
      <c r="L152" s="6">
        <v>71881290.777771294</v>
      </c>
      <c r="M152" s="6">
        <v>65691214.509384722</v>
      </c>
      <c r="N152" s="6">
        <v>48669410.034937657</v>
      </c>
      <c r="O152" s="6">
        <v>8462942.2824920584</v>
      </c>
      <c r="P152" s="6">
        <v>750205.60524276749</v>
      </c>
      <c r="R152" s="6">
        <v>137322438.67185777</v>
      </c>
      <c r="S152" s="6">
        <v>476897.23349638027</v>
      </c>
      <c r="T152" s="6">
        <v>12972374.645425115</v>
      </c>
      <c r="U152" s="6">
        <f t="shared" si="53"/>
        <v>0</v>
      </c>
      <c r="W152" s="6"/>
    </row>
    <row r="153" spans="1:23" x14ac:dyDescent="0.25">
      <c r="A153" s="23">
        <f t="shared" si="54"/>
        <v>22</v>
      </c>
      <c r="B153" s="5" t="str">
        <f>IF(OR((C150="~"),(C153="~")),"~","")</f>
        <v/>
      </c>
      <c r="C153" s="5" t="s">
        <v>213</v>
      </c>
      <c r="E153" s="6">
        <f t="shared" si="52"/>
        <v>392355057.76907527</v>
      </c>
      <c r="F153" s="6"/>
      <c r="G153" s="6">
        <v>294178904.73512906</v>
      </c>
      <c r="H153" s="6">
        <v>22449802.911637794</v>
      </c>
      <c r="I153" s="6">
        <v>17462372.739987426</v>
      </c>
      <c r="J153" s="6">
        <v>4861203.3365233745</v>
      </c>
      <c r="K153" s="6">
        <v>8497138.6184894182</v>
      </c>
      <c r="L153" s="6">
        <v>1513143.8847720013</v>
      </c>
      <c r="M153" s="6">
        <v>291761.35636688489</v>
      </c>
      <c r="N153" s="6">
        <v>546374.56331074645</v>
      </c>
      <c r="O153" s="6">
        <v>42411810.333309948</v>
      </c>
      <c r="P153" s="6">
        <v>142545.28954861374</v>
      </c>
      <c r="R153" s="6">
        <v>6355574.2341719437</v>
      </c>
      <c r="S153" s="6">
        <v>14159.494310064609</v>
      </c>
      <c r="T153" s="6">
        <v>2127404.8900074111</v>
      </c>
      <c r="U153" s="6">
        <f t="shared" si="53"/>
        <v>0</v>
      </c>
      <c r="W153" s="6"/>
    </row>
    <row r="154" spans="1:23" x14ac:dyDescent="0.25">
      <c r="A154" s="24">
        <f>+A153+1</f>
        <v>23</v>
      </c>
      <c r="B154" s="14"/>
      <c r="C154" s="14" t="str">
        <f>IF(C150="~","~","Sub-total")</f>
        <v>Sub-total</v>
      </c>
      <c r="D154" s="14"/>
      <c r="E154" s="15">
        <f>SUM(E151:E153)</f>
        <v>5097962432.7172546</v>
      </c>
      <c r="F154" s="15"/>
      <c r="G154" s="15">
        <f t="shared" ref="G154:P154" si="55">SUM(G151:G153)</f>
        <v>2913324966.7719784</v>
      </c>
      <c r="H154" s="15">
        <f t="shared" si="55"/>
        <v>621091126.86984265</v>
      </c>
      <c r="I154" s="15">
        <f t="shared" si="55"/>
        <v>602997957.06856573</v>
      </c>
      <c r="J154" s="15">
        <f t="shared" si="55"/>
        <v>347695552.77609551</v>
      </c>
      <c r="K154" s="15">
        <f t="shared" si="55"/>
        <v>271996342.33596367</v>
      </c>
      <c r="L154" s="15">
        <f t="shared" si="55"/>
        <v>127242258.32697225</v>
      </c>
      <c r="M154" s="15">
        <f t="shared" si="55"/>
        <v>94214181.595075473</v>
      </c>
      <c r="N154" s="15">
        <f t="shared" si="55"/>
        <v>63103315.256181635</v>
      </c>
      <c r="O154" s="15">
        <f t="shared" si="55"/>
        <v>54522263.323372275</v>
      </c>
      <c r="P154" s="15">
        <f t="shared" si="55"/>
        <v>1774468.3932063126</v>
      </c>
      <c r="R154" s="15">
        <f>SUM(R151:R153)</f>
        <v>240115556.44331485</v>
      </c>
      <c r="S154" s="15">
        <f>SUM(S151:S153)</f>
        <v>1182554.1188171129</v>
      </c>
      <c r="T154" s="15">
        <f>SUM(T151:T153)</f>
        <v>30698231.77383171</v>
      </c>
      <c r="U154" s="15">
        <f>SUM(U151:U153)</f>
        <v>0</v>
      </c>
      <c r="W154" s="15"/>
    </row>
    <row r="155" spans="1:23" x14ac:dyDescent="0.25">
      <c r="A155" s="23">
        <f t="shared" si="54"/>
        <v>24</v>
      </c>
      <c r="B155" s="5" t="str">
        <f>IF(OR((C150="~"),(C155="~")),"~","")</f>
        <v/>
      </c>
      <c r="C155" s="1"/>
    </row>
    <row r="156" spans="1:23" ht="13.8" thickBot="1" x14ac:dyDescent="0.3">
      <c r="A156" s="25">
        <f t="shared" si="54"/>
        <v>25</v>
      </c>
      <c r="B156" s="8"/>
      <c r="C156" s="8" t="s">
        <v>36</v>
      </c>
      <c r="D156" s="8"/>
      <c r="E156" s="9">
        <f>SUM(G156:P156)</f>
        <v>5097962432.7172537</v>
      </c>
      <c r="F156" s="9"/>
      <c r="G156" s="9">
        <f t="shared" ref="G156:P156" si="56">SUM(G151:G153)</f>
        <v>2913324966.7719784</v>
      </c>
      <c r="H156" s="9">
        <f t="shared" si="56"/>
        <v>621091126.86984265</v>
      </c>
      <c r="I156" s="9">
        <f t="shared" si="56"/>
        <v>602997957.06856573</v>
      </c>
      <c r="J156" s="9">
        <f t="shared" si="56"/>
        <v>347695552.77609551</v>
      </c>
      <c r="K156" s="9">
        <f t="shared" si="56"/>
        <v>271996342.33596367</v>
      </c>
      <c r="L156" s="9">
        <f t="shared" si="56"/>
        <v>127242258.32697225</v>
      </c>
      <c r="M156" s="9">
        <f t="shared" si="56"/>
        <v>94214181.595075473</v>
      </c>
      <c r="N156" s="9">
        <f t="shared" si="56"/>
        <v>63103315.256181635</v>
      </c>
      <c r="O156" s="9">
        <f t="shared" si="56"/>
        <v>54522263.323372275</v>
      </c>
      <c r="P156" s="9">
        <f t="shared" si="56"/>
        <v>1774468.3932063126</v>
      </c>
      <c r="R156" s="9">
        <f>SUM(R151:R153)</f>
        <v>240115556.44331485</v>
      </c>
      <c r="S156" s="9">
        <f>SUM(S151:S153)</f>
        <v>1182554.1188171129</v>
      </c>
      <c r="T156" s="9">
        <f>SUM(T151:T153)</f>
        <v>30698231.77383171</v>
      </c>
      <c r="U156" s="9">
        <f>SUM(U151:U153)</f>
        <v>0</v>
      </c>
      <c r="W156" s="9"/>
    </row>
    <row r="157" spans="1:23" ht="13.8" thickTop="1" x14ac:dyDescent="0.25"/>
    <row r="158" spans="1:23" x14ac:dyDescent="0.25">
      <c r="A158" s="88" t="str">
        <f>A1</f>
        <v>Puget Sound Energy</v>
      </c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</row>
    <row r="159" spans="1:23" x14ac:dyDescent="0.25">
      <c r="A159" s="88" t="str">
        <f>A2</f>
        <v>ELECTRIC COST OF SERVICE SUMMARY</v>
      </c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</row>
    <row r="160" spans="1:23" x14ac:dyDescent="0.25">
      <c r="A160" s="88" t="s">
        <v>210</v>
      </c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</row>
    <row r="161" spans="1:23" x14ac:dyDescent="0.25">
      <c r="A161" s="88" t="s">
        <v>68</v>
      </c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</row>
    <row r="163" spans="1:23" s="26" customFormat="1" ht="44.4" customHeight="1" x14ac:dyDescent="0.25">
      <c r="A163" s="2" t="s">
        <v>2</v>
      </c>
      <c r="B163" s="2"/>
      <c r="C163" s="2"/>
      <c r="D163" s="2"/>
      <c r="E163" s="2" t="s">
        <v>66</v>
      </c>
      <c r="F163" s="2"/>
      <c r="G163" s="2" t="str">
        <f t="shared" ref="G163:P163" si="57">+G6</f>
        <v>Residential
Sch 7</v>
      </c>
      <c r="H163" s="2" t="str">
        <f t="shared" si="57"/>
        <v>Sec Volt
Sch 24
(kW&lt; 50)</v>
      </c>
      <c r="I163" s="2" t="str">
        <f t="shared" si="57"/>
        <v>Sec Volt
Sch 25
(kW &gt; 50 &amp; &lt; 350)</v>
      </c>
      <c r="J163" s="2" t="str">
        <f t="shared" si="57"/>
        <v>Sec Volt
Sch 26
(kW &gt; 350)</v>
      </c>
      <c r="K163" s="2" t="str">
        <f t="shared" si="57"/>
        <v>Pri Volt
Sch 31/35/43</v>
      </c>
      <c r="L163" s="2" t="str">
        <f t="shared" si="57"/>
        <v>Campus
Sch 40</v>
      </c>
      <c r="M163" s="2" t="str">
        <f t="shared" si="57"/>
        <v>High Volt
Sch 46/49</v>
      </c>
      <c r="N163" s="2" t="str">
        <f t="shared" si="57"/>
        <v>Choice /
Retail Wheeling
Sch 448/449</v>
      </c>
      <c r="O163" s="2" t="str">
        <f t="shared" si="57"/>
        <v>Lighting
Sch 50-59</v>
      </c>
      <c r="P163" s="3" t="str">
        <f t="shared" si="57"/>
        <v>Firm Resale</v>
      </c>
      <c r="R163" s="2" t="s">
        <v>15</v>
      </c>
      <c r="S163" s="2" t="s">
        <v>16</v>
      </c>
      <c r="T163" s="2" t="s">
        <v>17</v>
      </c>
      <c r="U163" s="2" t="s">
        <v>18</v>
      </c>
      <c r="W163" s="2" t="s">
        <v>19</v>
      </c>
    </row>
    <row r="164" spans="1:23" s="27" customFormat="1" x14ac:dyDescent="0.25">
      <c r="C164" s="27" t="s">
        <v>20</v>
      </c>
      <c r="E164" s="27" t="s">
        <v>21</v>
      </c>
      <c r="G164" s="27" t="s">
        <v>22</v>
      </c>
      <c r="H164" s="27" t="s">
        <v>23</v>
      </c>
      <c r="I164" s="27" t="s">
        <v>24</v>
      </c>
      <c r="J164" s="27" t="s">
        <v>25</v>
      </c>
      <c r="K164" s="27" t="s">
        <v>26</v>
      </c>
      <c r="L164" s="27" t="s">
        <v>27</v>
      </c>
      <c r="M164" s="27" t="s">
        <v>28</v>
      </c>
      <c r="N164" s="27" t="s">
        <v>29</v>
      </c>
      <c r="O164" s="27" t="s">
        <v>30</v>
      </c>
      <c r="P164" s="27" t="s">
        <v>31</v>
      </c>
    </row>
    <row r="166" spans="1:23" x14ac:dyDescent="0.25">
      <c r="A166" s="23">
        <v>1</v>
      </c>
      <c r="C166" s="1" t="s">
        <v>211</v>
      </c>
    </row>
    <row r="167" spans="1:23" x14ac:dyDescent="0.25">
      <c r="A167" s="23">
        <f t="shared" ref="A167:A181" si="58">+A166+1</f>
        <v>2</v>
      </c>
      <c r="B167" s="5" t="str">
        <f>IF(OR((C166="~"),(C167="~")),"~","")</f>
        <v/>
      </c>
      <c r="C167" s="5" t="s">
        <v>209</v>
      </c>
      <c r="E167" s="6">
        <v>345947784.24674386</v>
      </c>
      <c r="F167" s="6"/>
      <c r="G167" s="6">
        <v>210795523.70899761</v>
      </c>
      <c r="H167" s="6">
        <v>42461479.548101336</v>
      </c>
      <c r="I167" s="6">
        <v>39589993.623071492</v>
      </c>
      <c r="J167" s="6">
        <v>22484184.534126606</v>
      </c>
      <c r="K167" s="6">
        <v>15408839.651556076</v>
      </c>
      <c r="L167" s="6">
        <v>7968510.6969357748</v>
      </c>
      <c r="M167" s="6">
        <v>5896166.2899226826</v>
      </c>
      <c r="N167" s="6">
        <v>0</v>
      </c>
      <c r="O167" s="6">
        <v>1208761.6451999741</v>
      </c>
      <c r="P167" s="6">
        <v>134324.54883222305</v>
      </c>
      <c r="R167" s="6">
        <v>15408484.901190821</v>
      </c>
      <c r="S167" s="6">
        <v>354.75036525536939</v>
      </c>
      <c r="T167" s="6">
        <v>0</v>
      </c>
      <c r="U167" s="6">
        <f t="shared" ref="U167:U169" si="59">SUM(R167:T167,-K167)</f>
        <v>0</v>
      </c>
      <c r="W167" s="6">
        <f t="shared" ref="W167:W221" si="60">+R167+S167</f>
        <v>15408839.651556076</v>
      </c>
    </row>
    <row r="168" spans="1:23" x14ac:dyDescent="0.25">
      <c r="A168" s="23">
        <f t="shared" si="58"/>
        <v>3</v>
      </c>
      <c r="B168" s="5" t="str">
        <f>IF(OR((C166="~"),(C168="~")),"~","")</f>
        <v/>
      </c>
      <c r="C168" s="5" t="s">
        <v>212</v>
      </c>
      <c r="E168" s="6">
        <v>1039315225.7202446</v>
      </c>
      <c r="F168" s="6"/>
      <c r="G168" s="6">
        <v>529289682.80381554</v>
      </c>
      <c r="H168" s="6">
        <v>138985189.80528376</v>
      </c>
      <c r="I168" s="6">
        <v>143099072.89429495</v>
      </c>
      <c r="J168" s="6">
        <v>94404081.810732022</v>
      </c>
      <c r="K168" s="6">
        <v>67663026.630425736</v>
      </c>
      <c r="L168" s="6">
        <v>32258741.871126018</v>
      </c>
      <c r="M168" s="6">
        <v>29480771.827129308</v>
      </c>
      <c r="N168" s="6">
        <v>0</v>
      </c>
      <c r="O168" s="6">
        <v>3797982.3067614357</v>
      </c>
      <c r="P168" s="6">
        <v>336675.77067609032</v>
      </c>
      <c r="R168" s="6">
        <v>61627289.302919514</v>
      </c>
      <c r="S168" s="6">
        <v>214020.98637843676</v>
      </c>
      <c r="T168" s="6">
        <v>5821716.3411277784</v>
      </c>
      <c r="U168" s="6">
        <f t="shared" si="59"/>
        <v>0</v>
      </c>
      <c r="W168" s="6">
        <f t="shared" si="60"/>
        <v>61841310.289297953</v>
      </c>
    </row>
    <row r="169" spans="1:23" x14ac:dyDescent="0.25">
      <c r="A169" s="23">
        <f t="shared" si="58"/>
        <v>4</v>
      </c>
      <c r="B169" s="5" t="str">
        <f>IF(OR((C166="~"),(C169="~")),"~","")</f>
        <v/>
      </c>
      <c r="C169" s="5" t="s">
        <v>213</v>
      </c>
      <c r="E169" s="6">
        <v>0</v>
      </c>
      <c r="F169" s="6"/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R169" s="6">
        <v>0</v>
      </c>
      <c r="S169" s="6">
        <v>0</v>
      </c>
      <c r="T169" s="6">
        <v>0</v>
      </c>
      <c r="U169" s="6">
        <f t="shared" si="59"/>
        <v>0</v>
      </c>
      <c r="W169" s="6">
        <f t="shared" si="60"/>
        <v>0</v>
      </c>
    </row>
    <row r="170" spans="1:23" x14ac:dyDescent="0.25">
      <c r="A170" s="24">
        <f>+A169+1</f>
        <v>5</v>
      </c>
      <c r="B170" s="14" t="str">
        <f>IF(OR((C166="~"),(C170="~")),"~","")</f>
        <v/>
      </c>
      <c r="C170" s="14" t="str">
        <f>IF(C166="~","~","Sub-total")</f>
        <v>Sub-total</v>
      </c>
      <c r="D170" s="14"/>
      <c r="E170" s="15">
        <f>SUM(E167:E169)</f>
        <v>1385263009.9669886</v>
      </c>
      <c r="F170" s="15"/>
      <c r="G170" s="15">
        <f t="shared" ref="G170:P170" si="61">SUM(G167:G169)</f>
        <v>740085206.51281309</v>
      </c>
      <c r="H170" s="15">
        <f t="shared" si="61"/>
        <v>181446669.35338509</v>
      </c>
      <c r="I170" s="15">
        <f t="shared" si="61"/>
        <v>182689066.51736644</v>
      </c>
      <c r="J170" s="15">
        <f t="shared" si="61"/>
        <v>116888266.34485863</v>
      </c>
      <c r="K170" s="15">
        <f t="shared" si="61"/>
        <v>83071866.281981811</v>
      </c>
      <c r="L170" s="15">
        <f t="shared" si="61"/>
        <v>40227252.568061791</v>
      </c>
      <c r="M170" s="15">
        <f t="shared" si="61"/>
        <v>35376938.117051989</v>
      </c>
      <c r="N170" s="15">
        <f t="shared" si="61"/>
        <v>0</v>
      </c>
      <c r="O170" s="15">
        <f t="shared" si="61"/>
        <v>5006743.9519614093</v>
      </c>
      <c r="P170" s="15">
        <f t="shared" si="61"/>
        <v>471000.31950831338</v>
      </c>
      <c r="R170" s="15">
        <f>SUM(R167:R169)</f>
        <v>77035774.204110339</v>
      </c>
      <c r="S170" s="15">
        <f>SUM(S167:S169)</f>
        <v>214375.73674369213</v>
      </c>
      <c r="T170" s="15">
        <f>SUM(T167:T169)</f>
        <v>5821716.3411277784</v>
      </c>
      <c r="U170" s="15">
        <f>SUM(U167:U169)</f>
        <v>0</v>
      </c>
      <c r="W170" s="15">
        <f t="shared" si="60"/>
        <v>77250149.940854028</v>
      </c>
    </row>
    <row r="171" spans="1:23" x14ac:dyDescent="0.25">
      <c r="A171" s="23">
        <f t="shared" si="58"/>
        <v>6</v>
      </c>
      <c r="B171" s="5" t="str">
        <f>IF(OR((C166="~"),(C171="~")),"~","")</f>
        <v/>
      </c>
    </row>
    <row r="172" spans="1:23" x14ac:dyDescent="0.25">
      <c r="A172" s="23">
        <f t="shared" si="58"/>
        <v>7</v>
      </c>
      <c r="C172" s="1" t="s">
        <v>215</v>
      </c>
    </row>
    <row r="173" spans="1:23" x14ac:dyDescent="0.25">
      <c r="A173" s="23">
        <f t="shared" si="58"/>
        <v>8</v>
      </c>
      <c r="B173" s="5" t="str">
        <f>IF(OR((C172="~"),(C173="~")),"~","")</f>
        <v/>
      </c>
      <c r="C173" s="5" t="s">
        <v>209</v>
      </c>
      <c r="E173" s="6">
        <v>36006723.196091048</v>
      </c>
      <c r="F173" s="6"/>
      <c r="G173" s="6">
        <v>20644283.071353383</v>
      </c>
      <c r="H173" s="6">
        <v>4158469.7245735191</v>
      </c>
      <c r="I173" s="6">
        <v>3877250.4309723973</v>
      </c>
      <c r="J173" s="6">
        <v>2201991.1143456735</v>
      </c>
      <c r="K173" s="6">
        <v>1509066.4259406179</v>
      </c>
      <c r="L173" s="6">
        <v>780396.98182465637</v>
      </c>
      <c r="M173" s="6">
        <v>577441.70171740558</v>
      </c>
      <c r="N173" s="6">
        <v>2126288.4494948606</v>
      </c>
      <c r="O173" s="6">
        <v>118380.20623128608</v>
      </c>
      <c r="P173" s="6">
        <v>13155.089637256271</v>
      </c>
      <c r="R173" s="6">
        <v>1509031.6834241208</v>
      </c>
      <c r="S173" s="6">
        <v>34.742516497209913</v>
      </c>
      <c r="T173" s="6">
        <v>0</v>
      </c>
      <c r="U173" s="6">
        <f t="shared" ref="U173:U175" si="62">SUM(R173:T173,-K173)</f>
        <v>0</v>
      </c>
      <c r="W173" s="6">
        <f t="shared" si="60"/>
        <v>1509066.4259406179</v>
      </c>
    </row>
    <row r="174" spans="1:23" x14ac:dyDescent="0.25">
      <c r="A174" s="23">
        <f t="shared" si="58"/>
        <v>9</v>
      </c>
      <c r="B174" s="5" t="str">
        <f>IF(OR((C172="~"),(C174="~")),"~","")</f>
        <v/>
      </c>
      <c r="C174" s="5" t="s">
        <v>212</v>
      </c>
      <c r="E174" s="6">
        <v>107900124.19233356</v>
      </c>
      <c r="F174" s="6"/>
      <c r="G174" s="6">
        <v>50150073.296032399</v>
      </c>
      <c r="H174" s="6">
        <v>13168814.133831272</v>
      </c>
      <c r="I174" s="6">
        <v>13558603.591567008</v>
      </c>
      <c r="J174" s="6">
        <v>8944764.6082451157</v>
      </c>
      <c r="K174" s="6">
        <v>6411055.9022647589</v>
      </c>
      <c r="L174" s="6">
        <v>3056508.2257127594</v>
      </c>
      <c r="M174" s="6">
        <v>2793296.2156417919</v>
      </c>
      <c r="N174" s="6">
        <v>9425250.3360223062</v>
      </c>
      <c r="O174" s="6">
        <v>359857.93271492649</v>
      </c>
      <c r="P174" s="6">
        <v>31899.950301246296</v>
      </c>
      <c r="R174" s="6">
        <v>5839171.2062197197</v>
      </c>
      <c r="S174" s="6">
        <v>20278.438258820308</v>
      </c>
      <c r="T174" s="6">
        <v>551606.25778621924</v>
      </c>
      <c r="U174" s="6">
        <f t="shared" si="62"/>
        <v>0</v>
      </c>
      <c r="W174" s="6">
        <f t="shared" si="60"/>
        <v>5859449.6444785399</v>
      </c>
    </row>
    <row r="175" spans="1:23" x14ac:dyDescent="0.25">
      <c r="A175" s="23">
        <f t="shared" si="58"/>
        <v>10</v>
      </c>
      <c r="B175" s="5" t="str">
        <f>IF(OR((C172="~"),(C175="~")),"~","")</f>
        <v/>
      </c>
      <c r="C175" s="5" t="s">
        <v>213</v>
      </c>
      <c r="E175" s="6">
        <v>0</v>
      </c>
      <c r="F175" s="6"/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R175" s="6">
        <v>0</v>
      </c>
      <c r="S175" s="6">
        <v>0</v>
      </c>
      <c r="T175" s="6">
        <v>0</v>
      </c>
      <c r="U175" s="6">
        <f t="shared" si="62"/>
        <v>0</v>
      </c>
      <c r="W175" s="6">
        <f t="shared" si="60"/>
        <v>0</v>
      </c>
    </row>
    <row r="176" spans="1:23" x14ac:dyDescent="0.25">
      <c r="A176" s="24">
        <f>+A175+1</f>
        <v>11</v>
      </c>
      <c r="B176" s="14" t="str">
        <f>IF(OR((C172="~"),(C176="~")),"~","")</f>
        <v/>
      </c>
      <c r="C176" s="14" t="str">
        <f>IF(C172="~","~","Sub-total")</f>
        <v>Sub-total</v>
      </c>
      <c r="D176" s="14"/>
      <c r="E176" s="15">
        <f>SUM(E173:E175)</f>
        <v>143906847.38842461</v>
      </c>
      <c r="F176" s="15"/>
      <c r="G176" s="15">
        <f t="shared" ref="G176:P176" si="63">SUM(G173:G175)</f>
        <v>70794356.367385775</v>
      </c>
      <c r="H176" s="15">
        <f t="shared" si="63"/>
        <v>17327283.858404793</v>
      </c>
      <c r="I176" s="15">
        <f t="shared" si="63"/>
        <v>17435854.022539407</v>
      </c>
      <c r="J176" s="15">
        <f t="shared" si="63"/>
        <v>11146755.722590789</v>
      </c>
      <c r="K176" s="15">
        <f t="shared" si="63"/>
        <v>7920122.3282053769</v>
      </c>
      <c r="L176" s="15">
        <f t="shared" si="63"/>
        <v>3836905.2075374159</v>
      </c>
      <c r="M176" s="15">
        <f t="shared" si="63"/>
        <v>3370737.9173591975</v>
      </c>
      <c r="N176" s="15">
        <f t="shared" si="63"/>
        <v>11551538.785517167</v>
      </c>
      <c r="O176" s="15">
        <f t="shared" si="63"/>
        <v>478238.1389462126</v>
      </c>
      <c r="P176" s="15">
        <f t="shared" si="63"/>
        <v>45055.039938502567</v>
      </c>
      <c r="R176" s="15">
        <f>SUM(R173:R175)</f>
        <v>7348202.8896438405</v>
      </c>
      <c r="S176" s="15">
        <f>SUM(S173:S175)</f>
        <v>20313.180775317516</v>
      </c>
      <c r="T176" s="15">
        <f>SUM(T173:T175)</f>
        <v>551606.25778621924</v>
      </c>
      <c r="U176" s="15">
        <f>SUM(U173:U175)</f>
        <v>0</v>
      </c>
      <c r="W176" s="15">
        <f t="shared" si="60"/>
        <v>7368516.0704191579</v>
      </c>
    </row>
    <row r="177" spans="1:23" x14ac:dyDescent="0.25">
      <c r="A177" s="23">
        <f t="shared" si="58"/>
        <v>12</v>
      </c>
      <c r="B177" s="5" t="str">
        <f>IF(OR((C172="~"),(C177="~")),"~","")</f>
        <v/>
      </c>
    </row>
    <row r="178" spans="1:23" x14ac:dyDescent="0.25">
      <c r="A178" s="23">
        <f t="shared" si="58"/>
        <v>13</v>
      </c>
      <c r="C178" s="1" t="s">
        <v>216</v>
      </c>
    </row>
    <row r="179" spans="1:23" x14ac:dyDescent="0.25">
      <c r="A179" s="23">
        <f t="shared" si="58"/>
        <v>14</v>
      </c>
      <c r="B179" s="5" t="str">
        <f>IF(OR((C178="~"),(C179="~")),"~","")</f>
        <v/>
      </c>
      <c r="C179" s="5" t="s">
        <v>209</v>
      </c>
      <c r="E179" s="6">
        <v>366640741.7881605</v>
      </c>
      <c r="F179" s="6"/>
      <c r="G179" s="6">
        <v>233859181.70416239</v>
      </c>
      <c r="H179" s="6">
        <v>46276174.343589149</v>
      </c>
      <c r="I179" s="6">
        <v>41629191.687513761</v>
      </c>
      <c r="J179" s="6">
        <v>18900192.755158078</v>
      </c>
      <c r="K179" s="6">
        <v>17596850.884989187</v>
      </c>
      <c r="L179" s="6">
        <v>8079895.4207027182</v>
      </c>
      <c r="M179" s="6">
        <v>50791.477130447514</v>
      </c>
      <c r="N179" s="6">
        <v>-119970.01795069047</v>
      </c>
      <c r="O179" s="6">
        <v>221489.95961291043</v>
      </c>
      <c r="P179" s="6">
        <v>146943.57325263269</v>
      </c>
      <c r="R179" s="6">
        <v>13681857.239585426</v>
      </c>
      <c r="S179" s="6">
        <v>178576.28254297972</v>
      </c>
      <c r="T179" s="6">
        <v>3736417.3628607816</v>
      </c>
      <c r="U179" s="6">
        <f t="shared" ref="U179:U181" si="64">SUM(R179:T179,-K179)</f>
        <v>0</v>
      </c>
      <c r="W179" s="6">
        <f t="shared" si="60"/>
        <v>13860433.522128405</v>
      </c>
    </row>
    <row r="180" spans="1:23" x14ac:dyDescent="0.25">
      <c r="A180" s="23">
        <f t="shared" si="58"/>
        <v>15</v>
      </c>
      <c r="B180" s="5" t="str">
        <f>IF(OR((C178="~"),(C180="~")),"~","")</f>
        <v/>
      </c>
      <c r="C180" s="5" t="s">
        <v>212</v>
      </c>
      <c r="E180" s="6">
        <v>0</v>
      </c>
      <c r="F180" s="6"/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R180" s="6">
        <v>0</v>
      </c>
      <c r="S180" s="6">
        <v>0</v>
      </c>
      <c r="T180" s="6">
        <v>0</v>
      </c>
      <c r="U180" s="6">
        <f t="shared" si="64"/>
        <v>0</v>
      </c>
      <c r="W180" s="6">
        <f t="shared" si="60"/>
        <v>0</v>
      </c>
    </row>
    <row r="181" spans="1:23" x14ac:dyDescent="0.25">
      <c r="A181" s="23">
        <f t="shared" si="58"/>
        <v>16</v>
      </c>
      <c r="B181" s="5" t="str">
        <f>IF(OR((C178="~"),(C181="~")),"~","")</f>
        <v/>
      </c>
      <c r="C181" s="5" t="s">
        <v>213</v>
      </c>
      <c r="E181" s="6">
        <v>159969845.91717109</v>
      </c>
      <c r="F181" s="6"/>
      <c r="G181" s="6">
        <v>125877102.75481048</v>
      </c>
      <c r="H181" s="6">
        <v>12307426.877511442</v>
      </c>
      <c r="I181" s="6">
        <v>4280121.2669742368</v>
      </c>
      <c r="J181" s="6">
        <v>1145170.1815526607</v>
      </c>
      <c r="K181" s="6">
        <v>2465662.2679226059</v>
      </c>
      <c r="L181" s="6">
        <v>461713.0117439325</v>
      </c>
      <c r="M181" s="6">
        <v>122202.03218743674</v>
      </c>
      <c r="N181" s="6">
        <v>448189.0006082133</v>
      </c>
      <c r="O181" s="6">
        <v>12822144.256650882</v>
      </c>
      <c r="P181" s="6">
        <v>40114.267209210957</v>
      </c>
      <c r="R181" s="6">
        <v>1843221.853782912</v>
      </c>
      <c r="S181" s="6">
        <v>4145.1152713604215</v>
      </c>
      <c r="T181" s="6">
        <v>618295.29886833346</v>
      </c>
      <c r="U181" s="6">
        <f t="shared" si="64"/>
        <v>0</v>
      </c>
      <c r="W181" s="6">
        <f t="shared" si="60"/>
        <v>1847366.9690542724</v>
      </c>
    </row>
    <row r="182" spans="1:23" x14ac:dyDescent="0.25">
      <c r="A182" s="24">
        <f>+A181+1</f>
        <v>17</v>
      </c>
      <c r="B182" s="14" t="str">
        <f>IF(OR((C178="~"),(C182="~")),"~","")</f>
        <v/>
      </c>
      <c r="C182" s="14" t="str">
        <f>IF(C178="~","~","Sub-total")</f>
        <v>Sub-total</v>
      </c>
      <c r="D182" s="14"/>
      <c r="E182" s="15">
        <f>SUM(E179:E181)</f>
        <v>526610587.70533156</v>
      </c>
      <c r="F182" s="15"/>
      <c r="G182" s="15">
        <f t="shared" ref="G182:P182" si="65">SUM(G179:G181)</f>
        <v>359736284.45897287</v>
      </c>
      <c r="H182" s="15">
        <f t="shared" si="65"/>
        <v>58583601.221100591</v>
      </c>
      <c r="I182" s="15">
        <f t="shared" si="65"/>
        <v>45909312.954487994</v>
      </c>
      <c r="J182" s="15">
        <f t="shared" si="65"/>
        <v>20045362.936710738</v>
      </c>
      <c r="K182" s="15">
        <f t="shared" si="65"/>
        <v>20062513.152911793</v>
      </c>
      <c r="L182" s="15">
        <f t="shared" si="65"/>
        <v>8541608.4324466512</v>
      </c>
      <c r="M182" s="15">
        <f t="shared" si="65"/>
        <v>172993.50931788425</v>
      </c>
      <c r="N182" s="15">
        <f t="shared" si="65"/>
        <v>328218.98265752284</v>
      </c>
      <c r="O182" s="15">
        <f t="shared" si="65"/>
        <v>13043634.216263792</v>
      </c>
      <c r="P182" s="15">
        <f t="shared" si="65"/>
        <v>187057.84046184365</v>
      </c>
      <c r="R182" s="15">
        <f>SUM(R179:R181)</f>
        <v>15525079.093368338</v>
      </c>
      <c r="S182" s="15">
        <f>SUM(S179:S181)</f>
        <v>182721.39781434013</v>
      </c>
      <c r="T182" s="15">
        <f>SUM(T179:T181)</f>
        <v>4354712.6617291151</v>
      </c>
      <c r="U182" s="15">
        <f>SUM(U179:U181)</f>
        <v>0</v>
      </c>
      <c r="W182" s="15">
        <f t="shared" si="60"/>
        <v>15707800.491182679</v>
      </c>
    </row>
    <row r="183" spans="1:23" hidden="1" x14ac:dyDescent="0.25">
      <c r="A183" s="23"/>
      <c r="B183" s="5" t="str">
        <f>IF(OR((C178="~"),(C183="~")),"~","")</f>
        <v/>
      </c>
      <c r="W183" s="5">
        <f t="shared" si="60"/>
        <v>0</v>
      </c>
    </row>
    <row r="184" spans="1:23" hidden="1" x14ac:dyDescent="0.25">
      <c r="A184" s="23"/>
      <c r="B184" s="5" t="s">
        <v>214</v>
      </c>
      <c r="C184" s="1"/>
      <c r="W184" s="5">
        <f t="shared" si="60"/>
        <v>0</v>
      </c>
    </row>
    <row r="185" spans="1:23" hidden="1" x14ac:dyDescent="0.25">
      <c r="A185" s="23"/>
      <c r="B185" s="5" t="str">
        <f>IF(OR((B184="~"),(C185="~")),"~","")</f>
        <v>~</v>
      </c>
      <c r="C185" s="5" t="s">
        <v>214</v>
      </c>
      <c r="E185" s="6">
        <v>0</v>
      </c>
      <c r="F185" s="6"/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R185" s="6">
        <v>0</v>
      </c>
      <c r="S185" s="6">
        <v>0</v>
      </c>
      <c r="T185" s="6">
        <v>0</v>
      </c>
      <c r="U185" s="6">
        <v>0</v>
      </c>
      <c r="W185" s="6">
        <f t="shared" si="60"/>
        <v>0</v>
      </c>
    </row>
    <row r="186" spans="1:23" hidden="1" x14ac:dyDescent="0.25">
      <c r="A186" s="23"/>
      <c r="B186" s="5" t="str">
        <f>IF(OR((B184="~"),(C186="~")),"~","")</f>
        <v>~</v>
      </c>
      <c r="C186" s="5" t="s">
        <v>214</v>
      </c>
      <c r="E186" s="6">
        <v>0</v>
      </c>
      <c r="F186" s="6"/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R186" s="6">
        <v>0</v>
      </c>
      <c r="S186" s="6">
        <v>0</v>
      </c>
      <c r="T186" s="6">
        <v>0</v>
      </c>
      <c r="U186" s="6">
        <v>0</v>
      </c>
      <c r="W186" s="6">
        <f t="shared" si="60"/>
        <v>0</v>
      </c>
    </row>
    <row r="187" spans="1:23" hidden="1" x14ac:dyDescent="0.25">
      <c r="A187" s="23"/>
      <c r="B187" s="5" t="str">
        <f>IF(OR((B184="~"),(C187="~")),"~","")</f>
        <v>~</v>
      </c>
      <c r="C187" s="5" t="s">
        <v>214</v>
      </c>
      <c r="E187" s="6">
        <v>0</v>
      </c>
      <c r="F187" s="6"/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R187" s="6">
        <v>0</v>
      </c>
      <c r="S187" s="6">
        <v>0</v>
      </c>
      <c r="T187" s="6">
        <v>0</v>
      </c>
      <c r="U187" s="6">
        <v>0</v>
      </c>
      <c r="W187" s="6">
        <f t="shared" si="60"/>
        <v>0</v>
      </c>
    </row>
    <row r="188" spans="1:23" hidden="1" x14ac:dyDescent="0.25">
      <c r="A188" s="23"/>
      <c r="B188" s="5" t="str">
        <f>IF(OR((B184="~"),(C188="~")),"~","")</f>
        <v>~</v>
      </c>
      <c r="C188" s="5" t="s">
        <v>214</v>
      </c>
      <c r="E188" s="6">
        <v>0</v>
      </c>
      <c r="F188" s="6"/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R188" s="6">
        <v>0</v>
      </c>
      <c r="S188" s="6">
        <v>0</v>
      </c>
      <c r="T188" s="6">
        <v>0</v>
      </c>
      <c r="U188" s="6">
        <v>0</v>
      </c>
      <c r="W188" s="6">
        <f t="shared" si="60"/>
        <v>0</v>
      </c>
    </row>
    <row r="189" spans="1:23" hidden="1" x14ac:dyDescent="0.25">
      <c r="A189" s="23"/>
      <c r="B189" s="5" t="str">
        <f>IF(OR((B184="~"),(C189="~")),"~","")</f>
        <v>~</v>
      </c>
      <c r="C189" s="5" t="s">
        <v>214</v>
      </c>
      <c r="E189" s="6">
        <v>0</v>
      </c>
      <c r="F189" s="6"/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R189" s="6">
        <v>0</v>
      </c>
      <c r="S189" s="6">
        <v>0</v>
      </c>
      <c r="T189" s="6">
        <v>0</v>
      </c>
      <c r="U189" s="6">
        <v>0</v>
      </c>
      <c r="W189" s="6">
        <f t="shared" si="60"/>
        <v>0</v>
      </c>
    </row>
    <row r="190" spans="1:23" hidden="1" x14ac:dyDescent="0.25">
      <c r="A190" s="23"/>
      <c r="B190" s="5" t="str">
        <f>IF(OR((B184="~"),(C190="~")),"~","")</f>
        <v>~</v>
      </c>
      <c r="C190" s="5" t="s">
        <v>214</v>
      </c>
      <c r="E190" s="6">
        <v>0</v>
      </c>
      <c r="F190" s="6"/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R190" s="6">
        <v>0</v>
      </c>
      <c r="S190" s="6">
        <v>0</v>
      </c>
      <c r="T190" s="6">
        <v>0</v>
      </c>
      <c r="U190" s="6">
        <v>0</v>
      </c>
      <c r="W190" s="6">
        <f t="shared" si="60"/>
        <v>0</v>
      </c>
    </row>
    <row r="191" spans="1:23" hidden="1" x14ac:dyDescent="0.25">
      <c r="A191" s="24"/>
      <c r="B191" s="14" t="str">
        <f>IF(OR((B184="~"),(C191="~")),"~","")</f>
        <v>~</v>
      </c>
      <c r="C191" s="14" t="str">
        <f>IF(B184="~","~","Sub-total")</f>
        <v>~</v>
      </c>
      <c r="D191" s="14"/>
      <c r="E191" s="15">
        <f>SUM(E185:E190)</f>
        <v>0</v>
      </c>
      <c r="F191" s="15"/>
      <c r="G191" s="15">
        <f t="shared" ref="G191:P191" si="66">SUM(G185:G190)</f>
        <v>0</v>
      </c>
      <c r="H191" s="15">
        <f t="shared" si="66"/>
        <v>0</v>
      </c>
      <c r="I191" s="15">
        <f t="shared" si="66"/>
        <v>0</v>
      </c>
      <c r="J191" s="15">
        <f t="shared" si="66"/>
        <v>0</v>
      </c>
      <c r="K191" s="15">
        <f t="shared" si="66"/>
        <v>0</v>
      </c>
      <c r="L191" s="15">
        <f t="shared" si="66"/>
        <v>0</v>
      </c>
      <c r="M191" s="15">
        <f t="shared" si="66"/>
        <v>0</v>
      </c>
      <c r="N191" s="15">
        <f t="shared" si="66"/>
        <v>0</v>
      </c>
      <c r="O191" s="15">
        <f t="shared" si="66"/>
        <v>0</v>
      </c>
      <c r="P191" s="15">
        <f t="shared" si="66"/>
        <v>0</v>
      </c>
      <c r="R191" s="15">
        <f>SUM(R185:R190)</f>
        <v>0</v>
      </c>
      <c r="S191" s="15">
        <f>SUM(S185:S190)</f>
        <v>0</v>
      </c>
      <c r="T191" s="15">
        <f>SUM(T185:T190)</f>
        <v>0</v>
      </c>
      <c r="U191" s="15">
        <f>SUM(U185:U190)</f>
        <v>0</v>
      </c>
      <c r="W191" s="15">
        <f t="shared" si="60"/>
        <v>0</v>
      </c>
    </row>
    <row r="192" spans="1:23" hidden="1" x14ac:dyDescent="0.25">
      <c r="A192" s="23"/>
      <c r="B192" s="5" t="str">
        <f>IF(OR((B184="~"),(C192="~")),"~","")</f>
        <v>~</v>
      </c>
      <c r="W192" s="5">
        <f t="shared" si="60"/>
        <v>0</v>
      </c>
    </row>
    <row r="193" spans="1:23" hidden="1" x14ac:dyDescent="0.25">
      <c r="A193" s="23"/>
      <c r="B193" s="5" t="s">
        <v>214</v>
      </c>
      <c r="C193" s="1"/>
      <c r="W193" s="5">
        <f t="shared" si="60"/>
        <v>0</v>
      </c>
    </row>
    <row r="194" spans="1:23" hidden="1" x14ac:dyDescent="0.25">
      <c r="A194" s="23"/>
      <c r="B194" s="5" t="str">
        <f>IF(OR((B193="~"),(C194="~")),"~","")</f>
        <v>~</v>
      </c>
      <c r="C194" s="5" t="s">
        <v>214</v>
      </c>
      <c r="E194" s="6">
        <v>0</v>
      </c>
      <c r="F194" s="6"/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R194" s="6">
        <v>0</v>
      </c>
      <c r="S194" s="6">
        <v>0</v>
      </c>
      <c r="T194" s="6">
        <v>0</v>
      </c>
      <c r="U194" s="6">
        <v>0</v>
      </c>
      <c r="W194" s="6">
        <f t="shared" si="60"/>
        <v>0</v>
      </c>
    </row>
    <row r="195" spans="1:23" hidden="1" x14ac:dyDescent="0.25">
      <c r="A195" s="23"/>
      <c r="B195" s="5" t="str">
        <f>IF(OR((B193="~"),(C195="~")),"~","")</f>
        <v>~</v>
      </c>
      <c r="C195" s="5" t="s">
        <v>214</v>
      </c>
      <c r="E195" s="6">
        <v>0</v>
      </c>
      <c r="F195" s="6"/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R195" s="6">
        <v>0</v>
      </c>
      <c r="S195" s="6">
        <v>0</v>
      </c>
      <c r="T195" s="6">
        <v>0</v>
      </c>
      <c r="U195" s="6">
        <v>0</v>
      </c>
      <c r="W195" s="6">
        <f t="shared" si="60"/>
        <v>0</v>
      </c>
    </row>
    <row r="196" spans="1:23" hidden="1" x14ac:dyDescent="0.25">
      <c r="A196" s="23"/>
      <c r="B196" s="5" t="str">
        <f>IF(OR((B193="~"),(C196="~")),"~","")</f>
        <v>~</v>
      </c>
      <c r="C196" s="5" t="s">
        <v>214</v>
      </c>
      <c r="E196" s="6">
        <v>0</v>
      </c>
      <c r="F196" s="6"/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R196" s="6">
        <v>0</v>
      </c>
      <c r="S196" s="6">
        <v>0</v>
      </c>
      <c r="T196" s="6">
        <v>0</v>
      </c>
      <c r="U196" s="6">
        <v>0</v>
      </c>
      <c r="W196" s="6">
        <f t="shared" si="60"/>
        <v>0</v>
      </c>
    </row>
    <row r="197" spans="1:23" hidden="1" x14ac:dyDescent="0.25">
      <c r="A197" s="23"/>
      <c r="B197" s="5" t="str">
        <f>IF(OR((B193="~"),(C197="~")),"~","")</f>
        <v>~</v>
      </c>
      <c r="C197" s="5" t="s">
        <v>214</v>
      </c>
      <c r="E197" s="6">
        <v>0</v>
      </c>
      <c r="F197" s="6"/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R197" s="6">
        <v>0</v>
      </c>
      <c r="S197" s="6">
        <v>0</v>
      </c>
      <c r="T197" s="6">
        <v>0</v>
      </c>
      <c r="U197" s="6">
        <v>0</v>
      </c>
      <c r="W197" s="6">
        <f t="shared" si="60"/>
        <v>0</v>
      </c>
    </row>
    <row r="198" spans="1:23" hidden="1" x14ac:dyDescent="0.25">
      <c r="A198" s="23"/>
      <c r="B198" s="5" t="str">
        <f>IF(OR((B193="~"),(C198="~")),"~","")</f>
        <v>~</v>
      </c>
      <c r="C198" s="5" t="s">
        <v>214</v>
      </c>
      <c r="E198" s="6">
        <v>0</v>
      </c>
      <c r="F198" s="6"/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R198" s="6">
        <v>0</v>
      </c>
      <c r="S198" s="6">
        <v>0</v>
      </c>
      <c r="T198" s="6">
        <v>0</v>
      </c>
      <c r="U198" s="6">
        <v>0</v>
      </c>
      <c r="W198" s="6">
        <f t="shared" si="60"/>
        <v>0</v>
      </c>
    </row>
    <row r="199" spans="1:23" hidden="1" x14ac:dyDescent="0.25">
      <c r="A199" s="23"/>
      <c r="B199" s="5" t="str">
        <f>IF(OR((B193="~"),(C199="~")),"~","")</f>
        <v>~</v>
      </c>
      <c r="C199" s="5" t="s">
        <v>214</v>
      </c>
      <c r="E199" s="6">
        <v>0</v>
      </c>
      <c r="F199" s="6"/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R199" s="6">
        <v>0</v>
      </c>
      <c r="S199" s="6">
        <v>0</v>
      </c>
      <c r="T199" s="6">
        <v>0</v>
      </c>
      <c r="U199" s="6">
        <v>0</v>
      </c>
      <c r="W199" s="6">
        <f t="shared" si="60"/>
        <v>0</v>
      </c>
    </row>
    <row r="200" spans="1:23" hidden="1" x14ac:dyDescent="0.25">
      <c r="A200" s="24"/>
      <c r="B200" s="14" t="str">
        <f>IF(OR((B193="~"),(C200="~")),"~","")</f>
        <v>~</v>
      </c>
      <c r="C200" s="14" t="str">
        <f>IF(B193="~","~","Sub-total")</f>
        <v>~</v>
      </c>
      <c r="D200" s="14"/>
      <c r="E200" s="15">
        <f>SUM(E194:E199)</f>
        <v>0</v>
      </c>
      <c r="F200" s="15"/>
      <c r="G200" s="15">
        <f t="shared" ref="G200:P200" si="67">SUM(G194:G199)</f>
        <v>0</v>
      </c>
      <c r="H200" s="15">
        <f t="shared" si="67"/>
        <v>0</v>
      </c>
      <c r="I200" s="15">
        <f t="shared" si="67"/>
        <v>0</v>
      </c>
      <c r="J200" s="15">
        <f t="shared" si="67"/>
        <v>0</v>
      </c>
      <c r="K200" s="15">
        <f t="shared" si="67"/>
        <v>0</v>
      </c>
      <c r="L200" s="15">
        <f t="shared" si="67"/>
        <v>0</v>
      </c>
      <c r="M200" s="15">
        <f t="shared" si="67"/>
        <v>0</v>
      </c>
      <c r="N200" s="15">
        <f t="shared" si="67"/>
        <v>0</v>
      </c>
      <c r="O200" s="15">
        <f t="shared" si="67"/>
        <v>0</v>
      </c>
      <c r="P200" s="15">
        <f t="shared" si="67"/>
        <v>0</v>
      </c>
      <c r="R200" s="15">
        <f>SUM(R194:R199)</f>
        <v>0</v>
      </c>
      <c r="S200" s="15">
        <f>SUM(S194:S199)</f>
        <v>0</v>
      </c>
      <c r="T200" s="15">
        <f>SUM(T194:T199)</f>
        <v>0</v>
      </c>
      <c r="U200" s="15">
        <f>SUM(U194:U199)</f>
        <v>0</v>
      </c>
      <c r="W200" s="15">
        <f t="shared" si="60"/>
        <v>0</v>
      </c>
    </row>
    <row r="201" spans="1:23" hidden="1" x14ac:dyDescent="0.25">
      <c r="A201" s="23"/>
      <c r="B201" s="5" t="str">
        <f>IF(OR((B193="~"),(C201="~")),"~","")</f>
        <v>~</v>
      </c>
      <c r="W201" s="5">
        <f t="shared" si="60"/>
        <v>0</v>
      </c>
    </row>
    <row r="202" spans="1:23" hidden="1" x14ac:dyDescent="0.25">
      <c r="A202" s="23"/>
      <c r="B202" s="5" t="s">
        <v>214</v>
      </c>
      <c r="C202" s="1"/>
      <c r="W202" s="5">
        <f t="shared" si="60"/>
        <v>0</v>
      </c>
    </row>
    <row r="203" spans="1:23" hidden="1" x14ac:dyDescent="0.25">
      <c r="A203" s="23"/>
      <c r="B203" s="5" t="str">
        <f>IF(OR((B202="~"),(C203="~")),"~","")</f>
        <v>~</v>
      </c>
      <c r="C203" s="5" t="s">
        <v>214</v>
      </c>
      <c r="E203" s="6">
        <v>0</v>
      </c>
      <c r="F203" s="6"/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R203" s="6">
        <v>0</v>
      </c>
      <c r="S203" s="6">
        <v>0</v>
      </c>
      <c r="T203" s="6">
        <v>0</v>
      </c>
      <c r="U203" s="6">
        <v>0</v>
      </c>
      <c r="W203" s="6">
        <f t="shared" si="60"/>
        <v>0</v>
      </c>
    </row>
    <row r="204" spans="1:23" hidden="1" x14ac:dyDescent="0.25">
      <c r="A204" s="23"/>
      <c r="B204" s="5" t="str">
        <f>IF(OR((B202="~"),(C204="~")),"~","")</f>
        <v>~</v>
      </c>
      <c r="C204" s="5" t="s">
        <v>214</v>
      </c>
      <c r="E204" s="6">
        <v>0</v>
      </c>
      <c r="F204" s="6"/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R204" s="6">
        <v>0</v>
      </c>
      <c r="S204" s="6">
        <v>0</v>
      </c>
      <c r="T204" s="6">
        <v>0</v>
      </c>
      <c r="U204" s="6">
        <v>0</v>
      </c>
      <c r="W204" s="6">
        <f t="shared" si="60"/>
        <v>0</v>
      </c>
    </row>
    <row r="205" spans="1:23" hidden="1" x14ac:dyDescent="0.25">
      <c r="A205" s="23"/>
      <c r="B205" s="5" t="str">
        <f>IF(OR((B202="~"),(C205="~")),"~","")</f>
        <v>~</v>
      </c>
      <c r="C205" s="5" t="s">
        <v>214</v>
      </c>
      <c r="E205" s="6">
        <v>0</v>
      </c>
      <c r="F205" s="6"/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R205" s="6">
        <v>0</v>
      </c>
      <c r="S205" s="6">
        <v>0</v>
      </c>
      <c r="T205" s="6">
        <v>0</v>
      </c>
      <c r="U205" s="6">
        <v>0</v>
      </c>
      <c r="W205" s="6">
        <f t="shared" si="60"/>
        <v>0</v>
      </c>
    </row>
    <row r="206" spans="1:23" hidden="1" x14ac:dyDescent="0.25">
      <c r="A206" s="23"/>
      <c r="B206" s="5" t="str">
        <f>IF(OR((B202="~"),(C206="~")),"~","")</f>
        <v>~</v>
      </c>
      <c r="C206" s="5" t="s">
        <v>214</v>
      </c>
      <c r="E206" s="6">
        <v>0</v>
      </c>
      <c r="F206" s="6"/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R206" s="6">
        <v>0</v>
      </c>
      <c r="S206" s="6">
        <v>0</v>
      </c>
      <c r="T206" s="6">
        <v>0</v>
      </c>
      <c r="U206" s="6">
        <v>0</v>
      </c>
      <c r="W206" s="6">
        <f t="shared" si="60"/>
        <v>0</v>
      </c>
    </row>
    <row r="207" spans="1:23" hidden="1" x14ac:dyDescent="0.25">
      <c r="A207" s="23"/>
      <c r="B207" s="5" t="str">
        <f>IF(OR((B202="~"),(C207="~")),"~","")</f>
        <v>~</v>
      </c>
      <c r="C207" s="5" t="s">
        <v>214</v>
      </c>
      <c r="E207" s="6">
        <v>0</v>
      </c>
      <c r="F207" s="6"/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R207" s="6">
        <v>0</v>
      </c>
      <c r="S207" s="6">
        <v>0</v>
      </c>
      <c r="T207" s="6">
        <v>0</v>
      </c>
      <c r="U207" s="6">
        <v>0</v>
      </c>
      <c r="W207" s="6">
        <f t="shared" si="60"/>
        <v>0</v>
      </c>
    </row>
    <row r="208" spans="1:23" hidden="1" x14ac:dyDescent="0.25">
      <c r="A208" s="23"/>
      <c r="B208" s="5" t="str">
        <f>IF(OR((B202="~"),(C208="~")),"~","")</f>
        <v>~</v>
      </c>
      <c r="C208" s="5" t="s">
        <v>214</v>
      </c>
      <c r="E208" s="6">
        <v>0</v>
      </c>
      <c r="F208" s="6"/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R208" s="6">
        <v>0</v>
      </c>
      <c r="S208" s="6">
        <v>0</v>
      </c>
      <c r="T208" s="6">
        <v>0</v>
      </c>
      <c r="U208" s="6">
        <v>0</v>
      </c>
      <c r="W208" s="6">
        <f t="shared" si="60"/>
        <v>0</v>
      </c>
    </row>
    <row r="209" spans="1:23" hidden="1" x14ac:dyDescent="0.25">
      <c r="A209" s="24"/>
      <c r="B209" s="14" t="str">
        <f>IF(OR((B202="~"),(C209="~")),"~","")</f>
        <v>~</v>
      </c>
      <c r="C209" s="14" t="str">
        <f>IF(B202="~","~","Sub-total")</f>
        <v>~</v>
      </c>
      <c r="D209" s="14"/>
      <c r="E209" s="15">
        <f>SUM(E203:E208)</f>
        <v>0</v>
      </c>
      <c r="F209" s="15"/>
      <c r="G209" s="15">
        <f t="shared" ref="G209:P209" si="68">SUM(G203:G208)</f>
        <v>0</v>
      </c>
      <c r="H209" s="15">
        <f t="shared" si="68"/>
        <v>0</v>
      </c>
      <c r="I209" s="15">
        <f t="shared" si="68"/>
        <v>0</v>
      </c>
      <c r="J209" s="15">
        <f t="shared" si="68"/>
        <v>0</v>
      </c>
      <c r="K209" s="15">
        <f t="shared" si="68"/>
        <v>0</v>
      </c>
      <c r="L209" s="15">
        <f t="shared" si="68"/>
        <v>0</v>
      </c>
      <c r="M209" s="15">
        <f t="shared" si="68"/>
        <v>0</v>
      </c>
      <c r="N209" s="15">
        <f t="shared" si="68"/>
        <v>0</v>
      </c>
      <c r="O209" s="15">
        <f t="shared" si="68"/>
        <v>0</v>
      </c>
      <c r="P209" s="15">
        <f t="shared" si="68"/>
        <v>0</v>
      </c>
      <c r="R209" s="15">
        <f>SUM(R203:R208)</f>
        <v>0</v>
      </c>
      <c r="S209" s="15">
        <f>SUM(S203:S208)</f>
        <v>0</v>
      </c>
      <c r="T209" s="15">
        <f>SUM(T203:T208)</f>
        <v>0</v>
      </c>
      <c r="U209" s="15">
        <f>SUM(U203:U208)</f>
        <v>0</v>
      </c>
      <c r="W209" s="15">
        <f t="shared" si="60"/>
        <v>0</v>
      </c>
    </row>
    <row r="210" spans="1:23" hidden="1" x14ac:dyDescent="0.25">
      <c r="A210" s="23"/>
      <c r="B210" s="5" t="str">
        <f>IF(OR((B202="~"),(C210="~")),"~","")</f>
        <v>~</v>
      </c>
      <c r="W210" s="5">
        <f t="shared" si="60"/>
        <v>0</v>
      </c>
    </row>
    <row r="211" spans="1:23" hidden="1" x14ac:dyDescent="0.25">
      <c r="A211" s="23"/>
      <c r="B211" s="5" t="s">
        <v>214</v>
      </c>
      <c r="C211" s="1"/>
      <c r="W211" s="5">
        <f t="shared" si="60"/>
        <v>0</v>
      </c>
    </row>
    <row r="212" spans="1:23" hidden="1" x14ac:dyDescent="0.25">
      <c r="A212" s="23"/>
      <c r="B212" s="5" t="str">
        <f>IF(OR((B211="~"),(C212="~")),"~","")</f>
        <v>~</v>
      </c>
      <c r="C212" s="5" t="s">
        <v>214</v>
      </c>
      <c r="E212" s="6">
        <v>0</v>
      </c>
      <c r="F212" s="6"/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R212" s="6">
        <v>0</v>
      </c>
      <c r="S212" s="6">
        <v>0</v>
      </c>
      <c r="T212" s="6">
        <v>0</v>
      </c>
      <c r="U212" s="6">
        <v>0</v>
      </c>
      <c r="W212" s="6">
        <f t="shared" si="60"/>
        <v>0</v>
      </c>
    </row>
    <row r="213" spans="1:23" hidden="1" x14ac:dyDescent="0.25">
      <c r="A213" s="23"/>
      <c r="B213" s="5" t="str">
        <f>IF(OR((B211="~"),(C213="~")),"~","")</f>
        <v>~</v>
      </c>
      <c r="C213" s="5" t="s">
        <v>214</v>
      </c>
      <c r="E213" s="6">
        <v>0</v>
      </c>
      <c r="F213" s="6"/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R213" s="6">
        <v>0</v>
      </c>
      <c r="S213" s="6">
        <v>0</v>
      </c>
      <c r="T213" s="6">
        <v>0</v>
      </c>
      <c r="U213" s="6">
        <v>0</v>
      </c>
      <c r="W213" s="6">
        <f t="shared" si="60"/>
        <v>0</v>
      </c>
    </row>
    <row r="214" spans="1:23" hidden="1" x14ac:dyDescent="0.25">
      <c r="A214" s="23"/>
      <c r="B214" s="5" t="str">
        <f>IF(OR((B211="~"),(C214="~")),"~","")</f>
        <v>~</v>
      </c>
      <c r="C214" s="5" t="s">
        <v>214</v>
      </c>
      <c r="E214" s="6">
        <v>0</v>
      </c>
      <c r="F214" s="6"/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R214" s="6">
        <v>0</v>
      </c>
      <c r="S214" s="6">
        <v>0</v>
      </c>
      <c r="T214" s="6">
        <v>0</v>
      </c>
      <c r="U214" s="6">
        <v>0</v>
      </c>
      <c r="W214" s="6">
        <f t="shared" si="60"/>
        <v>0</v>
      </c>
    </row>
    <row r="215" spans="1:23" hidden="1" x14ac:dyDescent="0.25">
      <c r="A215" s="23"/>
      <c r="B215" s="5" t="str">
        <f>IF(OR((B211="~"),(C215="~")),"~","")</f>
        <v>~</v>
      </c>
      <c r="C215" s="5" t="s">
        <v>214</v>
      </c>
      <c r="E215" s="6">
        <v>0</v>
      </c>
      <c r="F215" s="6"/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R215" s="6">
        <v>0</v>
      </c>
      <c r="S215" s="6">
        <v>0</v>
      </c>
      <c r="T215" s="6">
        <v>0</v>
      </c>
      <c r="U215" s="6">
        <v>0</v>
      </c>
      <c r="W215" s="6">
        <f t="shared" si="60"/>
        <v>0</v>
      </c>
    </row>
    <row r="216" spans="1:23" hidden="1" x14ac:dyDescent="0.25">
      <c r="A216" s="23"/>
      <c r="B216" s="5" t="str">
        <f>IF(OR((B211="~"),(C216="~")),"~","")</f>
        <v>~</v>
      </c>
      <c r="C216" s="5" t="s">
        <v>214</v>
      </c>
      <c r="E216" s="6">
        <v>0</v>
      </c>
      <c r="F216" s="6"/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R216" s="6">
        <v>0</v>
      </c>
      <c r="S216" s="6">
        <v>0</v>
      </c>
      <c r="T216" s="6">
        <v>0</v>
      </c>
      <c r="U216" s="6">
        <v>0</v>
      </c>
      <c r="W216" s="6">
        <f t="shared" si="60"/>
        <v>0</v>
      </c>
    </row>
    <row r="217" spans="1:23" hidden="1" x14ac:dyDescent="0.25">
      <c r="A217" s="23"/>
      <c r="B217" s="5" t="str">
        <f>IF(OR((B211="~"),(C217="~")),"~","")</f>
        <v>~</v>
      </c>
      <c r="C217" s="5" t="s">
        <v>214</v>
      </c>
      <c r="E217" s="6">
        <v>0</v>
      </c>
      <c r="F217" s="6"/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R217" s="6">
        <v>0</v>
      </c>
      <c r="S217" s="6">
        <v>0</v>
      </c>
      <c r="T217" s="6">
        <v>0</v>
      </c>
      <c r="U217" s="6">
        <v>0</v>
      </c>
      <c r="W217" s="6">
        <f t="shared" si="60"/>
        <v>0</v>
      </c>
    </row>
    <row r="218" spans="1:23" hidden="1" x14ac:dyDescent="0.25">
      <c r="A218" s="24"/>
      <c r="B218" s="14" t="str">
        <f>IF(OR((B211="~"),(C218="~")),"~","")</f>
        <v>~</v>
      </c>
      <c r="C218" s="14" t="str">
        <f>IF(B211="~","~","Sub-total")</f>
        <v>~</v>
      </c>
      <c r="D218" s="14"/>
      <c r="E218" s="15">
        <f>SUM(E212:E217)</f>
        <v>0</v>
      </c>
      <c r="F218" s="15"/>
      <c r="G218" s="15">
        <f t="shared" ref="G218:P218" si="69">SUM(G212:G217)</f>
        <v>0</v>
      </c>
      <c r="H218" s="15">
        <f t="shared" si="69"/>
        <v>0</v>
      </c>
      <c r="I218" s="15">
        <f t="shared" si="69"/>
        <v>0</v>
      </c>
      <c r="J218" s="15">
        <f t="shared" si="69"/>
        <v>0</v>
      </c>
      <c r="K218" s="15">
        <f t="shared" si="69"/>
        <v>0</v>
      </c>
      <c r="L218" s="15">
        <f t="shared" si="69"/>
        <v>0</v>
      </c>
      <c r="M218" s="15">
        <f t="shared" si="69"/>
        <v>0</v>
      </c>
      <c r="N218" s="15">
        <f t="shared" si="69"/>
        <v>0</v>
      </c>
      <c r="O218" s="15">
        <f t="shared" si="69"/>
        <v>0</v>
      </c>
      <c r="P218" s="15">
        <f t="shared" si="69"/>
        <v>0</v>
      </c>
      <c r="R218" s="15">
        <f>SUM(R212:R217)</f>
        <v>0</v>
      </c>
      <c r="S218" s="15">
        <f>SUM(S212:S217)</f>
        <v>0</v>
      </c>
      <c r="T218" s="15">
        <f>SUM(T212:T217)</f>
        <v>0</v>
      </c>
      <c r="U218" s="15">
        <f>SUM(U212:U217)</f>
        <v>0</v>
      </c>
      <c r="W218" s="15">
        <f t="shared" si="60"/>
        <v>0</v>
      </c>
    </row>
    <row r="219" spans="1:23" hidden="1" x14ac:dyDescent="0.25">
      <c r="A219" s="23"/>
      <c r="B219" s="5" t="str">
        <f>IF(OR((B211="~"),(C219="~")),"~","")</f>
        <v>~</v>
      </c>
      <c r="W219" s="5">
        <f t="shared" si="60"/>
        <v>0</v>
      </c>
    </row>
    <row r="220" spans="1:23" hidden="1" x14ac:dyDescent="0.25">
      <c r="A220" s="23"/>
      <c r="B220" s="5" t="s">
        <v>214</v>
      </c>
      <c r="C220" s="1"/>
      <c r="W220" s="5">
        <f t="shared" si="60"/>
        <v>0</v>
      </c>
    </row>
    <row r="221" spans="1:23" hidden="1" x14ac:dyDescent="0.25">
      <c r="A221" s="23"/>
      <c r="B221" s="5" t="str">
        <f>IF(OR((B220="~"),(C221="~")),"~","")</f>
        <v>~</v>
      </c>
      <c r="C221" s="5" t="s">
        <v>214</v>
      </c>
      <c r="E221" s="6">
        <v>0</v>
      </c>
      <c r="F221" s="6"/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R221" s="6">
        <v>0</v>
      </c>
      <c r="S221" s="6">
        <v>0</v>
      </c>
      <c r="T221" s="6">
        <v>0</v>
      </c>
      <c r="U221" s="6">
        <v>0</v>
      </c>
      <c r="W221" s="6">
        <f t="shared" si="60"/>
        <v>0</v>
      </c>
    </row>
    <row r="222" spans="1:23" hidden="1" x14ac:dyDescent="0.25">
      <c r="A222" s="23"/>
      <c r="B222" s="5" t="str">
        <f>IF(OR((B220="~"),(C222="~")),"~","")</f>
        <v>~</v>
      </c>
      <c r="C222" s="5" t="s">
        <v>214</v>
      </c>
      <c r="E222" s="6">
        <v>0</v>
      </c>
      <c r="F222" s="6"/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R222" s="6">
        <v>0</v>
      </c>
      <c r="S222" s="6">
        <v>0</v>
      </c>
      <c r="T222" s="6">
        <v>0</v>
      </c>
      <c r="U222" s="6">
        <v>0</v>
      </c>
      <c r="W222" s="6">
        <f t="shared" ref="W222:W252" si="70">+R222+S222</f>
        <v>0</v>
      </c>
    </row>
    <row r="223" spans="1:23" hidden="1" x14ac:dyDescent="0.25">
      <c r="A223" s="23"/>
      <c r="B223" s="5" t="str">
        <f>IF(OR((B220="~"),(C223="~")),"~","")</f>
        <v>~</v>
      </c>
      <c r="C223" s="5" t="s">
        <v>214</v>
      </c>
      <c r="E223" s="6">
        <v>0</v>
      </c>
      <c r="F223" s="6"/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R223" s="6">
        <v>0</v>
      </c>
      <c r="S223" s="6">
        <v>0</v>
      </c>
      <c r="T223" s="6">
        <v>0</v>
      </c>
      <c r="U223" s="6">
        <v>0</v>
      </c>
      <c r="W223" s="6">
        <f t="shared" si="70"/>
        <v>0</v>
      </c>
    </row>
    <row r="224" spans="1:23" hidden="1" x14ac:dyDescent="0.25">
      <c r="A224" s="23"/>
      <c r="B224" s="5" t="str">
        <f>IF(OR((B220="~"),(C224="~")),"~","")</f>
        <v>~</v>
      </c>
      <c r="C224" s="5" t="s">
        <v>214</v>
      </c>
      <c r="E224" s="6">
        <v>0</v>
      </c>
      <c r="F224" s="6"/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R224" s="6">
        <v>0</v>
      </c>
      <c r="S224" s="6">
        <v>0</v>
      </c>
      <c r="T224" s="6">
        <v>0</v>
      </c>
      <c r="U224" s="6">
        <v>0</v>
      </c>
      <c r="W224" s="6">
        <f t="shared" si="70"/>
        <v>0</v>
      </c>
    </row>
    <row r="225" spans="1:23" hidden="1" x14ac:dyDescent="0.25">
      <c r="A225" s="23"/>
      <c r="B225" s="5" t="str">
        <f>IF(OR((B220="~"),(C225="~")),"~","")</f>
        <v>~</v>
      </c>
      <c r="C225" s="5" t="s">
        <v>214</v>
      </c>
      <c r="E225" s="6">
        <v>0</v>
      </c>
      <c r="F225" s="6"/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R225" s="6">
        <v>0</v>
      </c>
      <c r="S225" s="6">
        <v>0</v>
      </c>
      <c r="T225" s="6">
        <v>0</v>
      </c>
      <c r="U225" s="6">
        <v>0</v>
      </c>
      <c r="W225" s="6">
        <f t="shared" si="70"/>
        <v>0</v>
      </c>
    </row>
    <row r="226" spans="1:23" hidden="1" x14ac:dyDescent="0.25">
      <c r="A226" s="23"/>
      <c r="B226" s="5" t="str">
        <f>IF(OR((B220="~"),(C226="~")),"~","")</f>
        <v>~</v>
      </c>
      <c r="C226" s="5" t="s">
        <v>214</v>
      </c>
      <c r="E226" s="6">
        <v>0</v>
      </c>
      <c r="F226" s="6"/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R226" s="6">
        <v>0</v>
      </c>
      <c r="S226" s="6">
        <v>0</v>
      </c>
      <c r="T226" s="6">
        <v>0</v>
      </c>
      <c r="U226" s="6">
        <v>0</v>
      </c>
      <c r="W226" s="6">
        <f t="shared" si="70"/>
        <v>0</v>
      </c>
    </row>
    <row r="227" spans="1:23" hidden="1" x14ac:dyDescent="0.25">
      <c r="A227" s="24"/>
      <c r="B227" s="14" t="str">
        <f>IF(OR((B220="~"),(C227="~")),"~","")</f>
        <v>~</v>
      </c>
      <c r="C227" s="14" t="str">
        <f>IF(B220="~","~","Sub-total")</f>
        <v>~</v>
      </c>
      <c r="D227" s="14"/>
      <c r="E227" s="15">
        <f>SUM(E221:E226)</f>
        <v>0</v>
      </c>
      <c r="F227" s="15"/>
      <c r="G227" s="15">
        <f t="shared" ref="G227:P227" si="71">SUM(G221:G226)</f>
        <v>0</v>
      </c>
      <c r="H227" s="15">
        <f t="shared" si="71"/>
        <v>0</v>
      </c>
      <c r="I227" s="15">
        <f t="shared" si="71"/>
        <v>0</v>
      </c>
      <c r="J227" s="15">
        <f t="shared" si="71"/>
        <v>0</v>
      </c>
      <c r="K227" s="15">
        <f t="shared" si="71"/>
        <v>0</v>
      </c>
      <c r="L227" s="15">
        <f t="shared" si="71"/>
        <v>0</v>
      </c>
      <c r="M227" s="15">
        <f t="shared" si="71"/>
        <v>0</v>
      </c>
      <c r="N227" s="15">
        <f t="shared" si="71"/>
        <v>0</v>
      </c>
      <c r="O227" s="15">
        <f t="shared" si="71"/>
        <v>0</v>
      </c>
      <c r="P227" s="15">
        <f t="shared" si="71"/>
        <v>0</v>
      </c>
      <c r="R227" s="15">
        <f>SUM(R221:R226)</f>
        <v>0</v>
      </c>
      <c r="S227" s="15">
        <f>SUM(S221:S226)</f>
        <v>0</v>
      </c>
      <c r="T227" s="15">
        <f>SUM(T221:T226)</f>
        <v>0</v>
      </c>
      <c r="U227" s="15">
        <f>SUM(U221:U226)</f>
        <v>0</v>
      </c>
      <c r="W227" s="15">
        <f t="shared" si="70"/>
        <v>0</v>
      </c>
    </row>
    <row r="228" spans="1:23" hidden="1" x14ac:dyDescent="0.25">
      <c r="A228" s="23"/>
      <c r="B228" s="5" t="str">
        <f>IF(OR((B220="~"),(C228="~")),"~","")</f>
        <v>~</v>
      </c>
      <c r="W228" s="5">
        <f t="shared" si="70"/>
        <v>0</v>
      </c>
    </row>
    <row r="229" spans="1:23" hidden="1" x14ac:dyDescent="0.25">
      <c r="A229" s="23"/>
      <c r="B229" s="5" t="s">
        <v>214</v>
      </c>
      <c r="C229" s="1"/>
      <c r="W229" s="5">
        <f t="shared" si="70"/>
        <v>0</v>
      </c>
    </row>
    <row r="230" spans="1:23" hidden="1" x14ac:dyDescent="0.25">
      <c r="A230" s="23"/>
      <c r="B230" s="5" t="str">
        <f>IF(OR((B229="~"),(C230="~")),"~","")</f>
        <v>~</v>
      </c>
      <c r="C230" s="5" t="s">
        <v>214</v>
      </c>
      <c r="E230" s="6">
        <v>0</v>
      </c>
      <c r="F230" s="6"/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R230" s="6">
        <v>0</v>
      </c>
      <c r="S230" s="6">
        <v>0</v>
      </c>
      <c r="T230" s="6">
        <v>0</v>
      </c>
      <c r="U230" s="6">
        <v>0</v>
      </c>
      <c r="W230" s="6">
        <f t="shared" si="70"/>
        <v>0</v>
      </c>
    </row>
    <row r="231" spans="1:23" hidden="1" x14ac:dyDescent="0.25">
      <c r="A231" s="23"/>
      <c r="B231" s="5" t="str">
        <f>IF(OR((B229="~"),(C231="~")),"~","")</f>
        <v>~</v>
      </c>
      <c r="C231" s="5" t="s">
        <v>214</v>
      </c>
      <c r="E231" s="6">
        <v>0</v>
      </c>
      <c r="F231" s="6"/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R231" s="6">
        <v>0</v>
      </c>
      <c r="S231" s="6">
        <v>0</v>
      </c>
      <c r="T231" s="6">
        <v>0</v>
      </c>
      <c r="U231" s="6">
        <v>0</v>
      </c>
      <c r="W231" s="6">
        <f t="shared" si="70"/>
        <v>0</v>
      </c>
    </row>
    <row r="232" spans="1:23" hidden="1" x14ac:dyDescent="0.25">
      <c r="A232" s="23"/>
      <c r="B232" s="5" t="str">
        <f>IF(OR((B229="~"),(C232="~")),"~","")</f>
        <v>~</v>
      </c>
      <c r="C232" s="5" t="s">
        <v>214</v>
      </c>
      <c r="E232" s="6">
        <v>0</v>
      </c>
      <c r="F232" s="6"/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R232" s="6">
        <v>0</v>
      </c>
      <c r="S232" s="6">
        <v>0</v>
      </c>
      <c r="T232" s="6">
        <v>0</v>
      </c>
      <c r="U232" s="6">
        <v>0</v>
      </c>
      <c r="W232" s="6">
        <f t="shared" si="70"/>
        <v>0</v>
      </c>
    </row>
    <row r="233" spans="1:23" hidden="1" x14ac:dyDescent="0.25">
      <c r="A233" s="23"/>
      <c r="B233" s="5" t="str">
        <f>IF(OR((B229="~"),(C233="~")),"~","")</f>
        <v>~</v>
      </c>
      <c r="C233" s="5" t="s">
        <v>214</v>
      </c>
      <c r="E233" s="6">
        <v>0</v>
      </c>
      <c r="F233" s="6"/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R233" s="6">
        <v>0</v>
      </c>
      <c r="S233" s="6">
        <v>0</v>
      </c>
      <c r="T233" s="6">
        <v>0</v>
      </c>
      <c r="U233" s="6">
        <v>0</v>
      </c>
      <c r="W233" s="6">
        <f t="shared" si="70"/>
        <v>0</v>
      </c>
    </row>
    <row r="234" spans="1:23" hidden="1" x14ac:dyDescent="0.25">
      <c r="A234" s="23"/>
      <c r="B234" s="5" t="str">
        <f>IF(OR((B229="~"),(C234="~")),"~","")</f>
        <v>~</v>
      </c>
      <c r="C234" s="5" t="s">
        <v>214</v>
      </c>
      <c r="E234" s="6">
        <v>0</v>
      </c>
      <c r="F234" s="6"/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R234" s="6">
        <v>0</v>
      </c>
      <c r="S234" s="6">
        <v>0</v>
      </c>
      <c r="T234" s="6">
        <v>0</v>
      </c>
      <c r="U234" s="6">
        <v>0</v>
      </c>
      <c r="W234" s="6">
        <f t="shared" si="70"/>
        <v>0</v>
      </c>
    </row>
    <row r="235" spans="1:23" hidden="1" x14ac:dyDescent="0.25">
      <c r="A235" s="23"/>
      <c r="B235" s="5" t="str">
        <f>IF(OR((B229="~"),(C235="~")),"~","")</f>
        <v>~</v>
      </c>
      <c r="C235" s="5" t="s">
        <v>214</v>
      </c>
      <c r="E235" s="6">
        <v>0</v>
      </c>
      <c r="F235" s="6"/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R235" s="6">
        <v>0</v>
      </c>
      <c r="S235" s="6">
        <v>0</v>
      </c>
      <c r="T235" s="6">
        <v>0</v>
      </c>
      <c r="U235" s="6">
        <v>0</v>
      </c>
      <c r="W235" s="6">
        <f t="shared" si="70"/>
        <v>0</v>
      </c>
    </row>
    <row r="236" spans="1:23" hidden="1" x14ac:dyDescent="0.25">
      <c r="A236" s="24"/>
      <c r="B236" s="14" t="str">
        <f>IF(OR((B229="~"),(C236="~")),"~","")</f>
        <v>~</v>
      </c>
      <c r="C236" s="14" t="str">
        <f>IF(B229="~","~","Sub-total")</f>
        <v>~</v>
      </c>
      <c r="D236" s="14"/>
      <c r="E236" s="15">
        <f>SUM(E230:E235)</f>
        <v>0</v>
      </c>
      <c r="F236" s="15"/>
      <c r="G236" s="15">
        <f t="shared" ref="G236:P236" si="72">SUM(G230:G235)</f>
        <v>0</v>
      </c>
      <c r="H236" s="15">
        <f t="shared" si="72"/>
        <v>0</v>
      </c>
      <c r="I236" s="15">
        <f t="shared" si="72"/>
        <v>0</v>
      </c>
      <c r="J236" s="15">
        <f t="shared" si="72"/>
        <v>0</v>
      </c>
      <c r="K236" s="15">
        <f t="shared" si="72"/>
        <v>0</v>
      </c>
      <c r="L236" s="15">
        <f t="shared" si="72"/>
        <v>0</v>
      </c>
      <c r="M236" s="15">
        <f t="shared" si="72"/>
        <v>0</v>
      </c>
      <c r="N236" s="15">
        <f t="shared" si="72"/>
        <v>0</v>
      </c>
      <c r="O236" s="15">
        <f t="shared" si="72"/>
        <v>0</v>
      </c>
      <c r="P236" s="15">
        <f t="shared" si="72"/>
        <v>0</v>
      </c>
      <c r="R236" s="15">
        <f>SUM(R230:R235)</f>
        <v>0</v>
      </c>
      <c r="S236" s="15">
        <f>SUM(S230:S235)</f>
        <v>0</v>
      </c>
      <c r="T236" s="15">
        <f>SUM(T230:T235)</f>
        <v>0</v>
      </c>
      <c r="U236" s="15">
        <f>SUM(U230:U235)</f>
        <v>0</v>
      </c>
      <c r="W236" s="15">
        <f t="shared" si="70"/>
        <v>0</v>
      </c>
    </row>
    <row r="237" spans="1:23" hidden="1" x14ac:dyDescent="0.25">
      <c r="A237" s="23"/>
      <c r="B237" s="5" t="str">
        <f>IF(OR((B229="~"),(C237="~")),"~","")</f>
        <v>~</v>
      </c>
      <c r="W237" s="5">
        <f t="shared" si="70"/>
        <v>0</v>
      </c>
    </row>
    <row r="238" spans="1:23" hidden="1" x14ac:dyDescent="0.25">
      <c r="A238" s="23"/>
      <c r="B238" s="5" t="s">
        <v>214</v>
      </c>
      <c r="C238" s="1"/>
      <c r="W238" s="5">
        <f t="shared" si="70"/>
        <v>0</v>
      </c>
    </row>
    <row r="239" spans="1:23" hidden="1" x14ac:dyDescent="0.25">
      <c r="A239" s="23"/>
      <c r="B239" s="5" t="str">
        <f>IF(OR((B238="~"),(C239="~")),"~","")</f>
        <v>~</v>
      </c>
      <c r="C239" s="5" t="s">
        <v>214</v>
      </c>
      <c r="E239" s="6">
        <v>0</v>
      </c>
      <c r="F239" s="6"/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R239" s="6">
        <v>0</v>
      </c>
      <c r="S239" s="6">
        <v>0</v>
      </c>
      <c r="T239" s="6">
        <v>0</v>
      </c>
      <c r="U239" s="6">
        <v>0</v>
      </c>
      <c r="W239" s="6">
        <f t="shared" si="70"/>
        <v>0</v>
      </c>
    </row>
    <row r="240" spans="1:23" hidden="1" x14ac:dyDescent="0.25">
      <c r="A240" s="23"/>
      <c r="B240" s="5" t="str">
        <f>IF(OR((B238="~"),(C240="~")),"~","")</f>
        <v>~</v>
      </c>
      <c r="C240" s="5" t="s">
        <v>214</v>
      </c>
      <c r="E240" s="6">
        <v>0</v>
      </c>
      <c r="F240" s="6"/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R240" s="6">
        <v>0</v>
      </c>
      <c r="S240" s="6">
        <v>0</v>
      </c>
      <c r="T240" s="6">
        <v>0</v>
      </c>
      <c r="U240" s="6">
        <v>0</v>
      </c>
      <c r="W240" s="6">
        <f t="shared" si="70"/>
        <v>0</v>
      </c>
    </row>
    <row r="241" spans="1:23" hidden="1" x14ac:dyDescent="0.25">
      <c r="A241" s="23"/>
      <c r="B241" s="5" t="str">
        <f>IF(OR((B238="~"),(C241="~")),"~","")</f>
        <v>~</v>
      </c>
      <c r="C241" s="5" t="s">
        <v>214</v>
      </c>
      <c r="E241" s="6">
        <v>0</v>
      </c>
      <c r="F241" s="6"/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R241" s="6">
        <v>0</v>
      </c>
      <c r="S241" s="6">
        <v>0</v>
      </c>
      <c r="T241" s="6">
        <v>0</v>
      </c>
      <c r="U241" s="6">
        <v>0</v>
      </c>
      <c r="W241" s="6">
        <f t="shared" si="70"/>
        <v>0</v>
      </c>
    </row>
    <row r="242" spans="1:23" hidden="1" x14ac:dyDescent="0.25">
      <c r="A242" s="23"/>
      <c r="B242" s="5" t="str">
        <f>IF(OR((B238="~"),(C242="~")),"~","")</f>
        <v>~</v>
      </c>
      <c r="C242" s="5" t="s">
        <v>214</v>
      </c>
      <c r="E242" s="6">
        <v>0</v>
      </c>
      <c r="F242" s="6"/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R242" s="6">
        <v>0</v>
      </c>
      <c r="S242" s="6">
        <v>0</v>
      </c>
      <c r="T242" s="6">
        <v>0</v>
      </c>
      <c r="U242" s="6">
        <v>0</v>
      </c>
      <c r="W242" s="6">
        <f t="shared" si="70"/>
        <v>0</v>
      </c>
    </row>
    <row r="243" spans="1:23" hidden="1" x14ac:dyDescent="0.25">
      <c r="A243" s="23"/>
      <c r="B243" s="5" t="str">
        <f>IF(OR((B238="~"),(C243="~")),"~","")</f>
        <v>~</v>
      </c>
      <c r="C243" s="5" t="s">
        <v>214</v>
      </c>
      <c r="E243" s="6">
        <v>0</v>
      </c>
      <c r="F243" s="6"/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R243" s="6">
        <v>0</v>
      </c>
      <c r="S243" s="6">
        <v>0</v>
      </c>
      <c r="T243" s="6">
        <v>0</v>
      </c>
      <c r="U243" s="6">
        <v>0</v>
      </c>
      <c r="W243" s="6">
        <f t="shared" si="70"/>
        <v>0</v>
      </c>
    </row>
    <row r="244" spans="1:23" hidden="1" x14ac:dyDescent="0.25">
      <c r="A244" s="23"/>
      <c r="B244" s="5" t="str">
        <f>IF(OR((B238="~"),(C244="~")),"~","")</f>
        <v>~</v>
      </c>
      <c r="C244" s="5" t="s">
        <v>214</v>
      </c>
      <c r="E244" s="6">
        <v>0</v>
      </c>
      <c r="F244" s="6"/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R244" s="6">
        <v>0</v>
      </c>
      <c r="S244" s="6">
        <v>0</v>
      </c>
      <c r="T244" s="6">
        <v>0</v>
      </c>
      <c r="U244" s="6">
        <v>0</v>
      </c>
      <c r="W244" s="6">
        <f t="shared" si="70"/>
        <v>0</v>
      </c>
    </row>
    <row r="245" spans="1:23" hidden="1" x14ac:dyDescent="0.25">
      <c r="A245" s="24"/>
      <c r="B245" s="14" t="str">
        <f>IF(OR((B238="~"),(C245="~")),"~","")</f>
        <v>~</v>
      </c>
      <c r="C245" s="14" t="str">
        <f>IF(B238="~","~","Sub-total")</f>
        <v>~</v>
      </c>
      <c r="D245" s="14"/>
      <c r="E245" s="15">
        <f>SUM(E239:E244)</f>
        <v>0</v>
      </c>
      <c r="F245" s="15"/>
      <c r="G245" s="15">
        <f t="shared" ref="G245:P245" si="73">SUM(G239:G244)</f>
        <v>0</v>
      </c>
      <c r="H245" s="15">
        <f t="shared" si="73"/>
        <v>0</v>
      </c>
      <c r="I245" s="15">
        <f t="shared" si="73"/>
        <v>0</v>
      </c>
      <c r="J245" s="15">
        <f t="shared" si="73"/>
        <v>0</v>
      </c>
      <c r="K245" s="15">
        <f t="shared" si="73"/>
        <v>0</v>
      </c>
      <c r="L245" s="15">
        <f t="shared" si="73"/>
        <v>0</v>
      </c>
      <c r="M245" s="15">
        <f t="shared" si="73"/>
        <v>0</v>
      </c>
      <c r="N245" s="15">
        <f t="shared" si="73"/>
        <v>0</v>
      </c>
      <c r="O245" s="15">
        <f t="shared" si="73"/>
        <v>0</v>
      </c>
      <c r="P245" s="15">
        <f t="shared" si="73"/>
        <v>0</v>
      </c>
      <c r="R245" s="15">
        <f>SUM(R239:R244)</f>
        <v>0</v>
      </c>
      <c r="S245" s="15">
        <f>SUM(S239:S244)</f>
        <v>0</v>
      </c>
      <c r="T245" s="15">
        <f>SUM(T239:T244)</f>
        <v>0</v>
      </c>
      <c r="U245" s="15">
        <f>SUM(U239:U244)</f>
        <v>0</v>
      </c>
      <c r="W245" s="15">
        <f t="shared" si="70"/>
        <v>0</v>
      </c>
    </row>
    <row r="246" spans="1:23" hidden="1" x14ac:dyDescent="0.25">
      <c r="A246" s="23"/>
      <c r="B246" s="5" t="str">
        <f>IF(OR((B238="~"),(C246="~")),"~","")</f>
        <v>~</v>
      </c>
      <c r="W246" s="5">
        <f t="shared" si="70"/>
        <v>0</v>
      </c>
    </row>
    <row r="247" spans="1:23" x14ac:dyDescent="0.25">
      <c r="A247" s="23">
        <f>+A182+1</f>
        <v>18</v>
      </c>
    </row>
    <row r="248" spans="1:23" x14ac:dyDescent="0.25">
      <c r="A248" s="23">
        <f>+A247+1</f>
        <v>19</v>
      </c>
      <c r="C248" s="1" t="s">
        <v>67</v>
      </c>
    </row>
    <row r="249" spans="1:23" x14ac:dyDescent="0.25">
      <c r="A249" s="23">
        <f t="shared" ref="A249:A251" si="74">+A248+1</f>
        <v>20</v>
      </c>
      <c r="B249" s="5" t="str">
        <f>IF(OR((C248="~"),(C249="~")),"~","")</f>
        <v/>
      </c>
      <c r="C249" s="5" t="s">
        <v>209</v>
      </c>
      <c r="E249" s="6">
        <v>748595249.2309953</v>
      </c>
      <c r="F249" s="6"/>
      <c r="G249" s="6">
        <v>465298988.48451346</v>
      </c>
      <c r="H249" s="6">
        <v>92896123.616264001</v>
      </c>
      <c r="I249" s="6">
        <v>85096435.741557658</v>
      </c>
      <c r="J249" s="6">
        <v>43586368.403630361</v>
      </c>
      <c r="K249" s="6">
        <v>34514756.96248588</v>
      </c>
      <c r="L249" s="6">
        <v>16828803.09946315</v>
      </c>
      <c r="M249" s="6">
        <v>6524399.4687705366</v>
      </c>
      <c r="N249" s="6">
        <v>2006318.4315441698</v>
      </c>
      <c r="O249" s="6">
        <v>1548631.8110441708</v>
      </c>
      <c r="P249" s="6">
        <v>294423.21172211209</v>
      </c>
      <c r="R249" s="6">
        <v>30599373.824200366</v>
      </c>
      <c r="S249" s="6">
        <v>178965.77542473227</v>
      </c>
      <c r="T249" s="6">
        <v>3736417.3628607816</v>
      </c>
      <c r="U249" s="6">
        <f t="shared" ref="U249:U251" si="75">SUM(R249:T249,-K249)</f>
        <v>0</v>
      </c>
      <c r="W249" s="6">
        <f t="shared" si="70"/>
        <v>30778339.599625099</v>
      </c>
    </row>
    <row r="250" spans="1:23" x14ac:dyDescent="0.25">
      <c r="A250" s="23">
        <f t="shared" si="74"/>
        <v>21</v>
      </c>
      <c r="B250" s="5" t="str">
        <f>IF(OR((C248="~"),(C250="~")),"~","")</f>
        <v/>
      </c>
      <c r="C250" s="5" t="s">
        <v>212</v>
      </c>
      <c r="E250" s="6">
        <v>1147215349.9125783</v>
      </c>
      <c r="F250" s="6"/>
      <c r="G250" s="6">
        <v>579439756.09984803</v>
      </c>
      <c r="H250" s="6">
        <v>152154003.93911508</v>
      </c>
      <c r="I250" s="6">
        <v>156657676.48586196</v>
      </c>
      <c r="J250" s="6">
        <v>103348846.41897714</v>
      </c>
      <c r="K250" s="6">
        <v>74074082.532690495</v>
      </c>
      <c r="L250" s="6">
        <v>35315250.09683878</v>
      </c>
      <c r="M250" s="6">
        <v>32274068.042771101</v>
      </c>
      <c r="N250" s="6">
        <v>9425250.3360223062</v>
      </c>
      <c r="O250" s="6">
        <v>4157840.2394763627</v>
      </c>
      <c r="P250" s="6">
        <v>368575.72097733663</v>
      </c>
      <c r="R250" s="6">
        <v>67466460.50913924</v>
      </c>
      <c r="S250" s="6">
        <v>234299.42463725703</v>
      </c>
      <c r="T250" s="6">
        <v>6373322.5989139983</v>
      </c>
      <c r="U250" s="6">
        <f t="shared" si="75"/>
        <v>0</v>
      </c>
      <c r="W250" s="6">
        <f t="shared" si="70"/>
        <v>67700759.933776498</v>
      </c>
    </row>
    <row r="251" spans="1:23" x14ac:dyDescent="0.25">
      <c r="A251" s="23">
        <f t="shared" si="74"/>
        <v>22</v>
      </c>
      <c r="B251" s="5" t="str">
        <f>IF(OR((C248="~"),(C251="~")),"~","")</f>
        <v/>
      </c>
      <c r="C251" s="5" t="s">
        <v>213</v>
      </c>
      <c r="E251" s="6">
        <v>159969845.91717109</v>
      </c>
      <c r="F251" s="6"/>
      <c r="G251" s="6">
        <v>125877102.75481048</v>
      </c>
      <c r="H251" s="6">
        <v>12307426.877511442</v>
      </c>
      <c r="I251" s="6">
        <v>4280121.2669742368</v>
      </c>
      <c r="J251" s="6">
        <v>1145170.1815526607</v>
      </c>
      <c r="K251" s="6">
        <v>2465662.2679226059</v>
      </c>
      <c r="L251" s="6">
        <v>461713.0117439325</v>
      </c>
      <c r="M251" s="6">
        <v>122202.03218743674</v>
      </c>
      <c r="N251" s="6">
        <v>448189.0006082133</v>
      </c>
      <c r="O251" s="6">
        <v>12822144.256650882</v>
      </c>
      <c r="P251" s="6">
        <v>40114.267209210957</v>
      </c>
      <c r="R251" s="6">
        <v>1843221.853782912</v>
      </c>
      <c r="S251" s="6">
        <v>4145.1152713604215</v>
      </c>
      <c r="T251" s="6">
        <v>618295.29886833346</v>
      </c>
      <c r="U251" s="6">
        <f t="shared" si="75"/>
        <v>0</v>
      </c>
      <c r="W251" s="6">
        <f t="shared" si="70"/>
        <v>1847366.9690542724</v>
      </c>
    </row>
    <row r="252" spans="1:23" ht="13.8" thickBot="1" x14ac:dyDescent="0.3">
      <c r="A252" s="25">
        <f>+A251+1</f>
        <v>23</v>
      </c>
      <c r="B252" s="8"/>
      <c r="C252" s="8" t="s">
        <v>69</v>
      </c>
      <c r="D252" s="8"/>
      <c r="E252" s="9">
        <f>SUM(E249:E251)</f>
        <v>2055780445.0607448</v>
      </c>
      <c r="F252" s="9"/>
      <c r="G252" s="9">
        <f t="shared" ref="G252:P252" si="76">SUM(G249:G251)</f>
        <v>1170615847.3391721</v>
      </c>
      <c r="H252" s="9">
        <f t="shared" si="76"/>
        <v>257357554.43289053</v>
      </c>
      <c r="I252" s="9">
        <f t="shared" si="76"/>
        <v>246034233.49439386</v>
      </c>
      <c r="J252" s="9">
        <f t="shared" si="76"/>
        <v>148080385.00416017</v>
      </c>
      <c r="K252" s="9">
        <f t="shared" si="76"/>
        <v>111054501.76309898</v>
      </c>
      <c r="L252" s="9">
        <f t="shared" si="76"/>
        <v>52605766.208045863</v>
      </c>
      <c r="M252" s="9">
        <f t="shared" si="76"/>
        <v>38920669.543729074</v>
      </c>
      <c r="N252" s="9">
        <f t="shared" si="76"/>
        <v>11879757.768174689</v>
      </c>
      <c r="O252" s="9">
        <f t="shared" si="76"/>
        <v>18528616.307171416</v>
      </c>
      <c r="P252" s="9">
        <f t="shared" si="76"/>
        <v>703113.19990865956</v>
      </c>
      <c r="R252" s="9">
        <f>SUM(R249:R251)</f>
        <v>99909056.187122509</v>
      </c>
      <c r="S252" s="9">
        <f>SUM(S249:S251)</f>
        <v>417410.31533334975</v>
      </c>
      <c r="T252" s="9">
        <f>SUM(T249:T251)</f>
        <v>10728035.260643113</v>
      </c>
      <c r="U252" s="9">
        <f>SUM(U249:U251)</f>
        <v>0</v>
      </c>
      <c r="W252" s="9">
        <f t="shared" si="70"/>
        <v>100326466.50245586</v>
      </c>
    </row>
    <row r="253" spans="1:23" ht="13.8" thickTop="1" x14ac:dyDescent="0.25">
      <c r="C253" s="7"/>
      <c r="E253" s="28"/>
      <c r="G253" s="29"/>
      <c r="H253" s="29"/>
      <c r="I253" s="29"/>
      <c r="J253" s="29"/>
      <c r="K253" s="29"/>
      <c r="L253" s="29"/>
      <c r="M253" s="29"/>
      <c r="N253" s="29"/>
    </row>
    <row r="254" spans="1:23" x14ac:dyDescent="0.25">
      <c r="A254" s="88" t="str">
        <f>+A1</f>
        <v>Puget Sound Energy</v>
      </c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</row>
    <row r="255" spans="1:23" x14ac:dyDescent="0.25">
      <c r="A255" s="88" t="str">
        <f>A2</f>
        <v>ELECTRIC COST OF SERVICE SUMMARY</v>
      </c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</row>
    <row r="256" spans="1:23" x14ac:dyDescent="0.25">
      <c r="A256" s="88" t="s">
        <v>210</v>
      </c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</row>
    <row r="257" spans="1:23" x14ac:dyDescent="0.25">
      <c r="A257" s="88" t="s">
        <v>70</v>
      </c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</row>
    <row r="259" spans="1:23" s="26" customFormat="1" ht="42" customHeight="1" x14ac:dyDescent="0.25">
      <c r="A259" s="2" t="s">
        <v>2</v>
      </c>
      <c r="B259" s="2"/>
      <c r="C259" s="2"/>
      <c r="D259" s="2"/>
      <c r="E259" s="2" t="s">
        <v>66</v>
      </c>
      <c r="F259" s="2"/>
      <c r="G259" s="2" t="str">
        <f t="shared" ref="G259:P259" si="77">+G6</f>
        <v>Residential
Sch 7</v>
      </c>
      <c r="H259" s="2" t="str">
        <f t="shared" si="77"/>
        <v>Sec Volt
Sch 24
(kW&lt; 50)</v>
      </c>
      <c r="I259" s="2" t="str">
        <f t="shared" si="77"/>
        <v>Sec Volt
Sch 25
(kW &gt; 50 &amp; &lt; 350)</v>
      </c>
      <c r="J259" s="2" t="str">
        <f t="shared" si="77"/>
        <v>Sec Volt
Sch 26
(kW &gt; 350)</v>
      </c>
      <c r="K259" s="2" t="str">
        <f t="shared" si="77"/>
        <v>Pri Volt
Sch 31/35/43</v>
      </c>
      <c r="L259" s="2" t="str">
        <f t="shared" si="77"/>
        <v>Campus
Sch 40</v>
      </c>
      <c r="M259" s="2" t="str">
        <f t="shared" si="77"/>
        <v>High Volt
Sch 46/49</v>
      </c>
      <c r="N259" s="2" t="str">
        <f t="shared" si="77"/>
        <v>Choice /
Retail Wheeling
Sch 448/449</v>
      </c>
      <c r="O259" s="2" t="str">
        <f t="shared" si="77"/>
        <v>Lighting
Sch 50-59</v>
      </c>
      <c r="P259" s="3" t="str">
        <f t="shared" si="77"/>
        <v>Firm Resale</v>
      </c>
      <c r="R259" s="2" t="s">
        <v>15</v>
      </c>
      <c r="S259" s="2" t="s">
        <v>16</v>
      </c>
      <c r="T259" s="2" t="s">
        <v>17</v>
      </c>
      <c r="U259" s="2" t="s">
        <v>18</v>
      </c>
      <c r="W259" s="3" t="s">
        <v>19</v>
      </c>
    </row>
    <row r="260" spans="1:23" s="26" customFormat="1" x14ac:dyDescent="0.25">
      <c r="C260" s="26" t="s">
        <v>20</v>
      </c>
      <c r="E260" s="26" t="s">
        <v>21</v>
      </c>
      <c r="G260" s="26" t="s">
        <v>22</v>
      </c>
      <c r="H260" s="26" t="s">
        <v>23</v>
      </c>
      <c r="I260" s="26" t="s">
        <v>24</v>
      </c>
      <c r="J260" s="26" t="s">
        <v>25</v>
      </c>
      <c r="K260" s="26" t="s">
        <v>26</v>
      </c>
      <c r="L260" s="26" t="s">
        <v>27</v>
      </c>
      <c r="M260" s="26" t="s">
        <v>28</v>
      </c>
      <c r="N260" s="26" t="s">
        <v>29</v>
      </c>
      <c r="O260" s="26" t="s">
        <v>30</v>
      </c>
      <c r="P260" s="26" t="s">
        <v>31</v>
      </c>
    </row>
    <row r="262" spans="1:23" x14ac:dyDescent="0.25">
      <c r="A262" s="23">
        <v>1</v>
      </c>
      <c r="C262" s="1" t="s">
        <v>211</v>
      </c>
    </row>
    <row r="263" spans="1:23" x14ac:dyDescent="0.25">
      <c r="A263" s="23">
        <f t="shared" ref="A263:A277" si="78">+A262+1</f>
        <v>2</v>
      </c>
      <c r="B263" s="5" t="str">
        <f>IF(OR((C262="~"),(C263="~")),"~","")</f>
        <v/>
      </c>
      <c r="C263" s="5" t="s">
        <v>209</v>
      </c>
      <c r="E263" s="30">
        <f>ROUND(IF($C263=0,0,E167/E$350),6)</f>
        <v>1.4148000000000001E-2</v>
      </c>
      <c r="F263" s="30"/>
      <c r="G263" s="30">
        <f t="shared" ref="G263:P263" si="79">ROUND(IF($C263=0,0,G167/G$350),6)</f>
        <v>1.8551999999999999E-2</v>
      </c>
      <c r="H263" s="30">
        <f t="shared" si="79"/>
        <v>1.4231000000000001E-2</v>
      </c>
      <c r="I263" s="30">
        <f t="shared" si="79"/>
        <v>1.2886999999999999E-2</v>
      </c>
      <c r="J263" s="30">
        <f t="shared" si="79"/>
        <v>1.1094E-2</v>
      </c>
      <c r="K263" s="30">
        <f t="shared" si="79"/>
        <v>1.0607999999999999E-2</v>
      </c>
      <c r="L263" s="30">
        <f t="shared" si="79"/>
        <v>1.1506000000000001E-2</v>
      </c>
      <c r="M263" s="30">
        <f t="shared" si="79"/>
        <v>9.3159999999999996E-3</v>
      </c>
      <c r="N263" s="30">
        <f t="shared" si="79"/>
        <v>0</v>
      </c>
      <c r="O263" s="30">
        <f t="shared" si="79"/>
        <v>1.4825E-2</v>
      </c>
      <c r="P263" s="30">
        <f t="shared" si="79"/>
        <v>1.8585000000000001E-2</v>
      </c>
      <c r="R263" s="30">
        <f t="shared" ref="R263:T266" si="80">ROUND(IF($C263=0,0,R167/R$350),6)</f>
        <v>1.1646999999999999E-2</v>
      </c>
      <c r="S263" s="30">
        <f t="shared" si="80"/>
        <v>7.7000000000000001E-5</v>
      </c>
      <c r="T263" s="30">
        <f t="shared" si="80"/>
        <v>0</v>
      </c>
      <c r="W263" s="30">
        <f>ROUND(IF($C263=0,0,W167/W$350),6)</f>
        <v>1.1606999999999999E-2</v>
      </c>
    </row>
    <row r="264" spans="1:23" x14ac:dyDescent="0.25">
      <c r="A264" s="23">
        <f t="shared" si="78"/>
        <v>3</v>
      </c>
      <c r="B264" s="5" t="str">
        <f>IF(OR((C262="~"),(C264="~")),"~","")</f>
        <v/>
      </c>
      <c r="C264" s="5" t="s">
        <v>212</v>
      </c>
      <c r="E264" s="30">
        <f>ROUND(IF($C264=0,0,E168/E$350),6)</f>
        <v>4.2504E-2</v>
      </c>
      <c r="F264" s="30"/>
      <c r="G264" s="30">
        <f t="shared" ref="G264:P264" si="81">ROUND(IF($C264=0,0,G168/G$350),6)</f>
        <v>4.6580999999999997E-2</v>
      </c>
      <c r="H264" s="30">
        <f t="shared" si="81"/>
        <v>4.6580999999999997E-2</v>
      </c>
      <c r="I264" s="30">
        <f t="shared" si="81"/>
        <v>4.6580999999999997E-2</v>
      </c>
      <c r="J264" s="30">
        <f t="shared" si="81"/>
        <v>4.6580999999999997E-2</v>
      </c>
      <c r="K264" s="30">
        <f t="shared" si="81"/>
        <v>4.6580999999999997E-2</v>
      </c>
      <c r="L264" s="30">
        <f t="shared" si="81"/>
        <v>4.6580999999999997E-2</v>
      </c>
      <c r="M264" s="30">
        <f t="shared" si="81"/>
        <v>4.6580999999999997E-2</v>
      </c>
      <c r="N264" s="30">
        <f t="shared" si="81"/>
        <v>0</v>
      </c>
      <c r="O264" s="30">
        <f t="shared" si="81"/>
        <v>4.6580999999999997E-2</v>
      </c>
      <c r="P264" s="30">
        <f t="shared" si="81"/>
        <v>4.6580999999999997E-2</v>
      </c>
      <c r="R264" s="30">
        <f t="shared" si="80"/>
        <v>4.6580999999999997E-2</v>
      </c>
      <c r="S264" s="30">
        <f t="shared" si="80"/>
        <v>4.6580999999999997E-2</v>
      </c>
      <c r="T264" s="30">
        <f t="shared" si="80"/>
        <v>4.6580999999999997E-2</v>
      </c>
      <c r="W264" s="30">
        <f>ROUND(IF($C264=0,0,W168/W$350),6)</f>
        <v>4.6580999999999997E-2</v>
      </c>
    </row>
    <row r="265" spans="1:23" x14ac:dyDescent="0.25">
      <c r="A265" s="23">
        <f t="shared" si="78"/>
        <v>4</v>
      </c>
      <c r="B265" s="5" t="str">
        <f>IF(OR((C262="~"),(C265="~")),"~","")</f>
        <v/>
      </c>
      <c r="C265" s="5" t="s">
        <v>213</v>
      </c>
      <c r="E265" s="30">
        <f>ROUND(IF($C265=0,0,E169/E$350),6)</f>
        <v>0</v>
      </c>
      <c r="F265" s="30"/>
      <c r="G265" s="30">
        <f t="shared" ref="G265:P265" si="82">ROUND(IF($C265=0,0,G169/G$350),6)</f>
        <v>0</v>
      </c>
      <c r="H265" s="30">
        <f t="shared" si="82"/>
        <v>0</v>
      </c>
      <c r="I265" s="30">
        <f t="shared" si="82"/>
        <v>0</v>
      </c>
      <c r="J265" s="30">
        <f t="shared" si="82"/>
        <v>0</v>
      </c>
      <c r="K265" s="30">
        <f t="shared" si="82"/>
        <v>0</v>
      </c>
      <c r="L265" s="30">
        <f t="shared" si="82"/>
        <v>0</v>
      </c>
      <c r="M265" s="30">
        <f t="shared" si="82"/>
        <v>0</v>
      </c>
      <c r="N265" s="30">
        <f t="shared" si="82"/>
        <v>0</v>
      </c>
      <c r="O265" s="30">
        <f t="shared" si="82"/>
        <v>0</v>
      </c>
      <c r="P265" s="30">
        <f t="shared" si="82"/>
        <v>0</v>
      </c>
      <c r="R265" s="30">
        <f t="shared" si="80"/>
        <v>0</v>
      </c>
      <c r="S265" s="30">
        <f t="shared" si="80"/>
        <v>0</v>
      </c>
      <c r="T265" s="30">
        <f t="shared" si="80"/>
        <v>0</v>
      </c>
      <c r="W265" s="30">
        <f>ROUND(IF($C265=0,0,W169/W$350),6)</f>
        <v>0</v>
      </c>
    </row>
    <row r="266" spans="1:23" x14ac:dyDescent="0.25">
      <c r="A266" s="24">
        <f>+A265+1</f>
        <v>5</v>
      </c>
      <c r="B266" s="14" t="str">
        <f>IF(OR((C262="~"),(C266="~")),"~","")</f>
        <v/>
      </c>
      <c r="C266" s="14" t="s">
        <v>71</v>
      </c>
      <c r="D266" s="14"/>
      <c r="E266" s="31">
        <f>ROUND(IF($C266=0,0,E170/E$350),6)</f>
        <v>5.6652000000000001E-2</v>
      </c>
      <c r="F266" s="31"/>
      <c r="G266" s="31">
        <f t="shared" ref="G266:P266" si="83">ROUND(IF($C266=0,0,G170/G$350),6)</f>
        <v>6.5132999999999996E-2</v>
      </c>
      <c r="H266" s="31">
        <f t="shared" si="83"/>
        <v>6.0811999999999998E-2</v>
      </c>
      <c r="I266" s="31">
        <f t="shared" si="83"/>
        <v>5.9469000000000001E-2</v>
      </c>
      <c r="J266" s="31">
        <f t="shared" si="83"/>
        <v>5.7675999999999998E-2</v>
      </c>
      <c r="K266" s="31">
        <f t="shared" si="83"/>
        <v>5.7188999999999997E-2</v>
      </c>
      <c r="L266" s="31">
        <f t="shared" si="83"/>
        <v>5.8088000000000001E-2</v>
      </c>
      <c r="M266" s="31">
        <f t="shared" si="83"/>
        <v>5.5898000000000003E-2</v>
      </c>
      <c r="N266" s="31">
        <f t="shared" si="83"/>
        <v>0</v>
      </c>
      <c r="O266" s="31">
        <f t="shared" si="83"/>
        <v>6.1407000000000003E-2</v>
      </c>
      <c r="P266" s="31">
        <f t="shared" si="83"/>
        <v>6.5166000000000002E-2</v>
      </c>
      <c r="R266" s="31">
        <f t="shared" si="80"/>
        <v>5.8228000000000002E-2</v>
      </c>
      <c r="S266" s="31">
        <f t="shared" si="80"/>
        <v>4.6658999999999999E-2</v>
      </c>
      <c r="T266" s="31">
        <f t="shared" si="80"/>
        <v>4.6580999999999997E-2</v>
      </c>
      <c r="W266" s="31">
        <f>ROUND(IF($C266=0,0,W170/W$350),6)</f>
        <v>5.8187999999999997E-2</v>
      </c>
    </row>
    <row r="267" spans="1:23" x14ac:dyDescent="0.25">
      <c r="A267" s="23">
        <f t="shared" si="78"/>
        <v>6</v>
      </c>
      <c r="B267" s="5" t="str">
        <f>IF(OR((C262="~"),(C267="~")),"~","")</f>
        <v/>
      </c>
    </row>
    <row r="268" spans="1:23" x14ac:dyDescent="0.25">
      <c r="A268" s="23">
        <f t="shared" si="78"/>
        <v>7</v>
      </c>
      <c r="C268" s="1" t="s">
        <v>215</v>
      </c>
    </row>
    <row r="269" spans="1:23" x14ac:dyDescent="0.25">
      <c r="A269" s="23">
        <f t="shared" si="78"/>
        <v>8</v>
      </c>
      <c r="B269" s="5" t="str">
        <f>IF(OR((C268="~"),(C269="~")),"~","")</f>
        <v/>
      </c>
      <c r="C269" s="5" t="s">
        <v>209</v>
      </c>
      <c r="E269" s="30">
        <f>ROUND(IF($C269=0,0,E173/E$350),6)</f>
        <v>1.4729999999999999E-3</v>
      </c>
      <c r="F269" s="30"/>
      <c r="G269" s="30">
        <f t="shared" ref="G269:P269" si="84">ROUND(IF($C269=0,0,G173/G$350),6)</f>
        <v>1.817E-3</v>
      </c>
      <c r="H269" s="30">
        <f t="shared" si="84"/>
        <v>1.3940000000000001E-3</v>
      </c>
      <c r="I269" s="30">
        <f t="shared" si="84"/>
        <v>1.2620000000000001E-3</v>
      </c>
      <c r="J269" s="30">
        <f t="shared" si="84"/>
        <v>1.0870000000000001E-3</v>
      </c>
      <c r="K269" s="30">
        <f t="shared" si="84"/>
        <v>1.039E-3</v>
      </c>
      <c r="L269" s="30">
        <f t="shared" si="84"/>
        <v>1.127E-3</v>
      </c>
      <c r="M269" s="30">
        <f t="shared" si="84"/>
        <v>9.1200000000000005E-4</v>
      </c>
      <c r="N269" s="30">
        <f t="shared" si="84"/>
        <v>9.9299999999999996E-4</v>
      </c>
      <c r="O269" s="30">
        <f t="shared" si="84"/>
        <v>1.4519999999999999E-3</v>
      </c>
      <c r="P269" s="30">
        <f t="shared" si="84"/>
        <v>1.82E-3</v>
      </c>
      <c r="R269" s="30">
        <f t="shared" ref="R269:T272" si="85">ROUND(IF($C269=0,0,R173/R$350),6)</f>
        <v>1.1410000000000001E-3</v>
      </c>
      <c r="S269" s="30">
        <f t="shared" si="85"/>
        <v>7.9999999999999996E-6</v>
      </c>
      <c r="T269" s="30">
        <f t="shared" si="85"/>
        <v>0</v>
      </c>
      <c r="W269" s="30">
        <f>ROUND(IF($C269=0,0,W173/W$350),6)</f>
        <v>1.137E-3</v>
      </c>
    </row>
    <row r="270" spans="1:23" x14ac:dyDescent="0.25">
      <c r="A270" s="23">
        <f t="shared" si="78"/>
        <v>9</v>
      </c>
      <c r="B270" s="5" t="str">
        <f>IF(OR((C268="~"),(C270="~")),"~","")</f>
        <v/>
      </c>
      <c r="C270" s="5" t="s">
        <v>212</v>
      </c>
      <c r="E270" s="30">
        <f>ROUND(IF($C270=0,0,E174/E$350),6)</f>
        <v>4.4130000000000003E-3</v>
      </c>
      <c r="F270" s="30"/>
      <c r="G270" s="30">
        <f t="shared" ref="G270:P270" si="86">ROUND(IF($C270=0,0,G174/G$350),6)</f>
        <v>4.4140000000000004E-3</v>
      </c>
      <c r="H270" s="30">
        <f t="shared" si="86"/>
        <v>4.4140000000000004E-3</v>
      </c>
      <c r="I270" s="30">
        <f t="shared" si="86"/>
        <v>4.4140000000000004E-3</v>
      </c>
      <c r="J270" s="30">
        <f t="shared" si="86"/>
        <v>4.4140000000000004E-3</v>
      </c>
      <c r="K270" s="30">
        <f t="shared" si="86"/>
        <v>4.4140000000000004E-3</v>
      </c>
      <c r="L270" s="30">
        <f t="shared" si="86"/>
        <v>4.4140000000000004E-3</v>
      </c>
      <c r="M270" s="30">
        <f t="shared" si="86"/>
        <v>4.4140000000000004E-3</v>
      </c>
      <c r="N270" s="30">
        <f t="shared" si="86"/>
        <v>4.4029999999999998E-3</v>
      </c>
      <c r="O270" s="30">
        <f t="shared" si="86"/>
        <v>4.4140000000000004E-3</v>
      </c>
      <c r="P270" s="30">
        <f t="shared" si="86"/>
        <v>4.4140000000000004E-3</v>
      </c>
      <c r="R270" s="30">
        <f t="shared" si="85"/>
        <v>4.4140000000000004E-3</v>
      </c>
      <c r="S270" s="30">
        <f t="shared" si="85"/>
        <v>4.4140000000000004E-3</v>
      </c>
      <c r="T270" s="30">
        <f t="shared" si="85"/>
        <v>4.4140000000000004E-3</v>
      </c>
      <c r="W270" s="30">
        <f>ROUND(IF($C270=0,0,W174/W$350),6)</f>
        <v>4.4140000000000004E-3</v>
      </c>
    </row>
    <row r="271" spans="1:23" x14ac:dyDescent="0.25">
      <c r="A271" s="23">
        <f t="shared" si="78"/>
        <v>10</v>
      </c>
      <c r="B271" s="5" t="str">
        <f>IF(OR((C268="~"),(C271="~")),"~","")</f>
        <v/>
      </c>
      <c r="C271" s="5" t="s">
        <v>213</v>
      </c>
      <c r="E271" s="30">
        <f>ROUND(IF($C271=0,0,E175/E$350),6)</f>
        <v>0</v>
      </c>
      <c r="F271" s="30"/>
      <c r="G271" s="30">
        <f t="shared" ref="G271:P271" si="87">ROUND(IF($C271=0,0,G175/G$350),6)</f>
        <v>0</v>
      </c>
      <c r="H271" s="30">
        <f t="shared" si="87"/>
        <v>0</v>
      </c>
      <c r="I271" s="30">
        <f t="shared" si="87"/>
        <v>0</v>
      </c>
      <c r="J271" s="30">
        <f t="shared" si="87"/>
        <v>0</v>
      </c>
      <c r="K271" s="30">
        <f t="shared" si="87"/>
        <v>0</v>
      </c>
      <c r="L271" s="30">
        <f t="shared" si="87"/>
        <v>0</v>
      </c>
      <c r="M271" s="30">
        <f t="shared" si="87"/>
        <v>0</v>
      </c>
      <c r="N271" s="30">
        <f t="shared" si="87"/>
        <v>0</v>
      </c>
      <c r="O271" s="30">
        <f t="shared" si="87"/>
        <v>0</v>
      </c>
      <c r="P271" s="30">
        <f t="shared" si="87"/>
        <v>0</v>
      </c>
      <c r="R271" s="30">
        <f t="shared" si="85"/>
        <v>0</v>
      </c>
      <c r="S271" s="30">
        <f t="shared" si="85"/>
        <v>0</v>
      </c>
      <c r="T271" s="30">
        <f t="shared" si="85"/>
        <v>0</v>
      </c>
      <c r="W271" s="30">
        <f>ROUND(IF($C271=0,0,W175/W$350),6)</f>
        <v>0</v>
      </c>
    </row>
    <row r="272" spans="1:23" x14ac:dyDescent="0.25">
      <c r="A272" s="24">
        <f>+A271+1</f>
        <v>11</v>
      </c>
      <c r="B272" s="14" t="str">
        <f>IF(OR((C268="~"),(C272="~")),"~","")</f>
        <v/>
      </c>
      <c r="C272" s="14" t="s">
        <v>71</v>
      </c>
      <c r="D272" s="14"/>
      <c r="E272" s="31">
        <f>ROUND(IF($C272=0,0,E176/E$350),6)</f>
        <v>5.8849999999999996E-3</v>
      </c>
      <c r="F272" s="31"/>
      <c r="G272" s="31">
        <f t="shared" ref="G272:P272" si="88">ROUND(IF($C272=0,0,G176/G$350),6)</f>
        <v>6.2300000000000003E-3</v>
      </c>
      <c r="H272" s="31">
        <f t="shared" si="88"/>
        <v>5.8069999999999997E-3</v>
      </c>
      <c r="I272" s="31">
        <f t="shared" si="88"/>
        <v>5.6759999999999996E-3</v>
      </c>
      <c r="J272" s="31">
        <f t="shared" si="88"/>
        <v>5.4999999999999997E-3</v>
      </c>
      <c r="K272" s="31">
        <f t="shared" si="88"/>
        <v>5.4520000000000002E-3</v>
      </c>
      <c r="L272" s="31">
        <f t="shared" si="88"/>
        <v>5.5399999999999998E-3</v>
      </c>
      <c r="M272" s="31">
        <f t="shared" si="88"/>
        <v>5.326E-3</v>
      </c>
      <c r="N272" s="31">
        <f t="shared" si="88"/>
        <v>5.3969999999999999E-3</v>
      </c>
      <c r="O272" s="31">
        <f t="shared" si="88"/>
        <v>5.8650000000000004E-3</v>
      </c>
      <c r="P272" s="31">
        <f t="shared" si="88"/>
        <v>6.234E-3</v>
      </c>
      <c r="R272" s="31">
        <f t="shared" si="85"/>
        <v>5.5539999999999999E-3</v>
      </c>
      <c r="S272" s="31">
        <f t="shared" si="85"/>
        <v>4.4209999999999996E-3</v>
      </c>
      <c r="T272" s="31">
        <f t="shared" si="85"/>
        <v>4.4140000000000004E-3</v>
      </c>
      <c r="W272" s="31">
        <f>ROUND(IF($C272=0,0,W176/W$350),6)</f>
        <v>5.5500000000000002E-3</v>
      </c>
    </row>
    <row r="273" spans="1:23" x14ac:dyDescent="0.25">
      <c r="A273" s="23">
        <f t="shared" si="78"/>
        <v>12</v>
      </c>
      <c r="B273" s="5" t="str">
        <f>IF(OR((C268="~"),(C273="~")),"~","")</f>
        <v/>
      </c>
    </row>
    <row r="274" spans="1:23" x14ac:dyDescent="0.25">
      <c r="A274" s="23">
        <f t="shared" si="78"/>
        <v>13</v>
      </c>
      <c r="C274" s="1" t="s">
        <v>216</v>
      </c>
    </row>
    <row r="275" spans="1:23" x14ac:dyDescent="0.25">
      <c r="A275" s="23">
        <f t="shared" si="78"/>
        <v>14</v>
      </c>
      <c r="B275" s="5" t="str">
        <f>IF(OR((C274="~"),(C275="~")),"~","")</f>
        <v/>
      </c>
      <c r="C275" s="5" t="s">
        <v>209</v>
      </c>
      <c r="E275" s="30">
        <f>ROUND(IF($C275=0,0,E179/E$350),6)</f>
        <v>1.4994E-2</v>
      </c>
      <c r="F275" s="30"/>
      <c r="G275" s="30">
        <f t="shared" ref="G275:P275" si="89">ROUND(IF($C275=0,0,G179/G$350),6)</f>
        <v>2.0580999999999999E-2</v>
      </c>
      <c r="H275" s="30">
        <f t="shared" si="89"/>
        <v>1.5509999999999999E-2</v>
      </c>
      <c r="I275" s="30">
        <f t="shared" si="89"/>
        <v>1.3551000000000001E-2</v>
      </c>
      <c r="J275" s="30">
        <f t="shared" si="89"/>
        <v>9.3259999999999992E-3</v>
      </c>
      <c r="K275" s="30">
        <f t="shared" si="89"/>
        <v>1.2114E-2</v>
      </c>
      <c r="L275" s="30">
        <f t="shared" si="89"/>
        <v>1.1667E-2</v>
      </c>
      <c r="M275" s="30">
        <f t="shared" si="89"/>
        <v>8.0000000000000007E-5</v>
      </c>
      <c r="N275" s="30">
        <f t="shared" si="89"/>
        <v>-5.5999999999999999E-5</v>
      </c>
      <c r="O275" s="30">
        <f t="shared" si="89"/>
        <v>2.7169999999999998E-3</v>
      </c>
      <c r="P275" s="30">
        <f t="shared" si="89"/>
        <v>2.0330999999999998E-2</v>
      </c>
      <c r="R275" s="30">
        <f t="shared" ref="R275:T278" si="90">ROUND(IF($C275=0,0,R179/R$350),6)</f>
        <v>1.0342E-2</v>
      </c>
      <c r="S275" s="30">
        <f t="shared" si="90"/>
        <v>3.8866999999999999E-2</v>
      </c>
      <c r="T275" s="30">
        <f t="shared" si="90"/>
        <v>2.9895999999999999E-2</v>
      </c>
      <c r="W275" s="30">
        <f>ROUND(IF($C275=0,0,W179/W$350),6)</f>
        <v>1.044E-2</v>
      </c>
    </row>
    <row r="276" spans="1:23" x14ac:dyDescent="0.25">
      <c r="A276" s="23">
        <f t="shared" si="78"/>
        <v>15</v>
      </c>
      <c r="B276" s="5" t="str">
        <f>IF(OR((C274="~"),(C276="~")),"~","")</f>
        <v/>
      </c>
      <c r="C276" s="5" t="s">
        <v>212</v>
      </c>
      <c r="E276" s="30">
        <f>ROUND(IF($C276=0,0,E180/E$350),6)</f>
        <v>0</v>
      </c>
      <c r="F276" s="30"/>
      <c r="G276" s="30">
        <f t="shared" ref="G276:P276" si="91">ROUND(IF($C276=0,0,G180/G$350),6)</f>
        <v>0</v>
      </c>
      <c r="H276" s="30">
        <f t="shared" si="91"/>
        <v>0</v>
      </c>
      <c r="I276" s="30">
        <f t="shared" si="91"/>
        <v>0</v>
      </c>
      <c r="J276" s="30">
        <f t="shared" si="91"/>
        <v>0</v>
      </c>
      <c r="K276" s="30">
        <f t="shared" si="91"/>
        <v>0</v>
      </c>
      <c r="L276" s="30">
        <f t="shared" si="91"/>
        <v>0</v>
      </c>
      <c r="M276" s="30">
        <f t="shared" si="91"/>
        <v>0</v>
      </c>
      <c r="N276" s="30">
        <f t="shared" si="91"/>
        <v>0</v>
      </c>
      <c r="O276" s="30">
        <f t="shared" si="91"/>
        <v>0</v>
      </c>
      <c r="P276" s="30">
        <f t="shared" si="91"/>
        <v>0</v>
      </c>
      <c r="R276" s="30">
        <f t="shared" si="90"/>
        <v>0</v>
      </c>
      <c r="S276" s="30">
        <f t="shared" si="90"/>
        <v>0</v>
      </c>
      <c r="T276" s="30">
        <f t="shared" si="90"/>
        <v>0</v>
      </c>
      <c r="W276" s="30">
        <f>ROUND(IF($C276=0,0,W180/W$350),6)</f>
        <v>0</v>
      </c>
    </row>
    <row r="277" spans="1:23" x14ac:dyDescent="0.25">
      <c r="A277" s="23">
        <f t="shared" si="78"/>
        <v>16</v>
      </c>
      <c r="B277" s="5" t="str">
        <f>IF(OR((C274="~"),(C277="~")),"~","")</f>
        <v/>
      </c>
      <c r="C277" s="5" t="s">
        <v>213</v>
      </c>
      <c r="E277" s="30">
        <f>ROUND(IF($C277=0,0,E181/E$350),6)</f>
        <v>6.5420000000000001E-3</v>
      </c>
      <c r="F277" s="30"/>
      <c r="G277" s="30">
        <f t="shared" ref="G277:P277" si="92">ROUND(IF($C277=0,0,G181/G$350),6)</f>
        <v>1.1077999999999999E-2</v>
      </c>
      <c r="H277" s="30">
        <f t="shared" si="92"/>
        <v>4.1250000000000002E-3</v>
      </c>
      <c r="I277" s="30">
        <f t="shared" si="92"/>
        <v>1.3929999999999999E-3</v>
      </c>
      <c r="J277" s="30">
        <f t="shared" si="92"/>
        <v>5.6499999999999996E-4</v>
      </c>
      <c r="K277" s="30">
        <f t="shared" si="92"/>
        <v>1.6969999999999999E-3</v>
      </c>
      <c r="L277" s="30">
        <f t="shared" si="92"/>
        <v>6.6699999999999995E-4</v>
      </c>
      <c r="M277" s="30">
        <f t="shared" si="92"/>
        <v>1.93E-4</v>
      </c>
      <c r="N277" s="30">
        <f t="shared" si="92"/>
        <v>2.0900000000000001E-4</v>
      </c>
      <c r="O277" s="30">
        <f t="shared" si="92"/>
        <v>0.15726100000000001</v>
      </c>
      <c r="P277" s="30">
        <f t="shared" si="92"/>
        <v>5.5500000000000002E-3</v>
      </c>
      <c r="R277" s="30">
        <f t="shared" si="90"/>
        <v>1.3929999999999999E-3</v>
      </c>
      <c r="S277" s="30">
        <f t="shared" si="90"/>
        <v>9.0200000000000002E-4</v>
      </c>
      <c r="T277" s="30">
        <f t="shared" si="90"/>
        <v>4.947E-3</v>
      </c>
      <c r="W277" s="30">
        <f>ROUND(IF($C277=0,0,W181/W$350),6)</f>
        <v>1.392E-3</v>
      </c>
    </row>
    <row r="278" spans="1:23" x14ac:dyDescent="0.25">
      <c r="A278" s="24">
        <f>+A277+1</f>
        <v>17</v>
      </c>
      <c r="B278" s="14" t="str">
        <f>IF(OR((C274="~"),(C278="~")),"~","")</f>
        <v/>
      </c>
      <c r="C278" s="14" t="s">
        <v>71</v>
      </c>
      <c r="D278" s="14"/>
      <c r="E278" s="31">
        <f>ROUND(IF($C278=0,0,E182/E$350),6)</f>
        <v>2.1536E-2</v>
      </c>
      <c r="F278" s="31"/>
      <c r="G278" s="31">
        <f t="shared" ref="G278:P278" si="93">ROUND(IF($C278=0,0,G182/G$350),6)</f>
        <v>3.1659E-2</v>
      </c>
      <c r="H278" s="31">
        <f t="shared" si="93"/>
        <v>1.9633999999999999E-2</v>
      </c>
      <c r="I278" s="31">
        <f t="shared" si="93"/>
        <v>1.4944000000000001E-2</v>
      </c>
      <c r="J278" s="31">
        <f t="shared" si="93"/>
        <v>9.8910000000000005E-3</v>
      </c>
      <c r="K278" s="31">
        <f t="shared" si="93"/>
        <v>1.3812E-2</v>
      </c>
      <c r="L278" s="31">
        <f t="shared" si="93"/>
        <v>1.2333999999999999E-2</v>
      </c>
      <c r="M278" s="31">
        <f t="shared" si="93"/>
        <v>2.7300000000000002E-4</v>
      </c>
      <c r="N278" s="31">
        <f t="shared" si="93"/>
        <v>1.5300000000000001E-4</v>
      </c>
      <c r="O278" s="31">
        <f t="shared" si="93"/>
        <v>0.15997700000000001</v>
      </c>
      <c r="P278" s="31">
        <f t="shared" si="93"/>
        <v>2.5881000000000001E-2</v>
      </c>
      <c r="R278" s="31">
        <f t="shared" si="90"/>
        <v>1.1735000000000001E-2</v>
      </c>
      <c r="S278" s="31">
        <f t="shared" si="90"/>
        <v>3.9768999999999999E-2</v>
      </c>
      <c r="T278" s="31">
        <f t="shared" si="90"/>
        <v>3.4842999999999999E-2</v>
      </c>
      <c r="W278" s="31">
        <f>ROUND(IF($C278=0,0,W182/W$350),6)</f>
        <v>1.1832000000000001E-2</v>
      </c>
    </row>
    <row r="279" spans="1:23" hidden="1" x14ac:dyDescent="0.25">
      <c r="A279" s="23"/>
      <c r="B279" s="5" t="str">
        <f>IF(OR((C274="~"),(C279="~")),"~","")</f>
        <v/>
      </c>
      <c r="C279" s="1"/>
    </row>
    <row r="280" spans="1:23" hidden="1" x14ac:dyDescent="0.25">
      <c r="A280" s="23"/>
      <c r="B280" s="5" t="s">
        <v>214</v>
      </c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R280" s="30"/>
      <c r="S280" s="30"/>
      <c r="T280" s="30"/>
      <c r="W280" s="30"/>
    </row>
    <row r="281" spans="1:23" hidden="1" x14ac:dyDescent="0.25">
      <c r="A281" s="23"/>
      <c r="B281" s="5" t="str">
        <f>IF(OR((B280="~"),(C281="~")),"~","")</f>
        <v>~</v>
      </c>
      <c r="C281" s="5" t="s">
        <v>214</v>
      </c>
      <c r="E281" s="30">
        <f t="shared" ref="E281:E286" si="94">ROUND(IF($C281=0,0,E185/E$350),6)</f>
        <v>0</v>
      </c>
      <c r="F281" s="30"/>
      <c r="G281" s="30">
        <f t="shared" ref="G281:P281" si="95">ROUND(IF($C281=0,0,G185/G$350),6)</f>
        <v>0</v>
      </c>
      <c r="H281" s="30">
        <f t="shared" si="95"/>
        <v>0</v>
      </c>
      <c r="I281" s="30">
        <f t="shared" si="95"/>
        <v>0</v>
      </c>
      <c r="J281" s="30">
        <f t="shared" si="95"/>
        <v>0</v>
      </c>
      <c r="K281" s="30">
        <f t="shared" si="95"/>
        <v>0</v>
      </c>
      <c r="L281" s="30">
        <f t="shared" si="95"/>
        <v>0</v>
      </c>
      <c r="M281" s="30">
        <f t="shared" si="95"/>
        <v>0</v>
      </c>
      <c r="N281" s="30">
        <f t="shared" si="95"/>
        <v>0</v>
      </c>
      <c r="O281" s="30">
        <f t="shared" si="95"/>
        <v>0</v>
      </c>
      <c r="P281" s="30">
        <f t="shared" si="95"/>
        <v>0</v>
      </c>
      <c r="R281" s="30">
        <f t="shared" ref="R281:T286" si="96">ROUND(IF($C281=0,0,R185/R$350),6)</f>
        <v>0</v>
      </c>
      <c r="S281" s="30">
        <f t="shared" si="96"/>
        <v>0</v>
      </c>
      <c r="T281" s="30">
        <f t="shared" si="96"/>
        <v>0</v>
      </c>
      <c r="W281" s="30">
        <f t="shared" ref="W281:W286" si="97">ROUND(IF($C281=0,0,W185/W$350),6)</f>
        <v>0</v>
      </c>
    </row>
    <row r="282" spans="1:23" hidden="1" x14ac:dyDescent="0.25">
      <c r="A282" s="23"/>
      <c r="B282" s="5" t="str">
        <f>IF(OR((B280="~"),(C282="~")),"~","")</f>
        <v>~</v>
      </c>
      <c r="C282" s="5" t="s">
        <v>214</v>
      </c>
      <c r="E282" s="30">
        <f t="shared" si="94"/>
        <v>0</v>
      </c>
      <c r="F282" s="30"/>
      <c r="G282" s="30">
        <f t="shared" ref="G282:P282" si="98">ROUND(IF($C282=0,0,G186/G$350),6)</f>
        <v>0</v>
      </c>
      <c r="H282" s="30">
        <f t="shared" si="98"/>
        <v>0</v>
      </c>
      <c r="I282" s="30">
        <f t="shared" si="98"/>
        <v>0</v>
      </c>
      <c r="J282" s="30">
        <f t="shared" si="98"/>
        <v>0</v>
      </c>
      <c r="K282" s="30">
        <f t="shared" si="98"/>
        <v>0</v>
      </c>
      <c r="L282" s="30">
        <f t="shared" si="98"/>
        <v>0</v>
      </c>
      <c r="M282" s="30">
        <f t="shared" si="98"/>
        <v>0</v>
      </c>
      <c r="N282" s="30">
        <f t="shared" si="98"/>
        <v>0</v>
      </c>
      <c r="O282" s="30">
        <f t="shared" si="98"/>
        <v>0</v>
      </c>
      <c r="P282" s="30">
        <f t="shared" si="98"/>
        <v>0</v>
      </c>
      <c r="R282" s="30">
        <f t="shared" si="96"/>
        <v>0</v>
      </c>
      <c r="S282" s="30">
        <f t="shared" si="96"/>
        <v>0</v>
      </c>
      <c r="T282" s="30">
        <f t="shared" si="96"/>
        <v>0</v>
      </c>
      <c r="W282" s="30">
        <f t="shared" si="97"/>
        <v>0</v>
      </c>
    </row>
    <row r="283" spans="1:23" hidden="1" x14ac:dyDescent="0.25">
      <c r="A283" s="23"/>
      <c r="B283" s="5" t="str">
        <f>IF(OR((B280="~"),(C283="~")),"~","")</f>
        <v>~</v>
      </c>
      <c r="C283" s="5" t="s">
        <v>214</v>
      </c>
      <c r="E283" s="30">
        <f t="shared" si="94"/>
        <v>0</v>
      </c>
      <c r="F283" s="30"/>
      <c r="G283" s="30">
        <f t="shared" ref="G283:P283" si="99">ROUND(IF($C283=0,0,G187/G$350),6)</f>
        <v>0</v>
      </c>
      <c r="H283" s="30">
        <f t="shared" si="99"/>
        <v>0</v>
      </c>
      <c r="I283" s="30">
        <f t="shared" si="99"/>
        <v>0</v>
      </c>
      <c r="J283" s="30">
        <f t="shared" si="99"/>
        <v>0</v>
      </c>
      <c r="K283" s="30">
        <f t="shared" si="99"/>
        <v>0</v>
      </c>
      <c r="L283" s="30">
        <f t="shared" si="99"/>
        <v>0</v>
      </c>
      <c r="M283" s="30">
        <f t="shared" si="99"/>
        <v>0</v>
      </c>
      <c r="N283" s="30">
        <f t="shared" si="99"/>
        <v>0</v>
      </c>
      <c r="O283" s="30">
        <f t="shared" si="99"/>
        <v>0</v>
      </c>
      <c r="P283" s="30">
        <f t="shared" si="99"/>
        <v>0</v>
      </c>
      <c r="R283" s="30">
        <f t="shared" si="96"/>
        <v>0</v>
      </c>
      <c r="S283" s="30">
        <f t="shared" si="96"/>
        <v>0</v>
      </c>
      <c r="T283" s="30">
        <f t="shared" si="96"/>
        <v>0</v>
      </c>
      <c r="W283" s="30">
        <f t="shared" si="97"/>
        <v>0</v>
      </c>
    </row>
    <row r="284" spans="1:23" hidden="1" x14ac:dyDescent="0.25">
      <c r="A284" s="23"/>
      <c r="B284" s="5" t="str">
        <f>IF(OR((B280="~"),(C284="~")),"~","")</f>
        <v>~</v>
      </c>
      <c r="C284" s="5" t="s">
        <v>214</v>
      </c>
      <c r="E284" s="30">
        <f t="shared" si="94"/>
        <v>0</v>
      </c>
      <c r="F284" s="30"/>
      <c r="G284" s="30">
        <f t="shared" ref="G284:P284" si="100">ROUND(IF($C284=0,0,G188/G$350),6)</f>
        <v>0</v>
      </c>
      <c r="H284" s="30">
        <f t="shared" si="100"/>
        <v>0</v>
      </c>
      <c r="I284" s="30">
        <f t="shared" si="100"/>
        <v>0</v>
      </c>
      <c r="J284" s="30">
        <f t="shared" si="100"/>
        <v>0</v>
      </c>
      <c r="K284" s="30">
        <f t="shared" si="100"/>
        <v>0</v>
      </c>
      <c r="L284" s="30">
        <f t="shared" si="100"/>
        <v>0</v>
      </c>
      <c r="M284" s="30">
        <f t="shared" si="100"/>
        <v>0</v>
      </c>
      <c r="N284" s="30">
        <f t="shared" si="100"/>
        <v>0</v>
      </c>
      <c r="O284" s="30">
        <f t="shared" si="100"/>
        <v>0</v>
      </c>
      <c r="P284" s="30">
        <f t="shared" si="100"/>
        <v>0</v>
      </c>
      <c r="R284" s="30">
        <f t="shared" si="96"/>
        <v>0</v>
      </c>
      <c r="S284" s="30">
        <f t="shared" si="96"/>
        <v>0</v>
      </c>
      <c r="T284" s="30">
        <f t="shared" si="96"/>
        <v>0</v>
      </c>
      <c r="W284" s="30">
        <f t="shared" si="97"/>
        <v>0</v>
      </c>
    </row>
    <row r="285" spans="1:23" hidden="1" x14ac:dyDescent="0.25">
      <c r="A285" s="23"/>
      <c r="B285" s="5" t="str">
        <f>IF(OR((B280="~"),(C285="~")),"~","")</f>
        <v>~</v>
      </c>
      <c r="C285" s="5" t="s">
        <v>214</v>
      </c>
      <c r="E285" s="30">
        <f t="shared" si="94"/>
        <v>0</v>
      </c>
      <c r="F285" s="30"/>
      <c r="G285" s="30">
        <f t="shared" ref="G285:P285" si="101">ROUND(IF($C285=0,0,G189/G$350),6)</f>
        <v>0</v>
      </c>
      <c r="H285" s="30">
        <f t="shared" si="101"/>
        <v>0</v>
      </c>
      <c r="I285" s="30">
        <f t="shared" si="101"/>
        <v>0</v>
      </c>
      <c r="J285" s="30">
        <f t="shared" si="101"/>
        <v>0</v>
      </c>
      <c r="K285" s="30">
        <f t="shared" si="101"/>
        <v>0</v>
      </c>
      <c r="L285" s="30">
        <f t="shared" si="101"/>
        <v>0</v>
      </c>
      <c r="M285" s="30">
        <f t="shared" si="101"/>
        <v>0</v>
      </c>
      <c r="N285" s="30">
        <f t="shared" si="101"/>
        <v>0</v>
      </c>
      <c r="O285" s="30">
        <f t="shared" si="101"/>
        <v>0</v>
      </c>
      <c r="P285" s="30">
        <f t="shared" si="101"/>
        <v>0</v>
      </c>
      <c r="R285" s="30">
        <f t="shared" si="96"/>
        <v>0</v>
      </c>
      <c r="S285" s="30">
        <f t="shared" si="96"/>
        <v>0</v>
      </c>
      <c r="T285" s="30">
        <f t="shared" si="96"/>
        <v>0</v>
      </c>
      <c r="W285" s="30">
        <f t="shared" si="97"/>
        <v>0</v>
      </c>
    </row>
    <row r="286" spans="1:23" hidden="1" x14ac:dyDescent="0.25">
      <c r="A286" s="24"/>
      <c r="B286" s="14" t="str">
        <f>IF(OR((B280="~"),(C286="~")),"~","")</f>
        <v>~</v>
      </c>
      <c r="C286" s="14" t="s">
        <v>214</v>
      </c>
      <c r="D286" s="14"/>
      <c r="E286" s="31">
        <f t="shared" si="94"/>
        <v>0</v>
      </c>
      <c r="F286" s="31"/>
      <c r="G286" s="31">
        <f t="shared" ref="G286:P286" si="102">ROUND(IF($C286=0,0,G190/G$350),6)</f>
        <v>0</v>
      </c>
      <c r="H286" s="31">
        <f t="shared" si="102"/>
        <v>0</v>
      </c>
      <c r="I286" s="31">
        <f t="shared" si="102"/>
        <v>0</v>
      </c>
      <c r="J286" s="31">
        <f t="shared" si="102"/>
        <v>0</v>
      </c>
      <c r="K286" s="31">
        <f t="shared" si="102"/>
        <v>0</v>
      </c>
      <c r="L286" s="31">
        <f t="shared" si="102"/>
        <v>0</v>
      </c>
      <c r="M286" s="31">
        <f t="shared" si="102"/>
        <v>0</v>
      </c>
      <c r="N286" s="31">
        <f t="shared" si="102"/>
        <v>0</v>
      </c>
      <c r="O286" s="31">
        <f t="shared" si="102"/>
        <v>0</v>
      </c>
      <c r="P286" s="31">
        <f t="shared" si="102"/>
        <v>0</v>
      </c>
      <c r="R286" s="31">
        <f t="shared" si="96"/>
        <v>0</v>
      </c>
      <c r="S286" s="31">
        <f t="shared" si="96"/>
        <v>0</v>
      </c>
      <c r="T286" s="31">
        <f t="shared" si="96"/>
        <v>0</v>
      </c>
      <c r="W286" s="31">
        <f t="shared" si="97"/>
        <v>0</v>
      </c>
    </row>
    <row r="287" spans="1:23" hidden="1" x14ac:dyDescent="0.25">
      <c r="A287" s="23"/>
      <c r="B287" s="5" t="str">
        <f>IF(OR((B280="~"),(C287="~")),"~","")</f>
        <v>~</v>
      </c>
      <c r="C287" s="5" t="str">
        <f>IF(B280="~","~","")</f>
        <v>~</v>
      </c>
    </row>
    <row r="288" spans="1:23" hidden="1" x14ac:dyDescent="0.25">
      <c r="A288" s="23"/>
      <c r="B288" s="5" t="str">
        <f>IF(OR((B280="~"),(C288="~")),"~","")</f>
        <v>~</v>
      </c>
      <c r="C288" s="1"/>
    </row>
    <row r="289" spans="1:23" hidden="1" x14ac:dyDescent="0.25">
      <c r="A289" s="23"/>
      <c r="B289" s="5" t="s">
        <v>214</v>
      </c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R289" s="30"/>
      <c r="S289" s="30"/>
      <c r="T289" s="30"/>
      <c r="W289" s="30"/>
    </row>
    <row r="290" spans="1:23" hidden="1" x14ac:dyDescent="0.25">
      <c r="A290" s="23"/>
      <c r="B290" s="5" t="str">
        <f>IF(OR((B289="~"),(C290="~")),"~","")</f>
        <v>~</v>
      </c>
      <c r="C290" s="5" t="s">
        <v>214</v>
      </c>
      <c r="E290" s="30">
        <f t="shared" ref="E290:E295" si="103">ROUND(IF($C290=0,0,E194/E$350),6)</f>
        <v>0</v>
      </c>
      <c r="F290" s="30"/>
      <c r="G290" s="30">
        <f t="shared" ref="G290:P290" si="104">ROUND(IF($C290=0,0,G194/G$350),6)</f>
        <v>0</v>
      </c>
      <c r="H290" s="30">
        <f t="shared" si="104"/>
        <v>0</v>
      </c>
      <c r="I290" s="30">
        <f t="shared" si="104"/>
        <v>0</v>
      </c>
      <c r="J290" s="30">
        <f t="shared" si="104"/>
        <v>0</v>
      </c>
      <c r="K290" s="30">
        <f t="shared" si="104"/>
        <v>0</v>
      </c>
      <c r="L290" s="30">
        <f t="shared" si="104"/>
        <v>0</v>
      </c>
      <c r="M290" s="30">
        <f t="shared" si="104"/>
        <v>0</v>
      </c>
      <c r="N290" s="30">
        <f t="shared" si="104"/>
        <v>0</v>
      </c>
      <c r="O290" s="30">
        <f t="shared" si="104"/>
        <v>0</v>
      </c>
      <c r="P290" s="30">
        <f t="shared" si="104"/>
        <v>0</v>
      </c>
      <c r="R290" s="30">
        <f t="shared" ref="R290:T295" si="105">ROUND(IF($C290=0,0,R194/R$350),6)</f>
        <v>0</v>
      </c>
      <c r="S290" s="30">
        <f t="shared" si="105"/>
        <v>0</v>
      </c>
      <c r="T290" s="30">
        <f t="shared" si="105"/>
        <v>0</v>
      </c>
      <c r="W290" s="30">
        <f t="shared" ref="W290:W295" si="106">ROUND(IF($C290=0,0,W194/W$350),6)</f>
        <v>0</v>
      </c>
    </row>
    <row r="291" spans="1:23" hidden="1" x14ac:dyDescent="0.25">
      <c r="A291" s="23"/>
      <c r="B291" s="5" t="str">
        <f>IF(OR((B289="~"),(C291="~")),"~","")</f>
        <v>~</v>
      </c>
      <c r="C291" s="5" t="s">
        <v>214</v>
      </c>
      <c r="E291" s="30">
        <f t="shared" si="103"/>
        <v>0</v>
      </c>
      <c r="F291" s="30"/>
      <c r="G291" s="30">
        <f t="shared" ref="G291:P291" si="107">ROUND(IF($C291=0,0,G195/G$350),6)</f>
        <v>0</v>
      </c>
      <c r="H291" s="30">
        <f t="shared" si="107"/>
        <v>0</v>
      </c>
      <c r="I291" s="30">
        <f t="shared" si="107"/>
        <v>0</v>
      </c>
      <c r="J291" s="30">
        <f t="shared" si="107"/>
        <v>0</v>
      </c>
      <c r="K291" s="30">
        <f t="shared" si="107"/>
        <v>0</v>
      </c>
      <c r="L291" s="30">
        <f t="shared" si="107"/>
        <v>0</v>
      </c>
      <c r="M291" s="30">
        <f t="shared" si="107"/>
        <v>0</v>
      </c>
      <c r="N291" s="30">
        <f t="shared" si="107"/>
        <v>0</v>
      </c>
      <c r="O291" s="30">
        <f t="shared" si="107"/>
        <v>0</v>
      </c>
      <c r="P291" s="30">
        <f t="shared" si="107"/>
        <v>0</v>
      </c>
      <c r="R291" s="30">
        <f t="shared" si="105"/>
        <v>0</v>
      </c>
      <c r="S291" s="30">
        <f t="shared" si="105"/>
        <v>0</v>
      </c>
      <c r="T291" s="30">
        <f t="shared" si="105"/>
        <v>0</v>
      </c>
      <c r="W291" s="30">
        <f t="shared" si="106"/>
        <v>0</v>
      </c>
    </row>
    <row r="292" spans="1:23" hidden="1" x14ac:dyDescent="0.25">
      <c r="A292" s="23"/>
      <c r="B292" s="5" t="str">
        <f>IF(OR((B289="~"),(C292="~")),"~","")</f>
        <v>~</v>
      </c>
      <c r="C292" s="5" t="s">
        <v>214</v>
      </c>
      <c r="E292" s="30">
        <f t="shared" si="103"/>
        <v>0</v>
      </c>
      <c r="F292" s="30"/>
      <c r="G292" s="30">
        <f t="shared" ref="G292:P292" si="108">ROUND(IF($C292=0,0,G196/G$350),6)</f>
        <v>0</v>
      </c>
      <c r="H292" s="30">
        <f t="shared" si="108"/>
        <v>0</v>
      </c>
      <c r="I292" s="30">
        <f t="shared" si="108"/>
        <v>0</v>
      </c>
      <c r="J292" s="30">
        <f t="shared" si="108"/>
        <v>0</v>
      </c>
      <c r="K292" s="30">
        <f t="shared" si="108"/>
        <v>0</v>
      </c>
      <c r="L292" s="30">
        <f t="shared" si="108"/>
        <v>0</v>
      </c>
      <c r="M292" s="30">
        <f t="shared" si="108"/>
        <v>0</v>
      </c>
      <c r="N292" s="30">
        <f t="shared" si="108"/>
        <v>0</v>
      </c>
      <c r="O292" s="30">
        <f t="shared" si="108"/>
        <v>0</v>
      </c>
      <c r="P292" s="30">
        <f t="shared" si="108"/>
        <v>0</v>
      </c>
      <c r="R292" s="30">
        <f t="shared" si="105"/>
        <v>0</v>
      </c>
      <c r="S292" s="30">
        <f t="shared" si="105"/>
        <v>0</v>
      </c>
      <c r="T292" s="30">
        <f t="shared" si="105"/>
        <v>0</v>
      </c>
      <c r="W292" s="30">
        <f t="shared" si="106"/>
        <v>0</v>
      </c>
    </row>
    <row r="293" spans="1:23" hidden="1" x14ac:dyDescent="0.25">
      <c r="A293" s="23"/>
      <c r="B293" s="5" t="str">
        <f>IF(OR((B289="~"),(C293="~")),"~","")</f>
        <v>~</v>
      </c>
      <c r="C293" s="5" t="s">
        <v>214</v>
      </c>
      <c r="E293" s="30">
        <f t="shared" si="103"/>
        <v>0</v>
      </c>
      <c r="F293" s="30"/>
      <c r="G293" s="30">
        <f t="shared" ref="G293:P293" si="109">ROUND(IF($C293=0,0,G197/G$350),6)</f>
        <v>0</v>
      </c>
      <c r="H293" s="30">
        <f t="shared" si="109"/>
        <v>0</v>
      </c>
      <c r="I293" s="30">
        <f t="shared" si="109"/>
        <v>0</v>
      </c>
      <c r="J293" s="30">
        <f t="shared" si="109"/>
        <v>0</v>
      </c>
      <c r="K293" s="30">
        <f t="shared" si="109"/>
        <v>0</v>
      </c>
      <c r="L293" s="30">
        <f t="shared" si="109"/>
        <v>0</v>
      </c>
      <c r="M293" s="30">
        <f t="shared" si="109"/>
        <v>0</v>
      </c>
      <c r="N293" s="30">
        <f t="shared" si="109"/>
        <v>0</v>
      </c>
      <c r="O293" s="30">
        <f t="shared" si="109"/>
        <v>0</v>
      </c>
      <c r="P293" s="30">
        <f t="shared" si="109"/>
        <v>0</v>
      </c>
      <c r="R293" s="30">
        <f t="shared" si="105"/>
        <v>0</v>
      </c>
      <c r="S293" s="30">
        <f t="shared" si="105"/>
        <v>0</v>
      </c>
      <c r="T293" s="30">
        <f t="shared" si="105"/>
        <v>0</v>
      </c>
      <c r="W293" s="30">
        <f t="shared" si="106"/>
        <v>0</v>
      </c>
    </row>
    <row r="294" spans="1:23" hidden="1" x14ac:dyDescent="0.25">
      <c r="A294" s="23"/>
      <c r="B294" s="5" t="str">
        <f>IF(OR((B289="~"),(C294="~")),"~","")</f>
        <v>~</v>
      </c>
      <c r="C294" s="5" t="s">
        <v>214</v>
      </c>
      <c r="E294" s="30">
        <f t="shared" si="103"/>
        <v>0</v>
      </c>
      <c r="F294" s="30"/>
      <c r="G294" s="30">
        <f t="shared" ref="G294:P294" si="110">ROUND(IF($C294=0,0,G198/G$350),6)</f>
        <v>0</v>
      </c>
      <c r="H294" s="30">
        <f t="shared" si="110"/>
        <v>0</v>
      </c>
      <c r="I294" s="30">
        <f t="shared" si="110"/>
        <v>0</v>
      </c>
      <c r="J294" s="30">
        <f t="shared" si="110"/>
        <v>0</v>
      </c>
      <c r="K294" s="30">
        <f t="shared" si="110"/>
        <v>0</v>
      </c>
      <c r="L294" s="30">
        <f t="shared" si="110"/>
        <v>0</v>
      </c>
      <c r="M294" s="30">
        <f t="shared" si="110"/>
        <v>0</v>
      </c>
      <c r="N294" s="30">
        <f t="shared" si="110"/>
        <v>0</v>
      </c>
      <c r="O294" s="30">
        <f t="shared" si="110"/>
        <v>0</v>
      </c>
      <c r="P294" s="30">
        <f t="shared" si="110"/>
        <v>0</v>
      </c>
      <c r="R294" s="30">
        <f t="shared" si="105"/>
        <v>0</v>
      </c>
      <c r="S294" s="30">
        <f t="shared" si="105"/>
        <v>0</v>
      </c>
      <c r="T294" s="30">
        <f t="shared" si="105"/>
        <v>0</v>
      </c>
      <c r="W294" s="30">
        <f t="shared" si="106"/>
        <v>0</v>
      </c>
    </row>
    <row r="295" spans="1:23" hidden="1" x14ac:dyDescent="0.25">
      <c r="A295" s="24"/>
      <c r="B295" s="14" t="str">
        <f>IF(OR((B289="~"),(C295="~")),"~","")</f>
        <v>~</v>
      </c>
      <c r="C295" s="14" t="s">
        <v>214</v>
      </c>
      <c r="D295" s="14"/>
      <c r="E295" s="31">
        <f t="shared" si="103"/>
        <v>0</v>
      </c>
      <c r="F295" s="31"/>
      <c r="G295" s="31">
        <f t="shared" ref="G295:P295" si="111">ROUND(IF($C295=0,0,G199/G$350),6)</f>
        <v>0</v>
      </c>
      <c r="H295" s="31">
        <f t="shared" si="111"/>
        <v>0</v>
      </c>
      <c r="I295" s="31">
        <f t="shared" si="111"/>
        <v>0</v>
      </c>
      <c r="J295" s="31">
        <f t="shared" si="111"/>
        <v>0</v>
      </c>
      <c r="K295" s="31">
        <f t="shared" si="111"/>
        <v>0</v>
      </c>
      <c r="L295" s="31">
        <f t="shared" si="111"/>
        <v>0</v>
      </c>
      <c r="M295" s="31">
        <f t="shared" si="111"/>
        <v>0</v>
      </c>
      <c r="N295" s="31">
        <f t="shared" si="111"/>
        <v>0</v>
      </c>
      <c r="O295" s="31">
        <f t="shared" si="111"/>
        <v>0</v>
      </c>
      <c r="P295" s="31">
        <f t="shared" si="111"/>
        <v>0</v>
      </c>
      <c r="R295" s="31">
        <f t="shared" si="105"/>
        <v>0</v>
      </c>
      <c r="S295" s="31">
        <f t="shared" si="105"/>
        <v>0</v>
      </c>
      <c r="T295" s="31">
        <f t="shared" si="105"/>
        <v>0</v>
      </c>
      <c r="W295" s="31">
        <f t="shared" si="106"/>
        <v>0</v>
      </c>
    </row>
    <row r="296" spans="1:23" hidden="1" x14ac:dyDescent="0.25">
      <c r="A296" s="23"/>
      <c r="B296" s="5" t="str">
        <f>IF(OR((B289="~"),(C296="~")),"~","")</f>
        <v>~</v>
      </c>
      <c r="C296" s="5" t="str">
        <f>IF(B289="~","~","Sub-total")</f>
        <v>~</v>
      </c>
    </row>
    <row r="297" spans="1:23" hidden="1" x14ac:dyDescent="0.25">
      <c r="A297" s="23"/>
      <c r="B297" s="5" t="str">
        <f>IF(OR((B289="~"),(C297="~")),"~","")</f>
        <v>~</v>
      </c>
      <c r="C297" s="1"/>
    </row>
    <row r="298" spans="1:23" hidden="1" x14ac:dyDescent="0.25">
      <c r="A298" s="23"/>
      <c r="B298" s="5" t="s">
        <v>214</v>
      </c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R298" s="30"/>
      <c r="S298" s="30"/>
      <c r="T298" s="30"/>
      <c r="W298" s="30"/>
    </row>
    <row r="299" spans="1:23" hidden="1" x14ac:dyDescent="0.25">
      <c r="A299" s="23"/>
      <c r="B299" s="5" t="str">
        <f>IF(OR((B298="~"),(C299="~")),"~","")</f>
        <v>~</v>
      </c>
      <c r="C299" s="5" t="s">
        <v>214</v>
      </c>
      <c r="E299" s="30">
        <f t="shared" ref="E299:E304" si="112">ROUND(IF($C299=0,0,E203/E$350),6)</f>
        <v>0</v>
      </c>
      <c r="F299" s="30"/>
      <c r="G299" s="30">
        <f t="shared" ref="G299:P299" si="113">ROUND(IF($C299=0,0,G203/G$350),6)</f>
        <v>0</v>
      </c>
      <c r="H299" s="30">
        <f t="shared" si="113"/>
        <v>0</v>
      </c>
      <c r="I299" s="30">
        <f t="shared" si="113"/>
        <v>0</v>
      </c>
      <c r="J299" s="30">
        <f t="shared" si="113"/>
        <v>0</v>
      </c>
      <c r="K299" s="30">
        <f t="shared" si="113"/>
        <v>0</v>
      </c>
      <c r="L299" s="30">
        <f t="shared" si="113"/>
        <v>0</v>
      </c>
      <c r="M299" s="30">
        <f t="shared" si="113"/>
        <v>0</v>
      </c>
      <c r="N299" s="30">
        <f t="shared" si="113"/>
        <v>0</v>
      </c>
      <c r="O299" s="30">
        <f t="shared" si="113"/>
        <v>0</v>
      </c>
      <c r="P299" s="30">
        <f t="shared" si="113"/>
        <v>0</v>
      </c>
      <c r="R299" s="30">
        <f t="shared" ref="R299:T304" si="114">ROUND(IF($C299=0,0,R203/R$350),6)</f>
        <v>0</v>
      </c>
      <c r="S299" s="30">
        <f t="shared" si="114"/>
        <v>0</v>
      </c>
      <c r="T299" s="30">
        <f t="shared" si="114"/>
        <v>0</v>
      </c>
      <c r="W299" s="30">
        <f t="shared" ref="W299:W304" si="115">ROUND(IF($C299=0,0,W203/W$350),6)</f>
        <v>0</v>
      </c>
    </row>
    <row r="300" spans="1:23" hidden="1" x14ac:dyDescent="0.25">
      <c r="A300" s="23"/>
      <c r="B300" s="5" t="str">
        <f>IF(OR((B298="~"),(C300="~")),"~","")</f>
        <v>~</v>
      </c>
      <c r="C300" s="5" t="s">
        <v>214</v>
      </c>
      <c r="E300" s="30">
        <f t="shared" si="112"/>
        <v>0</v>
      </c>
      <c r="F300" s="30"/>
      <c r="G300" s="30">
        <f t="shared" ref="G300:P300" si="116">ROUND(IF($C300=0,0,G204/G$350),6)</f>
        <v>0</v>
      </c>
      <c r="H300" s="30">
        <f t="shared" si="116"/>
        <v>0</v>
      </c>
      <c r="I300" s="30">
        <f t="shared" si="116"/>
        <v>0</v>
      </c>
      <c r="J300" s="30">
        <f t="shared" si="116"/>
        <v>0</v>
      </c>
      <c r="K300" s="30">
        <f t="shared" si="116"/>
        <v>0</v>
      </c>
      <c r="L300" s="30">
        <f t="shared" si="116"/>
        <v>0</v>
      </c>
      <c r="M300" s="30">
        <f t="shared" si="116"/>
        <v>0</v>
      </c>
      <c r="N300" s="30">
        <f t="shared" si="116"/>
        <v>0</v>
      </c>
      <c r="O300" s="30">
        <f t="shared" si="116"/>
        <v>0</v>
      </c>
      <c r="P300" s="30">
        <f t="shared" si="116"/>
        <v>0</v>
      </c>
      <c r="R300" s="30">
        <f t="shared" si="114"/>
        <v>0</v>
      </c>
      <c r="S300" s="30">
        <f t="shared" si="114"/>
        <v>0</v>
      </c>
      <c r="T300" s="30">
        <f t="shared" si="114"/>
        <v>0</v>
      </c>
      <c r="W300" s="30">
        <f t="shared" si="115"/>
        <v>0</v>
      </c>
    </row>
    <row r="301" spans="1:23" hidden="1" x14ac:dyDescent="0.25">
      <c r="A301" s="23"/>
      <c r="B301" s="5" t="str">
        <f>IF(OR((B298="~"),(C301="~")),"~","")</f>
        <v>~</v>
      </c>
      <c r="C301" s="5" t="s">
        <v>214</v>
      </c>
      <c r="E301" s="30">
        <f t="shared" si="112"/>
        <v>0</v>
      </c>
      <c r="F301" s="30"/>
      <c r="G301" s="30">
        <f t="shared" ref="G301:P301" si="117">ROUND(IF($C301=0,0,G205/G$350),6)</f>
        <v>0</v>
      </c>
      <c r="H301" s="30">
        <f t="shared" si="117"/>
        <v>0</v>
      </c>
      <c r="I301" s="30">
        <f t="shared" si="117"/>
        <v>0</v>
      </c>
      <c r="J301" s="30">
        <f t="shared" si="117"/>
        <v>0</v>
      </c>
      <c r="K301" s="30">
        <f t="shared" si="117"/>
        <v>0</v>
      </c>
      <c r="L301" s="30">
        <f t="shared" si="117"/>
        <v>0</v>
      </c>
      <c r="M301" s="30">
        <f t="shared" si="117"/>
        <v>0</v>
      </c>
      <c r="N301" s="30">
        <f t="shared" si="117"/>
        <v>0</v>
      </c>
      <c r="O301" s="30">
        <f t="shared" si="117"/>
        <v>0</v>
      </c>
      <c r="P301" s="30">
        <f t="shared" si="117"/>
        <v>0</v>
      </c>
      <c r="R301" s="30">
        <f t="shared" si="114"/>
        <v>0</v>
      </c>
      <c r="S301" s="30">
        <f t="shared" si="114"/>
        <v>0</v>
      </c>
      <c r="T301" s="30">
        <f t="shared" si="114"/>
        <v>0</v>
      </c>
      <c r="W301" s="30">
        <f t="shared" si="115"/>
        <v>0</v>
      </c>
    </row>
    <row r="302" spans="1:23" hidden="1" x14ac:dyDescent="0.25">
      <c r="A302" s="23"/>
      <c r="B302" s="5" t="str">
        <f>IF(OR((B298="~"),(C302="~")),"~","")</f>
        <v>~</v>
      </c>
      <c r="C302" s="5" t="s">
        <v>214</v>
      </c>
      <c r="E302" s="30">
        <f t="shared" si="112"/>
        <v>0</v>
      </c>
      <c r="F302" s="30"/>
      <c r="G302" s="30">
        <f t="shared" ref="G302:P302" si="118">ROUND(IF($C302=0,0,G206/G$350),6)</f>
        <v>0</v>
      </c>
      <c r="H302" s="30">
        <f t="shared" si="118"/>
        <v>0</v>
      </c>
      <c r="I302" s="30">
        <f t="shared" si="118"/>
        <v>0</v>
      </c>
      <c r="J302" s="30">
        <f t="shared" si="118"/>
        <v>0</v>
      </c>
      <c r="K302" s="30">
        <f t="shared" si="118"/>
        <v>0</v>
      </c>
      <c r="L302" s="30">
        <f t="shared" si="118"/>
        <v>0</v>
      </c>
      <c r="M302" s="30">
        <f t="shared" si="118"/>
        <v>0</v>
      </c>
      <c r="N302" s="30">
        <f t="shared" si="118"/>
        <v>0</v>
      </c>
      <c r="O302" s="30">
        <f t="shared" si="118"/>
        <v>0</v>
      </c>
      <c r="P302" s="30">
        <f t="shared" si="118"/>
        <v>0</v>
      </c>
      <c r="R302" s="30">
        <f t="shared" si="114"/>
        <v>0</v>
      </c>
      <c r="S302" s="30">
        <f t="shared" si="114"/>
        <v>0</v>
      </c>
      <c r="T302" s="30">
        <f t="shared" si="114"/>
        <v>0</v>
      </c>
      <c r="W302" s="30">
        <f t="shared" si="115"/>
        <v>0</v>
      </c>
    </row>
    <row r="303" spans="1:23" hidden="1" x14ac:dyDescent="0.25">
      <c r="A303" s="23"/>
      <c r="B303" s="5" t="str">
        <f>IF(OR((B298="~"),(C303="~")),"~","")</f>
        <v>~</v>
      </c>
      <c r="C303" s="5" t="s">
        <v>214</v>
      </c>
      <c r="E303" s="30">
        <f t="shared" si="112"/>
        <v>0</v>
      </c>
      <c r="F303" s="30"/>
      <c r="G303" s="30">
        <f t="shared" ref="G303:P303" si="119">ROUND(IF($C303=0,0,G207/G$350),6)</f>
        <v>0</v>
      </c>
      <c r="H303" s="30">
        <f t="shared" si="119"/>
        <v>0</v>
      </c>
      <c r="I303" s="30">
        <f t="shared" si="119"/>
        <v>0</v>
      </c>
      <c r="J303" s="30">
        <f t="shared" si="119"/>
        <v>0</v>
      </c>
      <c r="K303" s="30">
        <f t="shared" si="119"/>
        <v>0</v>
      </c>
      <c r="L303" s="30">
        <f t="shared" si="119"/>
        <v>0</v>
      </c>
      <c r="M303" s="30">
        <f t="shared" si="119"/>
        <v>0</v>
      </c>
      <c r="N303" s="30">
        <f t="shared" si="119"/>
        <v>0</v>
      </c>
      <c r="O303" s="30">
        <f t="shared" si="119"/>
        <v>0</v>
      </c>
      <c r="P303" s="30">
        <f t="shared" si="119"/>
        <v>0</v>
      </c>
      <c r="R303" s="30">
        <f t="shared" si="114"/>
        <v>0</v>
      </c>
      <c r="S303" s="30">
        <f t="shared" si="114"/>
        <v>0</v>
      </c>
      <c r="T303" s="30">
        <f t="shared" si="114"/>
        <v>0</v>
      </c>
      <c r="W303" s="30">
        <f t="shared" si="115"/>
        <v>0</v>
      </c>
    </row>
    <row r="304" spans="1:23" hidden="1" x14ac:dyDescent="0.25">
      <c r="A304" s="24"/>
      <c r="B304" s="14" t="str">
        <f>IF(OR((B298="~"),(C304="~")),"~","")</f>
        <v>~</v>
      </c>
      <c r="C304" s="14" t="s">
        <v>214</v>
      </c>
      <c r="D304" s="14"/>
      <c r="E304" s="31">
        <f t="shared" si="112"/>
        <v>0</v>
      </c>
      <c r="F304" s="31"/>
      <c r="G304" s="31">
        <f t="shared" ref="G304:P304" si="120">ROUND(IF($C304=0,0,G208/G$350),6)</f>
        <v>0</v>
      </c>
      <c r="H304" s="31">
        <f t="shared" si="120"/>
        <v>0</v>
      </c>
      <c r="I304" s="31">
        <f t="shared" si="120"/>
        <v>0</v>
      </c>
      <c r="J304" s="31">
        <f t="shared" si="120"/>
        <v>0</v>
      </c>
      <c r="K304" s="31">
        <f t="shared" si="120"/>
        <v>0</v>
      </c>
      <c r="L304" s="31">
        <f t="shared" si="120"/>
        <v>0</v>
      </c>
      <c r="M304" s="31">
        <f t="shared" si="120"/>
        <v>0</v>
      </c>
      <c r="N304" s="31">
        <f t="shared" si="120"/>
        <v>0</v>
      </c>
      <c r="O304" s="31">
        <f t="shared" si="120"/>
        <v>0</v>
      </c>
      <c r="P304" s="31">
        <f t="shared" si="120"/>
        <v>0</v>
      </c>
      <c r="R304" s="31">
        <f t="shared" si="114"/>
        <v>0</v>
      </c>
      <c r="S304" s="31">
        <f t="shared" si="114"/>
        <v>0</v>
      </c>
      <c r="T304" s="31">
        <f t="shared" si="114"/>
        <v>0</v>
      </c>
      <c r="W304" s="31">
        <f t="shared" si="115"/>
        <v>0</v>
      </c>
    </row>
    <row r="305" spans="1:23" hidden="1" x14ac:dyDescent="0.25">
      <c r="A305" s="23"/>
      <c r="B305" s="5" t="str">
        <f>IF(OR((B298="~"),(C305="~")),"~","")</f>
        <v>~</v>
      </c>
      <c r="C305" s="5" t="str">
        <f>IF(B298="~","~","Sub-total")</f>
        <v>~</v>
      </c>
    </row>
    <row r="306" spans="1:23" hidden="1" x14ac:dyDescent="0.25">
      <c r="A306" s="23"/>
      <c r="B306" s="5" t="str">
        <f>IF(OR((B298="~"),(C306="~")),"~","")</f>
        <v>~</v>
      </c>
      <c r="C306" s="1"/>
    </row>
    <row r="307" spans="1:23" hidden="1" x14ac:dyDescent="0.25">
      <c r="A307" s="23"/>
      <c r="B307" s="5" t="s">
        <v>214</v>
      </c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R307" s="30"/>
      <c r="S307" s="30"/>
      <c r="T307" s="30"/>
      <c r="W307" s="30"/>
    </row>
    <row r="308" spans="1:23" hidden="1" x14ac:dyDescent="0.25">
      <c r="A308" s="23"/>
      <c r="B308" s="5" t="str">
        <f>IF(OR((B307="~"),(C308="~")),"~","")</f>
        <v>~</v>
      </c>
      <c r="C308" s="5" t="s">
        <v>214</v>
      </c>
      <c r="E308" s="30">
        <f t="shared" ref="E308:E313" si="121">ROUND(IF($C308=0,0,E212/E$350),6)</f>
        <v>0</v>
      </c>
      <c r="F308" s="30"/>
      <c r="G308" s="30">
        <f t="shared" ref="G308:P308" si="122">ROUND(IF($C308=0,0,G212/G$350),6)</f>
        <v>0</v>
      </c>
      <c r="H308" s="30">
        <f t="shared" si="122"/>
        <v>0</v>
      </c>
      <c r="I308" s="30">
        <f t="shared" si="122"/>
        <v>0</v>
      </c>
      <c r="J308" s="30">
        <f t="shared" si="122"/>
        <v>0</v>
      </c>
      <c r="K308" s="30">
        <f t="shared" si="122"/>
        <v>0</v>
      </c>
      <c r="L308" s="30">
        <f t="shared" si="122"/>
        <v>0</v>
      </c>
      <c r="M308" s="30">
        <f t="shared" si="122"/>
        <v>0</v>
      </c>
      <c r="N308" s="30">
        <f t="shared" si="122"/>
        <v>0</v>
      </c>
      <c r="O308" s="30">
        <f t="shared" si="122"/>
        <v>0</v>
      </c>
      <c r="P308" s="30">
        <f t="shared" si="122"/>
        <v>0</v>
      </c>
      <c r="R308" s="30">
        <f t="shared" ref="R308:T313" si="123">ROUND(IF($C308=0,0,R212/R$350),6)</f>
        <v>0</v>
      </c>
      <c r="S308" s="30">
        <f t="shared" si="123"/>
        <v>0</v>
      </c>
      <c r="T308" s="30">
        <f t="shared" si="123"/>
        <v>0</v>
      </c>
      <c r="W308" s="30">
        <f t="shared" ref="W308:W313" si="124">ROUND(IF($C308=0,0,W212/W$350),6)</f>
        <v>0</v>
      </c>
    </row>
    <row r="309" spans="1:23" hidden="1" x14ac:dyDescent="0.25">
      <c r="A309" s="23"/>
      <c r="B309" s="5" t="str">
        <f>IF(OR((B307="~"),(C309="~")),"~","")</f>
        <v>~</v>
      </c>
      <c r="C309" s="5" t="s">
        <v>214</v>
      </c>
      <c r="E309" s="30">
        <f t="shared" si="121"/>
        <v>0</v>
      </c>
      <c r="F309" s="30"/>
      <c r="G309" s="30">
        <f t="shared" ref="G309:P309" si="125">ROUND(IF($C309=0,0,G213/G$350),6)</f>
        <v>0</v>
      </c>
      <c r="H309" s="30">
        <f t="shared" si="125"/>
        <v>0</v>
      </c>
      <c r="I309" s="30">
        <f t="shared" si="125"/>
        <v>0</v>
      </c>
      <c r="J309" s="30">
        <f t="shared" si="125"/>
        <v>0</v>
      </c>
      <c r="K309" s="30">
        <f t="shared" si="125"/>
        <v>0</v>
      </c>
      <c r="L309" s="30">
        <f t="shared" si="125"/>
        <v>0</v>
      </c>
      <c r="M309" s="30">
        <f t="shared" si="125"/>
        <v>0</v>
      </c>
      <c r="N309" s="30">
        <f t="shared" si="125"/>
        <v>0</v>
      </c>
      <c r="O309" s="30">
        <f t="shared" si="125"/>
        <v>0</v>
      </c>
      <c r="P309" s="30">
        <f t="shared" si="125"/>
        <v>0</v>
      </c>
      <c r="R309" s="30">
        <f t="shared" si="123"/>
        <v>0</v>
      </c>
      <c r="S309" s="30">
        <f t="shared" si="123"/>
        <v>0</v>
      </c>
      <c r="T309" s="30">
        <f t="shared" si="123"/>
        <v>0</v>
      </c>
      <c r="W309" s="30">
        <f t="shared" si="124"/>
        <v>0</v>
      </c>
    </row>
    <row r="310" spans="1:23" hidden="1" x14ac:dyDescent="0.25">
      <c r="A310" s="23"/>
      <c r="B310" s="5" t="str">
        <f>IF(OR((B307="~"),(C310="~")),"~","")</f>
        <v>~</v>
      </c>
      <c r="C310" s="5" t="s">
        <v>214</v>
      </c>
      <c r="E310" s="30">
        <f t="shared" si="121"/>
        <v>0</v>
      </c>
      <c r="F310" s="30"/>
      <c r="G310" s="30">
        <f t="shared" ref="G310:P310" si="126">ROUND(IF($C310=0,0,G214/G$350),6)</f>
        <v>0</v>
      </c>
      <c r="H310" s="30">
        <f t="shared" si="126"/>
        <v>0</v>
      </c>
      <c r="I310" s="30">
        <f t="shared" si="126"/>
        <v>0</v>
      </c>
      <c r="J310" s="30">
        <f t="shared" si="126"/>
        <v>0</v>
      </c>
      <c r="K310" s="30">
        <f t="shared" si="126"/>
        <v>0</v>
      </c>
      <c r="L310" s="30">
        <f t="shared" si="126"/>
        <v>0</v>
      </c>
      <c r="M310" s="30">
        <f t="shared" si="126"/>
        <v>0</v>
      </c>
      <c r="N310" s="30">
        <f t="shared" si="126"/>
        <v>0</v>
      </c>
      <c r="O310" s="30">
        <f t="shared" si="126"/>
        <v>0</v>
      </c>
      <c r="P310" s="30">
        <f t="shared" si="126"/>
        <v>0</v>
      </c>
      <c r="R310" s="30">
        <f t="shared" si="123"/>
        <v>0</v>
      </c>
      <c r="S310" s="30">
        <f t="shared" si="123"/>
        <v>0</v>
      </c>
      <c r="T310" s="30">
        <f t="shared" si="123"/>
        <v>0</v>
      </c>
      <c r="W310" s="30">
        <f t="shared" si="124"/>
        <v>0</v>
      </c>
    </row>
    <row r="311" spans="1:23" hidden="1" x14ac:dyDescent="0.25">
      <c r="A311" s="23"/>
      <c r="B311" s="5" t="str">
        <f>IF(OR((B307="~"),(C311="~")),"~","")</f>
        <v>~</v>
      </c>
      <c r="C311" s="5" t="s">
        <v>214</v>
      </c>
      <c r="E311" s="30">
        <f t="shared" si="121"/>
        <v>0</v>
      </c>
      <c r="F311" s="30"/>
      <c r="G311" s="30">
        <f t="shared" ref="G311:P311" si="127">ROUND(IF($C311=0,0,G215/G$350),6)</f>
        <v>0</v>
      </c>
      <c r="H311" s="30">
        <f t="shared" si="127"/>
        <v>0</v>
      </c>
      <c r="I311" s="30">
        <f t="shared" si="127"/>
        <v>0</v>
      </c>
      <c r="J311" s="30">
        <f t="shared" si="127"/>
        <v>0</v>
      </c>
      <c r="K311" s="30">
        <f t="shared" si="127"/>
        <v>0</v>
      </c>
      <c r="L311" s="30">
        <f t="shared" si="127"/>
        <v>0</v>
      </c>
      <c r="M311" s="30">
        <f t="shared" si="127"/>
        <v>0</v>
      </c>
      <c r="N311" s="30">
        <f t="shared" si="127"/>
        <v>0</v>
      </c>
      <c r="O311" s="30">
        <f t="shared" si="127"/>
        <v>0</v>
      </c>
      <c r="P311" s="30">
        <f t="shared" si="127"/>
        <v>0</v>
      </c>
      <c r="R311" s="30">
        <f t="shared" si="123"/>
        <v>0</v>
      </c>
      <c r="S311" s="30">
        <f t="shared" si="123"/>
        <v>0</v>
      </c>
      <c r="T311" s="30">
        <f t="shared" si="123"/>
        <v>0</v>
      </c>
      <c r="W311" s="30">
        <f t="shared" si="124"/>
        <v>0</v>
      </c>
    </row>
    <row r="312" spans="1:23" hidden="1" x14ac:dyDescent="0.25">
      <c r="A312" s="23"/>
      <c r="B312" s="5" t="str">
        <f>IF(OR((B307="~"),(C312="~")),"~","")</f>
        <v>~</v>
      </c>
      <c r="C312" s="5" t="s">
        <v>214</v>
      </c>
      <c r="E312" s="30">
        <f t="shared" si="121"/>
        <v>0</v>
      </c>
      <c r="F312" s="30"/>
      <c r="G312" s="30">
        <f t="shared" ref="G312:P312" si="128">ROUND(IF($C312=0,0,G216/G$350),6)</f>
        <v>0</v>
      </c>
      <c r="H312" s="30">
        <f t="shared" si="128"/>
        <v>0</v>
      </c>
      <c r="I312" s="30">
        <f t="shared" si="128"/>
        <v>0</v>
      </c>
      <c r="J312" s="30">
        <f t="shared" si="128"/>
        <v>0</v>
      </c>
      <c r="K312" s="30">
        <f t="shared" si="128"/>
        <v>0</v>
      </c>
      <c r="L312" s="30">
        <f t="shared" si="128"/>
        <v>0</v>
      </c>
      <c r="M312" s="30">
        <f t="shared" si="128"/>
        <v>0</v>
      </c>
      <c r="N312" s="30">
        <f t="shared" si="128"/>
        <v>0</v>
      </c>
      <c r="O312" s="30">
        <f t="shared" si="128"/>
        <v>0</v>
      </c>
      <c r="P312" s="30">
        <f t="shared" si="128"/>
        <v>0</v>
      </c>
      <c r="R312" s="30">
        <f t="shared" si="123"/>
        <v>0</v>
      </c>
      <c r="S312" s="30">
        <f t="shared" si="123"/>
        <v>0</v>
      </c>
      <c r="T312" s="30">
        <f t="shared" si="123"/>
        <v>0</v>
      </c>
      <c r="W312" s="30">
        <f t="shared" si="124"/>
        <v>0</v>
      </c>
    </row>
    <row r="313" spans="1:23" hidden="1" x14ac:dyDescent="0.25">
      <c r="A313" s="24"/>
      <c r="B313" s="14" t="str">
        <f>IF(OR((B307="~"),(C313="~")),"~","")</f>
        <v>~</v>
      </c>
      <c r="C313" s="14" t="s">
        <v>214</v>
      </c>
      <c r="D313" s="14"/>
      <c r="E313" s="31">
        <f t="shared" si="121"/>
        <v>0</v>
      </c>
      <c r="F313" s="31"/>
      <c r="G313" s="31">
        <f t="shared" ref="G313:P313" si="129">ROUND(IF($C313=0,0,G217/G$350),6)</f>
        <v>0</v>
      </c>
      <c r="H313" s="31">
        <f t="shared" si="129"/>
        <v>0</v>
      </c>
      <c r="I313" s="31">
        <f t="shared" si="129"/>
        <v>0</v>
      </c>
      <c r="J313" s="31">
        <f t="shared" si="129"/>
        <v>0</v>
      </c>
      <c r="K313" s="31">
        <f t="shared" si="129"/>
        <v>0</v>
      </c>
      <c r="L313" s="31">
        <f t="shared" si="129"/>
        <v>0</v>
      </c>
      <c r="M313" s="31">
        <f t="shared" si="129"/>
        <v>0</v>
      </c>
      <c r="N313" s="31">
        <f t="shared" si="129"/>
        <v>0</v>
      </c>
      <c r="O313" s="31">
        <f t="shared" si="129"/>
        <v>0</v>
      </c>
      <c r="P313" s="31">
        <f t="shared" si="129"/>
        <v>0</v>
      </c>
      <c r="R313" s="31">
        <f t="shared" si="123"/>
        <v>0</v>
      </c>
      <c r="S313" s="31">
        <f t="shared" si="123"/>
        <v>0</v>
      </c>
      <c r="T313" s="31">
        <f t="shared" si="123"/>
        <v>0</v>
      </c>
      <c r="W313" s="31">
        <f t="shared" si="124"/>
        <v>0</v>
      </c>
    </row>
    <row r="314" spans="1:23" hidden="1" x14ac:dyDescent="0.25">
      <c r="A314" s="23"/>
      <c r="B314" s="5" t="str">
        <f>IF(OR((B307="~"),(C314="~")),"~","")</f>
        <v>~</v>
      </c>
      <c r="C314" s="5" t="str">
        <f>IF(B307="~","~","Sub-total")</f>
        <v>~</v>
      </c>
    </row>
    <row r="315" spans="1:23" hidden="1" x14ac:dyDescent="0.25">
      <c r="A315" s="23"/>
      <c r="B315" s="5" t="str">
        <f>IF(OR((B307="~"),(C315="~")),"~","")</f>
        <v>~</v>
      </c>
      <c r="C315" s="1"/>
    </row>
    <row r="316" spans="1:23" hidden="1" x14ac:dyDescent="0.25">
      <c r="A316" s="23"/>
      <c r="B316" s="5" t="s">
        <v>214</v>
      </c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R316" s="30"/>
      <c r="S316" s="30"/>
      <c r="T316" s="30"/>
      <c r="W316" s="30"/>
    </row>
    <row r="317" spans="1:23" hidden="1" x14ac:dyDescent="0.25">
      <c r="A317" s="23"/>
      <c r="B317" s="5" t="str">
        <f>IF(OR((B316="~"),(C317="~")),"~","")</f>
        <v>~</v>
      </c>
      <c r="C317" s="5" t="s">
        <v>214</v>
      </c>
      <c r="E317" s="30">
        <f t="shared" ref="E317:E322" si="130">ROUND(IF($C317=0,0,E221/E$350),6)</f>
        <v>0</v>
      </c>
      <c r="F317" s="30"/>
      <c r="G317" s="30">
        <f t="shared" ref="G317:P317" si="131">ROUND(IF($C317=0,0,G221/G$350),6)</f>
        <v>0</v>
      </c>
      <c r="H317" s="30">
        <f t="shared" si="131"/>
        <v>0</v>
      </c>
      <c r="I317" s="30">
        <f t="shared" si="131"/>
        <v>0</v>
      </c>
      <c r="J317" s="30">
        <f t="shared" si="131"/>
        <v>0</v>
      </c>
      <c r="K317" s="30">
        <f t="shared" si="131"/>
        <v>0</v>
      </c>
      <c r="L317" s="30">
        <f t="shared" si="131"/>
        <v>0</v>
      </c>
      <c r="M317" s="30">
        <f t="shared" si="131"/>
        <v>0</v>
      </c>
      <c r="N317" s="30">
        <f t="shared" si="131"/>
        <v>0</v>
      </c>
      <c r="O317" s="30">
        <f t="shared" si="131"/>
        <v>0</v>
      </c>
      <c r="P317" s="30">
        <f t="shared" si="131"/>
        <v>0</v>
      </c>
      <c r="R317" s="30">
        <f t="shared" ref="R317:T322" si="132">ROUND(IF($C317=0,0,R221/R$350),6)</f>
        <v>0</v>
      </c>
      <c r="S317" s="30">
        <f t="shared" si="132"/>
        <v>0</v>
      </c>
      <c r="T317" s="30">
        <f t="shared" si="132"/>
        <v>0</v>
      </c>
      <c r="W317" s="30">
        <f t="shared" ref="W317:W322" si="133">ROUND(IF($C317=0,0,W221/W$350),6)</f>
        <v>0</v>
      </c>
    </row>
    <row r="318" spans="1:23" hidden="1" x14ac:dyDescent="0.25">
      <c r="A318" s="23"/>
      <c r="B318" s="5" t="str">
        <f>IF(OR((B316="~"),(C318="~")),"~","")</f>
        <v>~</v>
      </c>
      <c r="C318" s="5" t="s">
        <v>214</v>
      </c>
      <c r="E318" s="30">
        <f t="shared" si="130"/>
        <v>0</v>
      </c>
      <c r="F318" s="30"/>
      <c r="G318" s="30">
        <f t="shared" ref="G318:P318" si="134">ROUND(IF($C318=0,0,G222/G$350),6)</f>
        <v>0</v>
      </c>
      <c r="H318" s="30">
        <f t="shared" si="134"/>
        <v>0</v>
      </c>
      <c r="I318" s="30">
        <f t="shared" si="134"/>
        <v>0</v>
      </c>
      <c r="J318" s="30">
        <f t="shared" si="134"/>
        <v>0</v>
      </c>
      <c r="K318" s="30">
        <f t="shared" si="134"/>
        <v>0</v>
      </c>
      <c r="L318" s="30">
        <f t="shared" si="134"/>
        <v>0</v>
      </c>
      <c r="M318" s="30">
        <f t="shared" si="134"/>
        <v>0</v>
      </c>
      <c r="N318" s="30">
        <f t="shared" si="134"/>
        <v>0</v>
      </c>
      <c r="O318" s="30">
        <f t="shared" si="134"/>
        <v>0</v>
      </c>
      <c r="P318" s="30">
        <f t="shared" si="134"/>
        <v>0</v>
      </c>
      <c r="R318" s="30">
        <f t="shared" si="132"/>
        <v>0</v>
      </c>
      <c r="S318" s="30">
        <f t="shared" si="132"/>
        <v>0</v>
      </c>
      <c r="T318" s="30">
        <f t="shared" si="132"/>
        <v>0</v>
      </c>
      <c r="W318" s="30">
        <f t="shared" si="133"/>
        <v>0</v>
      </c>
    </row>
    <row r="319" spans="1:23" hidden="1" x14ac:dyDescent="0.25">
      <c r="A319" s="23"/>
      <c r="B319" s="5" t="str">
        <f>IF(OR((B316="~"),(C319="~")),"~","")</f>
        <v>~</v>
      </c>
      <c r="C319" s="5" t="s">
        <v>214</v>
      </c>
      <c r="E319" s="30">
        <f t="shared" si="130"/>
        <v>0</v>
      </c>
      <c r="F319" s="30"/>
      <c r="G319" s="30">
        <f t="shared" ref="G319:P319" si="135">ROUND(IF($C319=0,0,G223/G$350),6)</f>
        <v>0</v>
      </c>
      <c r="H319" s="30">
        <f t="shared" si="135"/>
        <v>0</v>
      </c>
      <c r="I319" s="30">
        <f t="shared" si="135"/>
        <v>0</v>
      </c>
      <c r="J319" s="30">
        <f t="shared" si="135"/>
        <v>0</v>
      </c>
      <c r="K319" s="30">
        <f t="shared" si="135"/>
        <v>0</v>
      </c>
      <c r="L319" s="30">
        <f t="shared" si="135"/>
        <v>0</v>
      </c>
      <c r="M319" s="30">
        <f t="shared" si="135"/>
        <v>0</v>
      </c>
      <c r="N319" s="30">
        <f t="shared" si="135"/>
        <v>0</v>
      </c>
      <c r="O319" s="30">
        <f t="shared" si="135"/>
        <v>0</v>
      </c>
      <c r="P319" s="30">
        <f t="shared" si="135"/>
        <v>0</v>
      </c>
      <c r="R319" s="30">
        <f t="shared" si="132"/>
        <v>0</v>
      </c>
      <c r="S319" s="30">
        <f t="shared" si="132"/>
        <v>0</v>
      </c>
      <c r="T319" s="30">
        <f t="shared" si="132"/>
        <v>0</v>
      </c>
      <c r="W319" s="30">
        <f t="shared" si="133"/>
        <v>0</v>
      </c>
    </row>
    <row r="320" spans="1:23" hidden="1" x14ac:dyDescent="0.25">
      <c r="A320" s="23"/>
      <c r="B320" s="5" t="str">
        <f>IF(OR((B316="~"),(C320="~")),"~","")</f>
        <v>~</v>
      </c>
      <c r="C320" s="5" t="s">
        <v>214</v>
      </c>
      <c r="E320" s="30">
        <f t="shared" si="130"/>
        <v>0</v>
      </c>
      <c r="F320" s="30"/>
      <c r="G320" s="30">
        <f t="shared" ref="G320:P320" si="136">ROUND(IF($C320=0,0,G224/G$350),6)</f>
        <v>0</v>
      </c>
      <c r="H320" s="30">
        <f t="shared" si="136"/>
        <v>0</v>
      </c>
      <c r="I320" s="30">
        <f t="shared" si="136"/>
        <v>0</v>
      </c>
      <c r="J320" s="30">
        <f t="shared" si="136"/>
        <v>0</v>
      </c>
      <c r="K320" s="30">
        <f t="shared" si="136"/>
        <v>0</v>
      </c>
      <c r="L320" s="30">
        <f t="shared" si="136"/>
        <v>0</v>
      </c>
      <c r="M320" s="30">
        <f t="shared" si="136"/>
        <v>0</v>
      </c>
      <c r="N320" s="30">
        <f t="shared" si="136"/>
        <v>0</v>
      </c>
      <c r="O320" s="30">
        <f t="shared" si="136"/>
        <v>0</v>
      </c>
      <c r="P320" s="30">
        <f t="shared" si="136"/>
        <v>0</v>
      </c>
      <c r="R320" s="30">
        <f t="shared" si="132"/>
        <v>0</v>
      </c>
      <c r="S320" s="30">
        <f t="shared" si="132"/>
        <v>0</v>
      </c>
      <c r="T320" s="30">
        <f t="shared" si="132"/>
        <v>0</v>
      </c>
      <c r="W320" s="30">
        <f t="shared" si="133"/>
        <v>0</v>
      </c>
    </row>
    <row r="321" spans="1:23" hidden="1" x14ac:dyDescent="0.25">
      <c r="A321" s="23"/>
      <c r="B321" s="5" t="str">
        <f>IF(OR((B316="~"),(C321="~")),"~","")</f>
        <v>~</v>
      </c>
      <c r="C321" s="5" t="s">
        <v>214</v>
      </c>
      <c r="E321" s="30">
        <f t="shared" si="130"/>
        <v>0</v>
      </c>
      <c r="F321" s="30"/>
      <c r="G321" s="30">
        <f t="shared" ref="G321:P321" si="137">ROUND(IF($C321=0,0,G225/G$350),6)</f>
        <v>0</v>
      </c>
      <c r="H321" s="30">
        <f t="shared" si="137"/>
        <v>0</v>
      </c>
      <c r="I321" s="30">
        <f t="shared" si="137"/>
        <v>0</v>
      </c>
      <c r="J321" s="30">
        <f t="shared" si="137"/>
        <v>0</v>
      </c>
      <c r="K321" s="30">
        <f t="shared" si="137"/>
        <v>0</v>
      </c>
      <c r="L321" s="30">
        <f t="shared" si="137"/>
        <v>0</v>
      </c>
      <c r="M321" s="30">
        <f t="shared" si="137"/>
        <v>0</v>
      </c>
      <c r="N321" s="30">
        <f t="shared" si="137"/>
        <v>0</v>
      </c>
      <c r="O321" s="30">
        <f t="shared" si="137"/>
        <v>0</v>
      </c>
      <c r="P321" s="30">
        <f t="shared" si="137"/>
        <v>0</v>
      </c>
      <c r="R321" s="30">
        <f t="shared" si="132"/>
        <v>0</v>
      </c>
      <c r="S321" s="30">
        <f t="shared" si="132"/>
        <v>0</v>
      </c>
      <c r="T321" s="30">
        <f t="shared" si="132"/>
        <v>0</v>
      </c>
      <c r="W321" s="30">
        <f t="shared" si="133"/>
        <v>0</v>
      </c>
    </row>
    <row r="322" spans="1:23" hidden="1" x14ac:dyDescent="0.25">
      <c r="A322" s="24"/>
      <c r="B322" s="14" t="str">
        <f>IF(OR((B316="~"),(C322="~")),"~","")</f>
        <v>~</v>
      </c>
      <c r="C322" s="14" t="s">
        <v>214</v>
      </c>
      <c r="D322" s="14"/>
      <c r="E322" s="31">
        <f t="shared" si="130"/>
        <v>0</v>
      </c>
      <c r="F322" s="31"/>
      <c r="G322" s="31">
        <f t="shared" ref="G322:P322" si="138">ROUND(IF($C322=0,0,G226/G$350),6)</f>
        <v>0</v>
      </c>
      <c r="H322" s="31">
        <f t="shared" si="138"/>
        <v>0</v>
      </c>
      <c r="I322" s="31">
        <f t="shared" si="138"/>
        <v>0</v>
      </c>
      <c r="J322" s="31">
        <f t="shared" si="138"/>
        <v>0</v>
      </c>
      <c r="K322" s="31">
        <f t="shared" si="138"/>
        <v>0</v>
      </c>
      <c r="L322" s="31">
        <f t="shared" si="138"/>
        <v>0</v>
      </c>
      <c r="M322" s="31">
        <f t="shared" si="138"/>
        <v>0</v>
      </c>
      <c r="N322" s="31">
        <f t="shared" si="138"/>
        <v>0</v>
      </c>
      <c r="O322" s="31">
        <f t="shared" si="138"/>
        <v>0</v>
      </c>
      <c r="P322" s="31">
        <f t="shared" si="138"/>
        <v>0</v>
      </c>
      <c r="R322" s="31">
        <f t="shared" si="132"/>
        <v>0</v>
      </c>
      <c r="S322" s="31">
        <f t="shared" si="132"/>
        <v>0</v>
      </c>
      <c r="T322" s="31">
        <f t="shared" si="132"/>
        <v>0</v>
      </c>
      <c r="W322" s="31">
        <f t="shared" si="133"/>
        <v>0</v>
      </c>
    </row>
    <row r="323" spans="1:23" hidden="1" x14ac:dyDescent="0.25">
      <c r="A323" s="23"/>
      <c r="B323" s="5" t="str">
        <f>IF(OR((B316="~"),(C323="~")),"~","")</f>
        <v>~</v>
      </c>
      <c r="C323" s="5" t="str">
        <f>IF(B316="~","~","Sub-total")</f>
        <v>~</v>
      </c>
    </row>
    <row r="324" spans="1:23" hidden="1" x14ac:dyDescent="0.25">
      <c r="A324" s="23"/>
      <c r="B324" s="5" t="str">
        <f>IF(OR((B316="~"),(C324="~")),"~","")</f>
        <v>~</v>
      </c>
      <c r="C324" s="1"/>
    </row>
    <row r="325" spans="1:23" hidden="1" x14ac:dyDescent="0.25">
      <c r="A325" s="23"/>
      <c r="B325" s="5" t="s">
        <v>214</v>
      </c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R325" s="30"/>
      <c r="S325" s="30"/>
      <c r="T325" s="30"/>
      <c r="W325" s="30"/>
    </row>
    <row r="326" spans="1:23" hidden="1" x14ac:dyDescent="0.25">
      <c r="A326" s="23"/>
      <c r="B326" s="5" t="str">
        <f>IF(OR((B325="~"),(C326="~")),"~","")</f>
        <v>~</v>
      </c>
      <c r="C326" s="5" t="s">
        <v>214</v>
      </c>
      <c r="E326" s="30">
        <f t="shared" ref="E326:E331" si="139">ROUND(IF($C326=0,0,E230/E$350),6)</f>
        <v>0</v>
      </c>
      <c r="F326" s="30"/>
      <c r="G326" s="30">
        <f t="shared" ref="G326:P326" si="140">ROUND(IF($C326=0,0,G230/G$350),6)</f>
        <v>0</v>
      </c>
      <c r="H326" s="30">
        <f t="shared" si="140"/>
        <v>0</v>
      </c>
      <c r="I326" s="30">
        <f t="shared" si="140"/>
        <v>0</v>
      </c>
      <c r="J326" s="30">
        <f t="shared" si="140"/>
        <v>0</v>
      </c>
      <c r="K326" s="30">
        <f t="shared" si="140"/>
        <v>0</v>
      </c>
      <c r="L326" s="30">
        <f t="shared" si="140"/>
        <v>0</v>
      </c>
      <c r="M326" s="30">
        <f t="shared" si="140"/>
        <v>0</v>
      </c>
      <c r="N326" s="30">
        <f t="shared" si="140"/>
        <v>0</v>
      </c>
      <c r="O326" s="30">
        <f t="shared" si="140"/>
        <v>0</v>
      </c>
      <c r="P326" s="30">
        <f t="shared" si="140"/>
        <v>0</v>
      </c>
      <c r="R326" s="30">
        <f t="shared" ref="R326:T331" si="141">ROUND(IF($C326=0,0,R230/R$350),6)</f>
        <v>0</v>
      </c>
      <c r="S326" s="30">
        <f t="shared" si="141"/>
        <v>0</v>
      </c>
      <c r="T326" s="30">
        <f t="shared" si="141"/>
        <v>0</v>
      </c>
      <c r="W326" s="30">
        <f t="shared" ref="W326:W331" si="142">ROUND(IF($C326=0,0,W230/W$350),6)</f>
        <v>0</v>
      </c>
    </row>
    <row r="327" spans="1:23" hidden="1" x14ac:dyDescent="0.25">
      <c r="A327" s="23"/>
      <c r="B327" s="5" t="str">
        <f>IF(OR((B325="~"),(C327="~")),"~","")</f>
        <v>~</v>
      </c>
      <c r="C327" s="5" t="s">
        <v>214</v>
      </c>
      <c r="E327" s="30">
        <f t="shared" si="139"/>
        <v>0</v>
      </c>
      <c r="F327" s="30"/>
      <c r="G327" s="30">
        <f t="shared" ref="G327:P327" si="143">ROUND(IF($C327=0,0,G231/G$350),6)</f>
        <v>0</v>
      </c>
      <c r="H327" s="30">
        <f t="shared" si="143"/>
        <v>0</v>
      </c>
      <c r="I327" s="30">
        <f t="shared" si="143"/>
        <v>0</v>
      </c>
      <c r="J327" s="30">
        <f t="shared" si="143"/>
        <v>0</v>
      </c>
      <c r="K327" s="30">
        <f t="shared" si="143"/>
        <v>0</v>
      </c>
      <c r="L327" s="30">
        <f t="shared" si="143"/>
        <v>0</v>
      </c>
      <c r="M327" s="30">
        <f t="shared" si="143"/>
        <v>0</v>
      </c>
      <c r="N327" s="30">
        <f t="shared" si="143"/>
        <v>0</v>
      </c>
      <c r="O327" s="30">
        <f t="shared" si="143"/>
        <v>0</v>
      </c>
      <c r="P327" s="30">
        <f t="shared" si="143"/>
        <v>0</v>
      </c>
      <c r="R327" s="30">
        <f t="shared" si="141"/>
        <v>0</v>
      </c>
      <c r="S327" s="30">
        <f t="shared" si="141"/>
        <v>0</v>
      </c>
      <c r="T327" s="30">
        <f t="shared" si="141"/>
        <v>0</v>
      </c>
      <c r="W327" s="30">
        <f t="shared" si="142"/>
        <v>0</v>
      </c>
    </row>
    <row r="328" spans="1:23" hidden="1" x14ac:dyDescent="0.25">
      <c r="A328" s="23"/>
      <c r="B328" s="5" t="str">
        <f>IF(OR((B325="~"),(C328="~")),"~","")</f>
        <v>~</v>
      </c>
      <c r="C328" s="5" t="s">
        <v>214</v>
      </c>
      <c r="E328" s="30">
        <f t="shared" si="139"/>
        <v>0</v>
      </c>
      <c r="F328" s="30"/>
      <c r="G328" s="30">
        <f t="shared" ref="G328:P328" si="144">ROUND(IF($C328=0,0,G232/G$350),6)</f>
        <v>0</v>
      </c>
      <c r="H328" s="30">
        <f t="shared" si="144"/>
        <v>0</v>
      </c>
      <c r="I328" s="30">
        <f t="shared" si="144"/>
        <v>0</v>
      </c>
      <c r="J328" s="30">
        <f t="shared" si="144"/>
        <v>0</v>
      </c>
      <c r="K328" s="30">
        <f t="shared" si="144"/>
        <v>0</v>
      </c>
      <c r="L328" s="30">
        <f t="shared" si="144"/>
        <v>0</v>
      </c>
      <c r="M328" s="30">
        <f t="shared" si="144"/>
        <v>0</v>
      </c>
      <c r="N328" s="30">
        <f t="shared" si="144"/>
        <v>0</v>
      </c>
      <c r="O328" s="30">
        <f t="shared" si="144"/>
        <v>0</v>
      </c>
      <c r="P328" s="30">
        <f t="shared" si="144"/>
        <v>0</v>
      </c>
      <c r="R328" s="30">
        <f t="shared" si="141"/>
        <v>0</v>
      </c>
      <c r="S328" s="30">
        <f t="shared" si="141"/>
        <v>0</v>
      </c>
      <c r="T328" s="30">
        <f t="shared" si="141"/>
        <v>0</v>
      </c>
      <c r="W328" s="30">
        <f t="shared" si="142"/>
        <v>0</v>
      </c>
    </row>
    <row r="329" spans="1:23" hidden="1" x14ac:dyDescent="0.25">
      <c r="A329" s="23"/>
      <c r="B329" s="5" t="str">
        <f>IF(OR((B325="~"),(C329="~")),"~","")</f>
        <v>~</v>
      </c>
      <c r="C329" s="5" t="s">
        <v>214</v>
      </c>
      <c r="E329" s="30">
        <f t="shared" si="139"/>
        <v>0</v>
      </c>
      <c r="F329" s="30"/>
      <c r="G329" s="30">
        <f t="shared" ref="G329:P329" si="145">ROUND(IF($C329=0,0,G233/G$350),6)</f>
        <v>0</v>
      </c>
      <c r="H329" s="30">
        <f t="shared" si="145"/>
        <v>0</v>
      </c>
      <c r="I329" s="30">
        <f t="shared" si="145"/>
        <v>0</v>
      </c>
      <c r="J329" s="30">
        <f t="shared" si="145"/>
        <v>0</v>
      </c>
      <c r="K329" s="30">
        <f t="shared" si="145"/>
        <v>0</v>
      </c>
      <c r="L329" s="30">
        <f t="shared" si="145"/>
        <v>0</v>
      </c>
      <c r="M329" s="30">
        <f t="shared" si="145"/>
        <v>0</v>
      </c>
      <c r="N329" s="30">
        <f t="shared" si="145"/>
        <v>0</v>
      </c>
      <c r="O329" s="30">
        <f t="shared" si="145"/>
        <v>0</v>
      </c>
      <c r="P329" s="30">
        <f t="shared" si="145"/>
        <v>0</v>
      </c>
      <c r="R329" s="30">
        <f t="shared" si="141"/>
        <v>0</v>
      </c>
      <c r="S329" s="30">
        <f t="shared" si="141"/>
        <v>0</v>
      </c>
      <c r="T329" s="30">
        <f t="shared" si="141"/>
        <v>0</v>
      </c>
      <c r="W329" s="30">
        <f t="shared" si="142"/>
        <v>0</v>
      </c>
    </row>
    <row r="330" spans="1:23" hidden="1" x14ac:dyDescent="0.25">
      <c r="A330" s="23"/>
      <c r="B330" s="5" t="str">
        <f>IF(OR((B325="~"),(C330="~")),"~","")</f>
        <v>~</v>
      </c>
      <c r="C330" s="5" t="s">
        <v>214</v>
      </c>
      <c r="E330" s="30">
        <f t="shared" si="139"/>
        <v>0</v>
      </c>
      <c r="F330" s="30"/>
      <c r="G330" s="30">
        <f t="shared" ref="G330:P330" si="146">ROUND(IF($C330=0,0,G234/G$350),6)</f>
        <v>0</v>
      </c>
      <c r="H330" s="30">
        <f t="shared" si="146"/>
        <v>0</v>
      </c>
      <c r="I330" s="30">
        <f t="shared" si="146"/>
        <v>0</v>
      </c>
      <c r="J330" s="30">
        <f t="shared" si="146"/>
        <v>0</v>
      </c>
      <c r="K330" s="30">
        <f t="shared" si="146"/>
        <v>0</v>
      </c>
      <c r="L330" s="30">
        <f t="shared" si="146"/>
        <v>0</v>
      </c>
      <c r="M330" s="30">
        <f t="shared" si="146"/>
        <v>0</v>
      </c>
      <c r="N330" s="30">
        <f t="shared" si="146"/>
        <v>0</v>
      </c>
      <c r="O330" s="30">
        <f t="shared" si="146"/>
        <v>0</v>
      </c>
      <c r="P330" s="30">
        <f t="shared" si="146"/>
        <v>0</v>
      </c>
      <c r="R330" s="30">
        <f t="shared" si="141"/>
        <v>0</v>
      </c>
      <c r="S330" s="30">
        <f t="shared" si="141"/>
        <v>0</v>
      </c>
      <c r="T330" s="30">
        <f t="shared" si="141"/>
        <v>0</v>
      </c>
      <c r="W330" s="30">
        <f t="shared" si="142"/>
        <v>0</v>
      </c>
    </row>
    <row r="331" spans="1:23" hidden="1" x14ac:dyDescent="0.25">
      <c r="A331" s="24"/>
      <c r="B331" s="14" t="str">
        <f>IF(OR((B325="~"),(C331="~")),"~","")</f>
        <v>~</v>
      </c>
      <c r="C331" s="14" t="s">
        <v>214</v>
      </c>
      <c r="D331" s="14"/>
      <c r="E331" s="31">
        <f t="shared" si="139"/>
        <v>0</v>
      </c>
      <c r="F331" s="31"/>
      <c r="G331" s="31">
        <f t="shared" ref="G331:P331" si="147">ROUND(IF($C331=0,0,G235/G$350),6)</f>
        <v>0</v>
      </c>
      <c r="H331" s="31">
        <f t="shared" si="147"/>
        <v>0</v>
      </c>
      <c r="I331" s="31">
        <f t="shared" si="147"/>
        <v>0</v>
      </c>
      <c r="J331" s="31">
        <f t="shared" si="147"/>
        <v>0</v>
      </c>
      <c r="K331" s="31">
        <f t="shared" si="147"/>
        <v>0</v>
      </c>
      <c r="L331" s="31">
        <f t="shared" si="147"/>
        <v>0</v>
      </c>
      <c r="M331" s="31">
        <f t="shared" si="147"/>
        <v>0</v>
      </c>
      <c r="N331" s="31">
        <f t="shared" si="147"/>
        <v>0</v>
      </c>
      <c r="O331" s="31">
        <f t="shared" si="147"/>
        <v>0</v>
      </c>
      <c r="P331" s="31">
        <f t="shared" si="147"/>
        <v>0</v>
      </c>
      <c r="R331" s="31">
        <f t="shared" si="141"/>
        <v>0</v>
      </c>
      <c r="S331" s="31">
        <f t="shared" si="141"/>
        <v>0</v>
      </c>
      <c r="T331" s="31">
        <f t="shared" si="141"/>
        <v>0</v>
      </c>
      <c r="W331" s="31">
        <f t="shared" si="142"/>
        <v>0</v>
      </c>
    </row>
    <row r="332" spans="1:23" hidden="1" x14ac:dyDescent="0.25">
      <c r="A332" s="23"/>
      <c r="B332" s="5" t="str">
        <f>IF(OR((B325="~"),(C332="~")),"~","")</f>
        <v>~</v>
      </c>
      <c r="C332" s="5" t="str">
        <f>IF(B325="~","~","Sub-total")</f>
        <v>~</v>
      </c>
    </row>
    <row r="333" spans="1:23" hidden="1" x14ac:dyDescent="0.25">
      <c r="A333" s="23"/>
      <c r="B333" s="5" t="str">
        <f>IF(OR((B325="~"),(C333="~")),"~","")</f>
        <v>~</v>
      </c>
      <c r="C333" s="1"/>
    </row>
    <row r="334" spans="1:23" hidden="1" x14ac:dyDescent="0.25">
      <c r="A334" s="23"/>
      <c r="B334" s="5" t="s">
        <v>214</v>
      </c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R334" s="30"/>
      <c r="S334" s="30"/>
      <c r="T334" s="30"/>
      <c r="W334" s="30"/>
    </row>
    <row r="335" spans="1:23" hidden="1" x14ac:dyDescent="0.25">
      <c r="A335" s="23"/>
      <c r="B335" s="5" t="str">
        <f>IF(OR((B334="~"),(C335="~")),"~","")</f>
        <v>~</v>
      </c>
      <c r="C335" s="5" t="s">
        <v>214</v>
      </c>
      <c r="E335" s="30">
        <f t="shared" ref="E335:E340" si="148">ROUND(IF($C335=0,0,E239/E$350),6)</f>
        <v>0</v>
      </c>
      <c r="F335" s="30"/>
      <c r="G335" s="30">
        <f t="shared" ref="G335:P335" si="149">ROUND(IF($C335=0,0,G239/G$350),6)</f>
        <v>0</v>
      </c>
      <c r="H335" s="30">
        <f t="shared" si="149"/>
        <v>0</v>
      </c>
      <c r="I335" s="30">
        <f t="shared" si="149"/>
        <v>0</v>
      </c>
      <c r="J335" s="30">
        <f t="shared" si="149"/>
        <v>0</v>
      </c>
      <c r="K335" s="30">
        <f t="shared" si="149"/>
        <v>0</v>
      </c>
      <c r="L335" s="30">
        <f t="shared" si="149"/>
        <v>0</v>
      </c>
      <c r="M335" s="30">
        <f t="shared" si="149"/>
        <v>0</v>
      </c>
      <c r="N335" s="30">
        <f t="shared" si="149"/>
        <v>0</v>
      </c>
      <c r="O335" s="30">
        <f t="shared" si="149"/>
        <v>0</v>
      </c>
      <c r="P335" s="30">
        <f t="shared" si="149"/>
        <v>0</v>
      </c>
      <c r="R335" s="30">
        <f t="shared" ref="R335:T340" si="150">ROUND(IF($C335=0,0,R239/R$350),6)</f>
        <v>0</v>
      </c>
      <c r="S335" s="30">
        <f t="shared" si="150"/>
        <v>0</v>
      </c>
      <c r="T335" s="30">
        <f t="shared" si="150"/>
        <v>0</v>
      </c>
      <c r="W335" s="30">
        <f t="shared" ref="W335:W340" si="151">ROUND(IF($C335=0,0,W239/W$350),6)</f>
        <v>0</v>
      </c>
    </row>
    <row r="336" spans="1:23" hidden="1" x14ac:dyDescent="0.25">
      <c r="A336" s="23"/>
      <c r="B336" s="5" t="str">
        <f>IF(OR((B334="~"),(C336="~")),"~","")</f>
        <v>~</v>
      </c>
      <c r="C336" s="5" t="s">
        <v>214</v>
      </c>
      <c r="E336" s="30">
        <f t="shared" si="148"/>
        <v>0</v>
      </c>
      <c r="F336" s="30"/>
      <c r="G336" s="30">
        <f t="shared" ref="G336:P336" si="152">ROUND(IF($C336=0,0,G240/G$350),6)</f>
        <v>0</v>
      </c>
      <c r="H336" s="30">
        <f t="shared" si="152"/>
        <v>0</v>
      </c>
      <c r="I336" s="30">
        <f t="shared" si="152"/>
        <v>0</v>
      </c>
      <c r="J336" s="30">
        <f t="shared" si="152"/>
        <v>0</v>
      </c>
      <c r="K336" s="30">
        <f t="shared" si="152"/>
        <v>0</v>
      </c>
      <c r="L336" s="30">
        <f t="shared" si="152"/>
        <v>0</v>
      </c>
      <c r="M336" s="30">
        <f t="shared" si="152"/>
        <v>0</v>
      </c>
      <c r="N336" s="30">
        <f t="shared" si="152"/>
        <v>0</v>
      </c>
      <c r="O336" s="30">
        <f t="shared" si="152"/>
        <v>0</v>
      </c>
      <c r="P336" s="30">
        <f t="shared" si="152"/>
        <v>0</v>
      </c>
      <c r="R336" s="30">
        <f t="shared" si="150"/>
        <v>0</v>
      </c>
      <c r="S336" s="30">
        <f t="shared" si="150"/>
        <v>0</v>
      </c>
      <c r="T336" s="30">
        <f t="shared" si="150"/>
        <v>0</v>
      </c>
      <c r="W336" s="30">
        <f t="shared" si="151"/>
        <v>0</v>
      </c>
    </row>
    <row r="337" spans="1:23" hidden="1" x14ac:dyDescent="0.25">
      <c r="A337" s="23"/>
      <c r="B337" s="5" t="str">
        <f>IF(OR((B334="~"),(C337="~")),"~","")</f>
        <v>~</v>
      </c>
      <c r="C337" s="5" t="s">
        <v>214</v>
      </c>
      <c r="E337" s="30">
        <f t="shared" si="148"/>
        <v>0</v>
      </c>
      <c r="F337" s="30"/>
      <c r="G337" s="30">
        <f t="shared" ref="G337:P337" si="153">ROUND(IF($C337=0,0,G241/G$350),6)</f>
        <v>0</v>
      </c>
      <c r="H337" s="30">
        <f t="shared" si="153"/>
        <v>0</v>
      </c>
      <c r="I337" s="30">
        <f t="shared" si="153"/>
        <v>0</v>
      </c>
      <c r="J337" s="30">
        <f t="shared" si="153"/>
        <v>0</v>
      </c>
      <c r="K337" s="30">
        <f t="shared" si="153"/>
        <v>0</v>
      </c>
      <c r="L337" s="30">
        <f t="shared" si="153"/>
        <v>0</v>
      </c>
      <c r="M337" s="30">
        <f t="shared" si="153"/>
        <v>0</v>
      </c>
      <c r="N337" s="30">
        <f t="shared" si="153"/>
        <v>0</v>
      </c>
      <c r="O337" s="30">
        <f t="shared" si="153"/>
        <v>0</v>
      </c>
      <c r="P337" s="30">
        <f t="shared" si="153"/>
        <v>0</v>
      </c>
      <c r="R337" s="30">
        <f t="shared" si="150"/>
        <v>0</v>
      </c>
      <c r="S337" s="30">
        <f t="shared" si="150"/>
        <v>0</v>
      </c>
      <c r="T337" s="30">
        <f t="shared" si="150"/>
        <v>0</v>
      </c>
      <c r="W337" s="30">
        <f t="shared" si="151"/>
        <v>0</v>
      </c>
    </row>
    <row r="338" spans="1:23" hidden="1" x14ac:dyDescent="0.25">
      <c r="A338" s="23"/>
      <c r="B338" s="5" t="str">
        <f>IF(OR((B334="~"),(C338="~")),"~","")</f>
        <v>~</v>
      </c>
      <c r="C338" s="5" t="s">
        <v>214</v>
      </c>
      <c r="E338" s="30">
        <f t="shared" si="148"/>
        <v>0</v>
      </c>
      <c r="F338" s="30"/>
      <c r="G338" s="30">
        <f t="shared" ref="G338:P338" si="154">ROUND(IF($C338=0,0,G242/G$350),6)</f>
        <v>0</v>
      </c>
      <c r="H338" s="30">
        <f t="shared" si="154"/>
        <v>0</v>
      </c>
      <c r="I338" s="30">
        <f t="shared" si="154"/>
        <v>0</v>
      </c>
      <c r="J338" s="30">
        <f t="shared" si="154"/>
        <v>0</v>
      </c>
      <c r="K338" s="30">
        <f t="shared" si="154"/>
        <v>0</v>
      </c>
      <c r="L338" s="30">
        <f t="shared" si="154"/>
        <v>0</v>
      </c>
      <c r="M338" s="30">
        <f t="shared" si="154"/>
        <v>0</v>
      </c>
      <c r="N338" s="30">
        <f t="shared" si="154"/>
        <v>0</v>
      </c>
      <c r="O338" s="30">
        <f t="shared" si="154"/>
        <v>0</v>
      </c>
      <c r="P338" s="30">
        <f t="shared" si="154"/>
        <v>0</v>
      </c>
      <c r="R338" s="30">
        <f t="shared" si="150"/>
        <v>0</v>
      </c>
      <c r="S338" s="30">
        <f t="shared" si="150"/>
        <v>0</v>
      </c>
      <c r="T338" s="30">
        <f t="shared" si="150"/>
        <v>0</v>
      </c>
      <c r="W338" s="30">
        <f t="shared" si="151"/>
        <v>0</v>
      </c>
    </row>
    <row r="339" spans="1:23" hidden="1" x14ac:dyDescent="0.25">
      <c r="A339" s="23"/>
      <c r="B339" s="5" t="str">
        <f>IF(OR((B334="~"),(C339="~")),"~","")</f>
        <v>~</v>
      </c>
      <c r="C339" s="5" t="s">
        <v>214</v>
      </c>
      <c r="E339" s="30">
        <f t="shared" si="148"/>
        <v>0</v>
      </c>
      <c r="F339" s="30"/>
      <c r="G339" s="30">
        <f t="shared" ref="G339:P339" si="155">ROUND(IF($C339=0,0,G243/G$350),6)</f>
        <v>0</v>
      </c>
      <c r="H339" s="30">
        <f t="shared" si="155"/>
        <v>0</v>
      </c>
      <c r="I339" s="30">
        <f t="shared" si="155"/>
        <v>0</v>
      </c>
      <c r="J339" s="30">
        <f t="shared" si="155"/>
        <v>0</v>
      </c>
      <c r="K339" s="30">
        <f t="shared" si="155"/>
        <v>0</v>
      </c>
      <c r="L339" s="30">
        <f t="shared" si="155"/>
        <v>0</v>
      </c>
      <c r="M339" s="30">
        <f t="shared" si="155"/>
        <v>0</v>
      </c>
      <c r="N339" s="30">
        <f t="shared" si="155"/>
        <v>0</v>
      </c>
      <c r="O339" s="30">
        <f t="shared" si="155"/>
        <v>0</v>
      </c>
      <c r="P339" s="30">
        <f t="shared" si="155"/>
        <v>0</v>
      </c>
      <c r="R339" s="30">
        <f t="shared" si="150"/>
        <v>0</v>
      </c>
      <c r="S339" s="30">
        <f t="shared" si="150"/>
        <v>0</v>
      </c>
      <c r="T339" s="30">
        <f t="shared" si="150"/>
        <v>0</v>
      </c>
      <c r="W339" s="30">
        <f t="shared" si="151"/>
        <v>0</v>
      </c>
    </row>
    <row r="340" spans="1:23" hidden="1" x14ac:dyDescent="0.25">
      <c r="A340" s="24"/>
      <c r="B340" s="14" t="str">
        <f>IF(OR((B334="~"),(C340="~")),"~","")</f>
        <v>~</v>
      </c>
      <c r="C340" s="14" t="s">
        <v>214</v>
      </c>
      <c r="D340" s="14"/>
      <c r="E340" s="31">
        <f t="shared" si="148"/>
        <v>0</v>
      </c>
      <c r="F340" s="31"/>
      <c r="G340" s="31">
        <f t="shared" ref="G340:P340" si="156">ROUND(IF($C340=0,0,G244/G$350),6)</f>
        <v>0</v>
      </c>
      <c r="H340" s="31">
        <f t="shared" si="156"/>
        <v>0</v>
      </c>
      <c r="I340" s="31">
        <f t="shared" si="156"/>
        <v>0</v>
      </c>
      <c r="J340" s="31">
        <f t="shared" si="156"/>
        <v>0</v>
      </c>
      <c r="K340" s="31">
        <f t="shared" si="156"/>
        <v>0</v>
      </c>
      <c r="L340" s="31">
        <f t="shared" si="156"/>
        <v>0</v>
      </c>
      <c r="M340" s="31">
        <f t="shared" si="156"/>
        <v>0</v>
      </c>
      <c r="N340" s="31">
        <f t="shared" si="156"/>
        <v>0</v>
      </c>
      <c r="O340" s="31">
        <f t="shared" si="156"/>
        <v>0</v>
      </c>
      <c r="P340" s="31">
        <f t="shared" si="156"/>
        <v>0</v>
      </c>
      <c r="R340" s="31">
        <f t="shared" si="150"/>
        <v>0</v>
      </c>
      <c r="S340" s="31">
        <f t="shared" si="150"/>
        <v>0</v>
      </c>
      <c r="T340" s="31">
        <f t="shared" si="150"/>
        <v>0</v>
      </c>
      <c r="W340" s="31">
        <f t="shared" si="151"/>
        <v>0</v>
      </c>
    </row>
    <row r="341" spans="1:23" hidden="1" x14ac:dyDescent="0.25">
      <c r="A341" s="23"/>
      <c r="B341" s="5" t="str">
        <f>IF(OR((B334="~"),(C341="~")),"~","")</f>
        <v>~</v>
      </c>
      <c r="C341" s="5" t="str">
        <f>IF(B334="~","~","Sub-total")</f>
        <v>~</v>
      </c>
    </row>
    <row r="342" spans="1:23" hidden="1" x14ac:dyDescent="0.25">
      <c r="A342" s="23"/>
      <c r="B342" s="5" t="str">
        <f>IF(OR((B334="~"),(C342="~")),"~","")</f>
        <v>~</v>
      </c>
    </row>
    <row r="343" spans="1:23" x14ac:dyDescent="0.25">
      <c r="A343" s="23">
        <f>+A278+1</f>
        <v>18</v>
      </c>
    </row>
    <row r="344" spans="1:23" x14ac:dyDescent="0.25">
      <c r="A344" s="23">
        <f>+A343+1</f>
        <v>19</v>
      </c>
      <c r="C344" s="1" t="s">
        <v>67</v>
      </c>
    </row>
    <row r="345" spans="1:23" x14ac:dyDescent="0.25">
      <c r="A345" s="23">
        <f t="shared" ref="A345:A350" si="157">+A344+1</f>
        <v>20</v>
      </c>
      <c r="B345" s="5" t="str">
        <f>IF(OR((C344="~"),(C345="~")),"~","")</f>
        <v/>
      </c>
      <c r="C345" s="5" t="s">
        <v>209</v>
      </c>
      <c r="E345" s="30">
        <f>ROUND(IF($C345=0,0,E249/E$350),6)</f>
        <v>3.0615E-2</v>
      </c>
      <c r="F345" s="30"/>
      <c r="G345" s="30">
        <f t="shared" ref="G345:P345" si="158">ROUND(IF($C345=0,0,G249/G$350),6)</f>
        <v>4.095E-2</v>
      </c>
      <c r="H345" s="30">
        <f t="shared" si="158"/>
        <v>3.1133999999999998E-2</v>
      </c>
      <c r="I345" s="30">
        <f t="shared" si="158"/>
        <v>2.7699999999999999E-2</v>
      </c>
      <c r="J345" s="30">
        <f t="shared" si="158"/>
        <v>2.1506999999999998E-2</v>
      </c>
      <c r="K345" s="30">
        <f t="shared" si="158"/>
        <v>2.3761000000000001E-2</v>
      </c>
      <c r="L345" s="30">
        <f t="shared" si="158"/>
        <v>2.4301E-2</v>
      </c>
      <c r="M345" s="30">
        <f t="shared" si="158"/>
        <v>1.0309E-2</v>
      </c>
      <c r="N345" s="30">
        <f t="shared" si="158"/>
        <v>9.3700000000000001E-4</v>
      </c>
      <c r="O345" s="30">
        <f t="shared" si="158"/>
        <v>1.8994E-2</v>
      </c>
      <c r="P345" s="30">
        <f t="shared" si="158"/>
        <v>4.0735E-2</v>
      </c>
      <c r="R345" s="30">
        <f t="shared" ref="R345:T348" si="159">ROUND(IF($C345=0,0,R249/R$350),6)</f>
        <v>2.3129E-2</v>
      </c>
      <c r="S345" s="30">
        <f t="shared" si="159"/>
        <v>3.8952000000000001E-2</v>
      </c>
      <c r="T345" s="30">
        <f t="shared" si="159"/>
        <v>2.9895999999999999E-2</v>
      </c>
      <c r="W345" s="30">
        <f>ROUND(IF($C345=0,0,W249/W$350),6)</f>
        <v>2.3182999999999999E-2</v>
      </c>
    </row>
    <row r="346" spans="1:23" x14ac:dyDescent="0.25">
      <c r="A346" s="23">
        <f t="shared" si="157"/>
        <v>21</v>
      </c>
      <c r="B346" s="5" t="str">
        <f>IF(OR((C344="~"),(C346="~")),"~","")</f>
        <v/>
      </c>
      <c r="C346" s="5" t="s">
        <v>212</v>
      </c>
      <c r="E346" s="30">
        <f>ROUND(IF($C346=0,0,E250/E$350),6)</f>
        <v>4.6917E-2</v>
      </c>
      <c r="F346" s="30"/>
      <c r="G346" s="30">
        <f t="shared" ref="G346:P346" si="160">ROUND(IF($C346=0,0,G250/G$350),6)</f>
        <v>5.0994999999999999E-2</v>
      </c>
      <c r="H346" s="30">
        <f t="shared" si="160"/>
        <v>5.0994999999999999E-2</v>
      </c>
      <c r="I346" s="30">
        <f t="shared" si="160"/>
        <v>5.0994999999999999E-2</v>
      </c>
      <c r="J346" s="30">
        <f t="shared" si="160"/>
        <v>5.0994999999999999E-2</v>
      </c>
      <c r="K346" s="30">
        <f t="shared" si="160"/>
        <v>5.0994999999999999E-2</v>
      </c>
      <c r="L346" s="30">
        <f t="shared" si="160"/>
        <v>5.0994999999999999E-2</v>
      </c>
      <c r="M346" s="30">
        <f t="shared" si="160"/>
        <v>5.0994999999999999E-2</v>
      </c>
      <c r="N346" s="30">
        <f t="shared" si="160"/>
        <v>4.4029999999999998E-3</v>
      </c>
      <c r="O346" s="30">
        <f t="shared" si="160"/>
        <v>5.0994999999999999E-2</v>
      </c>
      <c r="P346" s="30">
        <f t="shared" si="160"/>
        <v>5.0994999999999999E-2</v>
      </c>
      <c r="R346" s="30">
        <f t="shared" si="159"/>
        <v>5.0994999999999999E-2</v>
      </c>
      <c r="S346" s="30">
        <f t="shared" si="159"/>
        <v>5.0994999999999999E-2</v>
      </c>
      <c r="T346" s="30">
        <f t="shared" si="159"/>
        <v>5.0994999999999999E-2</v>
      </c>
      <c r="W346" s="30">
        <f>ROUND(IF($C346=0,0,W250/W$350),6)</f>
        <v>5.0994999999999999E-2</v>
      </c>
    </row>
    <row r="347" spans="1:23" x14ac:dyDescent="0.25">
      <c r="A347" s="23">
        <f t="shared" si="157"/>
        <v>22</v>
      </c>
      <c r="B347" s="5" t="str">
        <f>IF(OR((C344="~"),(C347="~")),"~","")</f>
        <v/>
      </c>
      <c r="C347" s="5" t="s">
        <v>213</v>
      </c>
      <c r="E347" s="30">
        <f>ROUND(IF($C347=0,0,E251/E$350),6)</f>
        <v>6.5420000000000001E-3</v>
      </c>
      <c r="F347" s="30"/>
      <c r="G347" s="30">
        <f t="shared" ref="G347:P347" si="161">ROUND(IF($C347=0,0,G251/G$350),6)</f>
        <v>1.1077999999999999E-2</v>
      </c>
      <c r="H347" s="30">
        <f t="shared" si="161"/>
        <v>4.1250000000000002E-3</v>
      </c>
      <c r="I347" s="30">
        <f t="shared" si="161"/>
        <v>1.3929999999999999E-3</v>
      </c>
      <c r="J347" s="30">
        <f t="shared" si="161"/>
        <v>5.6499999999999996E-4</v>
      </c>
      <c r="K347" s="30">
        <f t="shared" si="161"/>
        <v>1.6969999999999999E-3</v>
      </c>
      <c r="L347" s="30">
        <f t="shared" si="161"/>
        <v>6.6699999999999995E-4</v>
      </c>
      <c r="M347" s="30">
        <f t="shared" si="161"/>
        <v>1.93E-4</v>
      </c>
      <c r="N347" s="30">
        <f t="shared" si="161"/>
        <v>2.0900000000000001E-4</v>
      </c>
      <c r="O347" s="30">
        <f t="shared" si="161"/>
        <v>0.15726100000000001</v>
      </c>
      <c r="P347" s="30">
        <f t="shared" si="161"/>
        <v>5.5500000000000002E-3</v>
      </c>
      <c r="R347" s="30">
        <f t="shared" si="159"/>
        <v>1.3929999999999999E-3</v>
      </c>
      <c r="S347" s="30">
        <f t="shared" si="159"/>
        <v>9.0200000000000002E-4</v>
      </c>
      <c r="T347" s="30">
        <f t="shared" si="159"/>
        <v>4.947E-3</v>
      </c>
      <c r="W347" s="30">
        <f>ROUND(IF($C347=0,0,W251/W$350),6)</f>
        <v>1.392E-3</v>
      </c>
    </row>
    <row r="348" spans="1:23" x14ac:dyDescent="0.25">
      <c r="A348" s="24">
        <f>+A347+1</f>
        <v>23</v>
      </c>
      <c r="B348" s="14"/>
      <c r="C348" s="14" t="s">
        <v>71</v>
      </c>
      <c r="D348" s="14"/>
      <c r="E348" s="31">
        <f>ROUND(IF($C348=0,0,E252/E$350),6)</f>
        <v>8.4072999999999995E-2</v>
      </c>
      <c r="F348" s="31"/>
      <c r="G348" s="31">
        <f t="shared" ref="G348:P348" si="162">ROUND(IF($C348=0,0,G252/G$350),6)</f>
        <v>0.103023</v>
      </c>
      <c r="H348" s="31">
        <f t="shared" si="162"/>
        <v>8.6253999999999997E-2</v>
      </c>
      <c r="I348" s="31">
        <f t="shared" si="162"/>
        <v>8.0088999999999994E-2</v>
      </c>
      <c r="J348" s="31">
        <f t="shared" si="162"/>
        <v>7.3066999999999993E-2</v>
      </c>
      <c r="K348" s="31">
        <f t="shared" si="162"/>
        <v>7.6452999999999993E-2</v>
      </c>
      <c r="L348" s="31">
        <f t="shared" si="162"/>
        <v>7.5962000000000002E-2</v>
      </c>
      <c r="M348" s="31">
        <f t="shared" si="162"/>
        <v>6.1497000000000003E-2</v>
      </c>
      <c r="N348" s="31">
        <f t="shared" si="162"/>
        <v>5.5500000000000002E-3</v>
      </c>
      <c r="O348" s="31">
        <f t="shared" si="162"/>
        <v>0.22724900000000001</v>
      </c>
      <c r="P348" s="31">
        <f t="shared" si="162"/>
        <v>9.7280000000000005E-2</v>
      </c>
      <c r="R348" s="31">
        <f t="shared" si="159"/>
        <v>7.5517000000000001E-2</v>
      </c>
      <c r="S348" s="31">
        <f t="shared" si="159"/>
        <v>9.0848999999999999E-2</v>
      </c>
      <c r="T348" s="31">
        <f t="shared" si="159"/>
        <v>8.5837999999999998E-2</v>
      </c>
      <c r="W348" s="31">
        <f>ROUND(IF($C348=0,0,W252/W$350),6)</f>
        <v>7.5569999999999998E-2</v>
      </c>
    </row>
    <row r="349" spans="1:23" x14ac:dyDescent="0.25">
      <c r="A349" s="23">
        <f t="shared" si="157"/>
        <v>24</v>
      </c>
      <c r="B349" s="5" t="str">
        <f>IF(OR((C344="~"),(C349="~")),"~","")</f>
        <v/>
      </c>
    </row>
    <row r="350" spans="1:23" x14ac:dyDescent="0.25">
      <c r="A350" s="24">
        <f t="shared" si="157"/>
        <v>25</v>
      </c>
      <c r="B350" s="14"/>
      <c r="C350" s="14" t="s">
        <v>72</v>
      </c>
      <c r="D350" s="14"/>
      <c r="E350" s="32">
        <f>SUM(G350:P350)</f>
        <v>24452276608.805584</v>
      </c>
      <c r="F350" s="32"/>
      <c r="G350" s="32">
        <v>11362694034.5944</v>
      </c>
      <c r="H350" s="32">
        <v>2983708616.2943888</v>
      </c>
      <c r="I350" s="32">
        <v>3072024705.4856691</v>
      </c>
      <c r="J350" s="32">
        <v>2026649549.543107</v>
      </c>
      <c r="K350" s="32">
        <v>1452577471.3449566</v>
      </c>
      <c r="L350" s="32">
        <v>692524766.1750226</v>
      </c>
      <c r="M350" s="32">
        <v>632887813.72208166</v>
      </c>
      <c r="N350" s="32">
        <v>2140447568.8055859</v>
      </c>
      <c r="O350" s="32">
        <v>81534389.017231286</v>
      </c>
      <c r="P350" s="32">
        <v>7227693.8231415441</v>
      </c>
      <c r="R350" s="32">
        <v>1323003367.1184549</v>
      </c>
      <c r="S350" s="32">
        <v>4594563.3633324662</v>
      </c>
      <c r="T350" s="32">
        <v>124979540.86316925</v>
      </c>
      <c r="W350" s="32">
        <f>SUM(R350:S350)</f>
        <v>1327597930.4817874</v>
      </c>
    </row>
    <row r="355" spans="3:16" x14ac:dyDescent="0.25">
      <c r="C355" s="1" t="s">
        <v>73</v>
      </c>
    </row>
    <row r="356" spans="3:16" x14ac:dyDescent="0.25">
      <c r="C356" s="5" t="s">
        <v>74</v>
      </c>
      <c r="E356" s="6">
        <v>1066837</v>
      </c>
    </row>
    <row r="357" spans="3:16" x14ac:dyDescent="0.25">
      <c r="C357" s="5" t="s">
        <v>75</v>
      </c>
      <c r="E357" s="6">
        <v>298124</v>
      </c>
    </row>
    <row r="358" spans="3:16" x14ac:dyDescent="0.25">
      <c r="C358" s="5" t="s">
        <v>76</v>
      </c>
      <c r="E358" s="6">
        <v>5732477</v>
      </c>
    </row>
    <row r="359" spans="3:16" x14ac:dyDescent="0.25">
      <c r="C359" s="5" t="s">
        <v>77</v>
      </c>
      <c r="E359" s="6">
        <v>49687577</v>
      </c>
    </row>
    <row r="360" spans="3:16" ht="13.8" thickBot="1" x14ac:dyDescent="0.3">
      <c r="C360" s="8" t="s">
        <v>78</v>
      </c>
      <c r="D360" s="8"/>
      <c r="E360" s="9">
        <f>SUM(E356:E359)</f>
        <v>56785015</v>
      </c>
    </row>
    <row r="361" spans="3:16" ht="13.8" thickTop="1" x14ac:dyDescent="0.25"/>
    <row r="362" spans="3:16" x14ac:dyDescent="0.25">
      <c r="C362" s="5" t="s">
        <v>79</v>
      </c>
    </row>
    <row r="363" spans="3:16" x14ac:dyDescent="0.25">
      <c r="C363" s="5" t="str">
        <f>+'Expense Summary'!C53</f>
        <v xml:space="preserve">CAE - Uncollect Accts </v>
      </c>
      <c r="E363" s="6">
        <f>SUM(G363:P363)</f>
        <v>3156.2620830000001</v>
      </c>
      <c r="F363" s="6"/>
      <c r="G363" s="6">
        <f>+'Expense Summary'!F53</f>
        <v>2806.3921923543894</v>
      </c>
      <c r="H363" s="6">
        <f>+'Expense Summary'!G53</f>
        <v>223.31648439552188</v>
      </c>
      <c r="I363" s="6">
        <f>+'Expense Summary'!H53</f>
        <v>69.386885977642848</v>
      </c>
      <c r="J363" s="6">
        <f>+'Expense Summary'!I53</f>
        <v>49.170149628014293</v>
      </c>
      <c r="K363" s="6">
        <f>+'Expense Summary'!J53</f>
        <v>0.324787728001528</v>
      </c>
      <c r="L363" s="6">
        <f>+'Expense Summary'!K53</f>
        <v>0</v>
      </c>
      <c r="M363" s="6">
        <f>+'Expense Summary'!L53</f>
        <v>0</v>
      </c>
      <c r="N363" s="6">
        <f>+'Expense Summary'!M53</f>
        <v>0</v>
      </c>
      <c r="O363" s="6">
        <f>+'Expense Summary'!N53</f>
        <v>7.6715829164301059</v>
      </c>
      <c r="P363" s="6">
        <f>+'Expense Summary'!O53</f>
        <v>0</v>
      </c>
    </row>
    <row r="364" spans="3:16" x14ac:dyDescent="0.25">
      <c r="C364" s="5" t="str">
        <f>+'Expense Summary'!C76</f>
        <v xml:space="preserve">A&amp;G Exp - Reg Comm Exp </v>
      </c>
      <c r="E364" s="6">
        <f>SUM(G364:P364)</f>
        <v>8322384.0846997639</v>
      </c>
      <c r="F364" s="6"/>
      <c r="G364" s="6">
        <f>+'Expense Summary'!F76</f>
        <v>4505830.5175522659</v>
      </c>
      <c r="H364" s="6">
        <f>+'Expense Summary'!G76</f>
        <v>1085372.4193105921</v>
      </c>
      <c r="I364" s="6">
        <f>+'Expense Summary'!H76</f>
        <v>1071097.8083712796</v>
      </c>
      <c r="J364" s="6">
        <f>+'Expense Summary'!I76</f>
        <v>670507.62986630504</v>
      </c>
      <c r="K364" s="6">
        <f>+'Expense Summary'!J76</f>
        <v>490784.65890570771</v>
      </c>
      <c r="L364" s="6">
        <f>+'Expense Summary'!K76</f>
        <v>228875.32233668369</v>
      </c>
      <c r="M364" s="6">
        <f>+'Expense Summary'!L76</f>
        <v>196728.1055040505</v>
      </c>
      <c r="N364" s="6">
        <f>+'Expense Summary'!M76</f>
        <v>12701.967376421959</v>
      </c>
      <c r="O364" s="6">
        <f>+'Expense Summary'!N76</f>
        <v>57476.800913484738</v>
      </c>
      <c r="P364" s="6">
        <f>+'Expense Summary'!O76</f>
        <v>3008.8545629724204</v>
      </c>
    </row>
    <row r="365" spans="3:16" x14ac:dyDescent="0.25">
      <c r="C365" s="5" t="str">
        <f>+'Expense Summary'!C130</f>
        <v>Other Taxes - Wash Excise - Allocated</v>
      </c>
      <c r="E365" s="6">
        <f>SUM(G365:P365)</f>
        <v>76958872.988314256</v>
      </c>
      <c r="F365" s="6"/>
      <c r="G365" s="6">
        <f>+'Expense Summary'!F130</f>
        <v>43724369.615239263</v>
      </c>
      <c r="H365" s="6">
        <f>+'Expense Summary'!G130</f>
        <v>9755593.545740949</v>
      </c>
      <c r="I365" s="6">
        <f>+'Expense Summary'!H130</f>
        <v>9160747.5527026989</v>
      </c>
      <c r="J365" s="6">
        <f>+'Expense Summary'!I130</f>
        <v>5520961.091313798</v>
      </c>
      <c r="K365" s="6">
        <f>+'Expense Summary'!J130</f>
        <v>4158310.0798694501</v>
      </c>
      <c r="L365" s="6">
        <f>+'Expense Summary'!K130</f>
        <v>1953217.7313460791</v>
      </c>
      <c r="M365" s="6">
        <f>+'Expense Summary'!L130</f>
        <v>1558623.7570331665</v>
      </c>
      <c r="N365" s="6">
        <f>+'Expense Summary'!M130</f>
        <v>432721.20013552817</v>
      </c>
      <c r="O365" s="6">
        <f>+'Expense Summary'!N130</f>
        <v>667978.78579966538</v>
      </c>
      <c r="P365" s="6">
        <f>+'Expense Summary'!O130</f>
        <v>26349.629133651706</v>
      </c>
    </row>
    <row r="366" spans="3:16" x14ac:dyDescent="0.25">
      <c r="C366" s="5" t="str">
        <f>+'Expense Summary'!C137</f>
        <v>Current Federal Income Tax @ Rate</v>
      </c>
      <c r="E366" s="6">
        <f>SUM(G366:P366)</f>
        <v>46784333.661285006</v>
      </c>
      <c r="F366" s="6"/>
      <c r="G366" s="6">
        <f>+'Expense Summary'!F137</f>
        <v>26735773.185477238</v>
      </c>
      <c r="H366" s="6">
        <f>+'Expense Summary'!G137</f>
        <v>5699793.7699698629</v>
      </c>
      <c r="I366" s="6">
        <f>+'Expense Summary'!H137</f>
        <v>5533751.5709256381</v>
      </c>
      <c r="J366" s="6">
        <f>+'Expense Summary'!I137</f>
        <v>3190824.7595601641</v>
      </c>
      <c r="K366" s="6">
        <f>+'Expense Summary'!J137</f>
        <v>2496128.1693306263</v>
      </c>
      <c r="L366" s="6">
        <f>+'Expense Summary'!K137</f>
        <v>1167710.5015878908</v>
      </c>
      <c r="M366" s="6">
        <f>+'Expense Summary'!L137</f>
        <v>864609.68780021847</v>
      </c>
      <c r="N366" s="6">
        <f>+'Expense Summary'!M137</f>
        <v>579103.23880219087</v>
      </c>
      <c r="O366" s="6">
        <f>+'Expense Summary'!N137</f>
        <v>500354.36568125116</v>
      </c>
      <c r="P366" s="6">
        <f>+'Expense Summary'!O137</f>
        <v>16284.412149918395</v>
      </c>
    </row>
    <row r="367" spans="3:16" x14ac:dyDescent="0.25"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3:16" x14ac:dyDescent="0.25">
      <c r="C368" s="5" t="str">
        <f>+C363</f>
        <v xml:space="preserve">CAE - Uncollect Accts </v>
      </c>
      <c r="E368" s="6">
        <f>SUM(G368:P368)</f>
        <v>1066837</v>
      </c>
      <c r="F368" s="6"/>
      <c r="G368" s="6">
        <f>+G363/$E363*$E356</f>
        <v>948578.71386556199</v>
      </c>
      <c r="H368" s="6">
        <f t="shared" ref="H368:P368" si="163">+H363/$E363*$E356</f>
        <v>75482.41622464321</v>
      </c>
      <c r="I368" s="6">
        <f t="shared" si="163"/>
        <v>23453.216282144389</v>
      </c>
      <c r="J368" s="6">
        <f t="shared" si="163"/>
        <v>16619.828626158447</v>
      </c>
      <c r="K368" s="6">
        <f t="shared" si="163"/>
        <v>109.78035291943344</v>
      </c>
      <c r="L368" s="6">
        <f t="shared" si="163"/>
        <v>0</v>
      </c>
      <c r="M368" s="6">
        <f t="shared" si="163"/>
        <v>0</v>
      </c>
      <c r="N368" s="6">
        <f t="shared" si="163"/>
        <v>0</v>
      </c>
      <c r="O368" s="6">
        <f t="shared" si="163"/>
        <v>2593.0446485725324</v>
      </c>
      <c r="P368" s="6">
        <f t="shared" si="163"/>
        <v>0</v>
      </c>
    </row>
    <row r="369" spans="3:16" x14ac:dyDescent="0.25">
      <c r="C369" s="5" t="str">
        <f>+C364</f>
        <v xml:space="preserve">A&amp;G Exp - Reg Comm Exp </v>
      </c>
      <c r="E369" s="6">
        <f>SUM(G369:P369)</f>
        <v>298124.00000000006</v>
      </c>
      <c r="F369" s="6"/>
      <c r="G369" s="6">
        <f t="shared" ref="G369:P371" si="164">+G364/$E364*$E357</f>
        <v>161407.6211267786</v>
      </c>
      <c r="H369" s="6">
        <f t="shared" si="164"/>
        <v>38880.153071693305</v>
      </c>
      <c r="I369" s="6">
        <f t="shared" si="164"/>
        <v>38368.808717916683</v>
      </c>
      <c r="J369" s="6">
        <f t="shared" si="164"/>
        <v>24018.888651601286</v>
      </c>
      <c r="K369" s="6">
        <f t="shared" si="164"/>
        <v>17580.861945628843</v>
      </c>
      <c r="L369" s="6">
        <f t="shared" si="164"/>
        <v>8198.7596224673707</v>
      </c>
      <c r="M369" s="6">
        <f t="shared" si="164"/>
        <v>7047.1837310552792</v>
      </c>
      <c r="N369" s="6">
        <f t="shared" si="164"/>
        <v>455.00919971840381</v>
      </c>
      <c r="O369" s="6">
        <f t="shared" si="164"/>
        <v>2058.9309050316306</v>
      </c>
      <c r="P369" s="6">
        <f t="shared" si="164"/>
        <v>107.78302810857957</v>
      </c>
    </row>
    <row r="370" spans="3:16" x14ac:dyDescent="0.25">
      <c r="C370" s="5" t="str">
        <f>+C365</f>
        <v>Other Taxes - Wash Excise - Allocated</v>
      </c>
      <c r="E370" s="6">
        <f>SUM(G370:P370)</f>
        <v>5732476.9999999981</v>
      </c>
      <c r="F370" s="6"/>
      <c r="G370" s="6">
        <f t="shared" si="164"/>
        <v>3256920.6567892106</v>
      </c>
      <c r="H370" s="6">
        <f t="shared" si="164"/>
        <v>726670.14797371218</v>
      </c>
      <c r="I370" s="6">
        <f t="shared" si="164"/>
        <v>682361.53427881422</v>
      </c>
      <c r="J370" s="6">
        <f t="shared" si="164"/>
        <v>411242.80079643219</v>
      </c>
      <c r="K370" s="6">
        <f t="shared" si="164"/>
        <v>309742.28137851442</v>
      </c>
      <c r="L370" s="6">
        <f t="shared" si="164"/>
        <v>145490.38059112095</v>
      </c>
      <c r="M370" s="6">
        <f t="shared" si="164"/>
        <v>116098.04681265156</v>
      </c>
      <c r="N370" s="6">
        <f t="shared" si="164"/>
        <v>32232.336972579771</v>
      </c>
      <c r="O370" s="6">
        <f t="shared" si="164"/>
        <v>49756.095397420198</v>
      </c>
      <c r="P370" s="6">
        <f t="shared" si="164"/>
        <v>1962.7190095432422</v>
      </c>
    </row>
    <row r="371" spans="3:16" x14ac:dyDescent="0.25">
      <c r="C371" s="5" t="str">
        <f>+C366</f>
        <v>Current Federal Income Tax @ Rate</v>
      </c>
      <c r="E371" s="6">
        <f>SUM(G371:P371)</f>
        <v>49687577</v>
      </c>
      <c r="F371" s="6"/>
      <c r="G371" s="6">
        <f>+G366/$E366*$E359</f>
        <v>28394885.314082038</v>
      </c>
      <c r="H371" s="6">
        <f t="shared" si="164"/>
        <v>6053499.529990294</v>
      </c>
      <c r="I371" s="6">
        <f t="shared" si="164"/>
        <v>5877153.4349493701</v>
      </c>
      <c r="J371" s="6">
        <f t="shared" si="164"/>
        <v>3388834.2213442884</v>
      </c>
      <c r="K371" s="6">
        <f t="shared" si="164"/>
        <v>2651027.617779647</v>
      </c>
      <c r="L371" s="6">
        <f t="shared" si="164"/>
        <v>1240173.8129140069</v>
      </c>
      <c r="M371" s="6">
        <f t="shared" si="164"/>
        <v>918263.80917486269</v>
      </c>
      <c r="N371" s="6">
        <f t="shared" si="164"/>
        <v>615040.00414447533</v>
      </c>
      <c r="O371" s="6">
        <f t="shared" si="164"/>
        <v>531404.29982540582</v>
      </c>
      <c r="P371" s="6">
        <f t="shared" si="164"/>
        <v>17294.955795605998</v>
      </c>
    </row>
    <row r="372" spans="3:16" ht="13.8" thickBot="1" x14ac:dyDescent="0.3">
      <c r="C372" s="8" t="s">
        <v>78</v>
      </c>
      <c r="D372" s="20"/>
      <c r="E372" s="20">
        <f>SUM(E368:E371)</f>
        <v>56785015</v>
      </c>
      <c r="F372" s="20">
        <f t="shared" ref="F372:P372" si="165">SUM(F368:F371)</f>
        <v>0</v>
      </c>
      <c r="G372" s="20">
        <f t="shared" si="165"/>
        <v>32761792.305863589</v>
      </c>
      <c r="H372" s="20">
        <f t="shared" si="165"/>
        <v>6894532.2472603424</v>
      </c>
      <c r="I372" s="20">
        <f t="shared" si="165"/>
        <v>6621336.9942282457</v>
      </c>
      <c r="J372" s="20">
        <f t="shared" si="165"/>
        <v>3840715.7394184805</v>
      </c>
      <c r="K372" s="20">
        <f t="shared" si="165"/>
        <v>2978460.5414567096</v>
      </c>
      <c r="L372" s="20">
        <f t="shared" si="165"/>
        <v>1393862.9531275951</v>
      </c>
      <c r="M372" s="20">
        <f t="shared" si="165"/>
        <v>1041409.0397185695</v>
      </c>
      <c r="N372" s="20">
        <f t="shared" si="165"/>
        <v>647727.35031677352</v>
      </c>
      <c r="O372" s="20">
        <f t="shared" si="165"/>
        <v>585812.37077643024</v>
      </c>
      <c r="P372" s="20">
        <f t="shared" si="165"/>
        <v>19365.45783325782</v>
      </c>
    </row>
    <row r="373" spans="3:16" ht="13.8" thickTop="1" x14ac:dyDescent="0.25"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3:16" ht="13.8" thickBot="1" x14ac:dyDescent="0.3">
      <c r="C374" s="8" t="s">
        <v>60</v>
      </c>
      <c r="D374" s="8"/>
      <c r="E374" s="9">
        <f>SUM(G374:P374)</f>
        <v>149061985.94033805</v>
      </c>
      <c r="F374" s="9"/>
      <c r="G374" s="9">
        <v>88769313.608200416</v>
      </c>
      <c r="H374" s="9">
        <v>16662175.942359034</v>
      </c>
      <c r="I374" s="9">
        <v>15786993.877654433</v>
      </c>
      <c r="J374" s="9">
        <v>9477258.1591227632</v>
      </c>
      <c r="K374" s="9">
        <v>7204729.479781297</v>
      </c>
      <c r="L374" s="9">
        <v>6351782.8704589102</v>
      </c>
      <c r="M374" s="9">
        <v>2519205.9781431518</v>
      </c>
      <c r="N374" s="9">
        <v>455715.94033800025</v>
      </c>
      <c r="O374" s="9">
        <v>1428720.0842800688</v>
      </c>
      <c r="P374" s="9">
        <v>406090</v>
      </c>
    </row>
    <row r="375" spans="3:16" ht="13.8" thickTop="1" x14ac:dyDescent="0.25"/>
  </sheetData>
  <mergeCells count="16">
    <mergeCell ref="A61:P61"/>
    <mergeCell ref="A1:P1"/>
    <mergeCell ref="A2:P2"/>
    <mergeCell ref="A3:P3"/>
    <mergeCell ref="C31:H31"/>
    <mergeCell ref="A60:P60"/>
    <mergeCell ref="A254:P254"/>
    <mergeCell ref="A255:P255"/>
    <mergeCell ref="A256:P256"/>
    <mergeCell ref="A257:P257"/>
    <mergeCell ref="A62:P62"/>
    <mergeCell ref="A63:P63"/>
    <mergeCell ref="A158:P158"/>
    <mergeCell ref="A159:P159"/>
    <mergeCell ref="A160:P160"/>
    <mergeCell ref="A161:P161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  <rowBreaks count="3" manualBreakCount="3">
    <brk id="59" max="16383" man="1"/>
    <brk id="157" max="16383" man="1"/>
    <brk id="25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C34"/>
  <sheetViews>
    <sheetView showGridLines="0" view="pageBreakPreview" zoomScale="60" zoomScaleNormal="100" workbookViewId="0">
      <pane xSplit="2" ySplit="7" topLeftCell="C8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ColWidth="8.88671875" defaultRowHeight="13.2" x14ac:dyDescent="0.25"/>
  <cols>
    <col min="1" max="1" width="4.6640625" style="5" bestFit="1" customWidth="1"/>
    <col min="2" max="2" width="43.33203125" style="5" bestFit="1" customWidth="1"/>
    <col min="3" max="3" width="19.88671875" style="5" bestFit="1" customWidth="1"/>
    <col min="4" max="16384" width="8.88671875" style="5"/>
  </cols>
  <sheetData>
    <row r="1" spans="1:3" x14ac:dyDescent="0.25">
      <c r="A1" s="88" t="str">
        <f>+'Sch 40 Feeder '!A1</f>
        <v>Puget Sound Energy</v>
      </c>
      <c r="B1" s="88"/>
      <c r="C1" s="88"/>
    </row>
    <row r="2" spans="1:3" s="70" customFormat="1" ht="40.950000000000003" customHeight="1" x14ac:dyDescent="0.25">
      <c r="A2" s="93" t="str">
        <f>+'Sch 40 Feeder '!A2</f>
        <v>Adjusted Test Year Twelve Months ended September 2016 @ Proforma Rev Requirement</v>
      </c>
      <c r="B2" s="93"/>
      <c r="C2" s="93"/>
    </row>
    <row r="3" spans="1:3" x14ac:dyDescent="0.25">
      <c r="A3" s="88" t="s">
        <v>173</v>
      </c>
      <c r="B3" s="88"/>
      <c r="C3" s="88"/>
    </row>
    <row r="4" spans="1:3" x14ac:dyDescent="0.25">
      <c r="B4"/>
      <c r="C4"/>
    </row>
    <row r="5" spans="1:3" x14ac:dyDescent="0.25">
      <c r="B5" s="71"/>
      <c r="C5" s="71"/>
    </row>
    <row r="6" spans="1:3" s="1" customFormat="1" ht="26.4" x14ac:dyDescent="0.25">
      <c r="A6" s="72" t="s">
        <v>2</v>
      </c>
      <c r="B6" s="73" t="s">
        <v>95</v>
      </c>
      <c r="C6" s="3" t="s">
        <v>174</v>
      </c>
    </row>
    <row r="7" spans="1:3" s="1" customFormat="1" x14ac:dyDescent="0.25">
      <c r="B7" s="1" t="s">
        <v>20</v>
      </c>
      <c r="C7" s="37" t="s">
        <v>21</v>
      </c>
    </row>
    <row r="8" spans="1:3" s="74" customFormat="1" x14ac:dyDescent="0.25">
      <c r="A8" s="23">
        <v>1</v>
      </c>
      <c r="B8" s="74" t="s">
        <v>175</v>
      </c>
      <c r="C8" s="75">
        <f>+'Expense Summary'!E79</f>
        <v>104551392.56426737</v>
      </c>
    </row>
    <row r="9" spans="1:3" s="74" customFormat="1" x14ac:dyDescent="0.25">
      <c r="A9" s="23">
        <f t="shared" ref="A9:A33" si="0">+A8+1</f>
        <v>2</v>
      </c>
      <c r="B9" s="74" t="s">
        <v>176</v>
      </c>
      <c r="C9" s="75">
        <f>+'Expense Summary'!E94</f>
        <v>12120662.048645999</v>
      </c>
    </row>
    <row r="10" spans="1:3" s="74" customFormat="1" x14ac:dyDescent="0.25">
      <c r="A10" s="46">
        <f t="shared" si="0"/>
        <v>3</v>
      </c>
      <c r="B10" s="47" t="s">
        <v>177</v>
      </c>
      <c r="C10" s="48">
        <f>SUM(C8:C9)</f>
        <v>116672054.61291337</v>
      </c>
    </row>
    <row r="11" spans="1:3" x14ac:dyDescent="0.25">
      <c r="A11" s="23">
        <f t="shared" si="0"/>
        <v>4</v>
      </c>
      <c r="C11" s="75"/>
    </row>
    <row r="12" spans="1:3" x14ac:dyDescent="0.25">
      <c r="A12" s="23">
        <f t="shared" si="0"/>
        <v>5</v>
      </c>
      <c r="B12" s="74" t="s">
        <v>178</v>
      </c>
      <c r="C12" s="75">
        <f>+'Ratebase Summary'!E66</f>
        <v>9523077020.3544521</v>
      </c>
    </row>
    <row r="13" spans="1:3" ht="12.6" customHeight="1" x14ac:dyDescent="0.25">
      <c r="A13" s="23">
        <f t="shared" si="0"/>
        <v>6</v>
      </c>
      <c r="B13" s="74" t="s">
        <v>179</v>
      </c>
      <c r="C13" s="75">
        <f>+'Ratebase Summary'!E14</f>
        <v>264424549.838332</v>
      </c>
    </row>
    <row r="14" spans="1:3" ht="12.6" customHeight="1" x14ac:dyDescent="0.25">
      <c r="A14" s="23">
        <f t="shared" si="0"/>
        <v>7</v>
      </c>
      <c r="B14" s="74" t="s">
        <v>180</v>
      </c>
      <c r="C14" s="75">
        <f>+'Ratebase Summary'!E116</f>
        <v>-3697506273.3020787</v>
      </c>
    </row>
    <row r="15" spans="1:3" x14ac:dyDescent="0.25">
      <c r="A15" s="46">
        <f>+A14+1</f>
        <v>8</v>
      </c>
      <c r="B15" s="61" t="s">
        <v>181</v>
      </c>
      <c r="C15" s="48">
        <f>SUM(C12:C14)</f>
        <v>6089995296.8907051</v>
      </c>
    </row>
    <row r="16" spans="1:3" x14ac:dyDescent="0.25">
      <c r="A16" s="23">
        <f t="shared" si="0"/>
        <v>9</v>
      </c>
      <c r="C16" s="6"/>
    </row>
    <row r="17" spans="1:3" x14ac:dyDescent="0.25">
      <c r="A17" s="24">
        <f t="shared" si="0"/>
        <v>10</v>
      </c>
      <c r="B17" s="76" t="s">
        <v>182</v>
      </c>
      <c r="C17" s="77">
        <f>+C10/C15</f>
        <v>1.9157987637934828E-2</v>
      </c>
    </row>
    <row r="18" spans="1:3" x14ac:dyDescent="0.25">
      <c r="A18" s="23">
        <f t="shared" si="0"/>
        <v>11</v>
      </c>
      <c r="C18" s="6"/>
    </row>
    <row r="19" spans="1:3" x14ac:dyDescent="0.25">
      <c r="A19" s="23">
        <f t="shared" si="0"/>
        <v>12</v>
      </c>
      <c r="B19" s="5" t="s">
        <v>183</v>
      </c>
      <c r="C19" s="6">
        <f>+'Expense Summary'!E47</f>
        <v>22031564.804817602</v>
      </c>
    </row>
    <row r="20" spans="1:3" x14ac:dyDescent="0.25">
      <c r="A20" s="23">
        <f t="shared" si="0"/>
        <v>13</v>
      </c>
      <c r="B20" s="5" t="s">
        <v>184</v>
      </c>
      <c r="C20" s="6">
        <f>+'Expense Summary'!E91</f>
        <v>61353199.663856849</v>
      </c>
    </row>
    <row r="21" spans="1:3" x14ac:dyDescent="0.25">
      <c r="A21" s="46">
        <f t="shared" si="0"/>
        <v>14</v>
      </c>
      <c r="B21" s="47" t="s">
        <v>185</v>
      </c>
      <c r="C21" s="48">
        <f>SUM(C19:C20)</f>
        <v>83384764.468674451</v>
      </c>
    </row>
    <row r="22" spans="1:3" x14ac:dyDescent="0.25">
      <c r="A22" s="23">
        <f t="shared" si="0"/>
        <v>15</v>
      </c>
      <c r="C22" s="6"/>
    </row>
    <row r="23" spans="1:3" x14ac:dyDescent="0.25">
      <c r="A23" s="23">
        <f t="shared" si="0"/>
        <v>16</v>
      </c>
      <c r="B23" s="5" t="s">
        <v>186</v>
      </c>
      <c r="C23" s="6">
        <f>+'Ratebase Summary'!E50</f>
        <v>3527157160.6871805</v>
      </c>
    </row>
    <row r="24" spans="1:3" x14ac:dyDescent="0.25">
      <c r="A24" s="23">
        <f t="shared" si="0"/>
        <v>17</v>
      </c>
      <c r="B24" s="78" t="s">
        <v>187</v>
      </c>
      <c r="C24" s="6">
        <f>SUM('Ratebase Summary'!E109)</f>
        <v>-1343450531.8212132</v>
      </c>
    </row>
    <row r="25" spans="1:3" x14ac:dyDescent="0.25">
      <c r="A25" s="46">
        <f>+A24+1</f>
        <v>18</v>
      </c>
      <c r="B25" s="61" t="s">
        <v>188</v>
      </c>
      <c r="C25" s="48">
        <f>SUM(C23:C24)</f>
        <v>2183706628.8659673</v>
      </c>
    </row>
    <row r="26" spans="1:3" x14ac:dyDescent="0.25">
      <c r="A26" s="23">
        <f t="shared" si="0"/>
        <v>19</v>
      </c>
      <c r="C26" s="64"/>
    </row>
    <row r="27" spans="1:3" x14ac:dyDescent="0.25">
      <c r="A27" s="24">
        <f t="shared" si="0"/>
        <v>20</v>
      </c>
      <c r="B27" s="76" t="s">
        <v>189</v>
      </c>
      <c r="C27" s="77">
        <f>+C21/C25</f>
        <v>3.8184966499816619E-2</v>
      </c>
    </row>
    <row r="28" spans="1:3" x14ac:dyDescent="0.25">
      <c r="A28" s="23">
        <f t="shared" si="0"/>
        <v>21</v>
      </c>
      <c r="C28" s="6"/>
    </row>
    <row r="29" spans="1:3" x14ac:dyDescent="0.25">
      <c r="A29" s="24">
        <f t="shared" si="0"/>
        <v>22</v>
      </c>
      <c r="B29" s="14" t="s">
        <v>190</v>
      </c>
      <c r="C29" s="77">
        <f>+C27+C17</f>
        <v>5.7342954137751451E-2</v>
      </c>
    </row>
    <row r="30" spans="1:3" x14ac:dyDescent="0.25">
      <c r="A30" s="23">
        <f t="shared" si="0"/>
        <v>23</v>
      </c>
      <c r="C30" s="6"/>
    </row>
    <row r="31" spans="1:3" x14ac:dyDescent="0.25">
      <c r="A31" s="23">
        <f t="shared" si="0"/>
        <v>24</v>
      </c>
      <c r="B31" s="5" t="s">
        <v>191</v>
      </c>
      <c r="C31" s="79">
        <v>0.95238599999999995</v>
      </c>
    </row>
    <row r="32" spans="1:3" x14ac:dyDescent="0.25">
      <c r="A32" s="23">
        <f t="shared" si="0"/>
        <v>25</v>
      </c>
      <c r="C32" s="64"/>
    </row>
    <row r="33" spans="1:3" ht="13.8" thickBot="1" x14ac:dyDescent="0.3">
      <c r="A33" s="25">
        <f t="shared" si="0"/>
        <v>26</v>
      </c>
      <c r="B33" s="8" t="s">
        <v>192</v>
      </c>
      <c r="C33" s="80">
        <f>ROUND(+C29/C31,6)</f>
        <v>6.021E-2</v>
      </c>
    </row>
    <row r="34" spans="1:3" ht="13.8" thickTop="1" x14ac:dyDescent="0.25">
      <c r="C34" s="6"/>
    </row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fitToHeight="0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C26"/>
  <sheetViews>
    <sheetView showGridLines="0" tabSelected="1" view="pageBreakPreview" zoomScale="60" zoomScaleNormal="100" workbookViewId="0">
      <selection activeCell="A15" sqref="A15"/>
    </sheetView>
  </sheetViews>
  <sheetFormatPr defaultColWidth="8.88671875" defaultRowHeight="13.2" x14ac:dyDescent="0.25"/>
  <cols>
    <col min="1" max="1" width="4.6640625" style="5" bestFit="1" customWidth="1"/>
    <col min="2" max="2" width="28.33203125" style="5" bestFit="1" customWidth="1"/>
    <col min="3" max="3" width="14.33203125" style="5" bestFit="1" customWidth="1"/>
    <col min="4" max="16384" width="8.88671875" style="5"/>
  </cols>
  <sheetData>
    <row r="1" spans="1:3" ht="13.2" customHeight="1" x14ac:dyDescent="0.25">
      <c r="A1" s="93" t="str">
        <f>+'Sch 40 Substation O&amp;M'!A1</f>
        <v>Puget Sound Energy</v>
      </c>
      <c r="B1" s="93"/>
      <c r="C1" s="93"/>
    </row>
    <row r="2" spans="1:3" ht="27.6" customHeight="1" x14ac:dyDescent="0.25">
      <c r="A2" s="93" t="str">
        <f>+'Sch 40 Substation O&amp;M'!A2</f>
        <v>Adjusted Test Year Twelve Months ended September 2016 @ Proforma Rev Requirement</v>
      </c>
      <c r="B2" s="93"/>
      <c r="C2" s="93"/>
    </row>
    <row r="3" spans="1:3" x14ac:dyDescent="0.25">
      <c r="A3" s="93" t="s">
        <v>193</v>
      </c>
      <c r="B3" s="93"/>
      <c r="C3" s="93"/>
    </row>
    <row r="6" spans="1:3" s="1" customFormat="1" ht="26.4" x14ac:dyDescent="0.25">
      <c r="A6" s="3" t="s">
        <v>2</v>
      </c>
      <c r="B6" s="14" t="s">
        <v>95</v>
      </c>
      <c r="C6" s="3" t="s">
        <v>194</v>
      </c>
    </row>
    <row r="7" spans="1:3" s="1" customFormat="1" x14ac:dyDescent="0.25">
      <c r="A7" s="37"/>
      <c r="B7" s="37" t="s">
        <v>20</v>
      </c>
      <c r="C7" s="37" t="s">
        <v>21</v>
      </c>
    </row>
    <row r="8" spans="1:3" s="1" customFormat="1" x14ac:dyDescent="0.25">
      <c r="A8" s="37"/>
    </row>
    <row r="9" spans="1:3" x14ac:dyDescent="0.25">
      <c r="A9" s="23">
        <v>1</v>
      </c>
      <c r="B9" s="1" t="s">
        <v>195</v>
      </c>
    </row>
    <row r="10" spans="1:3" x14ac:dyDescent="0.25">
      <c r="A10" s="23">
        <f t="shared" ref="A10:A25" si="0">+A9+1</f>
        <v>2</v>
      </c>
      <c r="B10" s="81" t="s">
        <v>196</v>
      </c>
      <c r="C10" s="6">
        <f>SUM('Expense Summary'!E14,'Expense Summary'!E19,'Expense Summary'!E23,'Expense Summary'!E30)</f>
        <v>899803548.97441769</v>
      </c>
    </row>
    <row r="11" spans="1:3" x14ac:dyDescent="0.25">
      <c r="A11" s="23">
        <f t="shared" si="0"/>
        <v>3</v>
      </c>
      <c r="B11" s="81" t="s">
        <v>197</v>
      </c>
      <c r="C11" s="6">
        <f>SUM('Expense Summary'!E34,'Expense Summary'!E22)</f>
        <v>128916264.91374439</v>
      </c>
    </row>
    <row r="12" spans="1:3" x14ac:dyDescent="0.25">
      <c r="A12" s="23">
        <f t="shared" si="0"/>
        <v>4</v>
      </c>
      <c r="B12" s="81" t="s">
        <v>198</v>
      </c>
      <c r="C12" s="6">
        <f>SUM('Expense Summary'!E47,'Expense Summary'!E91)</f>
        <v>83384764.468674451</v>
      </c>
    </row>
    <row r="13" spans="1:3" x14ac:dyDescent="0.25">
      <c r="A13" s="23">
        <f t="shared" si="0"/>
        <v>5</v>
      </c>
      <c r="B13" s="81" t="s">
        <v>199</v>
      </c>
      <c r="C13" s="6">
        <f>+'Expense Summary'!E55</f>
        <v>50326934.305538148</v>
      </c>
    </row>
    <row r="14" spans="1:3" x14ac:dyDescent="0.25">
      <c r="A14" s="23">
        <f t="shared" si="0"/>
        <v>6</v>
      </c>
      <c r="B14" s="81" t="s">
        <v>200</v>
      </c>
      <c r="C14" s="6">
        <f>+'Expense Summary'!E66</f>
        <v>2623527.0842637117</v>
      </c>
    </row>
    <row r="15" spans="1:3" x14ac:dyDescent="0.25">
      <c r="A15" s="23">
        <f t="shared" si="0"/>
        <v>7</v>
      </c>
      <c r="B15" s="81" t="s">
        <v>201</v>
      </c>
      <c r="C15" s="6"/>
    </row>
    <row r="16" spans="1:3" x14ac:dyDescent="0.25">
      <c r="A16" s="23">
        <f t="shared" si="0"/>
        <v>8</v>
      </c>
      <c r="B16" s="82" t="s">
        <v>202</v>
      </c>
      <c r="C16" s="6">
        <f>-'Expense Summary'!E14</f>
        <v>-207644166.66043746</v>
      </c>
    </row>
    <row r="17" spans="1:3" x14ac:dyDescent="0.25">
      <c r="A17" s="23">
        <f t="shared" si="0"/>
        <v>9</v>
      </c>
      <c r="B17" s="82" t="s">
        <v>203</v>
      </c>
      <c r="C17" s="6">
        <f>-'Expense Summary'!E19</f>
        <v>-447825755.01483321</v>
      </c>
    </row>
    <row r="18" spans="1:3" x14ac:dyDescent="0.25">
      <c r="A18" s="23">
        <f t="shared" si="0"/>
        <v>10</v>
      </c>
      <c r="B18" s="82" t="s">
        <v>204</v>
      </c>
      <c r="C18" s="6">
        <f>-'Expense Summary'!E30</f>
        <v>-135758889.74024749</v>
      </c>
    </row>
    <row r="19" spans="1:3" x14ac:dyDescent="0.25">
      <c r="A19" s="23">
        <f t="shared" si="0"/>
        <v>11</v>
      </c>
      <c r="B19" s="82" t="s">
        <v>205</v>
      </c>
      <c r="C19" s="6">
        <f>-'Expense Summary'!E23</f>
        <v>-108574737.55889949</v>
      </c>
    </row>
    <row r="20" spans="1:3" x14ac:dyDescent="0.25">
      <c r="A20" s="23">
        <f t="shared" si="0"/>
        <v>12</v>
      </c>
      <c r="B20" s="82" t="s">
        <v>206</v>
      </c>
      <c r="C20" s="6">
        <f>-'Expense Summary'!E59</f>
        <v>-26209.79999999702</v>
      </c>
    </row>
    <row r="21" spans="1:3" x14ac:dyDescent="0.25">
      <c r="A21" s="24">
        <f t="shared" si="0"/>
        <v>13</v>
      </c>
      <c r="B21" s="14" t="s">
        <v>207</v>
      </c>
      <c r="C21" s="15">
        <f>SUM(C10:C14,C16:C20)</f>
        <v>265225280.9722209</v>
      </c>
    </row>
    <row r="22" spans="1:3" x14ac:dyDescent="0.25">
      <c r="A22" s="23">
        <f t="shared" si="0"/>
        <v>14</v>
      </c>
      <c r="C22" s="6"/>
    </row>
    <row r="23" spans="1:3" x14ac:dyDescent="0.25">
      <c r="A23" s="83">
        <f t="shared" si="0"/>
        <v>15</v>
      </c>
      <c r="B23" s="84" t="s">
        <v>177</v>
      </c>
      <c r="C23" s="85">
        <f>SUM('Expense Summary'!E79,'Expense Summary'!E94)</f>
        <v>116672054.61291337</v>
      </c>
    </row>
    <row r="24" spans="1:3" x14ac:dyDescent="0.25">
      <c r="A24" s="23">
        <f t="shared" si="0"/>
        <v>16</v>
      </c>
      <c r="C24" s="6"/>
    </row>
    <row r="25" spans="1:3" ht="13.8" thickBot="1" x14ac:dyDescent="0.3">
      <c r="A25" s="25">
        <f t="shared" si="0"/>
        <v>17</v>
      </c>
      <c r="B25" s="8" t="s">
        <v>208</v>
      </c>
      <c r="C25" s="86">
        <f>ROUND(+C23/C21,2)</f>
        <v>0.44</v>
      </c>
    </row>
    <row r="26" spans="1:3" ht="13.8" thickTop="1" x14ac:dyDescent="0.25"/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35"/>
  <sheetViews>
    <sheetView showGridLines="0" view="pageBreakPreview" zoomScale="60" zoomScaleNormal="90" workbookViewId="0">
      <pane xSplit="3" ySplit="6" topLeftCell="D7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ColWidth="8.88671875" defaultRowHeight="13.2" x14ac:dyDescent="0.25"/>
  <cols>
    <col min="1" max="1" width="4.6640625" style="5" bestFit="1" customWidth="1"/>
    <col min="2" max="2" width="31.109375" style="5" bestFit="1" customWidth="1"/>
    <col min="3" max="3" width="16.88671875" style="5" bestFit="1" customWidth="1"/>
    <col min="4" max="4" width="16.109375" style="5" bestFit="1" customWidth="1"/>
    <col min="5" max="5" width="15.33203125" style="5" bestFit="1" customWidth="1"/>
    <col min="6" max="6" width="17.109375" style="5" bestFit="1" customWidth="1"/>
    <col min="7" max="8" width="15.33203125" style="5" bestFit="1" customWidth="1"/>
    <col min="9" max="10" width="14.5546875" style="5" bestFit="1" customWidth="1"/>
    <col min="11" max="11" width="15.33203125" style="5" bestFit="1" customWidth="1"/>
    <col min="12" max="12" width="13.33203125" style="5" bestFit="1" customWidth="1"/>
    <col min="13" max="13" width="12.109375" style="5" bestFit="1" customWidth="1"/>
    <col min="14" max="16384" width="8.88671875" style="5"/>
  </cols>
  <sheetData>
    <row r="1" spans="1:13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x14ac:dyDescent="0.25">
      <c r="A2" s="88" t="s">
        <v>80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x14ac:dyDescent="0.25">
      <c r="A3" s="88" t="s">
        <v>210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6" spans="1:13" s="26" customFormat="1" ht="39.6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6" customFormat="1" x14ac:dyDescent="0.25">
      <c r="B7" s="26" t="s">
        <v>20</v>
      </c>
      <c r="C7" s="26" t="s">
        <v>21</v>
      </c>
      <c r="D7" s="26" t="s">
        <v>22</v>
      </c>
      <c r="E7" s="26" t="s">
        <v>23</v>
      </c>
      <c r="F7" s="26" t="s">
        <v>24</v>
      </c>
      <c r="G7" s="26" t="s">
        <v>81</v>
      </c>
      <c r="H7" s="26" t="s">
        <v>25</v>
      </c>
      <c r="I7" s="26" t="s">
        <v>26</v>
      </c>
      <c r="J7" s="26" t="s">
        <v>82</v>
      </c>
      <c r="K7" s="26" t="s">
        <v>83</v>
      </c>
      <c r="L7" s="26" t="s">
        <v>27</v>
      </c>
      <c r="M7" s="26" t="s">
        <v>28</v>
      </c>
    </row>
    <row r="9" spans="1:13" x14ac:dyDescent="0.25">
      <c r="A9" s="23">
        <v>1</v>
      </c>
      <c r="B9" s="1" t="s">
        <v>84</v>
      </c>
    </row>
    <row r="10" spans="1:13" x14ac:dyDescent="0.25">
      <c r="A10" s="23">
        <f>+A9+1</f>
        <v>2</v>
      </c>
      <c r="B10" s="5" t="s">
        <v>41</v>
      </c>
      <c r="C10" s="6">
        <v>738837378.66472435</v>
      </c>
      <c r="D10" s="6">
        <v>375343734.07282645</v>
      </c>
      <c r="E10" s="6">
        <v>98560810.492260888</v>
      </c>
      <c r="F10" s="6">
        <v>101478154.79413509</v>
      </c>
      <c r="G10" s="6">
        <v>66946289.961390726</v>
      </c>
      <c r="H10" s="6">
        <v>47982973.972962551</v>
      </c>
      <c r="I10" s="6">
        <v>22876162.192052066</v>
      </c>
      <c r="J10" s="6">
        <v>20906175.465817958</v>
      </c>
      <c r="K10" s="6">
        <v>1811000.9086095486</v>
      </c>
      <c r="L10" s="6">
        <v>2693324.4823718825</v>
      </c>
      <c r="M10" s="6">
        <v>238752.32229729643</v>
      </c>
    </row>
    <row r="11" spans="1:13" x14ac:dyDescent="0.25">
      <c r="A11" s="23">
        <f t="shared" ref="A11:A26" si="0">+A10+1</f>
        <v>3</v>
      </c>
      <c r="B11" s="5" t="s">
        <v>42</v>
      </c>
      <c r="C11" s="6">
        <v>186436330.30085155</v>
      </c>
      <c r="D11" s="6">
        <v>93601039.028912187</v>
      </c>
      <c r="E11" s="6">
        <v>24578522.117588788</v>
      </c>
      <c r="F11" s="6">
        <v>25306032.484945871</v>
      </c>
      <c r="G11" s="6">
        <v>16694676.720782001</v>
      </c>
      <c r="H11" s="6">
        <v>11965715.18813506</v>
      </c>
      <c r="I11" s="6">
        <v>5704724.3787331637</v>
      </c>
      <c r="J11" s="6">
        <v>5213460.5378589723</v>
      </c>
      <c r="K11" s="6">
        <v>2640975.5706119235</v>
      </c>
      <c r="L11" s="6">
        <v>671645.60669900966</v>
      </c>
      <c r="M11" s="6">
        <v>59538.666584631654</v>
      </c>
    </row>
    <row r="12" spans="1:13" x14ac:dyDescent="0.25">
      <c r="A12" s="23">
        <f t="shared" si="0"/>
        <v>4</v>
      </c>
      <c r="B12" s="5" t="s">
        <v>43</v>
      </c>
      <c r="C12" s="6">
        <v>47657960.085255444</v>
      </c>
      <c r="D12" s="6">
        <v>24075574.797197938</v>
      </c>
      <c r="E12" s="6">
        <v>6321960.2451614998</v>
      </c>
      <c r="F12" s="6">
        <v>6509086.696392796</v>
      </c>
      <c r="G12" s="6">
        <v>4294118.3375333464</v>
      </c>
      <c r="H12" s="6">
        <v>3077759.3283438692</v>
      </c>
      <c r="I12" s="6">
        <v>1467339.6780901635</v>
      </c>
      <c r="J12" s="6">
        <v>1340979.3356320849</v>
      </c>
      <c r="K12" s="6">
        <v>383070.23260549724</v>
      </c>
      <c r="L12" s="6">
        <v>172757.20664058661</v>
      </c>
      <c r="M12" s="6">
        <v>15314.227657675479</v>
      </c>
    </row>
    <row r="13" spans="1:13" x14ac:dyDescent="0.25">
      <c r="A13" s="23">
        <f t="shared" si="0"/>
        <v>5</v>
      </c>
      <c r="B13" s="5" t="s">
        <v>44</v>
      </c>
      <c r="C13" s="6">
        <v>41061794.815668046</v>
      </c>
      <c r="D13" s="6">
        <v>20481026.498631503</v>
      </c>
      <c r="E13" s="6">
        <v>5378074.5172288585</v>
      </c>
      <c r="F13" s="6">
        <v>5537262.4842263944</v>
      </c>
      <c r="G13" s="6">
        <v>3652994.8796701562</v>
      </c>
      <c r="H13" s="6">
        <v>2618241.5535747684</v>
      </c>
      <c r="I13" s="6">
        <v>1248261.9037181104</v>
      </c>
      <c r="J13" s="6">
        <v>1140767.5014427691</v>
      </c>
      <c r="K13" s="6">
        <v>845173.61563345359</v>
      </c>
      <c r="L13" s="6">
        <v>146964.08940762715</v>
      </c>
      <c r="M13" s="6">
        <v>13027.772134413655</v>
      </c>
    </row>
    <row r="14" spans="1:13" ht="13.8" thickBot="1" x14ac:dyDescent="0.3">
      <c r="A14" s="25">
        <f t="shared" si="0"/>
        <v>6</v>
      </c>
      <c r="B14" s="8" t="s">
        <v>85</v>
      </c>
      <c r="C14" s="9">
        <f>SUM(C10:C13)</f>
        <v>1013993463.8664994</v>
      </c>
      <c r="D14" s="9">
        <f t="shared" ref="D14:L14" si="1">SUM(D10:D13)</f>
        <v>513501374.39756805</v>
      </c>
      <c r="E14" s="9">
        <f t="shared" si="1"/>
        <v>134839367.37224004</v>
      </c>
      <c r="F14" s="9">
        <f t="shared" si="1"/>
        <v>138830536.45970014</v>
      </c>
      <c r="G14" s="9">
        <f t="shared" si="1"/>
        <v>91588079.899376228</v>
      </c>
      <c r="H14" s="9">
        <f t="shared" si="1"/>
        <v>65644690.043016247</v>
      </c>
      <c r="I14" s="9">
        <f t="shared" si="1"/>
        <v>31296488.152593505</v>
      </c>
      <c r="J14" s="9">
        <f t="shared" si="1"/>
        <v>28601382.840751782</v>
      </c>
      <c r="K14" s="9">
        <f t="shared" si="1"/>
        <v>5680220.3274604231</v>
      </c>
      <c r="L14" s="9">
        <f t="shared" si="1"/>
        <v>3684691.3851191057</v>
      </c>
      <c r="M14" s="9">
        <f>SUM(M10:M13)</f>
        <v>326632.98867401719</v>
      </c>
    </row>
    <row r="15" spans="1:13" ht="13.8" thickTop="1" x14ac:dyDescent="0.25">
      <c r="A15" s="23">
        <f t="shared" si="0"/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23">
        <f t="shared" si="0"/>
        <v>8</v>
      </c>
      <c r="B16" s="5" t="s">
        <v>86</v>
      </c>
      <c r="C16" s="6">
        <v>183015991.95320943</v>
      </c>
      <c r="D16" s="6">
        <v>91285716.995418429</v>
      </c>
      <c r="E16" s="6">
        <v>23970546.026725214</v>
      </c>
      <c r="F16" s="6">
        <v>24680060.645310558</v>
      </c>
      <c r="G16" s="6">
        <v>16281715.99668424</v>
      </c>
      <c r="H16" s="6">
        <v>11669730.396630315</v>
      </c>
      <c r="I16" s="6">
        <v>5563611.9061994981</v>
      </c>
      <c r="J16" s="6">
        <v>5084500.0030263783</v>
      </c>
      <c r="K16" s="6">
        <v>3767012.336704175</v>
      </c>
      <c r="L16" s="6">
        <v>655031.73266488512</v>
      </c>
      <c r="M16" s="6">
        <v>58065.913845790194</v>
      </c>
    </row>
    <row r="17" spans="1:13" x14ac:dyDescent="0.25">
      <c r="A17" s="23">
        <f t="shared" si="0"/>
        <v>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3.8" thickBot="1" x14ac:dyDescent="0.3">
      <c r="A18" s="25">
        <f t="shared" si="0"/>
        <v>10</v>
      </c>
      <c r="B18" s="8" t="s">
        <v>87</v>
      </c>
      <c r="C18" s="9">
        <f>+C16+C14</f>
        <v>1197009455.8197088</v>
      </c>
      <c r="D18" s="9">
        <f t="shared" ref="D18:L18" si="2">+D16+D14</f>
        <v>604787091.39298654</v>
      </c>
      <c r="E18" s="9">
        <f t="shared" si="2"/>
        <v>158809913.39896524</v>
      </c>
      <c r="F18" s="9">
        <f t="shared" si="2"/>
        <v>163510597.10501069</v>
      </c>
      <c r="G18" s="9">
        <f t="shared" si="2"/>
        <v>107869795.89606047</v>
      </c>
      <c r="H18" s="9">
        <f t="shared" si="2"/>
        <v>77314420.439646557</v>
      </c>
      <c r="I18" s="9">
        <f t="shared" si="2"/>
        <v>36860100.058793001</v>
      </c>
      <c r="J18" s="9">
        <f t="shared" si="2"/>
        <v>33685882.843778163</v>
      </c>
      <c r="K18" s="9">
        <f t="shared" si="2"/>
        <v>9447232.664164599</v>
      </c>
      <c r="L18" s="9">
        <f t="shared" si="2"/>
        <v>4339723.1177839907</v>
      </c>
      <c r="M18" s="9">
        <f>+M16+M14</f>
        <v>384698.90251980739</v>
      </c>
    </row>
    <row r="19" spans="1:13" ht="13.8" thickTop="1" x14ac:dyDescent="0.25">
      <c r="A19" s="23">
        <f t="shared" si="0"/>
        <v>11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23">
        <f t="shared" si="0"/>
        <v>12</v>
      </c>
      <c r="B20" s="5" t="s">
        <v>32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23">
        <f t="shared" si="0"/>
        <v>13</v>
      </c>
      <c r="B21" s="5" t="s">
        <v>33</v>
      </c>
      <c r="C21" s="6">
        <v>4268692853.3635817</v>
      </c>
      <c r="D21" s="6">
        <v>2130758374.2530627</v>
      </c>
      <c r="E21" s="6">
        <v>559511864.10056543</v>
      </c>
      <c r="F21" s="6">
        <v>576073099.14330029</v>
      </c>
      <c r="G21" s="6">
        <v>380041958.90673888</v>
      </c>
      <c r="H21" s="6">
        <v>272390649.77868927</v>
      </c>
      <c r="I21" s="6">
        <v>129863828.10383807</v>
      </c>
      <c r="J21" s="6">
        <v>118680570.37753148</v>
      </c>
      <c r="K21" s="6">
        <v>84727639.907961771</v>
      </c>
      <c r="L21" s="6">
        <v>15289515.114913847</v>
      </c>
      <c r="M21" s="6">
        <v>1355353.6769808577</v>
      </c>
    </row>
    <row r="22" spans="1:13" x14ac:dyDescent="0.25">
      <c r="A22" s="23">
        <f t="shared" si="0"/>
        <v>14</v>
      </c>
      <c r="B22" s="5" t="s">
        <v>34</v>
      </c>
      <c r="C22" s="6">
        <v>-1680159563.3525395</v>
      </c>
      <c r="D22" s="6">
        <v>-841876538.24298346</v>
      </c>
      <c r="E22" s="6">
        <v>-221066788.68268469</v>
      </c>
      <c r="F22" s="6">
        <v>-227610240.72083223</v>
      </c>
      <c r="G22" s="6">
        <v>-150157057.98347288</v>
      </c>
      <c r="H22" s="6">
        <v>-107623323.25260845</v>
      </c>
      <c r="I22" s="6">
        <v>-51310045.929241717</v>
      </c>
      <c r="J22" s="6">
        <v>-46891467.823593073</v>
      </c>
      <c r="K22" s="6">
        <v>-27047604.438918665</v>
      </c>
      <c r="L22" s="6">
        <v>-6040987.1958708977</v>
      </c>
      <c r="M22" s="6">
        <v>-535509.0823339062</v>
      </c>
    </row>
    <row r="23" spans="1:13" x14ac:dyDescent="0.25">
      <c r="A23" s="23">
        <f t="shared" si="0"/>
        <v>15</v>
      </c>
      <c r="B23" s="5" t="s">
        <v>88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</row>
    <row r="24" spans="1:13" x14ac:dyDescent="0.25">
      <c r="A24" s="23">
        <f t="shared" si="0"/>
        <v>16</v>
      </c>
      <c r="B24" s="5" t="s">
        <v>89</v>
      </c>
      <c r="C24" s="6">
        <v>101754469.78528887</v>
      </c>
      <c r="D24" s="6">
        <v>50791705.109877482</v>
      </c>
      <c r="E24" s="6">
        <v>13337299.034122482</v>
      </c>
      <c r="F24" s="6">
        <v>13732075.549709724</v>
      </c>
      <c r="G24" s="6">
        <v>9059206.0270268396</v>
      </c>
      <c r="H24" s="6">
        <v>6493080.4569039978</v>
      </c>
      <c r="I24" s="6">
        <v>3095613.9096729783</v>
      </c>
      <c r="J24" s="6">
        <v>2829034.3033384774</v>
      </c>
      <c r="K24" s="6">
        <v>2019685.2692739784</v>
      </c>
      <c r="L24" s="6">
        <v>364462.0396068836</v>
      </c>
      <c r="M24" s="6">
        <v>32308.085756054803</v>
      </c>
    </row>
    <row r="25" spans="1:13" x14ac:dyDescent="0.25">
      <c r="A25" s="23">
        <f t="shared" si="0"/>
        <v>17</v>
      </c>
      <c r="B25" s="5" t="s">
        <v>90</v>
      </c>
      <c r="C25" s="6">
        <v>-325740060.14246225</v>
      </c>
      <c r="D25" s="6">
        <v>-160271512.75537765</v>
      </c>
      <c r="E25" s="6">
        <v>-42085397.362530157</v>
      </c>
      <c r="F25" s="6">
        <v>-43331101.345426381</v>
      </c>
      <c r="G25" s="6">
        <v>-28586019.137834944</v>
      </c>
      <c r="H25" s="6">
        <v>-20488696.432205535</v>
      </c>
      <c r="I25" s="6">
        <v>-9768105.3064980283</v>
      </c>
      <c r="J25" s="6">
        <v>-8926922.3478921615</v>
      </c>
      <c r="K25" s="6">
        <v>-11030310.703379421</v>
      </c>
      <c r="L25" s="6">
        <v>-1150047.6761577753</v>
      </c>
      <c r="M25" s="6">
        <v>-101947.07516023895</v>
      </c>
    </row>
    <row r="26" spans="1:13" ht="13.8" thickBot="1" x14ac:dyDescent="0.3">
      <c r="A26" s="25">
        <f t="shared" si="0"/>
        <v>18</v>
      </c>
      <c r="B26" s="8" t="s">
        <v>36</v>
      </c>
      <c r="C26" s="9">
        <f>SUM(C21:C25)</f>
        <v>2364547699.6538687</v>
      </c>
      <c r="D26" s="9">
        <f t="shared" ref="D26:L26" si="3">SUM(D21:D25)</f>
        <v>1179402028.3645792</v>
      </c>
      <c r="E26" s="9">
        <f t="shared" si="3"/>
        <v>309696977.08947307</v>
      </c>
      <c r="F26" s="9">
        <f t="shared" si="3"/>
        <v>318863832.62675142</v>
      </c>
      <c r="G26" s="9">
        <f t="shared" si="3"/>
        <v>210358087.81245789</v>
      </c>
      <c r="H26" s="9">
        <f t="shared" si="3"/>
        <v>150771710.55077928</v>
      </c>
      <c r="I26" s="9">
        <f t="shared" si="3"/>
        <v>71881290.777771294</v>
      </c>
      <c r="J26" s="9">
        <f t="shared" si="3"/>
        <v>65691214.509384736</v>
      </c>
      <c r="K26" s="9">
        <f t="shared" si="3"/>
        <v>48669410.034937665</v>
      </c>
      <c r="L26" s="9">
        <f t="shared" si="3"/>
        <v>8462942.2824920565</v>
      </c>
      <c r="M26" s="9">
        <f>SUM(M21:M25)</f>
        <v>750205.60524276737</v>
      </c>
    </row>
    <row r="27" spans="1:13" ht="13.8" thickTop="1" x14ac:dyDescent="0.25"/>
    <row r="29" spans="1:13" x14ac:dyDescent="0.25">
      <c r="C29" s="7"/>
    </row>
    <row r="30" spans="1:13" x14ac:dyDescent="0.25">
      <c r="C30" s="7"/>
    </row>
    <row r="31" spans="1:13" x14ac:dyDescent="0.25">
      <c r="C31" s="7"/>
    </row>
    <row r="33" spans="3:3" x14ac:dyDescent="0.25">
      <c r="C33" s="7"/>
    </row>
    <row r="35" spans="3:3" x14ac:dyDescent="0.25">
      <c r="C35" s="7"/>
    </row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27"/>
  <sheetViews>
    <sheetView showGridLines="0" view="pageBreakPreview" zoomScale="60" zoomScaleNormal="90" workbookViewId="0">
      <pane xSplit="2" ySplit="9" topLeftCell="C10" activePane="bottomRight" state="frozen"/>
      <selection activeCell="A15" sqref="A15"/>
      <selection pane="topRight" activeCell="A15" sqref="A15"/>
      <selection pane="bottomLeft" activeCell="A15" sqref="A15"/>
      <selection pane="bottomRight" activeCell="J43" sqref="J43"/>
    </sheetView>
  </sheetViews>
  <sheetFormatPr defaultColWidth="6.33203125" defaultRowHeight="13.2" x14ac:dyDescent="0.25"/>
  <cols>
    <col min="1" max="1" width="4.6640625" style="5" bestFit="1" customWidth="1"/>
    <col min="2" max="2" width="31.109375" style="5" bestFit="1" customWidth="1"/>
    <col min="3" max="3" width="16.88671875" style="5" bestFit="1" customWidth="1"/>
    <col min="4" max="4" width="16.109375" style="5" bestFit="1" customWidth="1"/>
    <col min="5" max="5" width="15.33203125" style="5" bestFit="1" customWidth="1"/>
    <col min="6" max="6" width="17.109375" style="5" bestFit="1" customWidth="1"/>
    <col min="7" max="9" width="14.5546875" style="5" bestFit="1" customWidth="1"/>
    <col min="10" max="10" width="14" style="5" bestFit="1" customWidth="1"/>
    <col min="11" max="11" width="15.33203125" style="5" bestFit="1" customWidth="1"/>
    <col min="12" max="12" width="12.88671875" style="5" bestFit="1" customWidth="1"/>
    <col min="13" max="13" width="12.109375" style="5" bestFit="1" customWidth="1"/>
    <col min="14" max="14" width="4.5546875" style="5" customWidth="1"/>
    <col min="15" max="15" width="14.5546875" style="5" bestFit="1" customWidth="1"/>
    <col min="16" max="16" width="12.109375" style="5" bestFit="1" customWidth="1"/>
    <col min="17" max="17" width="14.33203125" style="5" bestFit="1" customWidth="1"/>
    <col min="18" max="16384" width="6.33203125" style="5"/>
  </cols>
  <sheetData>
    <row r="1" spans="1:17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7" x14ac:dyDescent="0.25">
      <c r="A2" s="88" t="s">
        <v>91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7" x14ac:dyDescent="0.25">
      <c r="A3" s="88" t="s">
        <v>210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6" spans="1:17" s="26" customFormat="1" ht="39.6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  <c r="N6" s="4"/>
      <c r="O6" s="2" t="s">
        <v>15</v>
      </c>
      <c r="P6" s="2" t="s">
        <v>16</v>
      </c>
      <c r="Q6" s="2" t="s">
        <v>17</v>
      </c>
    </row>
    <row r="7" spans="1:17" s="26" customFormat="1" x14ac:dyDescent="0.25">
      <c r="B7" s="26" t="s">
        <v>20</v>
      </c>
      <c r="C7" s="26" t="s">
        <v>21</v>
      </c>
      <c r="D7" s="26" t="s">
        <v>22</v>
      </c>
      <c r="E7" s="26" t="s">
        <v>23</v>
      </c>
      <c r="F7" s="26" t="s">
        <v>24</v>
      </c>
      <c r="G7" s="26" t="s">
        <v>81</v>
      </c>
      <c r="H7" s="26" t="s">
        <v>25</v>
      </c>
      <c r="I7" s="26" t="s">
        <v>26</v>
      </c>
      <c r="J7" s="26" t="s">
        <v>82</v>
      </c>
      <c r="K7" s="26" t="s">
        <v>83</v>
      </c>
      <c r="L7" s="26" t="s">
        <v>27</v>
      </c>
      <c r="M7" s="26" t="s">
        <v>28</v>
      </c>
    </row>
    <row r="9" spans="1:17" x14ac:dyDescent="0.25">
      <c r="A9" s="23">
        <v>1</v>
      </c>
      <c r="B9" s="1" t="s">
        <v>84</v>
      </c>
    </row>
    <row r="10" spans="1:17" x14ac:dyDescent="0.25">
      <c r="A10" s="23">
        <f>+A9+1</f>
        <v>2</v>
      </c>
      <c r="B10" s="5" t="s">
        <v>41</v>
      </c>
      <c r="C10" s="6">
        <v>347443665.56323934</v>
      </c>
      <c r="D10" s="6">
        <v>215885247.28586105</v>
      </c>
      <c r="E10" s="6">
        <v>42962101.664079823</v>
      </c>
      <c r="F10" s="6">
        <v>38912891.650984183</v>
      </c>
      <c r="G10" s="6">
        <v>20674765.819258213</v>
      </c>
      <c r="H10" s="6">
        <v>15739859.144330377</v>
      </c>
      <c r="I10" s="6">
        <v>7077302.6026944984</v>
      </c>
      <c r="J10" s="6">
        <v>4594693.8058222858</v>
      </c>
      <c r="K10" s="6">
        <v>527422.61094863573</v>
      </c>
      <c r="L10" s="6">
        <v>920806.52229204634</v>
      </c>
      <c r="M10" s="6">
        <v>148574.456968235</v>
      </c>
      <c r="O10" s="6">
        <v>14651830.688466657</v>
      </c>
      <c r="P10" s="6">
        <v>61949.679787928188</v>
      </c>
      <c r="Q10" s="6">
        <v>1026078.7760757913</v>
      </c>
    </row>
    <row r="11" spans="1:17" x14ac:dyDescent="0.25">
      <c r="A11" s="23">
        <f t="shared" ref="A11:A26" si="0">+A10+1</f>
        <v>3</v>
      </c>
      <c r="B11" s="5" t="s">
        <v>42</v>
      </c>
      <c r="C11" s="6">
        <v>183080995.62034586</v>
      </c>
      <c r="D11" s="6">
        <v>113122413.1372399</v>
      </c>
      <c r="E11" s="6">
        <v>22533740.339471877</v>
      </c>
      <c r="F11" s="6">
        <v>20704397.231019095</v>
      </c>
      <c r="G11" s="6">
        <v>10234844.597205881</v>
      </c>
      <c r="H11" s="6">
        <v>8717594.0895498432</v>
      </c>
      <c r="I11" s="6">
        <v>4484845.4321625559</v>
      </c>
      <c r="J11" s="6">
        <v>2026358.9374281098</v>
      </c>
      <c r="K11" s="6">
        <v>901542.16874394903</v>
      </c>
      <c r="L11" s="6">
        <v>286164.85613168433</v>
      </c>
      <c r="M11" s="6">
        <v>69094.831392997206</v>
      </c>
      <c r="O11" s="6">
        <v>7439075.3687591739</v>
      </c>
      <c r="P11" s="6">
        <v>54337.961858539711</v>
      </c>
      <c r="Q11" s="6">
        <v>1224180.758932129</v>
      </c>
    </row>
    <row r="12" spans="1:17" x14ac:dyDescent="0.25">
      <c r="A12" s="23">
        <f t="shared" si="0"/>
        <v>4</v>
      </c>
      <c r="B12" s="5" t="s">
        <v>43</v>
      </c>
      <c r="C12" s="6">
        <v>30920158.547063984</v>
      </c>
      <c r="D12" s="6">
        <v>19130301.578961957</v>
      </c>
      <c r="E12" s="6">
        <v>3815417.3598787533</v>
      </c>
      <c r="F12" s="6">
        <v>3487257.8853376699</v>
      </c>
      <c r="G12" s="6">
        <v>1780844.7777749128</v>
      </c>
      <c r="H12" s="6">
        <v>1444993.9140451271</v>
      </c>
      <c r="I12" s="6">
        <v>691291.92260847427</v>
      </c>
      <c r="J12" s="6">
        <v>377648.55477618217</v>
      </c>
      <c r="K12" s="6">
        <v>117301.06039045958</v>
      </c>
      <c r="L12" s="6">
        <v>62762.335568108407</v>
      </c>
      <c r="M12" s="6">
        <v>12339.157722340635</v>
      </c>
      <c r="O12" s="6">
        <v>1280530.1469082108</v>
      </c>
      <c r="P12" s="6">
        <v>7597.2715856030873</v>
      </c>
      <c r="Q12" s="6">
        <v>156866.49555131319</v>
      </c>
    </row>
    <row r="13" spans="1:17" x14ac:dyDescent="0.25">
      <c r="A13" s="23">
        <f t="shared" si="0"/>
        <v>5</v>
      </c>
      <c r="B13" s="5" t="s">
        <v>44</v>
      </c>
      <c r="C13" s="6">
        <v>40653911.127375856</v>
      </c>
      <c r="D13" s="6">
        <v>25002022.20762432</v>
      </c>
      <c r="E13" s="6">
        <v>5017692.5955047831</v>
      </c>
      <c r="F13" s="6">
        <v>4630915.5671158992</v>
      </c>
      <c r="G13" s="6">
        <v>2300530.0648727063</v>
      </c>
      <c r="H13" s="6">
        <v>1957580.8071763711</v>
      </c>
      <c r="I13" s="6">
        <v>935099.88692667242</v>
      </c>
      <c r="J13" s="6">
        <v>490251.88928356173</v>
      </c>
      <c r="K13" s="6">
        <v>241165.33341908414</v>
      </c>
      <c r="L13" s="6">
        <v>63341.220092166783</v>
      </c>
      <c r="M13" s="6">
        <v>15311.555360290606</v>
      </c>
      <c r="O13" s="6">
        <v>1674696.0214990466</v>
      </c>
      <c r="P13" s="6">
        <v>12008.268638186601</v>
      </c>
      <c r="Q13" s="6">
        <v>270876.51703913778</v>
      </c>
    </row>
    <row r="14" spans="1:17" ht="13.8" thickBot="1" x14ac:dyDescent="0.3">
      <c r="A14" s="25">
        <f t="shared" si="0"/>
        <v>6</v>
      </c>
      <c r="B14" s="8" t="s">
        <v>85</v>
      </c>
      <c r="C14" s="9">
        <f>SUM(C10:C13)</f>
        <v>602098730.85802495</v>
      </c>
      <c r="D14" s="9">
        <f>SUM(D10:D13)</f>
        <v>373139984.20968723</v>
      </c>
      <c r="E14" s="9">
        <f t="shared" ref="E14:O14" si="1">SUM(E10:E13)</f>
        <v>74328951.958935231</v>
      </c>
      <c r="F14" s="9">
        <f t="shared" si="1"/>
        <v>67735462.334456846</v>
      </c>
      <c r="G14" s="9">
        <f t="shared" si="1"/>
        <v>34990985.25911171</v>
      </c>
      <c r="H14" s="9">
        <f t="shared" si="1"/>
        <v>27860027.955101717</v>
      </c>
      <c r="I14" s="9">
        <f t="shared" si="1"/>
        <v>13188539.844392199</v>
      </c>
      <c r="J14" s="9">
        <f t="shared" si="1"/>
        <v>7488953.1873101406</v>
      </c>
      <c r="K14" s="9">
        <f t="shared" si="1"/>
        <v>1787431.1735021283</v>
      </c>
      <c r="L14" s="9">
        <f t="shared" si="1"/>
        <v>1333074.9340840057</v>
      </c>
      <c r="M14" s="9">
        <f>SUM(M10:M13)</f>
        <v>245320.00144386344</v>
      </c>
      <c r="O14" s="9">
        <f t="shared" si="1"/>
        <v>25046132.225633088</v>
      </c>
      <c r="P14" s="9">
        <f>SUM(P10:P13)</f>
        <v>135893.1818702576</v>
      </c>
      <c r="Q14" s="9">
        <f>SUM(Q10:Q13)</f>
        <v>2678002.5475983713</v>
      </c>
    </row>
    <row r="15" spans="1:17" ht="13.8" thickTop="1" x14ac:dyDescent="0.25">
      <c r="A15" s="23">
        <f t="shared" si="0"/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</row>
    <row r="16" spans="1:17" x14ac:dyDescent="0.25">
      <c r="A16" s="23">
        <f t="shared" si="0"/>
        <v>8</v>
      </c>
      <c r="B16" s="5" t="s">
        <v>86</v>
      </c>
      <c r="C16" s="6">
        <v>181198018.86777955</v>
      </c>
      <c r="D16" s="6">
        <v>111436188.20623367</v>
      </c>
      <c r="E16" s="6">
        <v>22364292.447639842</v>
      </c>
      <c r="F16" s="6">
        <v>20640393.581721395</v>
      </c>
      <c r="G16" s="6">
        <v>10253662.649938643</v>
      </c>
      <c r="H16" s="6">
        <v>8725107.9711021893</v>
      </c>
      <c r="I16" s="6">
        <v>4167821.5516268001</v>
      </c>
      <c r="J16" s="6">
        <v>2185095.3234496675</v>
      </c>
      <c r="K16" s="6">
        <v>1074894.8729240315</v>
      </c>
      <c r="L16" s="6">
        <v>282317.32876593841</v>
      </c>
      <c r="M16" s="6">
        <v>68244.934377315643</v>
      </c>
      <c r="O16" s="6">
        <v>7464265.8697858695</v>
      </c>
      <c r="P16" s="6">
        <v>53521.898064225672</v>
      </c>
      <c r="Q16" s="6">
        <v>1207320.2032520967</v>
      </c>
    </row>
    <row r="17" spans="1:17" x14ac:dyDescent="0.25">
      <c r="A17" s="23">
        <f t="shared" si="0"/>
        <v>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</row>
    <row r="18" spans="1:17" ht="13.8" thickBot="1" x14ac:dyDescent="0.3">
      <c r="A18" s="25">
        <f t="shared" si="0"/>
        <v>10</v>
      </c>
      <c r="B18" s="8" t="s">
        <v>87</v>
      </c>
      <c r="C18" s="9">
        <f>+C16+C14</f>
        <v>783296749.72580457</v>
      </c>
      <c r="D18" s="9">
        <f>+D16+D14</f>
        <v>484576172.41592091</v>
      </c>
      <c r="E18" s="9">
        <f t="shared" ref="E18:L18" si="2">+E16+E14</f>
        <v>96693244.406575069</v>
      </c>
      <c r="F18" s="9">
        <f t="shared" si="2"/>
        <v>88375855.916178241</v>
      </c>
      <c r="G18" s="9">
        <f t="shared" si="2"/>
        <v>45244647.909050353</v>
      </c>
      <c r="H18" s="9">
        <f t="shared" si="2"/>
        <v>36585135.926203907</v>
      </c>
      <c r="I18" s="9">
        <f t="shared" si="2"/>
        <v>17356361.396019001</v>
      </c>
      <c r="J18" s="9">
        <f t="shared" si="2"/>
        <v>9674048.5107598081</v>
      </c>
      <c r="K18" s="9">
        <f t="shared" si="2"/>
        <v>2862326.0464261598</v>
      </c>
      <c r="L18" s="9">
        <f t="shared" si="2"/>
        <v>1615392.2628499442</v>
      </c>
      <c r="M18" s="9">
        <f>+M16+M14</f>
        <v>313564.93582117907</v>
      </c>
      <c r="O18" s="9">
        <f>+O16+O14</f>
        <v>32510398.09541896</v>
      </c>
      <c r="P18" s="9">
        <f>+P16+P14</f>
        <v>189415.07993448328</v>
      </c>
      <c r="Q18" s="9">
        <f>+Q16+Q14</f>
        <v>3885322.7508504679</v>
      </c>
    </row>
    <row r="19" spans="1:17" ht="13.8" thickTop="1" x14ac:dyDescent="0.25">
      <c r="A19" s="23">
        <f t="shared" si="0"/>
        <v>11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</row>
    <row r="20" spans="1:17" x14ac:dyDescent="0.25">
      <c r="A20" s="23">
        <f t="shared" si="0"/>
        <v>12</v>
      </c>
      <c r="B20" s="5" t="s">
        <v>32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</row>
    <row r="21" spans="1:17" x14ac:dyDescent="0.25">
      <c r="A21" s="23">
        <f t="shared" si="0"/>
        <v>13</v>
      </c>
      <c r="B21" s="5" t="s">
        <v>33</v>
      </c>
      <c r="C21" s="6">
        <v>4298988454.2922421</v>
      </c>
      <c r="D21" s="6">
        <v>2653714200.6497698</v>
      </c>
      <c r="E21" s="6">
        <v>528532580.05913162</v>
      </c>
      <c r="F21" s="6">
        <v>485525460.47476625</v>
      </c>
      <c r="G21" s="6">
        <v>239506731.7090517</v>
      </c>
      <c r="H21" s="6">
        <v>204648728.30061442</v>
      </c>
      <c r="I21" s="6">
        <v>105276253.32862999</v>
      </c>
      <c r="J21" s="6">
        <v>47169155.515532248</v>
      </c>
      <c r="K21" s="6">
        <v>26399201.29360247</v>
      </c>
      <c r="L21" s="6">
        <v>6596226.0130812665</v>
      </c>
      <c r="M21" s="6">
        <v>1619916.9480618036</v>
      </c>
      <c r="O21" s="6">
        <v>174244172.7659696</v>
      </c>
      <c r="P21" s="6">
        <v>1292156.6408579184</v>
      </c>
      <c r="Q21" s="6">
        <v>29112398.8937869</v>
      </c>
    </row>
    <row r="22" spans="1:17" x14ac:dyDescent="0.25">
      <c r="A22" s="23">
        <f t="shared" si="0"/>
        <v>14</v>
      </c>
      <c r="B22" s="5" t="s">
        <v>34</v>
      </c>
      <c r="C22" s="6">
        <v>-1610635400.3962874</v>
      </c>
      <c r="D22" s="6">
        <v>-999245793.60621238</v>
      </c>
      <c r="E22" s="6">
        <v>-196905691.44633484</v>
      </c>
      <c r="F22" s="6">
        <v>-179746233.41676444</v>
      </c>
      <c r="G22" s="6">
        <v>-88255135.477502987</v>
      </c>
      <c r="H22" s="6">
        <v>-75214149.159745157</v>
      </c>
      <c r="I22" s="6">
        <v>-42841208.055779554</v>
      </c>
      <c r="J22" s="6">
        <v>-15496731.624415785</v>
      </c>
      <c r="K22" s="6">
        <v>-9787738.0603873096</v>
      </c>
      <c r="L22" s="6">
        <v>-2534608.524209273</v>
      </c>
      <c r="M22" s="6">
        <v>-608111.02493592189</v>
      </c>
      <c r="O22" s="6">
        <v>-63981551.132290199</v>
      </c>
      <c r="P22" s="6">
        <v>-478236.75574253319</v>
      </c>
      <c r="Q22" s="6">
        <v>-10754361.271712421</v>
      </c>
    </row>
    <row r="23" spans="1:17" x14ac:dyDescent="0.25">
      <c r="A23" s="23">
        <f t="shared" si="0"/>
        <v>15</v>
      </c>
      <c r="B23" s="5" t="s">
        <v>88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O23" s="6">
        <v>0</v>
      </c>
      <c r="P23" s="6">
        <v>0</v>
      </c>
      <c r="Q23" s="6">
        <v>0</v>
      </c>
    </row>
    <row r="24" spans="1:17" x14ac:dyDescent="0.25">
      <c r="A24" s="23">
        <f t="shared" si="0"/>
        <v>16</v>
      </c>
      <c r="B24" s="5" t="s">
        <v>89</v>
      </c>
      <c r="C24" s="6">
        <v>102476637.65147617</v>
      </c>
      <c r="D24" s="6">
        <v>63257603.843770809</v>
      </c>
      <c r="E24" s="6">
        <v>12598833.951191986</v>
      </c>
      <c r="F24" s="6">
        <v>11573656.73637988</v>
      </c>
      <c r="G24" s="6">
        <v>5709213.8816824425</v>
      </c>
      <c r="H24" s="6">
        <v>4878290.2766251117</v>
      </c>
      <c r="I24" s="6">
        <v>2509510.453532761</v>
      </c>
      <c r="J24" s="6">
        <v>1124389.2626101789</v>
      </c>
      <c r="K24" s="6">
        <v>629287.89272551448</v>
      </c>
      <c r="L24" s="6">
        <v>157236.77097454685</v>
      </c>
      <c r="M24" s="6">
        <v>38614.581982947988</v>
      </c>
      <c r="O24" s="6">
        <v>4153525.2176803462</v>
      </c>
      <c r="P24" s="6">
        <v>30801.633752223155</v>
      </c>
      <c r="Q24" s="6">
        <v>693963.42519254202</v>
      </c>
    </row>
    <row r="25" spans="1:17" x14ac:dyDescent="0.25">
      <c r="A25" s="23">
        <f t="shared" si="0"/>
        <v>17</v>
      </c>
      <c r="B25" s="5" t="s">
        <v>90</v>
      </c>
      <c r="C25" s="6">
        <v>-449770016.25312114</v>
      </c>
      <c r="D25" s="6">
        <v>-277981977.21505851</v>
      </c>
      <c r="E25" s="6">
        <v>-55281375.695256934</v>
      </c>
      <c r="F25" s="6">
        <v>-50681132.092554837</v>
      </c>
      <c r="G25" s="6">
        <v>-24484548.486116916</v>
      </c>
      <c r="H25" s="6">
        <v>-21585376.250799399</v>
      </c>
      <c r="I25" s="6">
        <v>-11096732.061954252</v>
      </c>
      <c r="J25" s="6">
        <v>-4565607.4244027715</v>
      </c>
      <c r="K25" s="6">
        <v>-3353220.4680074537</v>
      </c>
      <c r="L25" s="6">
        <v>-571343.55227627605</v>
      </c>
      <c r="M25" s="6">
        <v>-168703.00669389867</v>
      </c>
      <c r="O25" s="6">
        <v>-17978603.314074621</v>
      </c>
      <c r="P25" s="6">
        <v>-153224.12785694076</v>
      </c>
      <c r="Q25" s="6">
        <v>-3453548.8088678392</v>
      </c>
    </row>
    <row r="26" spans="1:17" ht="13.8" thickBot="1" x14ac:dyDescent="0.3">
      <c r="A26" s="25">
        <f t="shared" si="0"/>
        <v>18</v>
      </c>
      <c r="B26" s="8" t="s">
        <v>36</v>
      </c>
      <c r="C26" s="9">
        <f>SUM(C21:C25)</f>
        <v>2341059675.2943096</v>
      </c>
      <c r="D26" s="9">
        <f>SUM(D21:D25)</f>
        <v>1439744033.6722696</v>
      </c>
      <c r="E26" s="9">
        <f t="shared" ref="E26:O26" si="3">SUM(E21:E25)</f>
        <v>288944346.8687318</v>
      </c>
      <c r="F26" s="9">
        <f t="shared" si="3"/>
        <v>266671751.70182684</v>
      </c>
      <c r="G26" s="9">
        <f t="shared" si="3"/>
        <v>132476261.62711427</v>
      </c>
      <c r="H26" s="9">
        <f t="shared" si="3"/>
        <v>112727493.16669495</v>
      </c>
      <c r="I26" s="9">
        <f t="shared" si="3"/>
        <v>53847823.664428942</v>
      </c>
      <c r="J26" s="9">
        <f t="shared" si="3"/>
        <v>28231205.729323871</v>
      </c>
      <c r="K26" s="9">
        <f t="shared" si="3"/>
        <v>13887530.657933224</v>
      </c>
      <c r="L26" s="9">
        <f t="shared" si="3"/>
        <v>3647510.7075702641</v>
      </c>
      <c r="M26" s="9">
        <f>SUM(M21:M25)</f>
        <v>881717.49841493089</v>
      </c>
      <c r="O26" s="9">
        <f t="shared" si="3"/>
        <v>96437543.537285134</v>
      </c>
      <c r="P26" s="9">
        <f>SUM(P21:P25)</f>
        <v>691497.39101066766</v>
      </c>
      <c r="Q26" s="9">
        <f>SUM(Q21:Q25)</f>
        <v>15598452.238399182</v>
      </c>
    </row>
    <row r="27" spans="1:17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7"/>
  <sheetViews>
    <sheetView showGridLines="0" view="pageBreakPreview" zoomScale="60" zoomScaleNormal="90" workbookViewId="0">
      <pane xSplit="2" ySplit="7" topLeftCell="C8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ColWidth="8.88671875" defaultRowHeight="13.2" x14ac:dyDescent="0.25"/>
  <cols>
    <col min="1" max="1" width="5" style="5" bestFit="1" customWidth="1"/>
    <col min="2" max="2" width="33.109375" style="5" bestFit="1" customWidth="1"/>
    <col min="3" max="3" width="15.44140625" style="5" customWidth="1"/>
    <col min="4" max="4" width="15.33203125" style="5" customWidth="1"/>
    <col min="5" max="5" width="14.5546875" style="5" bestFit="1" customWidth="1"/>
    <col min="6" max="6" width="14" style="5" bestFit="1" customWidth="1"/>
    <col min="7" max="8" width="13.33203125" style="5" bestFit="1" customWidth="1"/>
    <col min="9" max="9" width="12.88671875" style="5" bestFit="1" customWidth="1"/>
    <col min="10" max="10" width="11.33203125" style="5" bestFit="1" customWidth="1"/>
    <col min="11" max="11" width="12.109375" style="5" bestFit="1" customWidth="1"/>
    <col min="12" max="12" width="14" style="5" bestFit="1" customWidth="1"/>
    <col min="13" max="13" width="13.44140625" style="5" customWidth="1"/>
    <col min="14" max="16384" width="8.88671875" style="5"/>
  </cols>
  <sheetData>
    <row r="1" spans="1:13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x14ac:dyDescent="0.25">
      <c r="A2" s="88" t="s">
        <v>92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x14ac:dyDescent="0.25">
      <c r="A3" s="88" t="s">
        <v>210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6" spans="1:13" s="26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6" customFormat="1" x14ac:dyDescent="0.25">
      <c r="B7" s="26" t="s">
        <v>20</v>
      </c>
      <c r="C7" s="26" t="s">
        <v>21</v>
      </c>
      <c r="D7" s="26" t="s">
        <v>22</v>
      </c>
      <c r="E7" s="26" t="s">
        <v>23</v>
      </c>
      <c r="F7" s="26" t="s">
        <v>24</v>
      </c>
      <c r="G7" s="26" t="s">
        <v>81</v>
      </c>
      <c r="H7" s="26" t="s">
        <v>25</v>
      </c>
      <c r="I7" s="26" t="s">
        <v>26</v>
      </c>
      <c r="J7" s="26" t="s">
        <v>82</v>
      </c>
      <c r="K7" s="26" t="s">
        <v>83</v>
      </c>
      <c r="L7" s="26" t="s">
        <v>27</v>
      </c>
      <c r="M7" s="26" t="s">
        <v>28</v>
      </c>
    </row>
    <row r="9" spans="1:13" x14ac:dyDescent="0.25">
      <c r="A9" s="23">
        <v>1</v>
      </c>
      <c r="B9" s="1" t="s">
        <v>84</v>
      </c>
    </row>
    <row r="10" spans="1:13" x14ac:dyDescent="0.25">
      <c r="A10" s="23">
        <f>+A9+1</f>
        <v>2</v>
      </c>
      <c r="B10" s="5" t="s">
        <v>41</v>
      </c>
      <c r="C10" s="6">
        <v>86871312.572688773</v>
      </c>
      <c r="D10" s="6">
        <v>69386372.369986683</v>
      </c>
      <c r="E10" s="6">
        <v>9619568.2029853892</v>
      </c>
      <c r="F10" s="6">
        <v>1162190.6677192783</v>
      </c>
      <c r="G10" s="6">
        <v>249972.45765478385</v>
      </c>
      <c r="H10" s="6">
        <v>983702.20525661821</v>
      </c>
      <c r="I10" s="6">
        <v>150491.61790024035</v>
      </c>
      <c r="J10" s="6">
        <v>75014.132075700603</v>
      </c>
      <c r="K10" s="6">
        <v>322834.43227284536</v>
      </c>
      <c r="L10" s="6">
        <v>4906617.1003580065</v>
      </c>
      <c r="M10" s="6">
        <v>14549.386479238297</v>
      </c>
    </row>
    <row r="11" spans="1:13" x14ac:dyDescent="0.25">
      <c r="A11" s="23">
        <f t="shared" ref="A11:A26" si="0">+A10+1</f>
        <v>3</v>
      </c>
      <c r="B11" s="5" t="s">
        <v>42</v>
      </c>
      <c r="C11" s="6">
        <v>44266253.553391434</v>
      </c>
      <c r="D11" s="6">
        <v>32974210.438736152</v>
      </c>
      <c r="E11" s="6">
        <v>4857439.2211757684</v>
      </c>
      <c r="F11" s="6">
        <v>1632977.4914866672</v>
      </c>
      <c r="G11" s="6">
        <v>440169.76559388905</v>
      </c>
      <c r="H11" s="6">
        <v>624788.83075703192</v>
      </c>
      <c r="I11" s="6">
        <v>148895.14329259019</v>
      </c>
      <c r="J11" s="6">
        <v>23182.540079677183</v>
      </c>
      <c r="K11" s="6">
        <v>53627.274890680645</v>
      </c>
      <c r="L11" s="6">
        <v>3500372.5620014113</v>
      </c>
      <c r="M11" s="6">
        <v>10590.285377573038</v>
      </c>
    </row>
    <row r="12" spans="1:13" x14ac:dyDescent="0.25">
      <c r="A12" s="23">
        <f t="shared" si="0"/>
        <v>4</v>
      </c>
      <c r="B12" s="5" t="s">
        <v>43</v>
      </c>
      <c r="C12" s="6">
        <v>8000468.9993049745</v>
      </c>
      <c r="D12" s="6">
        <v>6250430.9636758938</v>
      </c>
      <c r="E12" s="6">
        <v>816849.37576876988</v>
      </c>
      <c r="F12" s="6">
        <v>197888.36228842547</v>
      </c>
      <c r="G12" s="6">
        <v>51338.002301323744</v>
      </c>
      <c r="H12" s="6">
        <v>100430.75669659258</v>
      </c>
      <c r="I12" s="6">
        <v>19903.973124042714</v>
      </c>
      <c r="J12" s="6">
        <v>5674.8646789332315</v>
      </c>
      <c r="K12" s="6">
        <v>20679.7608178468</v>
      </c>
      <c r="L12" s="6">
        <v>535667.67636408715</v>
      </c>
      <c r="M12" s="6">
        <v>1605.2635890601355</v>
      </c>
    </row>
    <row r="13" spans="1:13" x14ac:dyDescent="0.25">
      <c r="A13" s="23">
        <f t="shared" si="0"/>
        <v>5</v>
      </c>
      <c r="B13" s="5" t="s">
        <v>44</v>
      </c>
      <c r="C13" s="6">
        <v>6813481.8677422786</v>
      </c>
      <c r="D13" s="6">
        <v>5108593.8452838436</v>
      </c>
      <c r="E13" s="6">
        <v>389854.34759670915</v>
      </c>
      <c r="F13" s="6">
        <v>303244.61906564271</v>
      </c>
      <c r="G13" s="6">
        <v>84417.723520985979</v>
      </c>
      <c r="H13" s="6">
        <v>147557.92937641984</v>
      </c>
      <c r="I13" s="6">
        <v>26276.654825862013</v>
      </c>
      <c r="J13" s="6">
        <v>5066.6116619392978</v>
      </c>
      <c r="K13" s="6">
        <v>9488.1233372666738</v>
      </c>
      <c r="L13" s="6">
        <v>736506.62827496824</v>
      </c>
      <c r="M13" s="6">
        <v>2475.3847986411838</v>
      </c>
    </row>
    <row r="14" spans="1:13" ht="13.8" thickBot="1" x14ac:dyDescent="0.3">
      <c r="A14" s="25">
        <f t="shared" si="0"/>
        <v>6</v>
      </c>
      <c r="B14" s="8" t="s">
        <v>85</v>
      </c>
      <c r="C14" s="9">
        <f>SUM(C10:C13)</f>
        <v>145951516.99312747</v>
      </c>
      <c r="D14" s="9">
        <f t="shared" ref="D14:L14" si="1">SUM(D10:D13)</f>
        <v>113719607.61768258</v>
      </c>
      <c r="E14" s="9">
        <f t="shared" si="1"/>
        <v>15683711.147526637</v>
      </c>
      <c r="F14" s="9">
        <f t="shared" si="1"/>
        <v>3296301.1405600137</v>
      </c>
      <c r="G14" s="9">
        <f t="shared" si="1"/>
        <v>825897.94907098264</v>
      </c>
      <c r="H14" s="9">
        <f t="shared" si="1"/>
        <v>1856479.7220866627</v>
      </c>
      <c r="I14" s="9">
        <f t="shared" si="1"/>
        <v>345567.38914273528</v>
      </c>
      <c r="J14" s="9">
        <f t="shared" si="1"/>
        <v>108938.14849625032</v>
      </c>
      <c r="K14" s="9">
        <f t="shared" si="1"/>
        <v>406629.59131863946</v>
      </c>
      <c r="L14" s="9">
        <f t="shared" si="1"/>
        <v>9679163.9669984728</v>
      </c>
      <c r="M14" s="9">
        <f>SUM(M10:M13)</f>
        <v>29220.320244512652</v>
      </c>
    </row>
    <row r="15" spans="1:13" ht="13.8" thickTop="1" x14ac:dyDescent="0.25">
      <c r="A15" s="23">
        <f t="shared" si="0"/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23">
        <f t="shared" si="0"/>
        <v>8</v>
      </c>
      <c r="B16" s="5" t="s">
        <v>86</v>
      </c>
      <c r="C16" s="6">
        <v>30368281.471326414</v>
      </c>
      <c r="D16" s="6">
        <v>22769447.22649898</v>
      </c>
      <c r="E16" s="6">
        <v>1737614.7453607654</v>
      </c>
      <c r="F16" s="6">
        <v>1351587.6500750261</v>
      </c>
      <c r="G16" s="6">
        <v>376257.13824690902</v>
      </c>
      <c r="H16" s="6">
        <v>657678.52907108096</v>
      </c>
      <c r="I16" s="6">
        <v>117117.33668135288</v>
      </c>
      <c r="J16" s="6">
        <v>22582.328982796895</v>
      </c>
      <c r="K16" s="6">
        <v>42289.391200251775</v>
      </c>
      <c r="L16" s="6">
        <v>3282674.1197981895</v>
      </c>
      <c r="M16" s="6">
        <v>11033.005411062706</v>
      </c>
    </row>
    <row r="17" spans="1:13" x14ac:dyDescent="0.25">
      <c r="A17" s="23">
        <f t="shared" si="0"/>
        <v>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3.8" thickBot="1" x14ac:dyDescent="0.3">
      <c r="A18" s="25">
        <f t="shared" si="0"/>
        <v>10</v>
      </c>
      <c r="B18" s="8" t="s">
        <v>87</v>
      </c>
      <c r="C18" s="9">
        <f>+C16+C14</f>
        <v>176319798.46445388</v>
      </c>
      <c r="D18" s="9">
        <f t="shared" ref="D18:L18" si="2">+D16+D14</f>
        <v>136489054.84418157</v>
      </c>
      <c r="E18" s="9">
        <f t="shared" si="2"/>
        <v>17421325.892887402</v>
      </c>
      <c r="F18" s="9">
        <f t="shared" si="2"/>
        <v>4647888.79063504</v>
      </c>
      <c r="G18" s="9">
        <f t="shared" si="2"/>
        <v>1202155.0873178917</v>
      </c>
      <c r="H18" s="9">
        <f t="shared" si="2"/>
        <v>2514158.2511577439</v>
      </c>
      <c r="I18" s="9">
        <f t="shared" si="2"/>
        <v>462684.72582408815</v>
      </c>
      <c r="J18" s="9">
        <f t="shared" si="2"/>
        <v>131520.4774790472</v>
      </c>
      <c r="K18" s="9">
        <f t="shared" si="2"/>
        <v>448918.98251889122</v>
      </c>
      <c r="L18" s="9">
        <f t="shared" si="2"/>
        <v>12961838.086796662</v>
      </c>
      <c r="M18" s="9">
        <f>+M16+M14</f>
        <v>40253.325655575361</v>
      </c>
    </row>
    <row r="19" spans="1:13" ht="13.8" thickTop="1" x14ac:dyDescent="0.25">
      <c r="A19" s="23">
        <f t="shared" si="0"/>
        <v>11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23">
        <f t="shared" si="0"/>
        <v>12</v>
      </c>
      <c r="B20" s="5" t="s">
        <v>32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23">
        <f t="shared" si="0"/>
        <v>13</v>
      </c>
      <c r="B21" s="5" t="s">
        <v>33</v>
      </c>
      <c r="C21" s="6">
        <v>955395712.69862843</v>
      </c>
      <c r="D21" s="6">
        <v>700629446.81524277</v>
      </c>
      <c r="E21" s="6">
        <v>105104791.01019274</v>
      </c>
      <c r="F21" s="6">
        <v>38117068.462818541</v>
      </c>
      <c r="G21" s="6">
        <v>10275340.40820287</v>
      </c>
      <c r="H21" s="6">
        <v>14762907.064956134</v>
      </c>
      <c r="I21" s="6">
        <v>3436122.2818338093</v>
      </c>
      <c r="J21" s="6">
        <v>491899.48652454099</v>
      </c>
      <c r="K21" s="6">
        <v>909417.39530440653</v>
      </c>
      <c r="L21" s="6">
        <v>81417409.023332566</v>
      </c>
      <c r="M21" s="6">
        <v>251310.75022007126</v>
      </c>
    </row>
    <row r="22" spans="1:13" x14ac:dyDescent="0.25">
      <c r="A22" s="23">
        <f t="shared" si="0"/>
        <v>14</v>
      </c>
      <c r="B22" s="5" t="s">
        <v>34</v>
      </c>
      <c r="C22" s="6">
        <v>-406711309.55325198</v>
      </c>
      <c r="D22" s="6">
        <v>-309117129.91963392</v>
      </c>
      <c r="E22" s="6">
        <v>-40772632.177828535</v>
      </c>
      <c r="F22" s="6">
        <v>-14435467.715153323</v>
      </c>
      <c r="G22" s="6">
        <v>-3965138.8088956461</v>
      </c>
      <c r="H22" s="6">
        <v>-4850729.43191709</v>
      </c>
      <c r="I22" s="6">
        <v>-1605637.8770572427</v>
      </c>
      <c r="J22" s="6">
        <v>-158391.55326444036</v>
      </c>
      <c r="K22" s="6">
        <v>-306900.90813094471</v>
      </c>
      <c r="L22" s="6">
        <v>-31414293.411936618</v>
      </c>
      <c r="M22" s="6">
        <v>-84987.749434266996</v>
      </c>
    </row>
    <row r="23" spans="1:13" x14ac:dyDescent="0.25">
      <c r="A23" s="23">
        <f t="shared" si="0"/>
        <v>15</v>
      </c>
      <c r="B23" s="5" t="s">
        <v>88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</row>
    <row r="24" spans="1:13" x14ac:dyDescent="0.25">
      <c r="A24" s="23">
        <f t="shared" si="0"/>
        <v>16</v>
      </c>
      <c r="B24" s="5" t="s">
        <v>89</v>
      </c>
      <c r="C24" s="6">
        <v>22774134.265524514</v>
      </c>
      <c r="D24" s="6">
        <v>16701173.011421876</v>
      </c>
      <c r="E24" s="6">
        <v>2505423.2404443347</v>
      </c>
      <c r="F24" s="6">
        <v>908611.18952315114</v>
      </c>
      <c r="G24" s="6">
        <v>244937.23278220187</v>
      </c>
      <c r="H24" s="6">
        <v>351909.08141831553</v>
      </c>
      <c r="I24" s="6">
        <v>81908.165547659723</v>
      </c>
      <c r="J24" s="6">
        <v>11725.596841553152</v>
      </c>
      <c r="K24" s="6">
        <v>21678.131468232055</v>
      </c>
      <c r="L24" s="6">
        <v>1940778.0252761065</v>
      </c>
      <c r="M24" s="6">
        <v>5990.5908010778239</v>
      </c>
    </row>
    <row r="25" spans="1:13" x14ac:dyDescent="0.25">
      <c r="A25" s="23">
        <f t="shared" si="0"/>
        <v>17</v>
      </c>
      <c r="B25" s="5" t="s">
        <v>90</v>
      </c>
      <c r="C25" s="6">
        <v>-179103479.6418258</v>
      </c>
      <c r="D25" s="6">
        <v>-114034585.17190178</v>
      </c>
      <c r="E25" s="6">
        <v>-44387779.161170736</v>
      </c>
      <c r="F25" s="6">
        <v>-7127839.1972009521</v>
      </c>
      <c r="G25" s="6">
        <v>-1693935.4955660529</v>
      </c>
      <c r="H25" s="6">
        <v>-1766948.0959679419</v>
      </c>
      <c r="I25" s="6">
        <v>-399248.68555222522</v>
      </c>
      <c r="J25" s="6">
        <v>-53472.17373476889</v>
      </c>
      <c r="K25" s="6">
        <v>-77820.05533094742</v>
      </c>
      <c r="L25" s="6">
        <v>-9532083.3033621181</v>
      </c>
      <c r="M25" s="6">
        <v>-29768.302038268335</v>
      </c>
    </row>
    <row r="26" spans="1:13" ht="13.8" thickBot="1" x14ac:dyDescent="0.3">
      <c r="A26" s="25">
        <f t="shared" si="0"/>
        <v>18</v>
      </c>
      <c r="B26" s="8" t="s">
        <v>36</v>
      </c>
      <c r="C26" s="9">
        <f>SUM(C21:C25)</f>
        <v>392355057.76907516</v>
      </c>
      <c r="D26" s="9">
        <f t="shared" ref="D26:L26" si="3">SUM(D21:D25)</f>
        <v>294178904.73512894</v>
      </c>
      <c r="E26" s="9">
        <f t="shared" si="3"/>
        <v>22449802.911637798</v>
      </c>
      <c r="F26" s="9">
        <f t="shared" si="3"/>
        <v>17462372.739987418</v>
      </c>
      <c r="G26" s="9">
        <f t="shared" si="3"/>
        <v>4861203.3365233727</v>
      </c>
      <c r="H26" s="9">
        <f t="shared" si="3"/>
        <v>8497138.6184894182</v>
      </c>
      <c r="I26" s="9">
        <f t="shared" si="3"/>
        <v>1513143.8847720011</v>
      </c>
      <c r="J26" s="9">
        <f t="shared" si="3"/>
        <v>291761.35636688495</v>
      </c>
      <c r="K26" s="9">
        <f t="shared" si="3"/>
        <v>546374.56331074645</v>
      </c>
      <c r="L26" s="9">
        <f t="shared" si="3"/>
        <v>42411810.333309941</v>
      </c>
      <c r="M26" s="9">
        <f>SUM(M21:M25)</f>
        <v>142545.28954861377</v>
      </c>
    </row>
    <row r="27" spans="1:13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U52"/>
  <sheetViews>
    <sheetView showGridLines="0" view="pageBreakPreview" zoomScale="60" zoomScaleNormal="90" workbookViewId="0">
      <pane xSplit="5" ySplit="6" topLeftCell="F7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ColWidth="8.88671875" defaultRowHeight="13.2" x14ac:dyDescent="0.25"/>
  <cols>
    <col min="1" max="1" width="4.6640625" style="5" bestFit="1" customWidth="1"/>
    <col min="2" max="2" width="7.33203125" style="5" bestFit="1" customWidth="1"/>
    <col min="3" max="3" width="46.44140625" style="5" bestFit="1" customWidth="1"/>
    <col min="4" max="4" width="19.33203125" style="23" bestFit="1" customWidth="1"/>
    <col min="5" max="6" width="16.109375" style="5" bestFit="1" customWidth="1"/>
    <col min="7" max="10" width="14.5546875" style="5" bestFit="1" customWidth="1"/>
    <col min="11" max="12" width="13.33203125" style="5" bestFit="1" customWidth="1"/>
    <col min="13" max="13" width="15.33203125" style="5" bestFit="1" customWidth="1"/>
    <col min="14" max="14" width="13.33203125" style="5" bestFit="1" customWidth="1"/>
    <col min="15" max="15" width="11.88671875" style="5" bestFit="1" customWidth="1"/>
    <col min="16" max="16" width="8.88671875" style="5"/>
    <col min="17" max="17" width="14.5546875" style="5" bestFit="1" customWidth="1"/>
    <col min="18" max="18" width="10.5546875" style="5" bestFit="1" customWidth="1"/>
    <col min="19" max="19" width="13.33203125" style="5" bestFit="1" customWidth="1"/>
    <col min="20" max="21" width="14.5546875" style="5" bestFit="1" customWidth="1"/>
    <col min="22" max="16384" width="8.88671875" style="5"/>
  </cols>
  <sheetData>
    <row r="1" spans="1:21" x14ac:dyDescent="0.25">
      <c r="A1" s="88" t="str">
        <f>+'Customer Summary'!A1</f>
        <v>Puget Sound Energy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21" x14ac:dyDescent="0.25">
      <c r="A2" s="90" t="s">
        <v>93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21" x14ac:dyDescent="0.25">
      <c r="A3" s="88" t="str">
        <f>+'Customer Summary'!A3</f>
        <v>Adjusted Test Year Twelve Months ended September 2016 @ Proforma Rev Requirement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5" spans="1:21" s="26" customFormat="1" ht="52.8" x14ac:dyDescent="0.25">
      <c r="A5" s="2" t="s">
        <v>2</v>
      </c>
      <c r="B5" s="2" t="s">
        <v>94</v>
      </c>
      <c r="C5" s="33" t="s">
        <v>95</v>
      </c>
      <c r="D5" s="2" t="s">
        <v>96</v>
      </c>
      <c r="E5" s="2" t="s">
        <v>71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97</v>
      </c>
      <c r="R5" s="3" t="s">
        <v>98</v>
      </c>
      <c r="S5" s="3" t="s">
        <v>99</v>
      </c>
      <c r="T5" s="3" t="s">
        <v>100</v>
      </c>
      <c r="U5" s="3" t="s">
        <v>101</v>
      </c>
    </row>
    <row r="6" spans="1:21" s="26" customFormat="1" x14ac:dyDescent="0.25">
      <c r="B6" s="26" t="s">
        <v>20</v>
      </c>
      <c r="C6" s="26" t="s">
        <v>21</v>
      </c>
      <c r="D6" s="26" t="s">
        <v>22</v>
      </c>
      <c r="E6" s="26" t="s">
        <v>23</v>
      </c>
      <c r="F6" s="26" t="s">
        <v>24</v>
      </c>
      <c r="G6" s="26" t="s">
        <v>81</v>
      </c>
      <c r="H6" s="26" t="s">
        <v>25</v>
      </c>
      <c r="I6" s="26" t="s">
        <v>26</v>
      </c>
      <c r="J6" s="26" t="s">
        <v>82</v>
      </c>
      <c r="K6" s="26" t="s">
        <v>83</v>
      </c>
      <c r="L6" s="26" t="s">
        <v>27</v>
      </c>
      <c r="M6" s="26" t="s">
        <v>28</v>
      </c>
      <c r="N6" s="26" t="s">
        <v>29</v>
      </c>
      <c r="O6" s="26" t="s">
        <v>30</v>
      </c>
    </row>
    <row r="7" spans="1:21" x14ac:dyDescent="0.25">
      <c r="A7" s="23">
        <v>1</v>
      </c>
      <c r="C7" s="1" t="s">
        <v>222</v>
      </c>
    </row>
    <row r="8" spans="1:21" x14ac:dyDescent="0.25">
      <c r="A8" s="23">
        <f t="shared" ref="A8:A47" si="0">+A7+1</f>
        <v>2</v>
      </c>
      <c r="B8" s="34">
        <v>447</v>
      </c>
      <c r="C8" s="5" t="s">
        <v>223</v>
      </c>
      <c r="D8" s="23" t="s">
        <v>224</v>
      </c>
      <c r="E8" s="6">
        <v>1955673806.0898824</v>
      </c>
      <c r="F8" s="6">
        <v>1066627453.9781519</v>
      </c>
      <c r="G8" s="6">
        <v>266944270.99453214</v>
      </c>
      <c r="H8" s="6">
        <v>252922819.99481931</v>
      </c>
      <c r="I8" s="6">
        <v>151834734.99688995</v>
      </c>
      <c r="J8" s="6">
        <v>111980714.99770626</v>
      </c>
      <c r="K8" s="6">
        <v>47836622.128961235</v>
      </c>
      <c r="L8" s="6">
        <v>40360091.999173291</v>
      </c>
      <c r="M8" s="6">
        <v>0</v>
      </c>
      <c r="N8" s="6">
        <v>17167096.999648362</v>
      </c>
      <c r="O8" s="6">
        <v>0</v>
      </c>
      <c r="Q8" s="6">
        <v>101394674.99792311</v>
      </c>
      <c r="R8" s="6">
        <v>248213.99999491576</v>
      </c>
      <c r="S8" s="6">
        <v>10337825.999788247</v>
      </c>
      <c r="T8" s="6">
        <f>SUM(Q8:S8)</f>
        <v>111980714.99770626</v>
      </c>
      <c r="U8" s="6">
        <f>SUM(Q8:R8)</f>
        <v>101642888.99791802</v>
      </c>
    </row>
    <row r="9" spans="1:21" x14ac:dyDescent="0.25">
      <c r="A9" s="23">
        <f t="shared" si="0"/>
        <v>3</v>
      </c>
      <c r="B9" s="34">
        <v>447.01</v>
      </c>
      <c r="C9" s="5" t="s">
        <v>225</v>
      </c>
      <c r="D9" s="23" t="s">
        <v>226</v>
      </c>
      <c r="E9" s="6">
        <v>7513279.0699999984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7513279.0699999928</v>
      </c>
      <c r="N9" s="6">
        <v>0</v>
      </c>
      <c r="O9" s="6">
        <v>0</v>
      </c>
      <c r="Q9" s="6">
        <v>0</v>
      </c>
      <c r="R9" s="6">
        <v>0</v>
      </c>
      <c r="S9" s="6">
        <v>0</v>
      </c>
      <c r="T9" s="6">
        <f>SUM(Q9:S9)</f>
        <v>0</v>
      </c>
      <c r="U9" s="6">
        <f>SUM(Q9:R9)</f>
        <v>0</v>
      </c>
    </row>
    <row r="10" spans="1:21" x14ac:dyDescent="0.25">
      <c r="A10" s="23">
        <f t="shared" si="0"/>
        <v>4</v>
      </c>
      <c r="B10" s="34">
        <v>447.02</v>
      </c>
      <c r="C10" s="5" t="s">
        <v>227</v>
      </c>
      <c r="D10" s="23" t="s">
        <v>228</v>
      </c>
      <c r="E10" s="6">
        <v>316389.10000000003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316389.10000000003</v>
      </c>
      <c r="Q10" s="6">
        <v>0</v>
      </c>
      <c r="R10" s="6">
        <v>0</v>
      </c>
      <c r="S10" s="6">
        <v>0</v>
      </c>
      <c r="T10" s="6">
        <f>SUM(Q10:S10)</f>
        <v>0</v>
      </c>
      <c r="U10" s="6">
        <f>SUM(Q10:R10)</f>
        <v>0</v>
      </c>
    </row>
    <row r="11" spans="1:21" x14ac:dyDescent="0.25">
      <c r="A11" s="24">
        <f>+A10+1</f>
        <v>5</v>
      </c>
      <c r="B11" s="35"/>
      <c r="C11" s="14" t="s">
        <v>102</v>
      </c>
      <c r="D11" s="24"/>
      <c r="E11" s="15">
        <f t="shared" ref="E11:N11" si="1">SUM(E8:E10)</f>
        <v>1963503474.2598822</v>
      </c>
      <c r="F11" s="15">
        <f t="shared" si="1"/>
        <v>1066627453.9781519</v>
      </c>
      <c r="G11" s="15">
        <f t="shared" si="1"/>
        <v>266944270.99453214</v>
      </c>
      <c r="H11" s="15">
        <f t="shared" si="1"/>
        <v>252922819.99481931</v>
      </c>
      <c r="I11" s="15">
        <f t="shared" si="1"/>
        <v>151834734.99688995</v>
      </c>
      <c r="J11" s="15">
        <f t="shared" si="1"/>
        <v>111980714.99770626</v>
      </c>
      <c r="K11" s="15">
        <f t="shared" si="1"/>
        <v>47836622.128961235</v>
      </c>
      <c r="L11" s="15">
        <f t="shared" si="1"/>
        <v>40360091.999173291</v>
      </c>
      <c r="M11" s="15">
        <f t="shared" si="1"/>
        <v>7513279.0699999928</v>
      </c>
      <c r="N11" s="15">
        <f t="shared" si="1"/>
        <v>17167096.999648362</v>
      </c>
      <c r="O11" s="15">
        <f>SUM(O8:O10)</f>
        <v>316389.10000000003</v>
      </c>
      <c r="Q11" s="15">
        <f>SUM(Q8:Q10)</f>
        <v>101394674.99792311</v>
      </c>
      <c r="R11" s="15">
        <f>SUM(R8:R10)</f>
        <v>248213.99999491576</v>
      </c>
      <c r="S11" s="15">
        <f>SUM(S8:S10)</f>
        <v>10337825.999788247</v>
      </c>
      <c r="T11" s="15">
        <f>SUM(T8:T10)</f>
        <v>111980714.99770626</v>
      </c>
      <c r="U11" s="15">
        <f>SUM(U8:U10)</f>
        <v>101642888.99791802</v>
      </c>
    </row>
    <row r="12" spans="1:21" x14ac:dyDescent="0.25">
      <c r="A12" s="23">
        <f t="shared" si="0"/>
        <v>6</v>
      </c>
      <c r="B12" s="3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6"/>
    </row>
    <row r="13" spans="1:21" x14ac:dyDescent="0.25">
      <c r="A13" s="23">
        <f t="shared" si="0"/>
        <v>7</v>
      </c>
      <c r="B13" s="34"/>
      <c r="C13" s="1" t="s">
        <v>229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6"/>
    </row>
    <row r="14" spans="1:21" x14ac:dyDescent="0.25">
      <c r="A14" s="23">
        <f t="shared" si="0"/>
        <v>8</v>
      </c>
      <c r="B14" s="34">
        <v>447.07</v>
      </c>
      <c r="C14" s="5" t="s">
        <v>230</v>
      </c>
      <c r="D14" s="23" t="s">
        <v>231</v>
      </c>
      <c r="E14" s="6">
        <v>28431646.319339484</v>
      </c>
      <c r="F14" s="6">
        <v>15190536.025972806</v>
      </c>
      <c r="G14" s="6">
        <v>3723995.0355565865</v>
      </c>
      <c r="H14" s="6">
        <v>3749401.8699579462</v>
      </c>
      <c r="I14" s="6">
        <v>2398862.5174212176</v>
      </c>
      <c r="J14" s="6">
        <v>1704842.1709251939</v>
      </c>
      <c r="K14" s="6">
        <v>825578.43923786469</v>
      </c>
      <c r="L14" s="6">
        <v>726003.75123401068</v>
      </c>
      <c r="M14" s="6">
        <v>0</v>
      </c>
      <c r="N14" s="6">
        <v>102759.03973458102</v>
      </c>
      <c r="O14" s="6">
        <v>0</v>
      </c>
      <c r="Q14" s="6">
        <v>1580999.0539625762</v>
      </c>
      <c r="R14" s="6">
        <v>4398.3788170579019</v>
      </c>
      <c r="S14" s="6">
        <v>119444.73814555988</v>
      </c>
      <c r="T14" s="6">
        <f>SUM(Q14:S14)</f>
        <v>1704842.1709251939</v>
      </c>
      <c r="U14" s="6">
        <f>SUM(Q14:R14)</f>
        <v>1585397.4327796341</v>
      </c>
    </row>
    <row r="15" spans="1:21" x14ac:dyDescent="0.25">
      <c r="A15" s="24">
        <f t="shared" si="0"/>
        <v>9</v>
      </c>
      <c r="B15" s="35"/>
      <c r="C15" s="14" t="s">
        <v>232</v>
      </c>
      <c r="D15" s="24"/>
      <c r="E15" s="15">
        <f>+E14</f>
        <v>28431646.319339484</v>
      </c>
      <c r="F15" s="15">
        <f t="shared" ref="F15:N15" si="2">+F14</f>
        <v>15190536.025972806</v>
      </c>
      <c r="G15" s="15">
        <f t="shared" si="2"/>
        <v>3723995.0355565865</v>
      </c>
      <c r="H15" s="15">
        <f t="shared" si="2"/>
        <v>3749401.8699579462</v>
      </c>
      <c r="I15" s="15">
        <f t="shared" si="2"/>
        <v>2398862.5174212176</v>
      </c>
      <c r="J15" s="15">
        <f t="shared" si="2"/>
        <v>1704842.1709251939</v>
      </c>
      <c r="K15" s="15">
        <f t="shared" si="2"/>
        <v>825578.43923786469</v>
      </c>
      <c r="L15" s="15">
        <f t="shared" si="2"/>
        <v>726003.75123401068</v>
      </c>
      <c r="M15" s="15">
        <f t="shared" si="2"/>
        <v>0</v>
      </c>
      <c r="N15" s="15">
        <f t="shared" si="2"/>
        <v>102759.03973458102</v>
      </c>
      <c r="O15" s="15">
        <f>+O14</f>
        <v>0</v>
      </c>
      <c r="Q15" s="15">
        <f>+Q14</f>
        <v>1580999.0539625762</v>
      </c>
      <c r="R15" s="15">
        <f>+R14</f>
        <v>4398.3788170579019</v>
      </c>
      <c r="S15" s="15">
        <f>+S14</f>
        <v>119444.73814555988</v>
      </c>
      <c r="T15" s="15">
        <f>+T14</f>
        <v>1704842.1709251939</v>
      </c>
      <c r="U15" s="15">
        <f>+U14</f>
        <v>1585397.4327796341</v>
      </c>
    </row>
    <row r="16" spans="1:21" x14ac:dyDescent="0.25">
      <c r="A16" s="23">
        <f t="shared" si="0"/>
        <v>10</v>
      </c>
      <c r="B16" s="3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6"/>
      <c r="R16" s="6"/>
      <c r="S16" s="6"/>
      <c r="T16" s="6"/>
      <c r="U16" s="6"/>
    </row>
    <row r="17" spans="1:21" x14ac:dyDescent="0.25">
      <c r="A17" s="23">
        <f t="shared" si="0"/>
        <v>11</v>
      </c>
      <c r="B17" s="34"/>
      <c r="C17" s="1" t="s">
        <v>233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6"/>
      <c r="R17" s="6"/>
      <c r="S17" s="6"/>
      <c r="T17" s="6"/>
      <c r="U17" s="6"/>
    </row>
    <row r="18" spans="1:21" x14ac:dyDescent="0.25">
      <c r="A18" s="23">
        <f t="shared" si="0"/>
        <v>12</v>
      </c>
      <c r="B18" s="34">
        <v>450.01</v>
      </c>
      <c r="C18" s="5" t="s">
        <v>234</v>
      </c>
      <c r="D18" s="23" t="s">
        <v>235</v>
      </c>
      <c r="E18" s="6">
        <v>2608874.52</v>
      </c>
      <c r="F18" s="6">
        <v>2047675.3068927049</v>
      </c>
      <c r="G18" s="6">
        <v>335064.20003906731</v>
      </c>
      <c r="H18" s="6">
        <v>79672.441327700697</v>
      </c>
      <c r="I18" s="6">
        <v>26688.29107848071</v>
      </c>
      <c r="J18" s="6">
        <v>43385.310842453924</v>
      </c>
      <c r="K18" s="6">
        <v>-435.19903667714732</v>
      </c>
      <c r="L18" s="6">
        <v>9077.3185376803431</v>
      </c>
      <c r="M18" s="6">
        <v>-15.421808378526077</v>
      </c>
      <c r="N18" s="6">
        <v>67707.425802515136</v>
      </c>
      <c r="O18" s="6">
        <v>0</v>
      </c>
      <c r="Q18" s="6">
        <v>36620.054726216411</v>
      </c>
      <c r="R18" s="6">
        <v>0</v>
      </c>
      <c r="S18" s="6">
        <v>6765.256116237515</v>
      </c>
      <c r="T18" s="6">
        <f t="shared" ref="T18:T47" si="3">SUM(Q18:S18)</f>
        <v>43385.310842453924</v>
      </c>
      <c r="U18" s="6">
        <f t="shared" ref="U18:U47" si="4">SUM(Q18:R18)</f>
        <v>36620.054726216411</v>
      </c>
    </row>
    <row r="19" spans="1:21" x14ac:dyDescent="0.25">
      <c r="A19" s="23">
        <f t="shared" si="0"/>
        <v>13</v>
      </c>
      <c r="B19" s="34">
        <v>450.02</v>
      </c>
      <c r="C19" s="5" t="s">
        <v>236</v>
      </c>
      <c r="D19" s="23" t="s">
        <v>237</v>
      </c>
      <c r="E19" s="6">
        <v>286000</v>
      </c>
      <c r="F19" s="6">
        <v>276325.28294074303</v>
      </c>
      <c r="G19" s="6">
        <v>9561.8159855902049</v>
      </c>
      <c r="H19" s="6">
        <v>38.095337913470843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74.805735753394188</v>
      </c>
      <c r="O19" s="6">
        <v>0</v>
      </c>
      <c r="Q19" s="6">
        <v>0</v>
      </c>
      <c r="R19" s="6">
        <v>0</v>
      </c>
      <c r="S19" s="6">
        <v>0</v>
      </c>
      <c r="T19" s="6">
        <f t="shared" si="3"/>
        <v>0</v>
      </c>
      <c r="U19" s="6">
        <f t="shared" si="4"/>
        <v>0</v>
      </c>
    </row>
    <row r="20" spans="1:21" x14ac:dyDescent="0.25">
      <c r="A20" s="23">
        <f t="shared" si="0"/>
        <v>14</v>
      </c>
      <c r="B20" s="34">
        <v>451.01</v>
      </c>
      <c r="C20" s="5" t="s">
        <v>238</v>
      </c>
      <c r="D20" s="23" t="s">
        <v>239</v>
      </c>
      <c r="E20" s="6">
        <v>1090430.1599999999</v>
      </c>
      <c r="F20" s="6">
        <v>966005.68099789321</v>
      </c>
      <c r="G20" s="6">
        <v>116155.9132542467</v>
      </c>
      <c r="H20" s="6">
        <v>7502.1916530499411</v>
      </c>
      <c r="I20" s="6">
        <v>766.3740948099861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Q20" s="6">
        <v>0</v>
      </c>
      <c r="R20" s="6">
        <v>0</v>
      </c>
      <c r="S20" s="6">
        <v>0</v>
      </c>
      <c r="T20" s="6">
        <f t="shared" si="3"/>
        <v>0</v>
      </c>
      <c r="U20" s="6">
        <f t="shared" si="4"/>
        <v>0</v>
      </c>
    </row>
    <row r="21" spans="1:21" x14ac:dyDescent="0.25">
      <c r="A21" s="23">
        <f t="shared" si="0"/>
        <v>15</v>
      </c>
      <c r="B21" s="34">
        <v>451.02</v>
      </c>
      <c r="C21" s="5" t="s">
        <v>240</v>
      </c>
      <c r="D21" s="23" t="s">
        <v>241</v>
      </c>
      <c r="E21" s="6">
        <v>1292858</v>
      </c>
      <c r="F21" s="6">
        <v>1261662.3279971117</v>
      </c>
      <c r="G21" s="6">
        <v>30652.30090488357</v>
      </c>
      <c r="H21" s="6">
        <v>543.37109800466135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Q21" s="6">
        <v>0</v>
      </c>
      <c r="R21" s="6">
        <v>0</v>
      </c>
      <c r="S21" s="6">
        <v>0</v>
      </c>
      <c r="T21" s="6">
        <f t="shared" si="3"/>
        <v>0</v>
      </c>
      <c r="U21" s="6">
        <f t="shared" si="4"/>
        <v>0</v>
      </c>
    </row>
    <row r="22" spans="1:21" x14ac:dyDescent="0.25">
      <c r="A22" s="23">
        <f t="shared" si="0"/>
        <v>16</v>
      </c>
      <c r="B22" s="34">
        <v>451.03</v>
      </c>
      <c r="C22" s="5" t="s">
        <v>242</v>
      </c>
      <c r="D22" s="23" t="s">
        <v>239</v>
      </c>
      <c r="E22" s="6">
        <v>436938.03</v>
      </c>
      <c r="F22" s="6">
        <v>387080.83718449972</v>
      </c>
      <c r="G22" s="6">
        <v>46543.958312893192</v>
      </c>
      <c r="H22" s="6">
        <v>3006.1465298851281</v>
      </c>
      <c r="I22" s="6">
        <v>307.08797272198393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Q22" s="6">
        <v>0</v>
      </c>
      <c r="R22" s="6">
        <v>0</v>
      </c>
      <c r="S22" s="6">
        <v>0</v>
      </c>
      <c r="T22" s="6">
        <f t="shared" si="3"/>
        <v>0</v>
      </c>
      <c r="U22" s="6">
        <f t="shared" si="4"/>
        <v>0</v>
      </c>
    </row>
    <row r="23" spans="1:21" x14ac:dyDescent="0.25">
      <c r="A23" s="23">
        <f t="shared" si="0"/>
        <v>17</v>
      </c>
      <c r="B23" s="34">
        <v>451.04</v>
      </c>
      <c r="C23" s="5" t="s">
        <v>243</v>
      </c>
      <c r="D23" s="23" t="s">
        <v>239</v>
      </c>
      <c r="E23" s="6">
        <v>1565700.7100000004</v>
      </c>
      <c r="F23" s="6">
        <v>1387045.0727467365</v>
      </c>
      <c r="G23" s="6">
        <v>166783.16734459411</v>
      </c>
      <c r="H23" s="6">
        <v>10772.067050801648</v>
      </c>
      <c r="I23" s="6">
        <v>1100.4028578681307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Q23" s="6">
        <v>0</v>
      </c>
      <c r="R23" s="6">
        <v>0</v>
      </c>
      <c r="S23" s="6">
        <v>0</v>
      </c>
      <c r="T23" s="6">
        <f t="shared" si="3"/>
        <v>0</v>
      </c>
      <c r="U23" s="6">
        <f t="shared" si="4"/>
        <v>0</v>
      </c>
    </row>
    <row r="24" spans="1:21" x14ac:dyDescent="0.25">
      <c r="A24" s="23">
        <f t="shared" si="0"/>
        <v>18</v>
      </c>
      <c r="B24" s="34">
        <v>451.05</v>
      </c>
      <c r="C24" s="5" t="s">
        <v>244</v>
      </c>
      <c r="D24" s="23" t="s">
        <v>245</v>
      </c>
      <c r="E24" s="6">
        <v>1417204.84</v>
      </c>
      <c r="F24" s="6">
        <v>1298002.4416559539</v>
      </c>
      <c r="G24" s="6">
        <v>115777.96951064367</v>
      </c>
      <c r="H24" s="6">
        <v>2826.3926059514879</v>
      </c>
      <c r="I24" s="6">
        <v>368.17738177065144</v>
      </c>
      <c r="J24" s="6">
        <v>86.666421617000111</v>
      </c>
      <c r="K24" s="6">
        <v>137.55092185568697</v>
      </c>
      <c r="L24" s="6">
        <v>5.6415022074880019</v>
      </c>
      <c r="M24" s="6">
        <v>0</v>
      </c>
      <c r="N24" s="6">
        <v>0</v>
      </c>
      <c r="O24" s="6">
        <v>0</v>
      </c>
      <c r="Q24" s="6">
        <v>80.645736474254718</v>
      </c>
      <c r="R24" s="6">
        <v>0</v>
      </c>
      <c r="S24" s="6">
        <v>6.0206851427453927</v>
      </c>
      <c r="T24" s="6">
        <f t="shared" si="3"/>
        <v>86.666421617000111</v>
      </c>
      <c r="U24" s="6">
        <f t="shared" si="4"/>
        <v>80.645736474254718</v>
      </c>
    </row>
    <row r="25" spans="1:21" x14ac:dyDescent="0.25">
      <c r="A25" s="23">
        <f t="shared" si="0"/>
        <v>19</v>
      </c>
      <c r="B25" s="34">
        <v>451.06</v>
      </c>
      <c r="C25" s="5" t="s">
        <v>246</v>
      </c>
      <c r="D25" s="23" t="s">
        <v>247</v>
      </c>
      <c r="E25" s="6">
        <v>136832</v>
      </c>
      <c r="F25" s="6">
        <v>-121626.58411338845</v>
      </c>
      <c r="G25" s="6">
        <v>268219.74116447446</v>
      </c>
      <c r="H25" s="6">
        <v>-7389.2349546242485</v>
      </c>
      <c r="I25" s="6">
        <v>-2371.9220964617116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Q25" s="6">
        <v>0</v>
      </c>
      <c r="R25" s="6">
        <v>0</v>
      </c>
      <c r="S25" s="6">
        <v>0</v>
      </c>
      <c r="T25" s="6">
        <f t="shared" si="3"/>
        <v>0</v>
      </c>
      <c r="U25" s="6">
        <f t="shared" si="4"/>
        <v>0</v>
      </c>
    </row>
    <row r="26" spans="1:21" x14ac:dyDescent="0.25">
      <c r="A26" s="23">
        <f t="shared" si="0"/>
        <v>20</v>
      </c>
      <c r="B26" s="34">
        <v>451.07</v>
      </c>
      <c r="C26" s="5" t="s">
        <v>248</v>
      </c>
      <c r="D26" s="23" t="s">
        <v>249</v>
      </c>
      <c r="E26" s="6">
        <v>6931078.9399999995</v>
      </c>
      <c r="F26" s="6">
        <v>2681846.3059743936</v>
      </c>
      <c r="G26" s="6">
        <v>3966304.7349182637</v>
      </c>
      <c r="H26" s="6">
        <v>256525.3312519851</v>
      </c>
      <c r="I26" s="6">
        <v>26402.567855357061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Q26" s="6">
        <v>0</v>
      </c>
      <c r="R26" s="6">
        <v>0</v>
      </c>
      <c r="S26" s="6">
        <v>0</v>
      </c>
      <c r="T26" s="6">
        <f t="shared" si="3"/>
        <v>0</v>
      </c>
      <c r="U26" s="6">
        <f t="shared" si="4"/>
        <v>0</v>
      </c>
    </row>
    <row r="27" spans="1:21" x14ac:dyDescent="0.25">
      <c r="A27" s="23">
        <f t="shared" si="0"/>
        <v>21</v>
      </c>
      <c r="B27" s="34">
        <v>451.08</v>
      </c>
      <c r="C27" s="5" t="s">
        <v>250</v>
      </c>
      <c r="D27" s="23" t="s">
        <v>239</v>
      </c>
      <c r="E27" s="6">
        <v>105921.51999999999</v>
      </c>
      <c r="F27" s="6">
        <v>93835.253107757002</v>
      </c>
      <c r="G27" s="6">
        <v>11283.080145983817</v>
      </c>
      <c r="H27" s="6">
        <v>728.74318078506042</v>
      </c>
      <c r="I27" s="6">
        <v>74.443565474104119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Q27" s="6">
        <v>0</v>
      </c>
      <c r="R27" s="6">
        <v>0</v>
      </c>
      <c r="S27" s="6">
        <v>0</v>
      </c>
      <c r="T27" s="6">
        <f t="shared" si="3"/>
        <v>0</v>
      </c>
      <c r="U27" s="6">
        <f t="shared" si="4"/>
        <v>0</v>
      </c>
    </row>
    <row r="28" spans="1:21" x14ac:dyDescent="0.25">
      <c r="A28" s="23">
        <f t="shared" si="0"/>
        <v>22</v>
      </c>
      <c r="B28" s="34">
        <v>454.01</v>
      </c>
      <c r="C28" s="5" t="s">
        <v>251</v>
      </c>
      <c r="D28" s="23" t="s">
        <v>252</v>
      </c>
      <c r="E28" s="6">
        <v>59939.319999999992</v>
      </c>
      <c r="F28" s="6">
        <v>32024.540176309598</v>
      </c>
      <c r="G28" s="6">
        <v>7850.8900823940476</v>
      </c>
      <c r="H28" s="6">
        <v>7904.4525233538689</v>
      </c>
      <c r="I28" s="6">
        <v>5057.2586072833628</v>
      </c>
      <c r="J28" s="6">
        <v>3594.1316688042521</v>
      </c>
      <c r="K28" s="6">
        <v>1740.476428933312</v>
      </c>
      <c r="L28" s="6">
        <v>1530.5540410023896</v>
      </c>
      <c r="M28" s="6">
        <v>0</v>
      </c>
      <c r="N28" s="6">
        <v>216.6356072512813</v>
      </c>
      <c r="O28" s="6">
        <v>0</v>
      </c>
      <c r="Q28" s="6">
        <v>3333.0468151856794</v>
      </c>
      <c r="R28" s="6">
        <v>9.2726194057052318</v>
      </c>
      <c r="S28" s="6">
        <v>251.81223421286728</v>
      </c>
      <c r="T28" s="6">
        <f t="shared" si="3"/>
        <v>3594.1316688042521</v>
      </c>
      <c r="U28" s="6">
        <f t="shared" si="4"/>
        <v>3342.3194345913848</v>
      </c>
    </row>
    <row r="29" spans="1:21" x14ac:dyDescent="0.25">
      <c r="A29" s="23">
        <f t="shared" si="0"/>
        <v>23</v>
      </c>
      <c r="B29" s="34">
        <v>454.02</v>
      </c>
      <c r="C29" s="5" t="s">
        <v>253</v>
      </c>
      <c r="D29" s="23" t="s">
        <v>254</v>
      </c>
      <c r="E29" s="6">
        <v>7437200.2199999997</v>
      </c>
      <c r="F29" s="6">
        <v>5038232.509376822</v>
      </c>
      <c r="G29" s="6">
        <v>966068.7825726202</v>
      </c>
      <c r="H29" s="6">
        <v>746296.57756534102</v>
      </c>
      <c r="I29" s="6">
        <v>310971.81774360168</v>
      </c>
      <c r="J29" s="6">
        <v>344922.85480738094</v>
      </c>
      <c r="K29" s="6">
        <v>20590.954768765925</v>
      </c>
      <c r="L29" s="6">
        <v>0</v>
      </c>
      <c r="M29" s="6">
        <v>0</v>
      </c>
      <c r="N29" s="6">
        <v>4853.3432429776731</v>
      </c>
      <c r="O29" s="6">
        <v>0</v>
      </c>
      <c r="Q29" s="6">
        <v>264898.60539091041</v>
      </c>
      <c r="R29" s="6">
        <v>5934.3490344243128</v>
      </c>
      <c r="S29" s="6">
        <v>74089.900382046253</v>
      </c>
      <c r="T29" s="6">
        <f t="shared" si="3"/>
        <v>344922.85480738094</v>
      </c>
      <c r="U29" s="6">
        <f t="shared" si="4"/>
        <v>270832.9544253347</v>
      </c>
    </row>
    <row r="30" spans="1:21" x14ac:dyDescent="0.25">
      <c r="A30" s="23">
        <f t="shared" si="0"/>
        <v>24</v>
      </c>
      <c r="B30" s="34">
        <v>454.03</v>
      </c>
      <c r="C30" s="5" t="s">
        <v>255</v>
      </c>
      <c r="D30" s="23" t="s">
        <v>254</v>
      </c>
      <c r="E30" s="6">
        <v>4753198.22</v>
      </c>
      <c r="F30" s="6">
        <v>3219991.0029470795</v>
      </c>
      <c r="G30" s="6">
        <v>617425.41304363927</v>
      </c>
      <c r="H30" s="6">
        <v>476966.52761026117</v>
      </c>
      <c r="I30" s="6">
        <v>198745.58259089757</v>
      </c>
      <c r="J30" s="6">
        <v>220444.07182946077</v>
      </c>
      <c r="K30" s="6">
        <v>13159.910538888074</v>
      </c>
      <c r="L30" s="6">
        <v>0</v>
      </c>
      <c r="M30" s="6">
        <v>0</v>
      </c>
      <c r="N30" s="6">
        <v>3101.8261954994805</v>
      </c>
      <c r="O30" s="6">
        <v>0</v>
      </c>
      <c r="Q30" s="6">
        <v>169299.6749285523</v>
      </c>
      <c r="R30" s="6">
        <v>3792.7091422697181</v>
      </c>
      <c r="S30" s="6">
        <v>47351.687758638764</v>
      </c>
      <c r="T30" s="6">
        <f t="shared" si="3"/>
        <v>220444.07182946077</v>
      </c>
      <c r="U30" s="6">
        <f t="shared" si="4"/>
        <v>173092.38407082201</v>
      </c>
    </row>
    <row r="31" spans="1:21" x14ac:dyDescent="0.25">
      <c r="A31" s="23">
        <f t="shared" si="0"/>
        <v>25</v>
      </c>
      <c r="B31" s="34">
        <v>454.04</v>
      </c>
      <c r="C31" s="5" t="s">
        <v>256</v>
      </c>
      <c r="D31" s="23" t="s">
        <v>257</v>
      </c>
      <c r="E31" s="6">
        <v>1379005.1</v>
      </c>
      <c r="F31" s="6">
        <v>791582.78663019254</v>
      </c>
      <c r="G31" s="6">
        <v>172913.71374656455</v>
      </c>
      <c r="H31" s="6">
        <v>160263.70523013832</v>
      </c>
      <c r="I31" s="6">
        <v>91714.913242412309</v>
      </c>
      <c r="J31" s="6">
        <v>71686.29678110643</v>
      </c>
      <c r="K31" s="6">
        <v>34769.334972807177</v>
      </c>
      <c r="L31" s="6">
        <v>24186.602311230236</v>
      </c>
      <c r="M31" s="6">
        <v>16467.829931029733</v>
      </c>
      <c r="N31" s="6">
        <v>14949.01696627936</v>
      </c>
      <c r="O31" s="6">
        <v>0</v>
      </c>
      <c r="Q31" s="6">
        <v>63151.837548712538</v>
      </c>
      <c r="R31" s="6">
        <v>318.66685957541711</v>
      </c>
      <c r="S31" s="6">
        <v>8215.7923728184724</v>
      </c>
      <c r="T31" s="6">
        <f t="shared" si="3"/>
        <v>71686.29678110643</v>
      </c>
      <c r="U31" s="6">
        <f t="shared" si="4"/>
        <v>63470.504408287954</v>
      </c>
    </row>
    <row r="32" spans="1:21" x14ac:dyDescent="0.25">
      <c r="A32" s="23">
        <f t="shared" si="0"/>
        <v>26</v>
      </c>
      <c r="B32" s="34">
        <v>454.05</v>
      </c>
      <c r="C32" s="5" t="s">
        <v>258</v>
      </c>
      <c r="D32" s="23" t="s">
        <v>259</v>
      </c>
      <c r="E32" s="6">
        <v>4489158.0199999996</v>
      </c>
      <c r="F32" s="6">
        <v>0</v>
      </c>
      <c r="G32" s="6">
        <v>0</v>
      </c>
      <c r="H32" s="6">
        <v>0</v>
      </c>
      <c r="I32" s="6">
        <v>0</v>
      </c>
      <c r="J32" s="6">
        <v>697569.03779285634</v>
      </c>
      <c r="K32" s="6">
        <v>81344.443567511815</v>
      </c>
      <c r="L32" s="6">
        <v>2858130.8650355893</v>
      </c>
      <c r="M32" s="6">
        <v>848630.17637421389</v>
      </c>
      <c r="N32" s="6">
        <v>0</v>
      </c>
      <c r="O32" s="6">
        <v>0</v>
      </c>
      <c r="Q32" s="6">
        <v>684688.49628504307</v>
      </c>
      <c r="R32" s="6">
        <v>0</v>
      </c>
      <c r="S32" s="6">
        <v>12880.541507813206</v>
      </c>
      <c r="T32" s="6">
        <f t="shared" si="3"/>
        <v>697569.03779285634</v>
      </c>
      <c r="U32" s="6">
        <f t="shared" si="4"/>
        <v>684688.49628504307</v>
      </c>
    </row>
    <row r="33" spans="1:21" x14ac:dyDescent="0.25">
      <c r="A33" s="23">
        <f t="shared" si="0"/>
        <v>27</v>
      </c>
      <c r="B33" s="34">
        <v>456.01</v>
      </c>
      <c r="C33" s="5" t="s">
        <v>260</v>
      </c>
      <c r="D33" s="23" t="s">
        <v>231</v>
      </c>
      <c r="E33" s="6">
        <v>20455657.079682089</v>
      </c>
      <c r="F33" s="6">
        <v>10929103.166020084</v>
      </c>
      <c r="G33" s="6">
        <v>2679294.915186387</v>
      </c>
      <c r="H33" s="6">
        <v>2697574.3171653356</v>
      </c>
      <c r="I33" s="6">
        <v>1725904.5954118115</v>
      </c>
      <c r="J33" s="6">
        <v>1226579.2290650832</v>
      </c>
      <c r="K33" s="6">
        <v>593977.19202569383</v>
      </c>
      <c r="L33" s="6">
        <v>522336.39962326165</v>
      </c>
      <c r="M33" s="6">
        <v>0</v>
      </c>
      <c r="N33" s="6">
        <v>73931.831278381229</v>
      </c>
      <c r="O33" s="6">
        <v>0</v>
      </c>
      <c r="Q33" s="6">
        <v>1137478.080865195</v>
      </c>
      <c r="R33" s="6">
        <v>3164.4924032089743</v>
      </c>
      <c r="S33" s="6">
        <v>85936.655796679101</v>
      </c>
      <c r="T33" s="6">
        <f t="shared" si="3"/>
        <v>1226579.2290650832</v>
      </c>
      <c r="U33" s="6">
        <f t="shared" si="4"/>
        <v>1140642.573268404</v>
      </c>
    </row>
    <row r="34" spans="1:21" x14ac:dyDescent="0.25">
      <c r="A34" s="23">
        <f t="shared" si="0"/>
        <v>28</v>
      </c>
      <c r="B34" s="34">
        <v>456.02</v>
      </c>
      <c r="C34" s="5" t="s">
        <v>261</v>
      </c>
      <c r="D34" s="23" t="s">
        <v>262</v>
      </c>
      <c r="E34" s="6">
        <v>329248.65000000002</v>
      </c>
      <c r="F34" s="6">
        <v>216655.41393763368</v>
      </c>
      <c r="G34" s="6">
        <v>40579.046292652281</v>
      </c>
      <c r="H34" s="6">
        <v>35352.722869237266</v>
      </c>
      <c r="I34" s="6">
        <v>15043.54469559161</v>
      </c>
      <c r="J34" s="6">
        <v>14698.837562033346</v>
      </c>
      <c r="K34" s="6">
        <v>5624.9118674001711</v>
      </c>
      <c r="L34" s="6">
        <v>985.76213983343848</v>
      </c>
      <c r="M34" s="6">
        <v>0</v>
      </c>
      <c r="N34" s="6">
        <v>175.52654263985042</v>
      </c>
      <c r="O34" s="6">
        <v>0</v>
      </c>
      <c r="Q34" s="6">
        <v>11008.461910360402</v>
      </c>
      <c r="R34" s="6">
        <v>165.64104829137341</v>
      </c>
      <c r="S34" s="6">
        <v>3524.7346033815693</v>
      </c>
      <c r="T34" s="6">
        <f t="shared" si="3"/>
        <v>14698.837562033346</v>
      </c>
      <c r="U34" s="6">
        <f t="shared" si="4"/>
        <v>11174.102958651776</v>
      </c>
    </row>
    <row r="35" spans="1:21" x14ac:dyDescent="0.25">
      <c r="A35" s="23">
        <f t="shared" si="0"/>
        <v>29</v>
      </c>
      <c r="B35" s="34">
        <v>456.03</v>
      </c>
      <c r="C35" s="5" t="s">
        <v>263</v>
      </c>
      <c r="D35" s="23" t="s">
        <v>264</v>
      </c>
      <c r="E35" s="6">
        <v>1199230.6200000001</v>
      </c>
      <c r="F35" s="6">
        <v>730252.56450559956</v>
      </c>
      <c r="G35" s="6">
        <v>147647.16221773566</v>
      </c>
      <c r="H35" s="6">
        <v>123464.61561366629</v>
      </c>
      <c r="I35" s="6">
        <v>70108.34313448926</v>
      </c>
      <c r="J35" s="6">
        <v>54870.341192248867</v>
      </c>
      <c r="K35" s="6">
        <v>26700.348783212186</v>
      </c>
      <c r="L35" s="6">
        <v>18417.455304889707</v>
      </c>
      <c r="M35" s="6">
        <v>13087.742721415629</v>
      </c>
      <c r="N35" s="6">
        <v>14320.36476487312</v>
      </c>
      <c r="O35" s="6">
        <v>0</v>
      </c>
      <c r="Q35" s="6">
        <v>48259.554109448385</v>
      </c>
      <c r="R35" s="6">
        <v>246.27110384558114</v>
      </c>
      <c r="S35" s="6">
        <v>6364.5159789548979</v>
      </c>
      <c r="T35" s="6">
        <f t="shared" si="3"/>
        <v>54870.341192248867</v>
      </c>
      <c r="U35" s="6">
        <f t="shared" si="4"/>
        <v>48505.825213293967</v>
      </c>
    </row>
    <row r="36" spans="1:21" x14ac:dyDescent="0.25">
      <c r="A36" s="23">
        <f t="shared" si="0"/>
        <v>30</v>
      </c>
      <c r="B36" s="34">
        <v>456.04</v>
      </c>
      <c r="C36" s="5" t="s">
        <v>265</v>
      </c>
      <c r="D36" s="23" t="s">
        <v>254</v>
      </c>
      <c r="E36" s="6">
        <v>138393.73000000001</v>
      </c>
      <c r="F36" s="6">
        <v>93752.994265887653</v>
      </c>
      <c r="G36" s="6">
        <v>17976.907747790057</v>
      </c>
      <c r="H36" s="6">
        <v>13887.318345653179</v>
      </c>
      <c r="I36" s="6">
        <v>5786.6601018329475</v>
      </c>
      <c r="J36" s="6">
        <v>6418.4315370014183</v>
      </c>
      <c r="K36" s="6">
        <v>383.16287721386692</v>
      </c>
      <c r="L36" s="6">
        <v>0</v>
      </c>
      <c r="M36" s="6">
        <v>0</v>
      </c>
      <c r="N36" s="6">
        <v>90.312517412093612</v>
      </c>
      <c r="O36" s="6">
        <v>0</v>
      </c>
      <c r="Q36" s="6">
        <v>4929.3154664923359</v>
      </c>
      <c r="R36" s="6">
        <v>110.42820869435717</v>
      </c>
      <c r="S36" s="6">
        <v>1378.6878618147255</v>
      </c>
      <c r="T36" s="6">
        <f t="shared" si="3"/>
        <v>6418.4315370014183</v>
      </c>
      <c r="U36" s="6">
        <f t="shared" si="4"/>
        <v>5039.7436751866926</v>
      </c>
    </row>
    <row r="37" spans="1:21" x14ac:dyDescent="0.25">
      <c r="A37" s="23">
        <f t="shared" si="0"/>
        <v>31</v>
      </c>
      <c r="B37" s="34">
        <v>456.05</v>
      </c>
      <c r="C37" s="5" t="s">
        <v>266</v>
      </c>
      <c r="D37" s="23" t="s">
        <v>252</v>
      </c>
      <c r="E37" s="6">
        <v>15588634.390200935</v>
      </c>
      <c r="F37" s="6">
        <v>8328737.2683372358</v>
      </c>
      <c r="G37" s="6">
        <v>2041809.2019077851</v>
      </c>
      <c r="H37" s="6">
        <v>2055739.3784458132</v>
      </c>
      <c r="I37" s="6">
        <v>1315259.4231238714</v>
      </c>
      <c r="J37" s="6">
        <v>934738.74136764079</v>
      </c>
      <c r="K37" s="6">
        <v>452651.96060622553</v>
      </c>
      <c r="L37" s="6">
        <v>398056.69066033559</v>
      </c>
      <c r="M37" s="6">
        <v>0</v>
      </c>
      <c r="N37" s="6">
        <v>56341.201023625021</v>
      </c>
      <c r="O37" s="6">
        <v>0</v>
      </c>
      <c r="Q37" s="6">
        <v>866837.46507890313</v>
      </c>
      <c r="R37" s="6">
        <v>2411.563457093293</v>
      </c>
      <c r="S37" s="6">
        <v>65489.712831644341</v>
      </c>
      <c r="T37" s="6">
        <f t="shared" si="3"/>
        <v>934738.74136764079</v>
      </c>
      <c r="U37" s="6">
        <f t="shared" si="4"/>
        <v>869249.02853599645</v>
      </c>
    </row>
    <row r="38" spans="1:21" x14ac:dyDescent="0.25">
      <c r="A38" s="23">
        <f t="shared" si="0"/>
        <v>32</v>
      </c>
      <c r="B38" s="34">
        <v>456.06</v>
      </c>
      <c r="C38" s="5" t="s">
        <v>267</v>
      </c>
      <c r="D38" s="23" t="s">
        <v>231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Q38" s="6">
        <v>0</v>
      </c>
      <c r="R38" s="6">
        <v>0</v>
      </c>
      <c r="S38" s="6">
        <v>0</v>
      </c>
      <c r="T38" s="6">
        <f t="shared" si="3"/>
        <v>0</v>
      </c>
      <c r="U38" s="6">
        <f t="shared" si="4"/>
        <v>0</v>
      </c>
    </row>
    <row r="39" spans="1:21" x14ac:dyDescent="0.25">
      <c r="A39" s="23">
        <f t="shared" si="0"/>
        <v>33</v>
      </c>
      <c r="B39" s="34">
        <v>456.07</v>
      </c>
      <c r="C39" s="5" t="s">
        <v>268</v>
      </c>
      <c r="D39" s="23" t="s">
        <v>252</v>
      </c>
      <c r="E39" s="6">
        <v>25700</v>
      </c>
      <c r="F39" s="6">
        <v>13731.06472564515</v>
      </c>
      <c r="G39" s="6">
        <v>3366.2022711890472</v>
      </c>
      <c r="H39" s="6">
        <v>3389.1680761509215</v>
      </c>
      <c r="I39" s="6">
        <v>2168.3853972180941</v>
      </c>
      <c r="J39" s="6">
        <v>1541.0449082216701</v>
      </c>
      <c r="K39" s="6">
        <v>746.25878677946514</v>
      </c>
      <c r="L39" s="6">
        <v>656.25100274346482</v>
      </c>
      <c r="M39" s="6">
        <v>0</v>
      </c>
      <c r="N39" s="6">
        <v>92.886190673466615</v>
      </c>
      <c r="O39" s="6">
        <v>0</v>
      </c>
      <c r="Q39" s="6">
        <v>1429.1003493244834</v>
      </c>
      <c r="R39" s="6">
        <v>3.9757928305930816</v>
      </c>
      <c r="S39" s="6">
        <v>107.96876606659353</v>
      </c>
      <c r="T39" s="6">
        <f t="shared" si="3"/>
        <v>1541.0449082216701</v>
      </c>
      <c r="U39" s="6">
        <f t="shared" si="4"/>
        <v>1433.0761421550765</v>
      </c>
    </row>
    <row r="40" spans="1:21" x14ac:dyDescent="0.25">
      <c r="A40" s="23">
        <f t="shared" si="0"/>
        <v>34</v>
      </c>
      <c r="B40" s="34">
        <v>456.08</v>
      </c>
      <c r="C40" s="5" t="s">
        <v>269</v>
      </c>
      <c r="D40" s="23" t="s">
        <v>270</v>
      </c>
      <c r="E40" s="6">
        <v>42630.26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42630.26</v>
      </c>
      <c r="O40" s="6">
        <v>0</v>
      </c>
      <c r="Q40" s="6">
        <v>0</v>
      </c>
      <c r="R40" s="6">
        <v>0</v>
      </c>
      <c r="S40" s="6">
        <v>0</v>
      </c>
      <c r="T40" s="6">
        <f t="shared" si="3"/>
        <v>0</v>
      </c>
      <c r="U40" s="6">
        <f t="shared" si="4"/>
        <v>0</v>
      </c>
    </row>
    <row r="41" spans="1:21" x14ac:dyDescent="0.25">
      <c r="A41" s="23">
        <f t="shared" si="0"/>
        <v>35</v>
      </c>
      <c r="B41" s="34">
        <v>456.09</v>
      </c>
      <c r="C41" s="5" t="s">
        <v>271</v>
      </c>
      <c r="D41" s="23" t="s">
        <v>231</v>
      </c>
      <c r="E41" s="6">
        <v>-5.0000000046566129E-2</v>
      </c>
      <c r="F41" s="6">
        <v>-2.6714133732360309E-2</v>
      </c>
      <c r="G41" s="6">
        <v>-6.5490316621090797E-3</v>
      </c>
      <c r="H41" s="6">
        <v>-6.5937122165512264E-3</v>
      </c>
      <c r="I41" s="6">
        <v>-4.2186486366489499E-3</v>
      </c>
      <c r="J41" s="6">
        <v>-2.9981418475814778E-3</v>
      </c>
      <c r="K41" s="6">
        <v>-1.4518653452810751E-3</v>
      </c>
      <c r="L41" s="6">
        <v>-1.2767529248144864E-3</v>
      </c>
      <c r="M41" s="6">
        <v>0</v>
      </c>
      <c r="N41" s="6">
        <v>-1.8071243338516264E-4</v>
      </c>
      <c r="O41" s="6">
        <v>0</v>
      </c>
      <c r="Q41" s="6">
        <v>-2.7803508767615497E-3</v>
      </c>
      <c r="R41" s="6">
        <v>-7.7350055141942153E-6</v>
      </c>
      <c r="S41" s="6">
        <v>-2.1005596530573395E-4</v>
      </c>
      <c r="T41" s="6">
        <f t="shared" si="3"/>
        <v>-2.9981418475814778E-3</v>
      </c>
      <c r="U41" s="6">
        <f t="shared" si="4"/>
        <v>-2.7880858822757438E-3</v>
      </c>
    </row>
    <row r="42" spans="1:21" x14ac:dyDescent="0.25">
      <c r="A42" s="23">
        <f t="shared" si="0"/>
        <v>36</v>
      </c>
      <c r="B42" s="34">
        <v>456.1</v>
      </c>
      <c r="C42" s="5" t="s">
        <v>272</v>
      </c>
      <c r="D42" s="23" t="s">
        <v>231</v>
      </c>
      <c r="E42" s="6">
        <v>84644.75</v>
      </c>
      <c r="F42" s="6">
        <v>45224.223382725766</v>
      </c>
      <c r="G42" s="6">
        <v>11086.822945300743</v>
      </c>
      <c r="H42" s="6">
        <v>11162.462432442635</v>
      </c>
      <c r="I42" s="6">
        <v>7141.7291770885695</v>
      </c>
      <c r="J42" s="6">
        <v>5075.5393383344826</v>
      </c>
      <c r="K42" s="6">
        <v>2457.8555814105493</v>
      </c>
      <c r="L42" s="6">
        <v>2161.4086406408514</v>
      </c>
      <c r="M42" s="6">
        <v>0</v>
      </c>
      <c r="N42" s="6">
        <v>305.92717463065804</v>
      </c>
      <c r="O42" s="6">
        <v>0</v>
      </c>
      <c r="Q42" s="6">
        <v>4706.8420931316559</v>
      </c>
      <c r="R42" s="6">
        <v>13.094552147756563</v>
      </c>
      <c r="S42" s="6">
        <v>355.60269305506966</v>
      </c>
      <c r="T42" s="6">
        <f t="shared" si="3"/>
        <v>5075.5393383344826</v>
      </c>
      <c r="U42" s="6">
        <f t="shared" si="4"/>
        <v>4719.9366452794129</v>
      </c>
    </row>
    <row r="43" spans="1:21" x14ac:dyDescent="0.25">
      <c r="A43" s="23">
        <f t="shared" si="0"/>
        <v>37</v>
      </c>
      <c r="B43" s="34">
        <v>456.11</v>
      </c>
      <c r="C43" s="5" t="s">
        <v>273</v>
      </c>
      <c r="D43" s="23" t="s">
        <v>231</v>
      </c>
      <c r="E43" s="6">
        <v>5.0000000046566129E-2</v>
      </c>
      <c r="F43" s="6">
        <v>2.6714133732360309E-2</v>
      </c>
      <c r="G43" s="6">
        <v>6.5490316621090797E-3</v>
      </c>
      <c r="H43" s="6">
        <v>6.5937122165512264E-3</v>
      </c>
      <c r="I43" s="6">
        <v>4.2186486366489499E-3</v>
      </c>
      <c r="J43" s="6">
        <v>2.9981418475814778E-3</v>
      </c>
      <c r="K43" s="6">
        <v>1.4518653452810751E-3</v>
      </c>
      <c r="L43" s="6">
        <v>1.2767529248144864E-3</v>
      </c>
      <c r="M43" s="6">
        <v>0</v>
      </c>
      <c r="N43" s="6">
        <v>1.8071243338516264E-4</v>
      </c>
      <c r="O43" s="6">
        <v>0</v>
      </c>
      <c r="Q43" s="6">
        <v>2.7803508767615497E-3</v>
      </c>
      <c r="R43" s="6">
        <v>7.7350055141942153E-6</v>
      </c>
      <c r="S43" s="6">
        <v>2.1005596530573395E-4</v>
      </c>
      <c r="T43" s="6">
        <f t="shared" si="3"/>
        <v>2.9981418475814778E-3</v>
      </c>
      <c r="U43" s="6">
        <f t="shared" si="4"/>
        <v>2.7880858822757438E-3</v>
      </c>
    </row>
    <row r="44" spans="1:21" x14ac:dyDescent="0.25">
      <c r="A44" s="23">
        <f t="shared" si="0"/>
        <v>38</v>
      </c>
      <c r="B44" s="34">
        <v>456.12</v>
      </c>
      <c r="C44" s="5" t="s">
        <v>274</v>
      </c>
      <c r="D44" s="23" t="s">
        <v>252</v>
      </c>
      <c r="E44" s="6">
        <v>296729</v>
      </c>
      <c r="F44" s="6">
        <v>158537.16361774161</v>
      </c>
      <c r="G44" s="6">
        <v>38865.752285122755</v>
      </c>
      <c r="H44" s="6">
        <v>39130.912609657076</v>
      </c>
      <c r="I44" s="6">
        <v>25035.907802767619</v>
      </c>
      <c r="J44" s="6">
        <v>17792.71262924933</v>
      </c>
      <c r="K44" s="6">
        <v>8616.2110327736918</v>
      </c>
      <c r="L44" s="6">
        <v>7576.9923654889326</v>
      </c>
      <c r="M44" s="6">
        <v>0</v>
      </c>
      <c r="N44" s="6">
        <v>1072.4523919201197</v>
      </c>
      <c r="O44" s="6">
        <v>0</v>
      </c>
      <c r="Q44" s="6">
        <v>16500.214690844536</v>
      </c>
      <c r="R44" s="6">
        <v>45.904008981675268</v>
      </c>
      <c r="S44" s="6">
        <v>1246.5939294231218</v>
      </c>
      <c r="T44" s="6">
        <f t="shared" si="3"/>
        <v>17792.71262924933</v>
      </c>
      <c r="U44" s="6">
        <f t="shared" si="4"/>
        <v>16546.118699826209</v>
      </c>
    </row>
    <row r="45" spans="1:21" x14ac:dyDescent="0.25">
      <c r="A45" s="23">
        <f t="shared" si="0"/>
        <v>39</v>
      </c>
      <c r="B45" s="34">
        <v>456.13</v>
      </c>
      <c r="C45" s="5" t="s">
        <v>275</v>
      </c>
      <c r="D45" s="23" t="s">
        <v>276</v>
      </c>
      <c r="E45" s="6">
        <v>262398.86</v>
      </c>
      <c r="F45" s="6">
        <v>170060.54712740396</v>
      </c>
      <c r="G45" s="6">
        <v>31665.648184492078</v>
      </c>
      <c r="H45" s="6">
        <v>25319.247431238786</v>
      </c>
      <c r="I45" s="6">
        <v>11064.896700790736</v>
      </c>
      <c r="J45" s="6">
        <v>10954.673241276008</v>
      </c>
      <c r="K45" s="6">
        <v>5329.9503323340214</v>
      </c>
      <c r="L45" s="6">
        <v>1654.668230001429</v>
      </c>
      <c r="M45" s="6">
        <v>548.95819016250312</v>
      </c>
      <c r="N45" s="6">
        <v>5707.6557728172311</v>
      </c>
      <c r="O45" s="6">
        <v>0</v>
      </c>
      <c r="Q45" s="6">
        <v>8576.5643296200487</v>
      </c>
      <c r="R45" s="6">
        <v>91.849609137321892</v>
      </c>
      <c r="S45" s="6">
        <v>2286.2593025186379</v>
      </c>
      <c r="T45" s="6">
        <f t="shared" si="3"/>
        <v>10954.673241276008</v>
      </c>
      <c r="U45" s="6">
        <f t="shared" si="4"/>
        <v>8668.4139387573705</v>
      </c>
    </row>
    <row r="46" spans="1:21" x14ac:dyDescent="0.25">
      <c r="A46" s="23">
        <f t="shared" si="0"/>
        <v>40</v>
      </c>
      <c r="B46" s="34">
        <v>456.14</v>
      </c>
      <c r="C46" s="5" t="s">
        <v>277</v>
      </c>
      <c r="D46" s="23" t="s">
        <v>276</v>
      </c>
      <c r="E46" s="6">
        <v>305.69000000227243</v>
      </c>
      <c r="F46" s="6">
        <v>198.11750954925097</v>
      </c>
      <c r="G46" s="6">
        <v>36.889916341821539</v>
      </c>
      <c r="H46" s="6">
        <v>29.496472459190262</v>
      </c>
      <c r="I46" s="6">
        <v>12.890407650741563</v>
      </c>
      <c r="J46" s="6">
        <v>12.761999282887727</v>
      </c>
      <c r="K46" s="6">
        <v>6.209297239718568</v>
      </c>
      <c r="L46" s="6">
        <v>1.927659027302546</v>
      </c>
      <c r="M46" s="6">
        <v>0.63952651757718404</v>
      </c>
      <c r="N46" s="6">
        <v>6.6493173530001979</v>
      </c>
      <c r="O46" s="6">
        <v>0</v>
      </c>
      <c r="Q46" s="6">
        <v>9.9915447420047574</v>
      </c>
      <c r="R46" s="6">
        <v>0.10700315930258483</v>
      </c>
      <c r="S46" s="6">
        <v>2.6634513815803849</v>
      </c>
      <c r="T46" s="6">
        <f t="shared" si="3"/>
        <v>12.761999282887727</v>
      </c>
      <c r="U46" s="6">
        <f t="shared" si="4"/>
        <v>10.098547901307342</v>
      </c>
    </row>
    <row r="47" spans="1:21" x14ac:dyDescent="0.25">
      <c r="A47" s="23">
        <f t="shared" si="0"/>
        <v>41</v>
      </c>
      <c r="B47" s="34">
        <v>456.15</v>
      </c>
      <c r="C47" s="5" t="s">
        <v>278</v>
      </c>
      <c r="D47" s="23" t="s">
        <v>226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Q47" s="6">
        <v>0</v>
      </c>
      <c r="R47" s="6">
        <v>0</v>
      </c>
      <c r="S47" s="6">
        <v>0</v>
      </c>
      <c r="T47" s="6">
        <f t="shared" si="3"/>
        <v>0</v>
      </c>
      <c r="U47" s="6">
        <f t="shared" si="4"/>
        <v>0</v>
      </c>
    </row>
    <row r="48" spans="1:21" x14ac:dyDescent="0.25">
      <c r="A48" s="24">
        <f>+A47+1</f>
        <v>42</v>
      </c>
      <c r="B48" s="35"/>
      <c r="C48" s="14" t="s">
        <v>279</v>
      </c>
      <c r="D48" s="24"/>
      <c r="E48" s="15">
        <f t="shared" ref="E48:N48" si="5">SUM(E18:E47)</f>
        <v>72413912.629883021</v>
      </c>
      <c r="F48" s="15">
        <f t="shared" si="5"/>
        <v>40045935.287944317</v>
      </c>
      <c r="G48" s="15">
        <f t="shared" si="5"/>
        <v>11842934.229980655</v>
      </c>
      <c r="H48" s="15">
        <f t="shared" si="5"/>
        <v>6750706.4474722017</v>
      </c>
      <c r="I48" s="15">
        <f t="shared" si="5"/>
        <v>3837351.3708473281</v>
      </c>
      <c r="J48" s="15">
        <f t="shared" si="5"/>
        <v>3654370.6829840518</v>
      </c>
      <c r="K48" s="15">
        <f t="shared" si="5"/>
        <v>1247801.5333523678</v>
      </c>
      <c r="L48" s="15">
        <f t="shared" si="5"/>
        <v>3844778.537053932</v>
      </c>
      <c r="M48" s="15">
        <f t="shared" si="5"/>
        <v>878719.92493496079</v>
      </c>
      <c r="N48" s="15">
        <f t="shared" si="5"/>
        <v>285578.12052460207</v>
      </c>
      <c r="O48" s="15">
        <f>SUM(O18:O47)</f>
        <v>0</v>
      </c>
      <c r="Q48" s="15">
        <f>SUM(Q18:Q47)</f>
        <v>3321807.9518691571</v>
      </c>
      <c r="R48" s="15">
        <f>SUM(R18:R47)</f>
        <v>16308.324843065382</v>
      </c>
      <c r="S48" s="15">
        <f>SUM(S18:S47)</f>
        <v>316254.40627182944</v>
      </c>
      <c r="T48" s="15">
        <f>SUM(T18:T47)</f>
        <v>3654370.6829840518</v>
      </c>
      <c r="U48" s="15">
        <f>SUM(U18:U47)</f>
        <v>3338116.276712223</v>
      </c>
    </row>
    <row r="49" spans="1:21" x14ac:dyDescent="0.25">
      <c r="A49" s="23">
        <f>+A48+1</f>
        <v>43</v>
      </c>
      <c r="B49" s="3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Q49" s="6"/>
      <c r="R49" s="6"/>
      <c r="S49" s="6"/>
      <c r="T49" s="6"/>
      <c r="U49" s="6"/>
    </row>
    <row r="50" spans="1:21" ht="13.8" thickBot="1" x14ac:dyDescent="0.3">
      <c r="A50" s="25">
        <f>+A49+1</f>
        <v>44</v>
      </c>
      <c r="B50" s="36"/>
      <c r="C50" s="8" t="s">
        <v>280</v>
      </c>
      <c r="D50" s="25"/>
      <c r="E50" s="9">
        <f t="shared" ref="E50:N50" si="6">SUM(E48,E15,E11)</f>
        <v>2064349033.2091048</v>
      </c>
      <c r="F50" s="9">
        <f t="shared" si="6"/>
        <v>1121863925.292069</v>
      </c>
      <c r="G50" s="9">
        <f t="shared" si="6"/>
        <v>282511200.26006937</v>
      </c>
      <c r="H50" s="9">
        <f t="shared" si="6"/>
        <v>263422928.31224945</v>
      </c>
      <c r="I50" s="9">
        <f t="shared" si="6"/>
        <v>158070948.88515848</v>
      </c>
      <c r="J50" s="9">
        <f t="shared" si="6"/>
        <v>117339927.8516155</v>
      </c>
      <c r="K50" s="9">
        <f t="shared" si="6"/>
        <v>49910002.101551466</v>
      </c>
      <c r="L50" s="9">
        <f t="shared" si="6"/>
        <v>44930874.287461236</v>
      </c>
      <c r="M50" s="9">
        <f t="shared" si="6"/>
        <v>8391998.9949349537</v>
      </c>
      <c r="N50" s="9">
        <f t="shared" si="6"/>
        <v>17555434.159907546</v>
      </c>
      <c r="O50" s="9">
        <f>SUM(O48,O15,O11)</f>
        <v>316389.10000000003</v>
      </c>
      <c r="Q50" s="9">
        <f>SUM(Q48,Q15,Q11)</f>
        <v>106297482.00375484</v>
      </c>
      <c r="R50" s="9">
        <f>SUM(R48,R15,R11)</f>
        <v>268920.70365503908</v>
      </c>
      <c r="S50" s="9">
        <f>SUM(S48,S15,S11)</f>
        <v>10773525.144205637</v>
      </c>
      <c r="T50" s="9">
        <f>SUM(T48,T15,T11)</f>
        <v>117339927.8516155</v>
      </c>
      <c r="U50" s="9">
        <f>SUM(U48,U15,U11)</f>
        <v>106566402.70740989</v>
      </c>
    </row>
    <row r="51" spans="1:21" ht="13.8" thickTop="1" x14ac:dyDescent="0.25">
      <c r="A51" s="23"/>
      <c r="B51" s="3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21" x14ac:dyDescent="0.25">
      <c r="A52" s="23"/>
      <c r="B52" s="34"/>
      <c r="E52" s="6">
        <v>2064349033.2091048</v>
      </c>
      <c r="F52" s="6"/>
      <c r="G52" s="6"/>
      <c r="H52" s="6"/>
      <c r="I52" s="6"/>
      <c r="J52" s="6"/>
      <c r="K52" s="6"/>
      <c r="L52" s="6"/>
      <c r="M52" s="6"/>
      <c r="N52" s="6"/>
      <c r="O52" s="6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U143"/>
  <sheetViews>
    <sheetView showGridLines="0" view="pageBreakPreview" zoomScale="60" zoomScaleNormal="90" workbookViewId="0">
      <pane xSplit="4" ySplit="6" topLeftCell="E112" activePane="bottomRight" state="frozen"/>
      <selection activeCell="A15" sqref="A15"/>
      <selection pane="topRight" activeCell="A15" sqref="A15"/>
      <selection pane="bottomLeft" activeCell="A15" sqref="A15"/>
      <selection pane="bottomRight" activeCell="K38" sqref="K38"/>
    </sheetView>
  </sheetViews>
  <sheetFormatPr defaultColWidth="8.88671875" defaultRowHeight="13.2" x14ac:dyDescent="0.25"/>
  <cols>
    <col min="1" max="1" width="5.6640625" style="5" bestFit="1" customWidth="1"/>
    <col min="2" max="2" width="9" style="5" bestFit="1" customWidth="1"/>
    <col min="3" max="3" width="41.88671875" style="5" bestFit="1" customWidth="1"/>
    <col min="4" max="4" width="12.6640625" style="5" bestFit="1" customWidth="1"/>
    <col min="5" max="5" width="17.109375" style="5" bestFit="1" customWidth="1"/>
    <col min="6" max="6" width="16.6640625" style="5" bestFit="1" customWidth="1"/>
    <col min="7" max="15" width="15.44140625" style="5" customWidth="1"/>
    <col min="16" max="16" width="3.33203125" style="5" customWidth="1"/>
    <col min="17" max="17" width="14.44140625" style="5" bestFit="1" customWidth="1"/>
    <col min="18" max="18" width="11.33203125" style="5" bestFit="1" customWidth="1"/>
    <col min="19" max="19" width="13.33203125" style="5" bestFit="1" customWidth="1"/>
    <col min="20" max="20" width="15.33203125" style="5" bestFit="1" customWidth="1"/>
    <col min="21" max="21" width="14.44140625" style="5" bestFit="1" customWidth="1"/>
    <col min="22" max="16384" width="8.88671875" style="5"/>
  </cols>
  <sheetData>
    <row r="1" spans="1:21" x14ac:dyDescent="0.25">
      <c r="A1" s="88" t="str">
        <f>+'Customer Summary'!A1</f>
        <v>Puget Sound Energy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21" x14ac:dyDescent="0.25">
      <c r="A2" s="90" t="s">
        <v>103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21" x14ac:dyDescent="0.25">
      <c r="A3" s="88" t="str">
        <f>+'Customer Summary'!A3</f>
        <v>Adjusted Test Year Twelve Months ended September 2016 @ Proforma Rev Requirement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2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21" s="26" customFormat="1" ht="52.8" x14ac:dyDescent="0.25">
      <c r="A5" s="2" t="s">
        <v>2</v>
      </c>
      <c r="B5" s="2" t="s">
        <v>94</v>
      </c>
      <c r="C5" s="33" t="s">
        <v>95</v>
      </c>
      <c r="D5" s="33" t="s">
        <v>96</v>
      </c>
      <c r="E5" s="2" t="s">
        <v>71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97</v>
      </c>
      <c r="R5" s="3" t="s">
        <v>98</v>
      </c>
      <c r="S5" s="3" t="s">
        <v>99</v>
      </c>
      <c r="T5" s="3" t="s">
        <v>100</v>
      </c>
      <c r="U5" s="3" t="s">
        <v>104</v>
      </c>
    </row>
    <row r="6" spans="1:21" s="26" customFormat="1" x14ac:dyDescent="0.25">
      <c r="B6" s="26" t="s">
        <v>20</v>
      </c>
      <c r="C6" s="26" t="s">
        <v>21</v>
      </c>
      <c r="D6" s="26" t="s">
        <v>22</v>
      </c>
      <c r="E6" s="26" t="s">
        <v>23</v>
      </c>
      <c r="F6" s="26" t="s">
        <v>24</v>
      </c>
      <c r="G6" s="26" t="s">
        <v>81</v>
      </c>
      <c r="H6" s="26" t="s">
        <v>25</v>
      </c>
      <c r="I6" s="26" t="s">
        <v>26</v>
      </c>
      <c r="J6" s="26" t="s">
        <v>82</v>
      </c>
      <c r="K6" s="26" t="s">
        <v>83</v>
      </c>
      <c r="L6" s="26" t="s">
        <v>27</v>
      </c>
      <c r="M6" s="26" t="s">
        <v>28</v>
      </c>
      <c r="N6" s="26" t="s">
        <v>29</v>
      </c>
      <c r="O6" s="26" t="s">
        <v>30</v>
      </c>
    </row>
    <row r="7" spans="1:21" x14ac:dyDescent="0.25">
      <c r="A7" s="23">
        <v>1</v>
      </c>
      <c r="C7" s="1" t="s">
        <v>281</v>
      </c>
    </row>
    <row r="8" spans="1:21" x14ac:dyDescent="0.25">
      <c r="A8" s="23">
        <f t="shared" ref="A8:A71" si="0">+A7+1</f>
        <v>2</v>
      </c>
      <c r="C8" s="1"/>
    </row>
    <row r="9" spans="1:21" x14ac:dyDescent="0.25">
      <c r="A9" s="23">
        <f t="shared" si="0"/>
        <v>3</v>
      </c>
      <c r="C9" s="1" t="s">
        <v>282</v>
      </c>
    </row>
    <row r="10" spans="1:21" x14ac:dyDescent="0.25">
      <c r="A10" s="23">
        <f t="shared" si="0"/>
        <v>4</v>
      </c>
    </row>
    <row r="11" spans="1:21" x14ac:dyDescent="0.25">
      <c r="A11" s="23">
        <f t="shared" si="0"/>
        <v>5</v>
      </c>
      <c r="C11" s="1" t="s">
        <v>283</v>
      </c>
    </row>
    <row r="12" spans="1:21" x14ac:dyDescent="0.25">
      <c r="A12" s="23">
        <f t="shared" si="0"/>
        <v>6</v>
      </c>
      <c r="B12" s="38" t="s">
        <v>284</v>
      </c>
      <c r="C12" s="5" t="s">
        <v>285</v>
      </c>
      <c r="D12" s="5" t="s">
        <v>252</v>
      </c>
      <c r="E12" s="6">
        <v>79063626.165677711</v>
      </c>
      <c r="F12" s="6">
        <v>42242325.615763895</v>
      </c>
      <c r="G12" s="6">
        <v>10355803.811958991</v>
      </c>
      <c r="H12" s="6">
        <v>10426455.944958974</v>
      </c>
      <c r="I12" s="6">
        <v>6670833.1684344728</v>
      </c>
      <c r="J12" s="6">
        <v>4740879.3201618372</v>
      </c>
      <c r="K12" s="6">
        <v>2295794.7759059854</v>
      </c>
      <c r="L12" s="6">
        <v>2018894.3171891223</v>
      </c>
      <c r="M12" s="6">
        <v>0</v>
      </c>
      <c r="N12" s="6">
        <v>285755.60526695813</v>
      </c>
      <c r="O12" s="6">
        <v>26883.606037495556</v>
      </c>
      <c r="Q12" s="6">
        <v>4396492.4424992362</v>
      </c>
      <c r="R12" s="6">
        <v>12231.151675882997</v>
      </c>
      <c r="S12" s="6">
        <v>332155.72598671826</v>
      </c>
      <c r="T12" s="6">
        <f>SUM(Q12:S12)</f>
        <v>4740879.3201618372</v>
      </c>
      <c r="U12" s="6">
        <f>+T12-S12</f>
        <v>4408723.594175119</v>
      </c>
    </row>
    <row r="13" spans="1:21" x14ac:dyDescent="0.25">
      <c r="A13" s="23">
        <f t="shared" si="0"/>
        <v>7</v>
      </c>
      <c r="B13" s="38" t="s">
        <v>286</v>
      </c>
      <c r="C13" s="5" t="s">
        <v>287</v>
      </c>
      <c r="D13" s="5" t="s">
        <v>252</v>
      </c>
      <c r="E13" s="6">
        <v>128580540.49475974</v>
      </c>
      <c r="F13" s="6">
        <v>68698355.019143313</v>
      </c>
      <c r="G13" s="6">
        <v>16841560.600940678</v>
      </c>
      <c r="H13" s="6">
        <v>16956461.597629204</v>
      </c>
      <c r="I13" s="6">
        <v>10848722.427052405</v>
      </c>
      <c r="J13" s="6">
        <v>7710053.9776591333</v>
      </c>
      <c r="K13" s="6">
        <v>3733632.6129598166</v>
      </c>
      <c r="L13" s="6">
        <v>3283311.6199604189</v>
      </c>
      <c r="M13" s="6">
        <v>0</v>
      </c>
      <c r="N13" s="6">
        <v>464722.04674294346</v>
      </c>
      <c r="O13" s="6">
        <v>43720.5926718544</v>
      </c>
      <c r="Q13" s="6">
        <v>7149980.3633226464</v>
      </c>
      <c r="R13" s="6">
        <v>19891.423776375454</v>
      </c>
      <c r="S13" s="6">
        <v>540182.19056011166</v>
      </c>
      <c r="T13" s="6">
        <f>SUM(Q13:S13)</f>
        <v>7710053.9776591333</v>
      </c>
      <c r="U13" s="6">
        <f>+T13-S13</f>
        <v>7169871.7870990215</v>
      </c>
    </row>
    <row r="14" spans="1:21" x14ac:dyDescent="0.25">
      <c r="A14" s="24">
        <f t="shared" si="0"/>
        <v>8</v>
      </c>
      <c r="B14" s="39"/>
      <c r="C14" s="14" t="s">
        <v>288</v>
      </c>
      <c r="D14" s="14"/>
      <c r="E14" s="15">
        <f>SUM(E12:E13)</f>
        <v>207644166.66043746</v>
      </c>
      <c r="F14" s="15">
        <f t="shared" ref="F14:O14" si="1">SUM(F12:F13)</f>
        <v>110940680.63490722</v>
      </c>
      <c r="G14" s="15">
        <f t="shared" si="1"/>
        <v>27197364.412899669</v>
      </c>
      <c r="H14" s="15">
        <f t="shared" si="1"/>
        <v>27382917.542588178</v>
      </c>
      <c r="I14" s="15">
        <f t="shared" si="1"/>
        <v>17519555.595486879</v>
      </c>
      <c r="J14" s="15">
        <f t="shared" si="1"/>
        <v>12450933.29782097</v>
      </c>
      <c r="K14" s="15">
        <f t="shared" si="1"/>
        <v>6029427.3888658024</v>
      </c>
      <c r="L14" s="15">
        <f t="shared" si="1"/>
        <v>5302205.9371495415</v>
      </c>
      <c r="M14" s="15">
        <f t="shared" si="1"/>
        <v>0</v>
      </c>
      <c r="N14" s="15">
        <f t="shared" si="1"/>
        <v>750477.65200990159</v>
      </c>
      <c r="O14" s="15">
        <f t="shared" si="1"/>
        <v>70604.198709349963</v>
      </c>
      <c r="Q14" s="15">
        <f>SUM(Q12:Q13)</f>
        <v>11546472.805821883</v>
      </c>
      <c r="R14" s="15">
        <f>SUM(R12:R13)</f>
        <v>32122.57545225845</v>
      </c>
      <c r="S14" s="15">
        <f>SUM(S12:S13)</f>
        <v>872337.91654682998</v>
      </c>
      <c r="T14" s="15">
        <f>SUM(T12:T13)</f>
        <v>12450933.29782097</v>
      </c>
      <c r="U14" s="15">
        <f>SUM(U12:U13)</f>
        <v>11578595.381274141</v>
      </c>
    </row>
    <row r="15" spans="1:21" x14ac:dyDescent="0.25">
      <c r="A15" s="23">
        <f t="shared" si="0"/>
        <v>9</v>
      </c>
      <c r="B15" s="3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6"/>
      <c r="R15" s="6"/>
      <c r="S15" s="6"/>
      <c r="T15" s="6"/>
      <c r="U15" s="6"/>
    </row>
    <row r="16" spans="1:21" x14ac:dyDescent="0.25">
      <c r="A16" s="23">
        <f t="shared" si="0"/>
        <v>10</v>
      </c>
      <c r="B16" s="38"/>
      <c r="C16" s="1" t="s">
        <v>289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6"/>
      <c r="R16" s="6"/>
      <c r="S16" s="6"/>
      <c r="T16" s="6"/>
      <c r="U16" s="6"/>
    </row>
    <row r="17" spans="1:21" x14ac:dyDescent="0.25">
      <c r="A17" s="23">
        <f t="shared" si="0"/>
        <v>11</v>
      </c>
      <c r="B17" s="38">
        <v>555</v>
      </c>
      <c r="C17" s="5" t="s">
        <v>290</v>
      </c>
      <c r="D17" s="5" t="s">
        <v>231</v>
      </c>
      <c r="E17" s="6">
        <v>447825755.01483321</v>
      </c>
      <c r="F17" s="6">
        <v>239265541.94239619</v>
      </c>
      <c r="G17" s="6">
        <v>58656500.919372812</v>
      </c>
      <c r="H17" s="6">
        <v>59056682.979550824</v>
      </c>
      <c r="I17" s="6">
        <v>37784390.181802794</v>
      </c>
      <c r="J17" s="6">
        <v>26852902.705686133</v>
      </c>
      <c r="K17" s="6">
        <v>13003653.876496784</v>
      </c>
      <c r="L17" s="6">
        <v>11435256.839798966</v>
      </c>
      <c r="M17" s="6">
        <v>0</v>
      </c>
      <c r="N17" s="6">
        <v>1618553.6369181687</v>
      </c>
      <c r="O17" s="6">
        <v>152271.93281060382</v>
      </c>
      <c r="Q17" s="6">
        <v>24902254.588645857</v>
      </c>
      <c r="R17" s="6">
        <v>69278.69362423764</v>
      </c>
      <c r="S17" s="6">
        <v>1881369.4234160366</v>
      </c>
      <c r="T17" s="6">
        <f>SUM(Q17:S17)</f>
        <v>26852902.705686133</v>
      </c>
      <c r="U17" s="6">
        <f>+T17-S17</f>
        <v>24971533.282270096</v>
      </c>
    </row>
    <row r="18" spans="1:21" x14ac:dyDescent="0.25">
      <c r="A18" s="23">
        <f t="shared" si="0"/>
        <v>12</v>
      </c>
      <c r="B18" s="38">
        <v>555.01</v>
      </c>
      <c r="C18" s="5" t="s">
        <v>291</v>
      </c>
      <c r="D18" s="5" t="s">
        <v>292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Q18" s="6">
        <v>0</v>
      </c>
      <c r="R18" s="6">
        <v>0</v>
      </c>
      <c r="S18" s="6">
        <v>0</v>
      </c>
      <c r="T18" s="6">
        <f>SUM(Q18:S18)</f>
        <v>0</v>
      </c>
      <c r="U18" s="6">
        <f>+T18-S18</f>
        <v>0</v>
      </c>
    </row>
    <row r="19" spans="1:21" x14ac:dyDescent="0.25">
      <c r="A19" s="24">
        <f>+A18+1</f>
        <v>13</v>
      </c>
      <c r="B19" s="39"/>
      <c r="C19" s="14" t="s">
        <v>288</v>
      </c>
      <c r="D19" s="14"/>
      <c r="E19" s="15">
        <f t="shared" ref="E19:O19" si="2">SUM(E17:E18)</f>
        <v>447825755.01483321</v>
      </c>
      <c r="F19" s="15">
        <f t="shared" si="2"/>
        <v>239265541.94239619</v>
      </c>
      <c r="G19" s="15">
        <f t="shared" si="2"/>
        <v>58656500.919372812</v>
      </c>
      <c r="H19" s="15">
        <f t="shared" si="2"/>
        <v>59056682.979550824</v>
      </c>
      <c r="I19" s="15">
        <f t="shared" si="2"/>
        <v>37784390.181802794</v>
      </c>
      <c r="J19" s="15">
        <f t="shared" si="2"/>
        <v>26852902.705686133</v>
      </c>
      <c r="K19" s="15">
        <f t="shared" si="2"/>
        <v>13003653.876496784</v>
      </c>
      <c r="L19" s="15">
        <f t="shared" si="2"/>
        <v>11435256.839798966</v>
      </c>
      <c r="M19" s="15">
        <f t="shared" si="2"/>
        <v>0</v>
      </c>
      <c r="N19" s="15">
        <f t="shared" si="2"/>
        <v>1618553.6369181687</v>
      </c>
      <c r="O19" s="15">
        <f t="shared" si="2"/>
        <v>152271.93281060382</v>
      </c>
      <c r="Q19" s="15">
        <f>SUM(Q17:Q18)</f>
        <v>24902254.588645857</v>
      </c>
      <c r="R19" s="15">
        <f>SUM(R17:R18)</f>
        <v>69278.69362423764</v>
      </c>
      <c r="S19" s="15">
        <f>SUM(S17:S18)</f>
        <v>1881369.4234160366</v>
      </c>
      <c r="T19" s="15">
        <f>SUM(T17:T18)</f>
        <v>26852902.705686133</v>
      </c>
      <c r="U19" s="15">
        <f>SUM(U17:U18)</f>
        <v>24971533.282270096</v>
      </c>
    </row>
    <row r="20" spans="1:21" x14ac:dyDescent="0.25">
      <c r="A20" s="23">
        <f t="shared" si="0"/>
        <v>14</v>
      </c>
      <c r="B20" s="38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6"/>
      <c r="R20" s="6"/>
      <c r="S20" s="6"/>
      <c r="T20" s="6"/>
      <c r="U20" s="6"/>
    </row>
    <row r="21" spans="1:21" x14ac:dyDescent="0.25">
      <c r="A21" s="23">
        <f t="shared" si="0"/>
        <v>15</v>
      </c>
      <c r="B21" s="38"/>
      <c r="C21" s="1" t="s">
        <v>293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6"/>
      <c r="R21" s="6"/>
      <c r="S21" s="6"/>
      <c r="T21" s="6"/>
      <c r="U21" s="6"/>
    </row>
    <row r="22" spans="1:21" x14ac:dyDescent="0.25">
      <c r="A22" s="23">
        <f t="shared" si="0"/>
        <v>16</v>
      </c>
      <c r="B22" s="38">
        <v>565</v>
      </c>
      <c r="C22" s="5" t="s">
        <v>294</v>
      </c>
      <c r="D22" s="5" t="s">
        <v>252</v>
      </c>
      <c r="E22" s="6">
        <v>108574737.55889949</v>
      </c>
      <c r="F22" s="6">
        <v>58009601.128061652</v>
      </c>
      <c r="G22" s="6">
        <v>14221187.866323821</v>
      </c>
      <c r="H22" s="6">
        <v>14318211.455684304</v>
      </c>
      <c r="I22" s="6">
        <v>9160773.363015743</v>
      </c>
      <c r="J22" s="6">
        <v>6510449.2792469319</v>
      </c>
      <c r="K22" s="6">
        <v>3152717.9737588777</v>
      </c>
      <c r="L22" s="6">
        <v>2772462.2722037481</v>
      </c>
      <c r="M22" s="6">
        <v>0</v>
      </c>
      <c r="N22" s="6">
        <v>392416.10020301689</v>
      </c>
      <c r="O22" s="6">
        <v>36918.120401427273</v>
      </c>
      <c r="Q22" s="6">
        <v>6037517.3296979517</v>
      </c>
      <c r="R22" s="6">
        <v>16796.523858762564</v>
      </c>
      <c r="S22" s="6">
        <v>456135.42569021805</v>
      </c>
      <c r="T22" s="6">
        <f>SUM(Q22:S22)</f>
        <v>6510449.2792469319</v>
      </c>
      <c r="U22" s="6">
        <f>+T22-S22</f>
        <v>6054313.853556714</v>
      </c>
    </row>
    <row r="23" spans="1:21" x14ac:dyDescent="0.25">
      <c r="A23" s="24">
        <f t="shared" si="0"/>
        <v>17</v>
      </c>
      <c r="B23" s="39"/>
      <c r="C23" s="14" t="s">
        <v>288</v>
      </c>
      <c r="D23" s="14"/>
      <c r="E23" s="15">
        <f>SUM(E22)</f>
        <v>108574737.55889949</v>
      </c>
      <c r="F23" s="15">
        <f t="shared" ref="F23:O23" si="3">SUM(F22)</f>
        <v>58009601.128061652</v>
      </c>
      <c r="G23" s="15">
        <f t="shared" si="3"/>
        <v>14221187.866323821</v>
      </c>
      <c r="H23" s="15">
        <f t="shared" si="3"/>
        <v>14318211.455684304</v>
      </c>
      <c r="I23" s="15">
        <f t="shared" si="3"/>
        <v>9160773.363015743</v>
      </c>
      <c r="J23" s="15">
        <f t="shared" si="3"/>
        <v>6510449.2792469319</v>
      </c>
      <c r="K23" s="15">
        <f t="shared" si="3"/>
        <v>3152717.9737588777</v>
      </c>
      <c r="L23" s="15">
        <f t="shared" si="3"/>
        <v>2772462.2722037481</v>
      </c>
      <c r="M23" s="15">
        <f t="shared" si="3"/>
        <v>0</v>
      </c>
      <c r="N23" s="15">
        <f t="shared" si="3"/>
        <v>392416.10020301689</v>
      </c>
      <c r="O23" s="15">
        <f t="shared" si="3"/>
        <v>36918.120401427273</v>
      </c>
      <c r="Q23" s="15">
        <f>SUM(Q22)</f>
        <v>6037517.3296979517</v>
      </c>
      <c r="R23" s="15">
        <f>SUM(R22)</f>
        <v>16796.523858762564</v>
      </c>
      <c r="S23" s="15">
        <f>SUM(S22)</f>
        <v>456135.42569021805</v>
      </c>
      <c r="T23" s="15">
        <f>SUM(T22)</f>
        <v>6510449.2792469319</v>
      </c>
      <c r="U23" s="15">
        <f>SUM(U22)</f>
        <v>6054313.853556714</v>
      </c>
    </row>
    <row r="24" spans="1:21" x14ac:dyDescent="0.25">
      <c r="A24" s="23">
        <f t="shared" si="0"/>
        <v>18</v>
      </c>
      <c r="B24" s="38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6"/>
      <c r="R24" s="6"/>
      <c r="S24" s="6"/>
      <c r="T24" s="6"/>
      <c r="U24" s="6"/>
    </row>
    <row r="25" spans="1:21" x14ac:dyDescent="0.25">
      <c r="A25" s="23">
        <f t="shared" si="0"/>
        <v>19</v>
      </c>
      <c r="B25" s="38"/>
      <c r="C25" s="1" t="s">
        <v>295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</row>
    <row r="26" spans="1:21" x14ac:dyDescent="0.25">
      <c r="A26" s="23">
        <f t="shared" si="0"/>
        <v>20</v>
      </c>
      <c r="B26" s="38">
        <v>500</v>
      </c>
      <c r="C26" s="5" t="s">
        <v>296</v>
      </c>
      <c r="D26" s="5" t="s">
        <v>252</v>
      </c>
      <c r="E26" s="6">
        <v>59025828.618912704</v>
      </c>
      <c r="F26" s="6">
        <v>31536477.558409661</v>
      </c>
      <c r="G26" s="6">
        <v>7731240.4029493937</v>
      </c>
      <c r="H26" s="6">
        <v>7783986.5378822722</v>
      </c>
      <c r="I26" s="6">
        <v>4980184.623966855</v>
      </c>
      <c r="J26" s="6">
        <v>3539356.1341144107</v>
      </c>
      <c r="K26" s="6">
        <v>1713951.0993697443</v>
      </c>
      <c r="L26" s="6">
        <v>1507227.985172193</v>
      </c>
      <c r="M26" s="6">
        <v>0</v>
      </c>
      <c r="N26" s="6">
        <v>213334.02224730304</v>
      </c>
      <c r="O26" s="6">
        <v>20070.254800891445</v>
      </c>
      <c r="Q26" s="6">
        <v>3282250.2839865852</v>
      </c>
      <c r="R26" s="6">
        <v>9131.302188439262</v>
      </c>
      <c r="S26" s="6">
        <v>247974.54793938628</v>
      </c>
      <c r="T26" s="6">
        <f>SUM(Q26:S26)</f>
        <v>3539356.1341144107</v>
      </c>
      <c r="U26" s="6">
        <f>+T26-S26</f>
        <v>3291381.5861750245</v>
      </c>
    </row>
    <row r="27" spans="1:21" x14ac:dyDescent="0.25">
      <c r="A27" s="23">
        <f t="shared" si="0"/>
        <v>21</v>
      </c>
      <c r="B27" s="38">
        <v>535</v>
      </c>
      <c r="C27" s="5" t="s">
        <v>297</v>
      </c>
      <c r="D27" s="5" t="s">
        <v>252</v>
      </c>
      <c r="E27" s="6">
        <v>15848402.102291731</v>
      </c>
      <c r="F27" s="6">
        <v>8467526.6562108323</v>
      </c>
      <c r="G27" s="6">
        <v>2075833.7413016222</v>
      </c>
      <c r="H27" s="6">
        <v>2089996.049147482</v>
      </c>
      <c r="I27" s="6">
        <v>1337176.7971926043</v>
      </c>
      <c r="J27" s="6">
        <v>950315.15031853213</v>
      </c>
      <c r="K27" s="6">
        <v>460194.91537935217</v>
      </c>
      <c r="L27" s="6">
        <v>404689.87437784369</v>
      </c>
      <c r="M27" s="6">
        <v>0</v>
      </c>
      <c r="N27" s="6">
        <v>57280.066130087114</v>
      </c>
      <c r="O27" s="6">
        <v>5388.8522333773881</v>
      </c>
      <c r="Q27" s="6">
        <v>881282.37278676988</v>
      </c>
      <c r="R27" s="6">
        <v>2451.7495507645049</v>
      </c>
      <c r="S27" s="6">
        <v>66581.027980997853</v>
      </c>
      <c r="T27" s="6">
        <f>SUM(Q27:S27)</f>
        <v>950315.15031853213</v>
      </c>
      <c r="U27" s="6">
        <f>+T27-S27</f>
        <v>883734.12233753433</v>
      </c>
    </row>
    <row r="28" spans="1:21" x14ac:dyDescent="0.25">
      <c r="A28" s="23">
        <f t="shared" si="0"/>
        <v>22</v>
      </c>
      <c r="B28" s="38">
        <v>545</v>
      </c>
      <c r="C28" s="5" t="s">
        <v>298</v>
      </c>
      <c r="D28" s="5" t="s">
        <v>252</v>
      </c>
      <c r="E28" s="6">
        <v>60827187.607257284</v>
      </c>
      <c r="F28" s="6">
        <v>32498912.455805849</v>
      </c>
      <c r="G28" s="6">
        <v>7967183.5437195227</v>
      </c>
      <c r="H28" s="6">
        <v>8021539.3930178741</v>
      </c>
      <c r="I28" s="6">
        <v>5132170.6366312103</v>
      </c>
      <c r="J28" s="6">
        <v>3647370.7293232721</v>
      </c>
      <c r="K28" s="6">
        <v>1766257.7131127913</v>
      </c>
      <c r="L28" s="6">
        <v>1553225.7922695505</v>
      </c>
      <c r="M28" s="6">
        <v>0</v>
      </c>
      <c r="N28" s="6">
        <v>219844.58156491927</v>
      </c>
      <c r="O28" s="6">
        <v>20682.761812311317</v>
      </c>
      <c r="Q28" s="6">
        <v>3382418.4847454191</v>
      </c>
      <c r="R28" s="6">
        <v>9409.9726223375055</v>
      </c>
      <c r="S28" s="6">
        <v>255542.2719555159</v>
      </c>
      <c r="T28" s="6">
        <f>SUM(Q28:S28)</f>
        <v>3647370.7293232721</v>
      </c>
      <c r="U28" s="6">
        <f>+T28-S28</f>
        <v>3391828.4573677564</v>
      </c>
    </row>
    <row r="29" spans="1:21" x14ac:dyDescent="0.25">
      <c r="A29" s="23">
        <f t="shared" si="0"/>
        <v>23</v>
      </c>
      <c r="B29" s="38">
        <v>556</v>
      </c>
      <c r="C29" s="5" t="s">
        <v>299</v>
      </c>
      <c r="D29" s="5" t="s">
        <v>252</v>
      </c>
      <c r="E29" s="6">
        <v>57471.411785777265</v>
      </c>
      <c r="F29" s="6">
        <v>30705.979576058875</v>
      </c>
      <c r="G29" s="6">
        <v>7527.6419020126223</v>
      </c>
      <c r="H29" s="6">
        <v>7578.9989928280211</v>
      </c>
      <c r="I29" s="6">
        <v>4849.0338550111783</v>
      </c>
      <c r="J29" s="6">
        <v>3446.1488910810476</v>
      </c>
      <c r="K29" s="6">
        <v>1668.8150207687625</v>
      </c>
      <c r="L29" s="6">
        <v>1467.5358604474281</v>
      </c>
      <c r="M29" s="6">
        <v>0</v>
      </c>
      <c r="N29" s="6">
        <v>207.71597328431994</v>
      </c>
      <c r="O29" s="6">
        <v>19.541714285022653</v>
      </c>
      <c r="Q29" s="6">
        <v>3195.8137999698647</v>
      </c>
      <c r="R29" s="6">
        <v>8.8908337331500373</v>
      </c>
      <c r="S29" s="6">
        <v>241.44425737803311</v>
      </c>
      <c r="T29" s="6">
        <f>SUM(Q29:S29)</f>
        <v>3446.1488910810476</v>
      </c>
      <c r="U29" s="6">
        <f>+T29-S29</f>
        <v>3204.7046337030147</v>
      </c>
    </row>
    <row r="30" spans="1:21" x14ac:dyDescent="0.25">
      <c r="A30" s="24">
        <f t="shared" si="0"/>
        <v>24</v>
      </c>
      <c r="B30" s="39"/>
      <c r="C30" s="14" t="s">
        <v>288</v>
      </c>
      <c r="D30" s="14"/>
      <c r="E30" s="15">
        <f>SUM(E26:E29)</f>
        <v>135758889.74024749</v>
      </c>
      <c r="F30" s="15">
        <f t="shared" ref="F30:O30" si="4">SUM(F26:F29)</f>
        <v>72533622.650002405</v>
      </c>
      <c r="G30" s="15">
        <f t="shared" si="4"/>
        <v>17781785.329872549</v>
      </c>
      <c r="H30" s="15">
        <f t="shared" si="4"/>
        <v>17903100.979040455</v>
      </c>
      <c r="I30" s="15">
        <f t="shared" si="4"/>
        <v>11454381.091645682</v>
      </c>
      <c r="J30" s="15">
        <f t="shared" si="4"/>
        <v>8140488.1626472967</v>
      </c>
      <c r="K30" s="15">
        <f t="shared" si="4"/>
        <v>3942072.5428826567</v>
      </c>
      <c r="L30" s="15">
        <f t="shared" si="4"/>
        <v>3466611.1876800344</v>
      </c>
      <c r="M30" s="15">
        <f t="shared" si="4"/>
        <v>0</v>
      </c>
      <c r="N30" s="15">
        <f t="shared" si="4"/>
        <v>490666.38591559377</v>
      </c>
      <c r="O30" s="15">
        <f t="shared" si="4"/>
        <v>46161.410560865173</v>
      </c>
      <c r="Q30" s="15">
        <f>SUM(Q26:Q29)</f>
        <v>7549146.9553187434</v>
      </c>
      <c r="R30" s="15">
        <f>SUM(R26:R29)</f>
        <v>21001.915195274421</v>
      </c>
      <c r="S30" s="15">
        <f>SUM(S26:S29)</f>
        <v>570339.2921332781</v>
      </c>
      <c r="T30" s="15">
        <f>SUM(T26:T29)</f>
        <v>8140488.1626472967</v>
      </c>
      <c r="U30" s="15">
        <f>SUM(U26:U29)</f>
        <v>7570148.8705140185</v>
      </c>
    </row>
    <row r="31" spans="1:21" x14ac:dyDescent="0.25">
      <c r="A31" s="23">
        <f t="shared" si="0"/>
        <v>25</v>
      </c>
      <c r="B31" s="2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6"/>
      <c r="R31" s="6"/>
      <c r="S31" s="6"/>
      <c r="T31" s="6"/>
      <c r="U31" s="6"/>
    </row>
    <row r="32" spans="1:21" x14ac:dyDescent="0.25">
      <c r="A32" s="23">
        <f t="shared" si="0"/>
        <v>26</v>
      </c>
      <c r="B32" s="23"/>
      <c r="C32" s="1" t="s">
        <v>300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6"/>
      <c r="R32" s="6"/>
      <c r="S32" s="6"/>
      <c r="T32" s="6"/>
      <c r="U32" s="6"/>
    </row>
    <row r="33" spans="1:21" x14ac:dyDescent="0.25">
      <c r="A33" s="23">
        <f t="shared" si="0"/>
        <v>27</v>
      </c>
      <c r="B33" s="38">
        <v>565.01</v>
      </c>
      <c r="C33" s="5" t="s">
        <v>197</v>
      </c>
      <c r="D33" s="5" t="s">
        <v>301</v>
      </c>
      <c r="E33" s="6">
        <v>20341527.354844898</v>
      </c>
      <c r="F33" s="6">
        <v>10113069.885981601</v>
      </c>
      <c r="G33" s="6">
        <v>2475759.8358171713</v>
      </c>
      <c r="H33" s="6">
        <v>2491455.9881722005</v>
      </c>
      <c r="I33" s="6">
        <v>1592955.0333994476</v>
      </c>
      <c r="J33" s="6">
        <v>1131878.0485286678</v>
      </c>
      <c r="K33" s="6">
        <v>548309.15405454813</v>
      </c>
      <c r="L33" s="6">
        <v>481756.52608264086</v>
      </c>
      <c r="M33" s="6">
        <v>1431577.1702741499</v>
      </c>
      <c r="N33" s="6">
        <v>68329.548857285641</v>
      </c>
      <c r="O33" s="6">
        <v>6436.1636771899121</v>
      </c>
      <c r="Q33" s="6">
        <v>1050079.0524547447</v>
      </c>
      <c r="R33" s="6">
        <v>2905.2804353031879</v>
      </c>
      <c r="S33" s="6">
        <v>78893.71563861992</v>
      </c>
      <c r="T33" s="6">
        <f>SUM(Q33:S33)</f>
        <v>1131878.0485286678</v>
      </c>
      <c r="U33" s="6">
        <f>+T33-S33</f>
        <v>1052984.3328900479</v>
      </c>
    </row>
    <row r="34" spans="1:21" x14ac:dyDescent="0.25">
      <c r="A34" s="24">
        <f>+A33+1</f>
        <v>28</v>
      </c>
      <c r="B34" s="39"/>
      <c r="C34" s="14" t="s">
        <v>288</v>
      </c>
      <c r="D34" s="14"/>
      <c r="E34" s="15">
        <f t="shared" ref="E34:O34" si="5">SUM(E33:E33)</f>
        <v>20341527.354844898</v>
      </c>
      <c r="F34" s="15">
        <f t="shared" si="5"/>
        <v>10113069.885981601</v>
      </c>
      <c r="G34" s="15">
        <f t="shared" si="5"/>
        <v>2475759.8358171713</v>
      </c>
      <c r="H34" s="15">
        <f t="shared" si="5"/>
        <v>2491455.9881722005</v>
      </c>
      <c r="I34" s="15">
        <f t="shared" si="5"/>
        <v>1592955.0333994476</v>
      </c>
      <c r="J34" s="15">
        <f t="shared" si="5"/>
        <v>1131878.0485286678</v>
      </c>
      <c r="K34" s="15">
        <f t="shared" si="5"/>
        <v>548309.15405454813</v>
      </c>
      <c r="L34" s="15">
        <f t="shared" si="5"/>
        <v>481756.52608264086</v>
      </c>
      <c r="M34" s="15">
        <f t="shared" si="5"/>
        <v>1431577.1702741499</v>
      </c>
      <c r="N34" s="15">
        <f t="shared" si="5"/>
        <v>68329.548857285641</v>
      </c>
      <c r="O34" s="15">
        <f t="shared" si="5"/>
        <v>6436.1636771899121</v>
      </c>
      <c r="Q34" s="15">
        <f>SUM(Q33:Q33)</f>
        <v>1050079.0524547447</v>
      </c>
      <c r="R34" s="15">
        <f>SUM(R33:R33)</f>
        <v>2905.2804353031879</v>
      </c>
      <c r="S34" s="15">
        <f>SUM(S33:S33)</f>
        <v>78893.71563861992</v>
      </c>
      <c r="T34" s="15">
        <f>SUM(T33:T33)</f>
        <v>1131878.0485286678</v>
      </c>
      <c r="U34" s="15">
        <f>SUM(U33:U33)</f>
        <v>1052984.3328900479</v>
      </c>
    </row>
    <row r="35" spans="1:21" x14ac:dyDescent="0.25">
      <c r="A35" s="23">
        <f t="shared" si="0"/>
        <v>29</v>
      </c>
      <c r="B35" s="38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Q35" s="6"/>
      <c r="R35" s="6"/>
      <c r="S35" s="6"/>
      <c r="T35" s="6"/>
      <c r="U35" s="6"/>
    </row>
    <row r="36" spans="1:21" x14ac:dyDescent="0.25">
      <c r="A36" s="23">
        <f t="shared" si="0"/>
        <v>30</v>
      </c>
      <c r="B36" s="38"/>
      <c r="C36" s="1" t="s">
        <v>302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Q36" s="6"/>
      <c r="R36" s="6"/>
      <c r="S36" s="6"/>
      <c r="T36" s="6"/>
      <c r="U36" s="6"/>
    </row>
    <row r="37" spans="1:21" x14ac:dyDescent="0.25">
      <c r="A37" s="23">
        <f t="shared" si="0"/>
        <v>31</v>
      </c>
      <c r="B37" s="38">
        <v>581</v>
      </c>
      <c r="C37" s="5" t="s">
        <v>303</v>
      </c>
      <c r="D37" s="5" t="s">
        <v>304</v>
      </c>
      <c r="E37" s="6">
        <v>3028663.9214748382</v>
      </c>
      <c r="F37" s="6">
        <v>1841990.5228030807</v>
      </c>
      <c r="G37" s="6">
        <v>418366.82859500899</v>
      </c>
      <c r="H37" s="6">
        <v>263198.80197197176</v>
      </c>
      <c r="I37" s="6">
        <v>103978.76285043576</v>
      </c>
      <c r="J37" s="6">
        <v>186674.95829498739</v>
      </c>
      <c r="K37" s="6">
        <v>45522.646570648081</v>
      </c>
      <c r="L37" s="6">
        <v>18712.426854254274</v>
      </c>
      <c r="M37" s="6">
        <v>9974.7519632444528</v>
      </c>
      <c r="N37" s="6">
        <v>137968.67356973654</v>
      </c>
      <c r="O37" s="6">
        <v>2275.5480014703085</v>
      </c>
      <c r="Q37" s="6">
        <v>143028.31855086453</v>
      </c>
      <c r="R37" s="6">
        <v>1195.7417337124448</v>
      </c>
      <c r="S37" s="6">
        <v>42450.898010410427</v>
      </c>
      <c r="T37" s="6">
        <f t="shared" ref="T37:T46" si="6">SUM(Q37:S37)</f>
        <v>186674.95829498739</v>
      </c>
      <c r="U37" s="6">
        <f t="shared" ref="U37:U46" si="7">+T37-S37</f>
        <v>144224.06028457696</v>
      </c>
    </row>
    <row r="38" spans="1:21" x14ac:dyDescent="0.25">
      <c r="A38" s="23">
        <f t="shared" si="0"/>
        <v>32</v>
      </c>
      <c r="B38" s="38">
        <v>582</v>
      </c>
      <c r="C38" s="5" t="s">
        <v>305</v>
      </c>
      <c r="D38" s="5" t="s">
        <v>306</v>
      </c>
      <c r="E38" s="6">
        <v>1491538.2049536123</v>
      </c>
      <c r="F38" s="6">
        <v>724691.66860293865</v>
      </c>
      <c r="G38" s="6">
        <v>187474.75740313728</v>
      </c>
      <c r="H38" s="6">
        <v>201916.35795894134</v>
      </c>
      <c r="I38" s="6">
        <v>114443.62403527055</v>
      </c>
      <c r="J38" s="6">
        <v>103283.88935079948</v>
      </c>
      <c r="K38" s="6">
        <v>83637.518981362664</v>
      </c>
      <c r="L38" s="6">
        <v>50875.589536550186</v>
      </c>
      <c r="M38" s="6">
        <v>23550.365845187142</v>
      </c>
      <c r="N38" s="6">
        <v>1283.2412481829797</v>
      </c>
      <c r="O38" s="6">
        <v>381.19199124219773</v>
      </c>
      <c r="Q38" s="6">
        <v>91489.934589303142</v>
      </c>
      <c r="R38" s="6">
        <v>324.3018127955981</v>
      </c>
      <c r="S38" s="6">
        <v>11469.652948700732</v>
      </c>
      <c r="T38" s="6">
        <f t="shared" si="6"/>
        <v>103283.88935079948</v>
      </c>
      <c r="U38" s="6">
        <f t="shared" si="7"/>
        <v>91814.236402098744</v>
      </c>
    </row>
    <row r="39" spans="1:21" x14ac:dyDescent="0.25">
      <c r="A39" s="23">
        <f t="shared" si="0"/>
        <v>33</v>
      </c>
      <c r="B39" s="38">
        <v>583</v>
      </c>
      <c r="C39" s="5" t="s">
        <v>307</v>
      </c>
      <c r="D39" s="5" t="s">
        <v>254</v>
      </c>
      <c r="E39" s="6">
        <v>3553185.4463993334</v>
      </c>
      <c r="F39" s="6">
        <v>2407058.2878423189</v>
      </c>
      <c r="G39" s="6">
        <v>461547.54973878548</v>
      </c>
      <c r="H39" s="6">
        <v>356549.51590140205</v>
      </c>
      <c r="I39" s="6">
        <v>148569.42187404382</v>
      </c>
      <c r="J39" s="6">
        <v>164789.81761662138</v>
      </c>
      <c r="K39" s="6">
        <v>9837.5031796368712</v>
      </c>
      <c r="L39" s="6">
        <v>0</v>
      </c>
      <c r="M39" s="6">
        <v>0</v>
      </c>
      <c r="N39" s="6">
        <v>2318.7258736095732</v>
      </c>
      <c r="O39" s="6">
        <v>2514.6243729160656</v>
      </c>
      <c r="Q39" s="6">
        <v>126557.55413378705</v>
      </c>
      <c r="R39" s="6">
        <v>2835.1855535994168</v>
      </c>
      <c r="S39" s="6">
        <v>35397.077929234933</v>
      </c>
      <c r="T39" s="6">
        <f t="shared" si="6"/>
        <v>164789.81761662138</v>
      </c>
      <c r="U39" s="6">
        <f t="shared" si="7"/>
        <v>129392.73968738645</v>
      </c>
    </row>
    <row r="40" spans="1:21" x14ac:dyDescent="0.25">
      <c r="A40" s="23">
        <f t="shared" si="0"/>
        <v>34</v>
      </c>
      <c r="B40" s="38">
        <v>584</v>
      </c>
      <c r="C40" s="5" t="s">
        <v>308</v>
      </c>
      <c r="D40" s="5" t="s">
        <v>309</v>
      </c>
      <c r="E40" s="6">
        <v>2730945.459024942</v>
      </c>
      <c r="F40" s="6">
        <v>1771403.1711256339</v>
      </c>
      <c r="G40" s="6">
        <v>327796.84103752562</v>
      </c>
      <c r="H40" s="6">
        <v>302517.00413868809</v>
      </c>
      <c r="I40" s="6">
        <v>129901.25860458486</v>
      </c>
      <c r="J40" s="6">
        <v>119627.60644597515</v>
      </c>
      <c r="K40" s="6">
        <v>65569.10843055365</v>
      </c>
      <c r="L40" s="6">
        <v>12131.988340372191</v>
      </c>
      <c r="M40" s="6">
        <v>0</v>
      </c>
      <c r="N40" s="6">
        <v>1298.0660795295248</v>
      </c>
      <c r="O40" s="6">
        <v>700.41482207947274</v>
      </c>
      <c r="Q40" s="6">
        <v>88425.343059284191</v>
      </c>
      <c r="R40" s="6">
        <v>984.36677697655637</v>
      </c>
      <c r="S40" s="6">
        <v>30217.896609714397</v>
      </c>
      <c r="T40" s="6">
        <f t="shared" si="6"/>
        <v>119627.60644597515</v>
      </c>
      <c r="U40" s="6">
        <f t="shared" si="7"/>
        <v>89409.70983626075</v>
      </c>
    </row>
    <row r="41" spans="1:21" x14ac:dyDescent="0.25">
      <c r="A41" s="23">
        <f t="shared" si="0"/>
        <v>35</v>
      </c>
      <c r="B41" s="38">
        <v>585</v>
      </c>
      <c r="C41" s="5" t="s">
        <v>310</v>
      </c>
      <c r="D41" s="5" t="s">
        <v>270</v>
      </c>
      <c r="E41" s="6">
        <v>544592.87803167838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544592.87803167838</v>
      </c>
      <c r="O41" s="6">
        <v>0</v>
      </c>
      <c r="Q41" s="6">
        <v>0</v>
      </c>
      <c r="R41" s="6">
        <v>0</v>
      </c>
      <c r="S41" s="6">
        <v>0</v>
      </c>
      <c r="T41" s="6">
        <f t="shared" si="6"/>
        <v>0</v>
      </c>
      <c r="U41" s="6">
        <f t="shared" si="7"/>
        <v>0</v>
      </c>
    </row>
    <row r="42" spans="1:21" x14ac:dyDescent="0.25">
      <c r="A42" s="23">
        <f t="shared" si="0"/>
        <v>36</v>
      </c>
      <c r="B42" s="38">
        <v>586</v>
      </c>
      <c r="C42" s="5" t="s">
        <v>311</v>
      </c>
      <c r="D42" s="5" t="s">
        <v>312</v>
      </c>
      <c r="E42" s="6">
        <v>-869427.87551867543</v>
      </c>
      <c r="F42" s="6">
        <v>-565276.64976477041</v>
      </c>
      <c r="G42" s="6">
        <v>-160178.6537455128</v>
      </c>
      <c r="H42" s="6">
        <v>-43509.313663210145</v>
      </c>
      <c r="I42" s="6">
        <v>-4926.863315538274</v>
      </c>
      <c r="J42" s="6">
        <v>-82659.664717981883</v>
      </c>
      <c r="K42" s="6">
        <v>-5171.9431358499396</v>
      </c>
      <c r="L42" s="6">
        <v>-2676.3036190037119</v>
      </c>
      <c r="M42" s="6">
        <v>-3758.3758272180967</v>
      </c>
      <c r="N42" s="6">
        <v>0</v>
      </c>
      <c r="O42" s="6">
        <v>-1270.107729590158</v>
      </c>
      <c r="Q42" s="6">
        <v>-61144.253900648866</v>
      </c>
      <c r="R42" s="6">
        <v>-143.69314534143095</v>
      </c>
      <c r="S42" s="6">
        <v>-21371.717671991581</v>
      </c>
      <c r="T42" s="6">
        <f t="shared" si="6"/>
        <v>-82659.664717981883</v>
      </c>
      <c r="U42" s="6">
        <f t="shared" si="7"/>
        <v>-61287.947045990302</v>
      </c>
    </row>
    <row r="43" spans="1:21" x14ac:dyDescent="0.25">
      <c r="A43" s="23">
        <f t="shared" si="0"/>
        <v>37</v>
      </c>
      <c r="B43" s="38">
        <v>587</v>
      </c>
      <c r="C43" s="5" t="s">
        <v>313</v>
      </c>
      <c r="D43" s="5" t="s">
        <v>312</v>
      </c>
      <c r="E43" s="6">
        <v>4611537.0928189065</v>
      </c>
      <c r="F43" s="6">
        <v>2998286.9327021553</v>
      </c>
      <c r="G43" s="6">
        <v>849604.46291713312</v>
      </c>
      <c r="H43" s="6">
        <v>230777.98571996231</v>
      </c>
      <c r="I43" s="6">
        <v>26132.602336104246</v>
      </c>
      <c r="J43" s="6">
        <v>438435.57431321358</v>
      </c>
      <c r="K43" s="6">
        <v>27432.531535400274</v>
      </c>
      <c r="L43" s="6">
        <v>14195.396487970082</v>
      </c>
      <c r="M43" s="6">
        <v>19934.82153494388</v>
      </c>
      <c r="N43" s="6">
        <v>0</v>
      </c>
      <c r="O43" s="6">
        <v>6736.7852720236442</v>
      </c>
      <c r="Q43" s="6">
        <v>324315.56753038865</v>
      </c>
      <c r="R43" s="6">
        <v>762.16358870540182</v>
      </c>
      <c r="S43" s="6">
        <v>113357.84319411954</v>
      </c>
      <c r="T43" s="6">
        <f t="shared" si="6"/>
        <v>438435.57431321358</v>
      </c>
      <c r="U43" s="6">
        <f t="shared" si="7"/>
        <v>325077.73111909407</v>
      </c>
    </row>
    <row r="44" spans="1:21" x14ac:dyDescent="0.25">
      <c r="A44" s="23">
        <f t="shared" si="0"/>
        <v>38</v>
      </c>
      <c r="B44" s="38">
        <v>589</v>
      </c>
      <c r="C44" s="5" t="s">
        <v>314</v>
      </c>
      <c r="D44" s="5" t="s">
        <v>304</v>
      </c>
      <c r="E44" s="6">
        <v>1007980.0496239197</v>
      </c>
      <c r="F44" s="6">
        <v>613039.1970587828</v>
      </c>
      <c r="G44" s="6">
        <v>139238.10220674647</v>
      </c>
      <c r="H44" s="6">
        <v>87596.097933333658</v>
      </c>
      <c r="I44" s="6">
        <v>34605.529452993404</v>
      </c>
      <c r="J44" s="6">
        <v>62127.934496639646</v>
      </c>
      <c r="K44" s="6">
        <v>15150.548472525601</v>
      </c>
      <c r="L44" s="6">
        <v>6227.7470984467218</v>
      </c>
      <c r="M44" s="6">
        <v>3319.7314854272004</v>
      </c>
      <c r="N44" s="6">
        <v>45917.82846729592</v>
      </c>
      <c r="O44" s="6">
        <v>757.33295172833482</v>
      </c>
      <c r="Q44" s="6">
        <v>47601.746304133121</v>
      </c>
      <c r="R44" s="6">
        <v>397.95891631909319</v>
      </c>
      <c r="S44" s="6">
        <v>14128.229276187438</v>
      </c>
      <c r="T44" s="6">
        <f t="shared" si="6"/>
        <v>62127.934496639646</v>
      </c>
      <c r="U44" s="6">
        <f t="shared" si="7"/>
        <v>47999.705220452204</v>
      </c>
    </row>
    <row r="45" spans="1:21" x14ac:dyDescent="0.25">
      <c r="A45" s="23">
        <f t="shared" si="0"/>
        <v>39</v>
      </c>
      <c r="B45" s="38">
        <v>580</v>
      </c>
      <c r="C45" s="5" t="s">
        <v>315</v>
      </c>
      <c r="D45" s="5" t="s">
        <v>316</v>
      </c>
      <c r="E45" s="6">
        <v>1053000.5645494887</v>
      </c>
      <c r="F45" s="6">
        <v>640420.03691909672</v>
      </c>
      <c r="G45" s="6">
        <v>145457.0457869746</v>
      </c>
      <c r="H45" s="6">
        <v>91508.498219332017</v>
      </c>
      <c r="I45" s="6">
        <v>36151.154047276781</v>
      </c>
      <c r="J45" s="6">
        <v>64902.822356120923</v>
      </c>
      <c r="K45" s="6">
        <v>15827.233982216376</v>
      </c>
      <c r="L45" s="6">
        <v>6505.9037755584341</v>
      </c>
      <c r="M45" s="6">
        <v>3468.0042820409017</v>
      </c>
      <c r="N45" s="6">
        <v>47968.706639570162</v>
      </c>
      <c r="O45" s="6">
        <v>791.15854130189018</v>
      </c>
      <c r="Q45" s="6">
        <v>49727.835139688905</v>
      </c>
      <c r="R45" s="6">
        <v>415.73339046527457</v>
      </c>
      <c r="S45" s="6">
        <v>14759.253825966744</v>
      </c>
      <c r="T45" s="6">
        <f t="shared" si="6"/>
        <v>64902.822356120923</v>
      </c>
      <c r="U45" s="6">
        <f t="shared" si="7"/>
        <v>50143.568530154182</v>
      </c>
    </row>
    <row r="46" spans="1:21" x14ac:dyDescent="0.25">
      <c r="A46" s="23">
        <f t="shared" si="0"/>
        <v>40</v>
      </c>
      <c r="B46" s="38">
        <v>588</v>
      </c>
      <c r="C46" s="5" t="s">
        <v>317</v>
      </c>
      <c r="D46" s="5" t="s">
        <v>316</v>
      </c>
      <c r="E46" s="6">
        <v>4879549.0634595612</v>
      </c>
      <c r="F46" s="6">
        <v>2967672.6647400097</v>
      </c>
      <c r="G46" s="6">
        <v>674040.27636688796</v>
      </c>
      <c r="H46" s="6">
        <v>424045.55307695374</v>
      </c>
      <c r="I46" s="6">
        <v>167522.54064540085</v>
      </c>
      <c r="J46" s="6">
        <v>300756.25475014461</v>
      </c>
      <c r="K46" s="6">
        <v>73342.567283542638</v>
      </c>
      <c r="L46" s="6">
        <v>30148.014866987465</v>
      </c>
      <c r="M46" s="6">
        <v>16070.548883082884</v>
      </c>
      <c r="N46" s="6">
        <v>222284.45590494311</v>
      </c>
      <c r="O46" s="6">
        <v>3666.1869416084592</v>
      </c>
      <c r="Q46" s="6">
        <v>230436.16456896634</v>
      </c>
      <c r="R46" s="6">
        <v>1926.4865987622738</v>
      </c>
      <c r="S46" s="6">
        <v>68393.603582415992</v>
      </c>
      <c r="T46" s="6">
        <f t="shared" si="6"/>
        <v>300756.25475014461</v>
      </c>
      <c r="U46" s="6">
        <f t="shared" si="7"/>
        <v>232362.65116772862</v>
      </c>
    </row>
    <row r="47" spans="1:21" x14ac:dyDescent="0.25">
      <c r="A47" s="24">
        <f t="shared" si="0"/>
        <v>41</v>
      </c>
      <c r="B47" s="39"/>
      <c r="C47" s="14" t="s">
        <v>288</v>
      </c>
      <c r="D47" s="14"/>
      <c r="E47" s="15">
        <f>SUM(E37:E46)</f>
        <v>22031564.804817602</v>
      </c>
      <c r="F47" s="15">
        <f t="shared" ref="F47:O47" si="8">SUM(F37:F46)</f>
        <v>13399285.832029244</v>
      </c>
      <c r="G47" s="15">
        <f t="shared" si="8"/>
        <v>3043347.2103066868</v>
      </c>
      <c r="H47" s="15">
        <f t="shared" si="8"/>
        <v>1914600.5012573744</v>
      </c>
      <c r="I47" s="15">
        <f t="shared" si="8"/>
        <v>756378.03053057205</v>
      </c>
      <c r="J47" s="15">
        <f t="shared" si="8"/>
        <v>1357939.1929065206</v>
      </c>
      <c r="K47" s="15">
        <f t="shared" si="8"/>
        <v>331147.71530003619</v>
      </c>
      <c r="L47" s="15">
        <f t="shared" si="8"/>
        <v>136120.76334113564</v>
      </c>
      <c r="M47" s="15">
        <f t="shared" si="8"/>
        <v>72559.848166708354</v>
      </c>
      <c r="N47" s="15">
        <f t="shared" si="8"/>
        <v>1003632.5758145463</v>
      </c>
      <c r="O47" s="15">
        <f t="shared" si="8"/>
        <v>16553.135164780215</v>
      </c>
      <c r="Q47" s="15">
        <f>SUM(Q37:Q46)</f>
        <v>1040438.2099757671</v>
      </c>
      <c r="R47" s="15">
        <f>SUM(R37:R46)</f>
        <v>8698.2452259946276</v>
      </c>
      <c r="S47" s="15">
        <f>SUM(S37:S46)</f>
        <v>308802.73770475865</v>
      </c>
      <c r="T47" s="15">
        <f>SUM(T37:T46)</f>
        <v>1357939.1929065206</v>
      </c>
      <c r="U47" s="15">
        <f>SUM(U37:U46)</f>
        <v>1049136.4552017616</v>
      </c>
    </row>
    <row r="48" spans="1:21" x14ac:dyDescent="0.25">
      <c r="A48" s="23">
        <f t="shared" si="0"/>
        <v>42</v>
      </c>
      <c r="B48" s="38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Q48" s="6"/>
      <c r="R48" s="6"/>
      <c r="S48" s="6"/>
      <c r="T48" s="6"/>
      <c r="U48" s="6"/>
    </row>
    <row r="49" spans="1:21" x14ac:dyDescent="0.25">
      <c r="A49" s="23">
        <f t="shared" si="0"/>
        <v>43</v>
      </c>
      <c r="B49" s="38"/>
      <c r="C49" s="1" t="s">
        <v>318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Q49" s="6"/>
      <c r="R49" s="6"/>
      <c r="S49" s="6"/>
      <c r="T49" s="6"/>
      <c r="U49" s="6"/>
    </row>
    <row r="50" spans="1:21" x14ac:dyDescent="0.25">
      <c r="A50" s="23">
        <f t="shared" si="0"/>
        <v>44</v>
      </c>
      <c r="B50" s="38">
        <v>901</v>
      </c>
      <c r="C50" s="5" t="s">
        <v>319</v>
      </c>
      <c r="D50" s="5" t="s">
        <v>320</v>
      </c>
      <c r="E50" s="6">
        <v>10691941.564082045</v>
      </c>
      <c r="F50" s="6">
        <v>9326092.4612682872</v>
      </c>
      <c r="G50" s="6">
        <v>1167547.3574711173</v>
      </c>
      <c r="H50" s="6">
        <v>81028.349281853036</v>
      </c>
      <c r="I50" s="6">
        <v>23295.214436056394</v>
      </c>
      <c r="J50" s="6">
        <v>11231.115261669684</v>
      </c>
      <c r="K50" s="6">
        <v>13011.773935720388</v>
      </c>
      <c r="L50" s="6">
        <v>7457.0907581840138</v>
      </c>
      <c r="M50" s="6">
        <v>46098.580254036358</v>
      </c>
      <c r="N50" s="6">
        <v>16121.599979876632</v>
      </c>
      <c r="O50" s="6">
        <v>58.021435242428126</v>
      </c>
      <c r="Q50" s="6">
        <v>9391.3981802752842</v>
      </c>
      <c r="R50" s="6">
        <v>8.5673134547946912</v>
      </c>
      <c r="S50" s="6">
        <v>1831.1497679396059</v>
      </c>
      <c r="T50" s="6">
        <f>SUM(Q50:S50)</f>
        <v>11231.115261669684</v>
      </c>
      <c r="U50" s="6">
        <f>+T50-S50</f>
        <v>9399.9654937300784</v>
      </c>
    </row>
    <row r="51" spans="1:21" x14ac:dyDescent="0.25">
      <c r="A51" s="23">
        <f t="shared" si="0"/>
        <v>45</v>
      </c>
      <c r="B51" s="38">
        <v>902</v>
      </c>
      <c r="C51" s="5" t="s">
        <v>321</v>
      </c>
      <c r="D51" s="5" t="s">
        <v>322</v>
      </c>
      <c r="E51" s="6">
        <v>25302937.027326714</v>
      </c>
      <c r="F51" s="6">
        <v>22234737.892873555</v>
      </c>
      <c r="G51" s="6">
        <v>2851357.7305485085</v>
      </c>
      <c r="H51" s="6">
        <v>177729.01368025815</v>
      </c>
      <c r="I51" s="6">
        <v>18122.000018692655</v>
      </c>
      <c r="J51" s="6">
        <v>14653.249094869279</v>
      </c>
      <c r="K51" s="6">
        <v>4224.7607405541166</v>
      </c>
      <c r="L51" s="6">
        <v>822.71656526580159</v>
      </c>
      <c r="M51" s="6">
        <v>1089.5435594060616</v>
      </c>
      <c r="N51" s="6">
        <v>0</v>
      </c>
      <c r="O51" s="6">
        <v>200.12024560519498</v>
      </c>
      <c r="Q51" s="6">
        <v>10984.377925440704</v>
      </c>
      <c r="R51" s="6">
        <v>22.235582845021664</v>
      </c>
      <c r="S51" s="6">
        <v>3646.635586583553</v>
      </c>
      <c r="T51" s="6">
        <f>SUM(Q51:S51)</f>
        <v>14653.249094869279</v>
      </c>
      <c r="U51" s="6">
        <f>+T51-S51</f>
        <v>11006.613508285725</v>
      </c>
    </row>
    <row r="52" spans="1:21" x14ac:dyDescent="0.25">
      <c r="A52" s="23">
        <f t="shared" si="0"/>
        <v>46</v>
      </c>
      <c r="B52" s="38">
        <v>903</v>
      </c>
      <c r="C52" s="5" t="s">
        <v>323</v>
      </c>
      <c r="D52" s="5" t="s">
        <v>324</v>
      </c>
      <c r="E52" s="6">
        <v>14179929.207059458</v>
      </c>
      <c r="F52" s="6">
        <v>12203233.288530607</v>
      </c>
      <c r="G52" s="6">
        <v>1460759.2847558532</v>
      </c>
      <c r="H52" s="6">
        <v>121555.92397590238</v>
      </c>
      <c r="I52" s="6">
        <v>68080.172852533229</v>
      </c>
      <c r="J52" s="6">
        <v>26895.431096868742</v>
      </c>
      <c r="K52" s="6">
        <v>43988.734159788321</v>
      </c>
      <c r="L52" s="6">
        <v>26817.354697840245</v>
      </c>
      <c r="M52" s="6">
        <v>169795.60649280614</v>
      </c>
      <c r="N52" s="6">
        <v>58789.514276845381</v>
      </c>
      <c r="O52" s="6">
        <v>13.896220413519693</v>
      </c>
      <c r="Q52" s="6">
        <v>23765.71953381753</v>
      </c>
      <c r="R52" s="6">
        <v>9.3898195700181386</v>
      </c>
      <c r="S52" s="6">
        <v>3120.3217434811968</v>
      </c>
      <c r="T52" s="6">
        <f>SUM(Q52:S52)</f>
        <v>26895.431096868742</v>
      </c>
      <c r="U52" s="6">
        <f>+T52-S52</f>
        <v>23775.109353387546</v>
      </c>
    </row>
    <row r="53" spans="1:21" x14ac:dyDescent="0.25">
      <c r="A53" s="23">
        <f t="shared" si="0"/>
        <v>47</v>
      </c>
      <c r="B53" s="38">
        <v>904</v>
      </c>
      <c r="C53" s="5" t="s">
        <v>325</v>
      </c>
      <c r="D53" s="5" t="s">
        <v>326</v>
      </c>
      <c r="E53" s="6">
        <v>3156.2620830000001</v>
      </c>
      <c r="F53" s="6">
        <v>2806.3921923543894</v>
      </c>
      <c r="G53" s="6">
        <v>223.31648439552188</v>
      </c>
      <c r="H53" s="6">
        <v>69.386885977642848</v>
      </c>
      <c r="I53" s="6">
        <v>49.170149628014293</v>
      </c>
      <c r="J53" s="6">
        <v>0.324787728001528</v>
      </c>
      <c r="K53" s="6">
        <v>0</v>
      </c>
      <c r="L53" s="6">
        <v>0</v>
      </c>
      <c r="M53" s="6">
        <v>0</v>
      </c>
      <c r="N53" s="6">
        <v>7.6715829164301059</v>
      </c>
      <c r="O53" s="6">
        <v>0</v>
      </c>
      <c r="Q53" s="6">
        <v>0.324787728001528</v>
      </c>
      <c r="R53" s="6">
        <v>0</v>
      </c>
      <c r="S53" s="6">
        <v>0</v>
      </c>
      <c r="T53" s="6">
        <f>SUM(Q53:S53)</f>
        <v>0.324787728001528</v>
      </c>
      <c r="U53" s="6">
        <f>+T53-S53</f>
        <v>0.324787728001528</v>
      </c>
    </row>
    <row r="54" spans="1:21" x14ac:dyDescent="0.25">
      <c r="A54" s="23">
        <f t="shared" si="0"/>
        <v>48</v>
      </c>
      <c r="B54" s="38">
        <v>905</v>
      </c>
      <c r="C54" s="5" t="s">
        <v>327</v>
      </c>
      <c r="D54" s="5" t="s">
        <v>328</v>
      </c>
      <c r="E54" s="6">
        <v>148970.24498693011</v>
      </c>
      <c r="F54" s="6">
        <v>131016.96840371905</v>
      </c>
      <c r="G54" s="6">
        <v>15753.940081404096</v>
      </c>
      <c r="H54" s="6">
        <v>1017.5037539643956</v>
      </c>
      <c r="I54" s="6">
        <v>103.9414286481486</v>
      </c>
      <c r="J54" s="6">
        <v>84.702912291678942</v>
      </c>
      <c r="K54" s="6">
        <v>21.108927668904215</v>
      </c>
      <c r="L54" s="6">
        <v>3.3400202007759834</v>
      </c>
      <c r="M54" s="6">
        <v>2.1376129284966296</v>
      </c>
      <c r="N54" s="6">
        <v>965.53303964032136</v>
      </c>
      <c r="O54" s="6">
        <v>1.0688064642483148</v>
      </c>
      <c r="Q54" s="6">
        <v>63.460383814743686</v>
      </c>
      <c r="R54" s="6">
        <v>0.13360080803103935</v>
      </c>
      <c r="S54" s="6">
        <v>21.108927668904215</v>
      </c>
      <c r="T54" s="6">
        <f>SUM(Q54:S54)</f>
        <v>84.702912291678942</v>
      </c>
      <c r="U54" s="6">
        <f>+T54-S54</f>
        <v>63.593984622774727</v>
      </c>
    </row>
    <row r="55" spans="1:21" x14ac:dyDescent="0.25">
      <c r="A55" s="24">
        <f t="shared" si="0"/>
        <v>49</v>
      </c>
      <c r="B55" s="39"/>
      <c r="C55" s="14" t="s">
        <v>288</v>
      </c>
      <c r="D55" s="14"/>
      <c r="E55" s="15">
        <f>SUM(E50:E54)</f>
        <v>50326934.305538148</v>
      </c>
      <c r="F55" s="15">
        <f t="shared" ref="F55:O55" si="9">SUM(F50:F54)</f>
        <v>43897887.003268525</v>
      </c>
      <c r="G55" s="15">
        <f t="shared" si="9"/>
        <v>5495641.6293412792</v>
      </c>
      <c r="H55" s="15">
        <f t="shared" si="9"/>
        <v>381400.17757795559</v>
      </c>
      <c r="I55" s="15">
        <f t="shared" si="9"/>
        <v>109650.49888555844</v>
      </c>
      <c r="J55" s="15">
        <f t="shared" si="9"/>
        <v>52864.823153427387</v>
      </c>
      <c r="K55" s="15">
        <f t="shared" si="9"/>
        <v>61246.377763731725</v>
      </c>
      <c r="L55" s="15">
        <f t="shared" si="9"/>
        <v>35100.502041490836</v>
      </c>
      <c r="M55" s="15">
        <f t="shared" si="9"/>
        <v>216985.86791917705</v>
      </c>
      <c r="N55" s="15">
        <f t="shared" si="9"/>
        <v>75884.318879278755</v>
      </c>
      <c r="O55" s="15">
        <f t="shared" si="9"/>
        <v>273.10670772539112</v>
      </c>
      <c r="Q55" s="15">
        <f>SUM(Q50:Q54)</f>
        <v>44205.280811076263</v>
      </c>
      <c r="R55" s="15">
        <f>SUM(R50:R54)</f>
        <v>40.326316677865535</v>
      </c>
      <c r="S55" s="15">
        <f>SUM(S50:S54)</f>
        <v>8619.2160256732586</v>
      </c>
      <c r="T55" s="15">
        <f>SUM(T50:T54)</f>
        <v>52864.823153427387</v>
      </c>
      <c r="U55" s="15">
        <f>SUM(U50:U54)</f>
        <v>44245.607127754127</v>
      </c>
    </row>
    <row r="56" spans="1:21" x14ac:dyDescent="0.25">
      <c r="A56" s="23">
        <f t="shared" si="0"/>
        <v>50</v>
      </c>
      <c r="B56" s="38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Q56" s="6"/>
      <c r="R56" s="6"/>
      <c r="S56" s="6"/>
      <c r="T56" s="6"/>
      <c r="U56" s="6"/>
    </row>
    <row r="57" spans="1:21" x14ac:dyDescent="0.25">
      <c r="A57" s="23">
        <f t="shared" si="0"/>
        <v>51</v>
      </c>
      <c r="B57" s="38"/>
      <c r="C57" s="5" t="s">
        <v>329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Q57" s="6"/>
      <c r="R57" s="6"/>
      <c r="S57" s="6"/>
      <c r="T57" s="6"/>
      <c r="U57" s="6"/>
    </row>
    <row r="58" spans="1:21" x14ac:dyDescent="0.25">
      <c r="A58" s="23">
        <f t="shared" si="0"/>
        <v>52</v>
      </c>
      <c r="B58" s="38">
        <v>908.01</v>
      </c>
      <c r="C58" s="5" t="s">
        <v>330</v>
      </c>
      <c r="D58" s="5" t="s">
        <v>331</v>
      </c>
      <c r="E58" s="6">
        <v>403683.81884772331</v>
      </c>
      <c r="F58" s="6">
        <v>403683.81884772331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Q58" s="6">
        <v>0</v>
      </c>
      <c r="R58" s="6">
        <v>0</v>
      </c>
      <c r="S58" s="6">
        <v>0</v>
      </c>
      <c r="T58" s="6">
        <f t="shared" ref="T58:T65" si="10">SUM(Q58:S58)</f>
        <v>0</v>
      </c>
      <c r="U58" s="6">
        <f t="shared" ref="U58:U65" si="11">+T58-S58</f>
        <v>0</v>
      </c>
    </row>
    <row r="59" spans="1:21" x14ac:dyDescent="0.25">
      <c r="A59" s="23">
        <f t="shared" si="0"/>
        <v>53</v>
      </c>
      <c r="B59" s="38">
        <v>908.02</v>
      </c>
      <c r="C59" s="5" t="s">
        <v>332</v>
      </c>
      <c r="D59" s="5" t="s">
        <v>231</v>
      </c>
      <c r="E59" s="6">
        <v>26209.79999999702</v>
      </c>
      <c r="F59" s="6">
        <v>14003.442032925032</v>
      </c>
      <c r="G59" s="6">
        <v>3432.9761979533323</v>
      </c>
      <c r="H59" s="6">
        <v>3456.3975658478721</v>
      </c>
      <c r="I59" s="6">
        <v>2211.3987386770555</v>
      </c>
      <c r="J59" s="6">
        <v>1571.6139624709622</v>
      </c>
      <c r="K59" s="6">
        <v>761.06200582607778</v>
      </c>
      <c r="L59" s="6">
        <v>669.26877555267333</v>
      </c>
      <c r="M59" s="6">
        <v>0</v>
      </c>
      <c r="N59" s="6">
        <v>94.728734642534931</v>
      </c>
      <c r="O59" s="6">
        <v>8.9119861014843078</v>
      </c>
      <c r="Q59" s="6">
        <v>1457.4488068373767</v>
      </c>
      <c r="R59" s="6">
        <v>4.0546589467418936</v>
      </c>
      <c r="S59" s="6">
        <v>110.1104966868436</v>
      </c>
      <c r="T59" s="6">
        <f t="shared" si="10"/>
        <v>1571.6139624709622</v>
      </c>
      <c r="U59" s="6">
        <f t="shared" si="11"/>
        <v>1461.5034657841186</v>
      </c>
    </row>
    <row r="60" spans="1:21" x14ac:dyDescent="0.25">
      <c r="A60" s="23">
        <f t="shared" si="0"/>
        <v>54</v>
      </c>
      <c r="B60" s="38">
        <v>909</v>
      </c>
      <c r="C60" s="5" t="s">
        <v>333</v>
      </c>
      <c r="D60" s="5" t="s">
        <v>328</v>
      </c>
      <c r="E60" s="6">
        <v>1776071.274783697</v>
      </c>
      <c r="F60" s="6">
        <v>1562026.5249043803</v>
      </c>
      <c r="G60" s="6">
        <v>187823.55124474815</v>
      </c>
      <c r="H60" s="6">
        <v>12131.007702640834</v>
      </c>
      <c r="I60" s="6">
        <v>1239.2232133212408</v>
      </c>
      <c r="J60" s="6">
        <v>1009.8554206242502</v>
      </c>
      <c r="K60" s="6">
        <v>251.66743920919799</v>
      </c>
      <c r="L60" s="6">
        <v>39.820797343227532</v>
      </c>
      <c r="M60" s="6">
        <v>25.48531029966562</v>
      </c>
      <c r="N60" s="6">
        <v>11511.396095980213</v>
      </c>
      <c r="O60" s="6">
        <v>12.74265514983281</v>
      </c>
      <c r="Q60" s="6">
        <v>756.59514952132304</v>
      </c>
      <c r="R60" s="6">
        <v>1.5928318937291013</v>
      </c>
      <c r="S60" s="6">
        <v>251.66743920919799</v>
      </c>
      <c r="T60" s="6">
        <f t="shared" si="10"/>
        <v>1009.8554206242502</v>
      </c>
      <c r="U60" s="6">
        <f t="shared" si="11"/>
        <v>758.18798141505226</v>
      </c>
    </row>
    <row r="61" spans="1:21" x14ac:dyDescent="0.25">
      <c r="A61" s="23">
        <f t="shared" si="0"/>
        <v>55</v>
      </c>
      <c r="B61" s="38">
        <v>910</v>
      </c>
      <c r="C61" s="5" t="s">
        <v>334</v>
      </c>
      <c r="D61" s="5" t="s">
        <v>328</v>
      </c>
      <c r="E61" s="6">
        <v>92973.657304808614</v>
      </c>
      <c r="F61" s="6">
        <v>81768.857415459192</v>
      </c>
      <c r="G61" s="6">
        <v>9832.1743812494824</v>
      </c>
      <c r="H61" s="6">
        <v>635.03315937851778</v>
      </c>
      <c r="I61" s="6">
        <v>64.870771795757193</v>
      </c>
      <c r="J61" s="6">
        <v>52.86384231170959</v>
      </c>
      <c r="K61" s="6">
        <v>13.174269850552232</v>
      </c>
      <c r="L61" s="6">
        <v>2.0845363687582648</v>
      </c>
      <c r="M61" s="6">
        <v>1.3341032760052893</v>
      </c>
      <c r="N61" s="6">
        <v>602.59777348063915</v>
      </c>
      <c r="O61" s="6">
        <v>0.66705163800264466</v>
      </c>
      <c r="Q61" s="6">
        <v>39.60619100640703</v>
      </c>
      <c r="R61" s="6">
        <v>8.3381454750330583E-2</v>
      </c>
      <c r="S61" s="6">
        <v>13.174269850552232</v>
      </c>
      <c r="T61" s="6">
        <f t="shared" si="10"/>
        <v>52.86384231170959</v>
      </c>
      <c r="U61" s="6">
        <f t="shared" si="11"/>
        <v>39.689572461157354</v>
      </c>
    </row>
    <row r="62" spans="1:21" x14ac:dyDescent="0.25">
      <c r="A62" s="23">
        <f t="shared" si="0"/>
        <v>56</v>
      </c>
      <c r="B62" s="38">
        <v>911</v>
      </c>
      <c r="C62" s="5" t="s">
        <v>335</v>
      </c>
      <c r="D62" s="5" t="s">
        <v>270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Q62" s="6">
        <v>0</v>
      </c>
      <c r="R62" s="6">
        <v>0</v>
      </c>
      <c r="S62" s="6">
        <v>0</v>
      </c>
      <c r="T62" s="6">
        <f t="shared" si="10"/>
        <v>0</v>
      </c>
      <c r="U62" s="6">
        <f t="shared" si="11"/>
        <v>0</v>
      </c>
    </row>
    <row r="63" spans="1:21" x14ac:dyDescent="0.25">
      <c r="A63" s="23">
        <f t="shared" si="0"/>
        <v>57</v>
      </c>
      <c r="B63" s="38">
        <v>912</v>
      </c>
      <c r="C63" s="5" t="s">
        <v>336</v>
      </c>
      <c r="D63" s="5" t="s">
        <v>328</v>
      </c>
      <c r="E63" s="6">
        <v>324588.53332748596</v>
      </c>
      <c r="F63" s="6">
        <v>285470.46840735077</v>
      </c>
      <c r="G63" s="6">
        <v>34325.970972261523</v>
      </c>
      <c r="H63" s="6">
        <v>2217.0202592033766</v>
      </c>
      <c r="I63" s="6">
        <v>226.47607164656341</v>
      </c>
      <c r="J63" s="6">
        <v>184.55762136750798</v>
      </c>
      <c r="K63" s="6">
        <v>45.993855167296942</v>
      </c>
      <c r="L63" s="6">
        <v>7.2775087290026805</v>
      </c>
      <c r="M63" s="6">
        <v>4.6576055865617159</v>
      </c>
      <c r="N63" s="6">
        <v>2103.7822233800948</v>
      </c>
      <c r="O63" s="6">
        <v>2.3288027932808579</v>
      </c>
      <c r="Q63" s="6">
        <v>138.27266585105093</v>
      </c>
      <c r="R63" s="6">
        <v>0.29110034916010724</v>
      </c>
      <c r="S63" s="6">
        <v>45.993855167296942</v>
      </c>
      <c r="T63" s="6">
        <f t="shared" si="10"/>
        <v>184.55762136750798</v>
      </c>
      <c r="U63" s="6">
        <f t="shared" si="11"/>
        <v>138.56376620021103</v>
      </c>
    </row>
    <row r="64" spans="1:21" x14ac:dyDescent="0.25">
      <c r="A64" s="23">
        <f t="shared" si="0"/>
        <v>58</v>
      </c>
      <c r="B64" s="38">
        <v>913</v>
      </c>
      <c r="C64" s="5" t="s">
        <v>337</v>
      </c>
      <c r="D64" s="5" t="s">
        <v>328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Q64" s="6">
        <v>0</v>
      </c>
      <c r="R64" s="6">
        <v>0</v>
      </c>
      <c r="S64" s="6">
        <v>0</v>
      </c>
      <c r="T64" s="6">
        <f t="shared" si="10"/>
        <v>0</v>
      </c>
      <c r="U64" s="6">
        <f t="shared" si="11"/>
        <v>0</v>
      </c>
    </row>
    <row r="65" spans="1:21" x14ac:dyDescent="0.25">
      <c r="A65" s="23">
        <f t="shared" si="0"/>
        <v>59</v>
      </c>
      <c r="B65" s="38">
        <v>916</v>
      </c>
      <c r="C65" s="5" t="s">
        <v>338</v>
      </c>
      <c r="D65" s="5" t="s">
        <v>328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Q65" s="6">
        <v>0</v>
      </c>
      <c r="R65" s="6">
        <v>0</v>
      </c>
      <c r="S65" s="6">
        <v>0</v>
      </c>
      <c r="T65" s="6">
        <f t="shared" si="10"/>
        <v>0</v>
      </c>
      <c r="U65" s="6">
        <f t="shared" si="11"/>
        <v>0</v>
      </c>
    </row>
    <row r="66" spans="1:21" x14ac:dyDescent="0.25">
      <c r="A66" s="24">
        <f t="shared" si="0"/>
        <v>60</v>
      </c>
      <c r="B66" s="39"/>
      <c r="C66" s="14" t="s">
        <v>288</v>
      </c>
      <c r="D66" s="14"/>
      <c r="E66" s="15">
        <f>SUM(E58:E65)</f>
        <v>2623527.0842637117</v>
      </c>
      <c r="F66" s="15">
        <f t="shared" ref="F66:O66" si="12">SUM(F58:F65)</f>
        <v>2346953.1116078384</v>
      </c>
      <c r="G66" s="15">
        <f t="shared" si="12"/>
        <v>235414.67279621249</v>
      </c>
      <c r="H66" s="15">
        <f t="shared" si="12"/>
        <v>18439.458687070601</v>
      </c>
      <c r="I66" s="15">
        <f t="shared" si="12"/>
        <v>3741.9687954406168</v>
      </c>
      <c r="J66" s="15">
        <f t="shared" si="12"/>
        <v>2818.89084677443</v>
      </c>
      <c r="K66" s="15">
        <f t="shared" si="12"/>
        <v>1071.897570053125</v>
      </c>
      <c r="L66" s="15">
        <f t="shared" si="12"/>
        <v>718.45161799366178</v>
      </c>
      <c r="M66" s="15">
        <f t="shared" si="12"/>
        <v>31.477019162232626</v>
      </c>
      <c r="N66" s="15">
        <f t="shared" si="12"/>
        <v>14312.504827483481</v>
      </c>
      <c r="O66" s="15">
        <f t="shared" si="12"/>
        <v>24.650495682600617</v>
      </c>
      <c r="Q66" s="15">
        <f>SUM(Q58:Q65)</f>
        <v>2391.9228132161579</v>
      </c>
      <c r="R66" s="15">
        <f>SUM(R58:R65)</f>
        <v>6.0219726443814334</v>
      </c>
      <c r="S66" s="15">
        <f>SUM(S58:S65)</f>
        <v>420.94606091389073</v>
      </c>
      <c r="T66" s="15">
        <f>SUM(T58:T65)</f>
        <v>2818.89084677443</v>
      </c>
      <c r="U66" s="15">
        <f>SUM(U58:U65)</f>
        <v>2397.944785860539</v>
      </c>
    </row>
    <row r="67" spans="1:21" x14ac:dyDescent="0.25">
      <c r="A67" s="23">
        <f t="shared" si="0"/>
        <v>61</v>
      </c>
      <c r="B67" s="3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Q67" s="6"/>
      <c r="R67" s="6"/>
      <c r="S67" s="6"/>
      <c r="T67" s="6"/>
      <c r="U67" s="6"/>
    </row>
    <row r="68" spans="1:21" x14ac:dyDescent="0.25">
      <c r="A68" s="23">
        <f t="shared" si="0"/>
        <v>62</v>
      </c>
      <c r="B68" s="38"/>
      <c r="C68" s="1" t="s">
        <v>339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Q68" s="6"/>
      <c r="R68" s="6"/>
      <c r="S68" s="6"/>
      <c r="T68" s="6"/>
      <c r="U68" s="6"/>
    </row>
    <row r="69" spans="1:21" x14ac:dyDescent="0.25">
      <c r="A69" s="23">
        <f t="shared" si="0"/>
        <v>63</v>
      </c>
      <c r="B69" s="38">
        <v>920</v>
      </c>
      <c r="C69" s="5" t="s">
        <v>340</v>
      </c>
      <c r="D69" s="5" t="s">
        <v>341</v>
      </c>
      <c r="E69" s="6">
        <v>30070110.626144476</v>
      </c>
      <c r="F69" s="6">
        <v>18647919.985692948</v>
      </c>
      <c r="G69" s="6">
        <v>3756479.2422471438</v>
      </c>
      <c r="H69" s="6">
        <v>2961018.8227761281</v>
      </c>
      <c r="I69" s="6">
        <v>1696543.5739863378</v>
      </c>
      <c r="J69" s="6">
        <v>1380016.1944060239</v>
      </c>
      <c r="K69" s="6">
        <v>562922.84589340736</v>
      </c>
      <c r="L69" s="6">
        <v>436752.82320054009</v>
      </c>
      <c r="M69" s="6">
        <v>179823.14387134145</v>
      </c>
      <c r="N69" s="6">
        <v>438010.21514467383</v>
      </c>
      <c r="O69" s="6">
        <v>10623.778925940849</v>
      </c>
      <c r="Q69" s="6">
        <v>1211097.7320447108</v>
      </c>
      <c r="R69" s="6">
        <v>7311.477018278677</v>
      </c>
      <c r="S69" s="6">
        <v>161606.98534303447</v>
      </c>
      <c r="T69" s="6">
        <f t="shared" ref="T69:T78" si="13">SUM(Q69:S69)</f>
        <v>1380016.1944060239</v>
      </c>
      <c r="U69" s="6">
        <f t="shared" ref="U69:U78" si="14">+T69-S69</f>
        <v>1218409.2090629896</v>
      </c>
    </row>
    <row r="70" spans="1:21" x14ac:dyDescent="0.25">
      <c r="A70" s="23">
        <f t="shared" si="0"/>
        <v>64</v>
      </c>
      <c r="B70" s="38">
        <v>921</v>
      </c>
      <c r="C70" s="5" t="s">
        <v>342</v>
      </c>
      <c r="D70" s="5" t="s">
        <v>341</v>
      </c>
      <c r="E70" s="6">
        <v>3432585.6418920001</v>
      </c>
      <c r="F70" s="6">
        <v>2128711.237210629</v>
      </c>
      <c r="G70" s="6">
        <v>428812.4134731919</v>
      </c>
      <c r="H70" s="6">
        <v>338008.42380660342</v>
      </c>
      <c r="I70" s="6">
        <v>193665.10437265792</v>
      </c>
      <c r="J70" s="6">
        <v>157532.63542628766</v>
      </c>
      <c r="K70" s="6">
        <v>64259.18754773953</v>
      </c>
      <c r="L70" s="6">
        <v>49856.53324036979</v>
      </c>
      <c r="M70" s="6">
        <v>20527.305316794223</v>
      </c>
      <c r="N70" s="6">
        <v>50000.067981140317</v>
      </c>
      <c r="O70" s="6">
        <v>1212.7335165875013</v>
      </c>
      <c r="Q70" s="6">
        <v>138250.12942686552</v>
      </c>
      <c r="R70" s="6">
        <v>834.62516470244987</v>
      </c>
      <c r="S70" s="6">
        <v>18447.880834719675</v>
      </c>
      <c r="T70" s="6">
        <f t="shared" si="13"/>
        <v>157532.63542628766</v>
      </c>
      <c r="U70" s="6">
        <f t="shared" si="14"/>
        <v>139084.75459156797</v>
      </c>
    </row>
    <row r="71" spans="1:21" x14ac:dyDescent="0.25">
      <c r="A71" s="23">
        <f t="shared" si="0"/>
        <v>65</v>
      </c>
      <c r="B71" s="38">
        <v>922</v>
      </c>
      <c r="C71" s="5" t="s">
        <v>343</v>
      </c>
      <c r="D71" s="5" t="s">
        <v>341</v>
      </c>
      <c r="E71" s="6">
        <v>-156178.807734</v>
      </c>
      <c r="F71" s="6">
        <v>-96853.980562092067</v>
      </c>
      <c r="G71" s="6">
        <v>-19510.48523318658</v>
      </c>
      <c r="H71" s="6">
        <v>-15379.005257700381</v>
      </c>
      <c r="I71" s="6">
        <v>-8811.545655691476</v>
      </c>
      <c r="J71" s="6">
        <v>-7167.5587288512561</v>
      </c>
      <c r="K71" s="6">
        <v>-2923.7211665401528</v>
      </c>
      <c r="L71" s="6">
        <v>-2268.416503350416</v>
      </c>
      <c r="M71" s="6">
        <v>-933.9694343654163</v>
      </c>
      <c r="N71" s="6">
        <v>-2274.9471735275461</v>
      </c>
      <c r="O71" s="6">
        <v>-55.178018694764525</v>
      </c>
      <c r="Q71" s="6">
        <v>-6290.2262712542079</v>
      </c>
      <c r="R71" s="6">
        <v>-37.974511556884046</v>
      </c>
      <c r="S71" s="6">
        <v>-839.35794604016405</v>
      </c>
      <c r="T71" s="6">
        <f t="shared" si="13"/>
        <v>-7167.5587288512561</v>
      </c>
      <c r="U71" s="6">
        <f t="shared" si="14"/>
        <v>-6328.2007828110918</v>
      </c>
    </row>
    <row r="72" spans="1:21" x14ac:dyDescent="0.25">
      <c r="A72" s="23">
        <f t="shared" ref="A72:A135" si="15">+A71+1</f>
        <v>66</v>
      </c>
      <c r="B72" s="38">
        <v>923</v>
      </c>
      <c r="C72" s="5" t="s">
        <v>344</v>
      </c>
      <c r="D72" s="5" t="s">
        <v>341</v>
      </c>
      <c r="E72" s="6">
        <v>12344244.369874001</v>
      </c>
      <c r="F72" s="6">
        <v>7655258.8766703205</v>
      </c>
      <c r="G72" s="6">
        <v>1542092.6884233225</v>
      </c>
      <c r="H72" s="6">
        <v>1215543.9129101639</v>
      </c>
      <c r="I72" s="6">
        <v>696457.31343662739</v>
      </c>
      <c r="J72" s="6">
        <v>566517.94035370741</v>
      </c>
      <c r="K72" s="6">
        <v>231088.51369011775</v>
      </c>
      <c r="L72" s="6">
        <v>179293.77267180051</v>
      </c>
      <c r="M72" s="6">
        <v>73820.175086980191</v>
      </c>
      <c r="N72" s="6">
        <v>179809.95146542307</v>
      </c>
      <c r="O72" s="6">
        <v>4361.2251655406099</v>
      </c>
      <c r="Q72" s="6">
        <v>497174.30527713872</v>
      </c>
      <c r="R72" s="6">
        <v>3001.4741262666903</v>
      </c>
      <c r="S72" s="6">
        <v>66342.160950302001</v>
      </c>
      <c r="T72" s="6">
        <f t="shared" si="13"/>
        <v>566517.94035370741</v>
      </c>
      <c r="U72" s="6">
        <f t="shared" si="14"/>
        <v>500175.77940340538</v>
      </c>
    </row>
    <row r="73" spans="1:21" x14ac:dyDescent="0.25">
      <c r="A73" s="23">
        <f t="shared" si="15"/>
        <v>67</v>
      </c>
      <c r="B73" s="38">
        <v>924</v>
      </c>
      <c r="C73" s="5" t="s">
        <v>345</v>
      </c>
      <c r="D73" s="5" t="s">
        <v>346</v>
      </c>
      <c r="E73" s="6">
        <v>5082916.4673647527</v>
      </c>
      <c r="F73" s="6">
        <v>2926431.3655092935</v>
      </c>
      <c r="G73" s="6">
        <v>636780.85188569804</v>
      </c>
      <c r="H73" s="6">
        <v>587410.5565360277</v>
      </c>
      <c r="I73" s="6">
        <v>336046.46728142456</v>
      </c>
      <c r="J73" s="6">
        <v>262675.97989339236</v>
      </c>
      <c r="K73" s="6">
        <v>127421.40351253298</v>
      </c>
      <c r="L73" s="6">
        <v>88605.697511693419</v>
      </c>
      <c r="M73" s="6">
        <v>60442.61736906947</v>
      </c>
      <c r="N73" s="6">
        <v>55375.77647900414</v>
      </c>
      <c r="O73" s="6">
        <v>1725.751386616527</v>
      </c>
      <c r="Q73" s="6">
        <v>231387.35278622547</v>
      </c>
      <c r="R73" s="6">
        <v>1168.163012359076</v>
      </c>
      <c r="S73" s="6">
        <v>30120.46409480779</v>
      </c>
      <c r="T73" s="6">
        <f t="shared" si="13"/>
        <v>262675.97989339236</v>
      </c>
      <c r="U73" s="6">
        <f t="shared" si="14"/>
        <v>232555.51579858456</v>
      </c>
    </row>
    <row r="74" spans="1:21" x14ac:dyDescent="0.25">
      <c r="A74" s="23">
        <f t="shared" si="15"/>
        <v>68</v>
      </c>
      <c r="B74" s="38">
        <v>925</v>
      </c>
      <c r="C74" s="5" t="s">
        <v>347</v>
      </c>
      <c r="D74" s="5" t="s">
        <v>348</v>
      </c>
      <c r="E74" s="6">
        <v>3487860.2814045637</v>
      </c>
      <c r="F74" s="6">
        <v>2132807.37103335</v>
      </c>
      <c r="G74" s="6">
        <v>428843.62759539252</v>
      </c>
      <c r="H74" s="6">
        <v>355654.45530435618</v>
      </c>
      <c r="I74" s="6">
        <v>201898.05736077522</v>
      </c>
      <c r="J74" s="6">
        <v>157979.80363804611</v>
      </c>
      <c r="K74" s="6">
        <v>76895.875259427135</v>
      </c>
      <c r="L74" s="6">
        <v>53050.271836196975</v>
      </c>
      <c r="M74" s="6">
        <v>37811.508990721049</v>
      </c>
      <c r="N74" s="6">
        <v>41878.14532150219</v>
      </c>
      <c r="O74" s="6">
        <v>1041.1650647954261</v>
      </c>
      <c r="Q74" s="6">
        <v>138951.72935151448</v>
      </c>
      <c r="R74" s="6">
        <v>708.63551825095749</v>
      </c>
      <c r="S74" s="6">
        <v>18319.438768280666</v>
      </c>
      <c r="T74" s="6">
        <f t="shared" si="13"/>
        <v>157979.80363804611</v>
      </c>
      <c r="U74" s="6">
        <f t="shared" si="14"/>
        <v>139660.36486976544</v>
      </c>
    </row>
    <row r="75" spans="1:21" x14ac:dyDescent="0.25">
      <c r="A75" s="23">
        <f t="shared" si="15"/>
        <v>69</v>
      </c>
      <c r="B75" s="38">
        <v>926</v>
      </c>
      <c r="C75" s="5" t="s">
        <v>349</v>
      </c>
      <c r="D75" s="5" t="s">
        <v>348</v>
      </c>
      <c r="E75" s="6">
        <v>29865679.152104266</v>
      </c>
      <c r="F75" s="6">
        <v>18262698.473367147</v>
      </c>
      <c r="G75" s="6">
        <v>3672081.2059108079</v>
      </c>
      <c r="H75" s="6">
        <v>3045380.5468546115</v>
      </c>
      <c r="I75" s="6">
        <v>1728802.7948590422</v>
      </c>
      <c r="J75" s="6">
        <v>1352741.7233772641</v>
      </c>
      <c r="K75" s="6">
        <v>658440.23364762252</v>
      </c>
      <c r="L75" s="6">
        <v>454256.26881869824</v>
      </c>
      <c r="M75" s="6">
        <v>323770.536851615</v>
      </c>
      <c r="N75" s="6">
        <v>358592.13120587368</v>
      </c>
      <c r="O75" s="6">
        <v>8915.2372115771868</v>
      </c>
      <c r="Q75" s="6">
        <v>1189809.0610358962</v>
      </c>
      <c r="R75" s="6">
        <v>6067.8695005940781</v>
      </c>
      <c r="S75" s="6">
        <v>156864.792840774</v>
      </c>
      <c r="T75" s="6">
        <f t="shared" si="13"/>
        <v>1352741.7233772641</v>
      </c>
      <c r="U75" s="6">
        <f t="shared" si="14"/>
        <v>1195876.9305364902</v>
      </c>
    </row>
    <row r="76" spans="1:21" x14ac:dyDescent="0.25">
      <c r="A76" s="23">
        <f t="shared" si="15"/>
        <v>70</v>
      </c>
      <c r="B76" s="38">
        <v>928</v>
      </c>
      <c r="C76" s="5" t="s">
        <v>350</v>
      </c>
      <c r="D76" s="5" t="s">
        <v>351</v>
      </c>
      <c r="E76" s="6">
        <v>8322384.0846997648</v>
      </c>
      <c r="F76" s="6">
        <v>4505830.5175522659</v>
      </c>
      <c r="G76" s="6">
        <v>1085372.4193105921</v>
      </c>
      <c r="H76" s="6">
        <v>1071097.8083712796</v>
      </c>
      <c r="I76" s="6">
        <v>670507.62986630504</v>
      </c>
      <c r="J76" s="6">
        <v>490784.65890570771</v>
      </c>
      <c r="K76" s="6">
        <v>228875.32233668369</v>
      </c>
      <c r="L76" s="6">
        <v>196728.1055040505</v>
      </c>
      <c r="M76" s="6">
        <v>12701.967376421959</v>
      </c>
      <c r="N76" s="6">
        <v>57476.800913484738</v>
      </c>
      <c r="O76" s="6">
        <v>3008.8545629724204</v>
      </c>
      <c r="Q76" s="6">
        <v>449636.94315552333</v>
      </c>
      <c r="R76" s="6">
        <v>1569.5057750237656</v>
      </c>
      <c r="S76" s="6">
        <v>39578.209975160586</v>
      </c>
      <c r="T76" s="6">
        <f t="shared" si="13"/>
        <v>490784.65890570771</v>
      </c>
      <c r="U76" s="6">
        <f t="shared" si="14"/>
        <v>451206.44893054711</v>
      </c>
    </row>
    <row r="77" spans="1:21" x14ac:dyDescent="0.25">
      <c r="A77" s="23">
        <f t="shared" si="15"/>
        <v>71</v>
      </c>
      <c r="B77" s="38">
        <v>930</v>
      </c>
      <c r="C77" s="5" t="s">
        <v>352</v>
      </c>
      <c r="D77" s="5" t="s">
        <v>341</v>
      </c>
      <c r="E77" s="6">
        <v>4820103.8782512518</v>
      </c>
      <c r="F77" s="6">
        <v>2989177.9435692234</v>
      </c>
      <c r="G77" s="6">
        <v>602146.77588791342</v>
      </c>
      <c r="H77" s="6">
        <v>474638.03803997341</v>
      </c>
      <c r="I77" s="6">
        <v>271948.32643827522</v>
      </c>
      <c r="J77" s="6">
        <v>221210.40701867512</v>
      </c>
      <c r="K77" s="6">
        <v>90234.007662343749</v>
      </c>
      <c r="L77" s="6">
        <v>70009.518858096388</v>
      </c>
      <c r="M77" s="6">
        <v>28824.843511549145</v>
      </c>
      <c r="N77" s="6">
        <v>70211.073147728166</v>
      </c>
      <c r="O77" s="6">
        <v>1702.9441174748731</v>
      </c>
      <c r="Q77" s="6">
        <v>194133.53504906912</v>
      </c>
      <c r="R77" s="6">
        <v>1171.9969763233496</v>
      </c>
      <c r="S77" s="6">
        <v>25904.874993282672</v>
      </c>
      <c r="T77" s="6">
        <f t="shared" si="13"/>
        <v>221210.40701867512</v>
      </c>
      <c r="U77" s="6">
        <f t="shared" si="14"/>
        <v>195305.53202539246</v>
      </c>
    </row>
    <row r="78" spans="1:21" x14ac:dyDescent="0.25">
      <c r="A78" s="23">
        <f t="shared" si="15"/>
        <v>72</v>
      </c>
      <c r="B78" s="38">
        <v>931</v>
      </c>
      <c r="C78" s="5" t="s">
        <v>353</v>
      </c>
      <c r="D78" s="5" t="s">
        <v>341</v>
      </c>
      <c r="E78" s="6">
        <v>7281686.8702663016</v>
      </c>
      <c r="F78" s="6">
        <v>4515723.7964909794</v>
      </c>
      <c r="G78" s="6">
        <v>909657.63035525416</v>
      </c>
      <c r="H78" s="6">
        <v>717031.34559385048</v>
      </c>
      <c r="I78" s="6">
        <v>410829.85098132794</v>
      </c>
      <c r="J78" s="6">
        <v>334180.53988881025</v>
      </c>
      <c r="K78" s="6">
        <v>136315.6905831621</v>
      </c>
      <c r="L78" s="6">
        <v>105762.74021040682</v>
      </c>
      <c r="M78" s="6">
        <v>43545.427616733898</v>
      </c>
      <c r="N78" s="6">
        <v>106067.22643342782</v>
      </c>
      <c r="O78" s="6">
        <v>2572.6221123501773</v>
      </c>
      <c r="Q78" s="6">
        <v>293275.75690299337</v>
      </c>
      <c r="R78" s="6">
        <v>1770.525119384303</v>
      </c>
      <c r="S78" s="6">
        <v>39134.257866432592</v>
      </c>
      <c r="T78" s="6">
        <f t="shared" si="13"/>
        <v>334180.53988881025</v>
      </c>
      <c r="U78" s="6">
        <f t="shared" si="14"/>
        <v>295046.28202237765</v>
      </c>
    </row>
    <row r="79" spans="1:21" x14ac:dyDescent="0.25">
      <c r="A79" s="24">
        <f t="shared" si="15"/>
        <v>73</v>
      </c>
      <c r="B79" s="39"/>
      <c r="C79" s="14" t="s">
        <v>288</v>
      </c>
      <c r="D79" s="14"/>
      <c r="E79" s="15">
        <f t="shared" ref="E79:O79" si="16">SUM(E69:E78)</f>
        <v>104551392.56426737</v>
      </c>
      <c r="F79" s="15">
        <f t="shared" si="16"/>
        <v>63667705.586534061</v>
      </c>
      <c r="G79" s="15">
        <f t="shared" si="16"/>
        <v>13042756.369856128</v>
      </c>
      <c r="H79" s="15">
        <f t="shared" si="16"/>
        <v>10750404.904935295</v>
      </c>
      <c r="I79" s="15">
        <f t="shared" si="16"/>
        <v>6197887.572927081</v>
      </c>
      <c r="J79" s="15">
        <f t="shared" si="16"/>
        <v>4916472.3241790636</v>
      </c>
      <c r="K79" s="15">
        <f t="shared" si="16"/>
        <v>2173529.3589664968</v>
      </c>
      <c r="L79" s="15">
        <f t="shared" si="16"/>
        <v>1632047.3153485022</v>
      </c>
      <c r="M79" s="15">
        <f t="shared" si="16"/>
        <v>780333.55655686092</v>
      </c>
      <c r="N79" s="15">
        <f t="shared" si="16"/>
        <v>1355146.4409187303</v>
      </c>
      <c r="O79" s="15">
        <f t="shared" si="16"/>
        <v>35109.134045160805</v>
      </c>
      <c r="Q79" s="15">
        <f>SUM(Q69:Q78)</f>
        <v>4337426.3187586833</v>
      </c>
      <c r="R79" s="15">
        <f>SUM(R69:R78)</f>
        <v>23566.297699626462</v>
      </c>
      <c r="S79" s="15">
        <f>SUM(S69:S78)</f>
        <v>555479.7077207542</v>
      </c>
      <c r="T79" s="15">
        <f>SUM(T69:T78)</f>
        <v>4916472.3241790636</v>
      </c>
      <c r="U79" s="15">
        <f>SUM(U69:U78)</f>
        <v>4360992.6164583089</v>
      </c>
    </row>
    <row r="80" spans="1:21" x14ac:dyDescent="0.25">
      <c r="A80" s="23">
        <f t="shared" si="15"/>
        <v>74</v>
      </c>
      <c r="B80" s="38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Q80" s="6"/>
      <c r="R80" s="6"/>
      <c r="S80" s="6"/>
      <c r="T80" s="6"/>
      <c r="U80" s="6"/>
    </row>
    <row r="81" spans="1:21" x14ac:dyDescent="0.25">
      <c r="A81" s="24">
        <f t="shared" si="15"/>
        <v>75</v>
      </c>
      <c r="B81" s="39"/>
      <c r="C81" s="14" t="s">
        <v>105</v>
      </c>
      <c r="D81" s="14"/>
      <c r="E81" s="15">
        <f t="shared" ref="E81:O81" si="17">SUM(E79,E66,E55,E47,E34,E30,E23,E19,E14)</f>
        <v>1099678495.0881495</v>
      </c>
      <c r="F81" s="15">
        <f t="shared" si="17"/>
        <v>614174347.77478874</v>
      </c>
      <c r="G81" s="15">
        <f t="shared" si="17"/>
        <v>142149758.24658632</v>
      </c>
      <c r="H81" s="15">
        <f t="shared" si="17"/>
        <v>134217213.98749365</v>
      </c>
      <c r="I81" s="15">
        <f t="shared" si="17"/>
        <v>84579713.336489201</v>
      </c>
      <c r="J81" s="15">
        <f t="shared" si="17"/>
        <v>61416746.725015789</v>
      </c>
      <c r="K81" s="15">
        <f t="shared" si="17"/>
        <v>29243176.285658989</v>
      </c>
      <c r="L81" s="15">
        <f t="shared" si="17"/>
        <v>25262279.79526405</v>
      </c>
      <c r="M81" s="15">
        <f t="shared" si="17"/>
        <v>2501487.9199360581</v>
      </c>
      <c r="N81" s="15">
        <f t="shared" si="17"/>
        <v>5769419.1643440053</v>
      </c>
      <c r="O81" s="15">
        <f t="shared" si="17"/>
        <v>364351.85257278511</v>
      </c>
      <c r="Q81" s="15">
        <f>SUM(Q79,Q66,Q55,Q47,Q34,Q30,Q23,Q19,Q14)</f>
        <v>56509932.46429792</v>
      </c>
      <c r="R81" s="15">
        <f>SUM(R79,R66,R55,R47,R34,R30,R23,R19,R14)</f>
        <v>174415.87978077962</v>
      </c>
      <c r="S81" s="15">
        <f>SUM(S79,S66,S55,S47,S34,S30,S23,S19,S14)</f>
        <v>4732398.3809370827</v>
      </c>
      <c r="T81" s="15">
        <f>SUM(T79,T66,T55,T47,T34,T30,T23,T19,T14)</f>
        <v>61416746.725015789</v>
      </c>
      <c r="U81" s="15">
        <f>SUM(U79,U66,U55,U47,U34,U30,U23,U19,U14)</f>
        <v>56684348.344078705</v>
      </c>
    </row>
    <row r="82" spans="1:21" x14ac:dyDescent="0.25">
      <c r="A82" s="23">
        <f t="shared" si="15"/>
        <v>76</v>
      </c>
      <c r="B82" s="38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Q82" s="6"/>
      <c r="R82" s="6"/>
      <c r="S82" s="6"/>
      <c r="T82" s="6"/>
      <c r="U82" s="6"/>
    </row>
    <row r="83" spans="1:21" x14ac:dyDescent="0.25">
      <c r="A83" s="23">
        <f t="shared" si="15"/>
        <v>77</v>
      </c>
      <c r="B83" s="38"/>
      <c r="C83" s="1" t="s">
        <v>354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Q83" s="6"/>
      <c r="R83" s="6"/>
      <c r="S83" s="6"/>
      <c r="T83" s="6"/>
      <c r="U83" s="6"/>
    </row>
    <row r="84" spans="1:21" x14ac:dyDescent="0.25">
      <c r="A84" s="23">
        <f>+A83+1</f>
        <v>78</v>
      </c>
      <c r="B84" s="38">
        <v>591</v>
      </c>
      <c r="C84" s="5" t="s">
        <v>355</v>
      </c>
      <c r="D84" s="5" t="s">
        <v>356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Q84" s="6">
        <v>0</v>
      </c>
      <c r="R84" s="6">
        <v>0</v>
      </c>
      <c r="S84" s="6">
        <v>0</v>
      </c>
      <c r="T84" s="6">
        <f t="shared" ref="T84:T90" si="18">SUM(Q84:S84)</f>
        <v>0</v>
      </c>
      <c r="U84" s="6">
        <f t="shared" ref="U84:U90" si="19">+T84-S84</f>
        <v>0</v>
      </c>
    </row>
    <row r="85" spans="1:21" x14ac:dyDescent="0.25">
      <c r="A85" s="23">
        <f t="shared" si="15"/>
        <v>79</v>
      </c>
      <c r="B85" s="38">
        <v>592</v>
      </c>
      <c r="C85" s="5" t="s">
        <v>357</v>
      </c>
      <c r="D85" s="5" t="s">
        <v>306</v>
      </c>
      <c r="E85" s="6">
        <v>1604232.1441635888</v>
      </c>
      <c r="F85" s="6">
        <v>779446.12180855125</v>
      </c>
      <c r="G85" s="6">
        <v>201639.50949867698</v>
      </c>
      <c r="H85" s="6">
        <v>217172.2526411915</v>
      </c>
      <c r="I85" s="6">
        <v>123090.47114060586</v>
      </c>
      <c r="J85" s="6">
        <v>111087.55693987804</v>
      </c>
      <c r="K85" s="6">
        <v>89956.794913052305</v>
      </c>
      <c r="L85" s="6">
        <v>54719.520972877028</v>
      </c>
      <c r="M85" s="6">
        <v>25329.725896519358</v>
      </c>
      <c r="N85" s="6">
        <v>1380.1972032729564</v>
      </c>
      <c r="O85" s="6">
        <v>409.99314896360801</v>
      </c>
      <c r="Q85" s="6">
        <v>98402.50383673473</v>
      </c>
      <c r="R85" s="6">
        <v>348.8046037100346</v>
      </c>
      <c r="S85" s="6">
        <v>12336.248499433277</v>
      </c>
      <c r="T85" s="6">
        <f t="shared" si="18"/>
        <v>111087.55693987804</v>
      </c>
      <c r="U85" s="6">
        <f t="shared" si="19"/>
        <v>98751.308440444758</v>
      </c>
    </row>
    <row r="86" spans="1:21" x14ac:dyDescent="0.25">
      <c r="A86" s="23">
        <f t="shared" si="15"/>
        <v>80</v>
      </c>
      <c r="B86" s="38">
        <v>593</v>
      </c>
      <c r="C86" s="5" t="s">
        <v>307</v>
      </c>
      <c r="D86" s="5" t="s">
        <v>254</v>
      </c>
      <c r="E86" s="6">
        <v>40407839.979768232</v>
      </c>
      <c r="F86" s="6">
        <v>27373754.504052438</v>
      </c>
      <c r="G86" s="6">
        <v>5248850.5917410878</v>
      </c>
      <c r="H86" s="6">
        <v>4054782.9548293361</v>
      </c>
      <c r="I86" s="6">
        <v>1689573.9092527896</v>
      </c>
      <c r="J86" s="6">
        <v>1874036.8835224772</v>
      </c>
      <c r="K86" s="6">
        <v>111874.89656247807</v>
      </c>
      <c r="L86" s="6">
        <v>0</v>
      </c>
      <c r="M86" s="6">
        <v>0</v>
      </c>
      <c r="N86" s="6">
        <v>26369.213054362437</v>
      </c>
      <c r="O86" s="6">
        <v>28597.026753271708</v>
      </c>
      <c r="Q86" s="6">
        <v>1439248.660902621</v>
      </c>
      <c r="R86" s="6">
        <v>32242.540078759601</v>
      </c>
      <c r="S86" s="6">
        <v>402545.68254109664</v>
      </c>
      <c r="T86" s="6">
        <f t="shared" si="18"/>
        <v>1874036.8835224772</v>
      </c>
      <c r="U86" s="6">
        <f t="shared" si="19"/>
        <v>1471491.2009813807</v>
      </c>
    </row>
    <row r="87" spans="1:21" x14ac:dyDescent="0.25">
      <c r="A87" s="23">
        <f t="shared" si="15"/>
        <v>81</v>
      </c>
      <c r="B87" s="38">
        <v>594</v>
      </c>
      <c r="C87" s="5" t="s">
        <v>308</v>
      </c>
      <c r="D87" s="5" t="s">
        <v>309</v>
      </c>
      <c r="E87" s="6">
        <v>16027029.473625937</v>
      </c>
      <c r="F87" s="6">
        <v>10395788.293568296</v>
      </c>
      <c r="G87" s="6">
        <v>1923732.9018447886</v>
      </c>
      <c r="H87" s="6">
        <v>1775373.7723253055</v>
      </c>
      <c r="I87" s="6">
        <v>762348.17998163914</v>
      </c>
      <c r="J87" s="6">
        <v>702055.46142745484</v>
      </c>
      <c r="K87" s="6">
        <v>384803.74256579421</v>
      </c>
      <c r="L87" s="6">
        <v>71198.68837448486</v>
      </c>
      <c r="M87" s="6">
        <v>0</v>
      </c>
      <c r="N87" s="6">
        <v>7617.9270613341678</v>
      </c>
      <c r="O87" s="6">
        <v>4110.5064768448947</v>
      </c>
      <c r="Q87" s="6">
        <v>518939.5396906347</v>
      </c>
      <c r="R87" s="6">
        <v>5776.9280215117442</v>
      </c>
      <c r="S87" s="6">
        <v>177338.99371530832</v>
      </c>
      <c r="T87" s="6">
        <f t="shared" si="18"/>
        <v>702055.46142745484</v>
      </c>
      <c r="U87" s="6">
        <f t="shared" si="19"/>
        <v>524716.46771214646</v>
      </c>
    </row>
    <row r="88" spans="1:21" x14ac:dyDescent="0.25">
      <c r="A88" s="23">
        <f t="shared" si="15"/>
        <v>82</v>
      </c>
      <c r="B88" s="38">
        <v>595</v>
      </c>
      <c r="C88" s="5" t="s">
        <v>358</v>
      </c>
      <c r="D88" s="5" t="s">
        <v>359</v>
      </c>
      <c r="E88" s="6">
        <v>255499.37168193504</v>
      </c>
      <c r="F88" s="6">
        <v>186145.49623534019</v>
      </c>
      <c r="G88" s="6">
        <v>34078.871597227349</v>
      </c>
      <c r="H88" s="6">
        <v>15803.825373578362</v>
      </c>
      <c r="I88" s="6">
        <v>4880.818485172902</v>
      </c>
      <c r="J88" s="6">
        <v>480.94237759968394</v>
      </c>
      <c r="K88" s="6">
        <v>1308.1640031850543</v>
      </c>
      <c r="L88" s="6">
        <v>0</v>
      </c>
      <c r="M88" s="6">
        <v>0</v>
      </c>
      <c r="N88" s="6">
        <v>12780.648357235441</v>
      </c>
      <c r="O88" s="6">
        <v>20.605252596052917</v>
      </c>
      <c r="Q88" s="6">
        <v>454.54505666480173</v>
      </c>
      <c r="R88" s="6">
        <v>0</v>
      </c>
      <c r="S88" s="6">
        <v>26.397320934882174</v>
      </c>
      <c r="T88" s="6">
        <f t="shared" si="18"/>
        <v>480.94237759968394</v>
      </c>
      <c r="U88" s="6">
        <f t="shared" si="19"/>
        <v>454.54505666480179</v>
      </c>
    </row>
    <row r="89" spans="1:21" x14ac:dyDescent="0.25">
      <c r="A89" s="23">
        <f t="shared" si="15"/>
        <v>83</v>
      </c>
      <c r="B89" s="38">
        <v>596</v>
      </c>
      <c r="C89" s="5" t="s">
        <v>310</v>
      </c>
      <c r="D89" s="5" t="s">
        <v>270</v>
      </c>
      <c r="E89" s="6">
        <v>2558444.572496444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2558444.572496444</v>
      </c>
      <c r="O89" s="6">
        <v>0</v>
      </c>
      <c r="Q89" s="6">
        <v>0</v>
      </c>
      <c r="R89" s="6">
        <v>0</v>
      </c>
      <c r="S89" s="6">
        <v>0</v>
      </c>
      <c r="T89" s="6">
        <f t="shared" si="18"/>
        <v>0</v>
      </c>
      <c r="U89" s="6">
        <f t="shared" si="19"/>
        <v>0</v>
      </c>
    </row>
    <row r="90" spans="1:21" x14ac:dyDescent="0.25">
      <c r="A90" s="23">
        <f t="shared" si="15"/>
        <v>84</v>
      </c>
      <c r="B90" s="38">
        <v>597</v>
      </c>
      <c r="C90" s="5" t="s">
        <v>360</v>
      </c>
      <c r="D90" s="5" t="s">
        <v>312</v>
      </c>
      <c r="E90" s="6">
        <v>500154.12212071661</v>
      </c>
      <c r="F90" s="6">
        <v>325185.62433919287</v>
      </c>
      <c r="G90" s="6">
        <v>92145.669816224254</v>
      </c>
      <c r="H90" s="6">
        <v>25029.520207545189</v>
      </c>
      <c r="I90" s="6">
        <v>2834.2672989657062</v>
      </c>
      <c r="J90" s="6">
        <v>47551.468276941559</v>
      </c>
      <c r="K90" s="6">
        <v>2975.2539015684324</v>
      </c>
      <c r="L90" s="6">
        <v>1539.59209818612</v>
      </c>
      <c r="M90" s="6">
        <v>2162.0737215730228</v>
      </c>
      <c r="N90" s="6">
        <v>0</v>
      </c>
      <c r="O90" s="6">
        <v>730.65246051943132</v>
      </c>
      <c r="Q90" s="6">
        <v>35174.33877325496</v>
      </c>
      <c r="R90" s="6">
        <v>82.662082717480317</v>
      </c>
      <c r="S90" s="6">
        <v>12294.467420969124</v>
      </c>
      <c r="T90" s="6">
        <f t="shared" si="18"/>
        <v>47551.468276941559</v>
      </c>
      <c r="U90" s="6">
        <f t="shared" si="19"/>
        <v>35257.000855972437</v>
      </c>
    </row>
    <row r="91" spans="1:21" x14ac:dyDescent="0.25">
      <c r="A91" s="24">
        <f>+A90+1</f>
        <v>85</v>
      </c>
      <c r="B91" s="39"/>
      <c r="C91" s="14" t="s">
        <v>288</v>
      </c>
      <c r="D91" s="14"/>
      <c r="E91" s="15">
        <f t="shared" ref="E91:O91" si="20">SUM(E84:E90)</f>
        <v>61353199.663856849</v>
      </c>
      <c r="F91" s="15">
        <f t="shared" si="20"/>
        <v>39060320.040003821</v>
      </c>
      <c r="G91" s="15">
        <f t="shared" si="20"/>
        <v>7500447.544498005</v>
      </c>
      <c r="H91" s="15">
        <f t="shared" si="20"/>
        <v>6088162.3253769567</v>
      </c>
      <c r="I91" s="15">
        <f t="shared" si="20"/>
        <v>2582727.6461591735</v>
      </c>
      <c r="J91" s="15">
        <f t="shared" si="20"/>
        <v>2735212.3125443519</v>
      </c>
      <c r="K91" s="15">
        <f t="shared" si="20"/>
        <v>590918.85194607801</v>
      </c>
      <c r="L91" s="15">
        <f t="shared" si="20"/>
        <v>127457.80144554802</v>
      </c>
      <c r="M91" s="15">
        <f t="shared" si="20"/>
        <v>27491.79961809238</v>
      </c>
      <c r="N91" s="15">
        <f t="shared" si="20"/>
        <v>2606592.5581726488</v>
      </c>
      <c r="O91" s="15">
        <f t="shared" si="20"/>
        <v>33868.784092195696</v>
      </c>
      <c r="Q91" s="15">
        <f>SUM(Q84:Q90)</f>
        <v>2092219.5882599102</v>
      </c>
      <c r="R91" s="15">
        <f>SUM(R84:R90)</f>
        <v>38450.934786698861</v>
      </c>
      <c r="S91" s="15">
        <f>SUM(S84:S90)</f>
        <v>604541.78949774231</v>
      </c>
      <c r="T91" s="15">
        <f>SUM(T84:T90)</f>
        <v>2735212.3125443519</v>
      </c>
      <c r="U91" s="15">
        <f>SUM(U84:U90)</f>
        <v>2130670.523046609</v>
      </c>
    </row>
    <row r="92" spans="1:21" x14ac:dyDescent="0.25">
      <c r="A92" s="23">
        <f t="shared" si="15"/>
        <v>86</v>
      </c>
      <c r="B92" s="38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Q92" s="6"/>
      <c r="R92" s="6"/>
      <c r="S92" s="6"/>
      <c r="T92" s="6"/>
      <c r="U92" s="6"/>
    </row>
    <row r="93" spans="1:21" x14ac:dyDescent="0.25">
      <c r="A93" s="23">
        <f t="shared" si="15"/>
        <v>87</v>
      </c>
      <c r="B93" s="38"/>
      <c r="C93" s="1" t="s">
        <v>361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Q93" s="6"/>
      <c r="R93" s="6"/>
      <c r="S93" s="6"/>
      <c r="T93" s="6"/>
      <c r="U93" s="6"/>
    </row>
    <row r="94" spans="1:21" x14ac:dyDescent="0.25">
      <c r="A94" s="23">
        <f t="shared" si="15"/>
        <v>88</v>
      </c>
      <c r="B94" s="38">
        <v>935</v>
      </c>
      <c r="C94" s="5" t="s">
        <v>362</v>
      </c>
      <c r="D94" s="5" t="s">
        <v>264</v>
      </c>
      <c r="E94" s="6">
        <v>12120662.048645999</v>
      </c>
      <c r="F94" s="6">
        <v>7380685.9138815468</v>
      </c>
      <c r="G94" s="6">
        <v>1492274.5682417515</v>
      </c>
      <c r="H94" s="6">
        <v>1247860.7999679253</v>
      </c>
      <c r="I94" s="6">
        <v>708587.25565534283</v>
      </c>
      <c r="J94" s="6">
        <v>554576.28498941101</v>
      </c>
      <c r="K94" s="6">
        <v>269861.27504173585</v>
      </c>
      <c r="L94" s="6">
        <v>186145.80700633765</v>
      </c>
      <c r="M94" s="6">
        <v>132278.23227687876</v>
      </c>
      <c r="N94" s="6">
        <v>144736.38250528078</v>
      </c>
      <c r="O94" s="6">
        <v>3655.5290797888483</v>
      </c>
      <c r="Q94" s="6">
        <v>487760.84951780923</v>
      </c>
      <c r="R94" s="6">
        <v>2489.0698855398582</v>
      </c>
      <c r="S94" s="6">
        <v>64326.365586061889</v>
      </c>
      <c r="T94" s="6">
        <f>SUM(Q94:S94)</f>
        <v>554576.28498941101</v>
      </c>
      <c r="U94" s="6">
        <f>+T94-S94</f>
        <v>490249.91940334911</v>
      </c>
    </row>
    <row r="95" spans="1:21" x14ac:dyDescent="0.25">
      <c r="A95" s="24">
        <f>+A94+1</f>
        <v>89</v>
      </c>
      <c r="B95" s="39"/>
      <c r="C95" s="14" t="s">
        <v>288</v>
      </c>
      <c r="D95" s="14"/>
      <c r="E95" s="15">
        <f t="shared" ref="E95:O95" si="21">SUM(E94:E94)</f>
        <v>12120662.048645999</v>
      </c>
      <c r="F95" s="15">
        <f t="shared" si="21"/>
        <v>7380685.9138815468</v>
      </c>
      <c r="G95" s="15">
        <f t="shared" si="21"/>
        <v>1492274.5682417515</v>
      </c>
      <c r="H95" s="15">
        <f t="shared" si="21"/>
        <v>1247860.7999679253</v>
      </c>
      <c r="I95" s="15">
        <f t="shared" si="21"/>
        <v>708587.25565534283</v>
      </c>
      <c r="J95" s="15">
        <f t="shared" si="21"/>
        <v>554576.28498941101</v>
      </c>
      <c r="K95" s="15">
        <f t="shared" si="21"/>
        <v>269861.27504173585</v>
      </c>
      <c r="L95" s="15">
        <f t="shared" si="21"/>
        <v>186145.80700633765</v>
      </c>
      <c r="M95" s="15">
        <f t="shared" si="21"/>
        <v>132278.23227687876</v>
      </c>
      <c r="N95" s="15">
        <f t="shared" si="21"/>
        <v>144736.38250528078</v>
      </c>
      <c r="O95" s="15">
        <f t="shared" si="21"/>
        <v>3655.5290797888483</v>
      </c>
      <c r="Q95" s="15">
        <f>SUM(Q94:Q94)</f>
        <v>487760.84951780923</v>
      </c>
      <c r="R95" s="15">
        <f>SUM(R94:R94)</f>
        <v>2489.0698855398582</v>
      </c>
      <c r="S95" s="15">
        <f>SUM(S94:S94)</f>
        <v>64326.365586061889</v>
      </c>
      <c r="T95" s="15">
        <f>SUM(T94:T94)</f>
        <v>554576.28498941101</v>
      </c>
      <c r="U95" s="15">
        <f>SUM(U94:U94)</f>
        <v>490249.91940334911</v>
      </c>
    </row>
    <row r="96" spans="1:21" x14ac:dyDescent="0.25">
      <c r="A96" s="23">
        <f t="shared" si="15"/>
        <v>90</v>
      </c>
      <c r="B96" s="38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Q96" s="6"/>
      <c r="R96" s="6"/>
      <c r="S96" s="6"/>
      <c r="T96" s="6"/>
      <c r="U96" s="6"/>
    </row>
    <row r="97" spans="1:21" x14ac:dyDescent="0.25">
      <c r="A97" s="24">
        <f t="shared" si="15"/>
        <v>91</v>
      </c>
      <c r="B97" s="39"/>
      <c r="C97" s="14" t="s">
        <v>363</v>
      </c>
      <c r="D97" s="14"/>
      <c r="E97" s="15">
        <f t="shared" ref="E97:O97" si="22">SUM(E95,E91)</f>
        <v>73473861.712502852</v>
      </c>
      <c r="F97" s="15">
        <f t="shared" si="22"/>
        <v>46441005.953885369</v>
      </c>
      <c r="G97" s="15">
        <f t="shared" si="22"/>
        <v>8992722.1127397567</v>
      </c>
      <c r="H97" s="15">
        <f t="shared" si="22"/>
        <v>7336023.1253448818</v>
      </c>
      <c r="I97" s="15">
        <f t="shared" si="22"/>
        <v>3291314.9018145162</v>
      </c>
      <c r="J97" s="15">
        <f t="shared" si="22"/>
        <v>3289788.5975337629</v>
      </c>
      <c r="K97" s="15">
        <f t="shared" si="22"/>
        <v>860780.12698781386</v>
      </c>
      <c r="L97" s="15">
        <f t="shared" si="22"/>
        <v>313603.60845188564</v>
      </c>
      <c r="M97" s="15">
        <f t="shared" si="22"/>
        <v>159770.03189497115</v>
      </c>
      <c r="N97" s="15">
        <f t="shared" si="22"/>
        <v>2751328.9406779297</v>
      </c>
      <c r="O97" s="15">
        <f t="shared" si="22"/>
        <v>37524.313171984541</v>
      </c>
      <c r="Q97" s="15">
        <f>SUM(Q95,Q91)</f>
        <v>2579980.4377777195</v>
      </c>
      <c r="R97" s="15">
        <f>SUM(R95,R91)</f>
        <v>40940.00467223872</v>
      </c>
      <c r="S97" s="15">
        <f>SUM(S95,S91)</f>
        <v>668868.15508380416</v>
      </c>
      <c r="T97" s="15">
        <f>SUM(T95,T91)</f>
        <v>3289788.5975337629</v>
      </c>
      <c r="U97" s="15">
        <f>SUM(U95,U91)</f>
        <v>2620920.4424499581</v>
      </c>
    </row>
    <row r="98" spans="1:21" x14ac:dyDescent="0.25">
      <c r="A98" s="23">
        <f t="shared" si="15"/>
        <v>92</v>
      </c>
      <c r="B98" s="38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Q98" s="6"/>
      <c r="R98" s="6"/>
      <c r="S98" s="6"/>
      <c r="T98" s="6"/>
      <c r="U98" s="6"/>
    </row>
    <row r="99" spans="1:21" x14ac:dyDescent="0.25">
      <c r="A99" s="24">
        <f>+A98+1</f>
        <v>93</v>
      </c>
      <c r="B99" s="39"/>
      <c r="C99" s="14" t="s">
        <v>364</v>
      </c>
      <c r="D99" s="14"/>
      <c r="E99" s="15">
        <f t="shared" ref="E99:O99" si="23">SUM(E97,E81)</f>
        <v>1173152356.8006525</v>
      </c>
      <c r="F99" s="15">
        <f t="shared" si="23"/>
        <v>660615353.72867405</v>
      </c>
      <c r="G99" s="15">
        <f t="shared" si="23"/>
        <v>151142480.35932606</v>
      </c>
      <c r="H99" s="15">
        <f t="shared" si="23"/>
        <v>141553237.11283854</v>
      </c>
      <c r="I99" s="15">
        <f t="shared" si="23"/>
        <v>87871028.238303721</v>
      </c>
      <c r="J99" s="15">
        <f t="shared" si="23"/>
        <v>64706535.322549552</v>
      </c>
      <c r="K99" s="15">
        <f t="shared" si="23"/>
        <v>30103956.412646804</v>
      </c>
      <c r="L99" s="15">
        <f t="shared" si="23"/>
        <v>25575883.403715935</v>
      </c>
      <c r="M99" s="15">
        <f t="shared" si="23"/>
        <v>2661257.9518310293</v>
      </c>
      <c r="N99" s="15">
        <f t="shared" si="23"/>
        <v>8520748.105021935</v>
      </c>
      <c r="O99" s="15">
        <f t="shared" si="23"/>
        <v>401876.16574476962</v>
      </c>
      <c r="Q99" s="15">
        <f>SUM(Q97,Q81)</f>
        <v>59089912.902075641</v>
      </c>
      <c r="R99" s="15">
        <f>SUM(R97,R81)</f>
        <v>215355.88445301834</v>
      </c>
      <c r="S99" s="15">
        <f>SUM(S97,S81)</f>
        <v>5401266.5360208871</v>
      </c>
      <c r="T99" s="15">
        <f>SUM(T97,T81)</f>
        <v>64706535.322549552</v>
      </c>
      <c r="U99" s="15">
        <f>SUM(U97,U81)</f>
        <v>59305268.786528662</v>
      </c>
    </row>
    <row r="100" spans="1:21" x14ac:dyDescent="0.25">
      <c r="A100" s="23">
        <f t="shared" si="15"/>
        <v>94</v>
      </c>
      <c r="B100" s="38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Q100" s="6"/>
      <c r="R100" s="6"/>
      <c r="S100" s="6"/>
      <c r="T100" s="6"/>
      <c r="U100" s="6"/>
    </row>
    <row r="101" spans="1:21" x14ac:dyDescent="0.25">
      <c r="A101" s="23">
        <f t="shared" si="15"/>
        <v>95</v>
      </c>
      <c r="B101" s="38"/>
      <c r="C101" s="1" t="s">
        <v>42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Q101" s="6"/>
      <c r="R101" s="6"/>
      <c r="S101" s="6"/>
      <c r="T101" s="6"/>
      <c r="U101" s="6"/>
    </row>
    <row r="102" spans="1:21" x14ac:dyDescent="0.25">
      <c r="A102" s="23">
        <f t="shared" si="15"/>
        <v>96</v>
      </c>
      <c r="B102" s="38">
        <v>403.01</v>
      </c>
      <c r="C102" s="5" t="s">
        <v>365</v>
      </c>
      <c r="D102" s="5" t="s">
        <v>252</v>
      </c>
      <c r="E102" s="6">
        <v>49656182.506266594</v>
      </c>
      <c r="F102" s="6">
        <v>26530437.977509532</v>
      </c>
      <c r="G102" s="6">
        <v>6503998.2230028184</v>
      </c>
      <c r="H102" s="6">
        <v>6548371.5382787008</v>
      </c>
      <c r="I102" s="6">
        <v>4189639.7287231544</v>
      </c>
      <c r="J102" s="6">
        <v>2977525.5724905874</v>
      </c>
      <c r="K102" s="6">
        <v>1441881.8098531598</v>
      </c>
      <c r="L102" s="6">
        <v>1267973.523819064</v>
      </c>
      <c r="M102" s="6">
        <v>0</v>
      </c>
      <c r="N102" s="6">
        <v>179469.79129935938</v>
      </c>
      <c r="O102" s="6">
        <v>16884.341290229859</v>
      </c>
      <c r="Q102" s="6">
        <v>2761232.2087869993</v>
      </c>
      <c r="R102" s="6">
        <v>7681.8169028418797</v>
      </c>
      <c r="S102" s="6">
        <v>208611.546800746</v>
      </c>
      <c r="T102" s="6">
        <f t="shared" ref="T102:T124" si="24">SUM(Q102:S102)</f>
        <v>2977525.5724905874</v>
      </c>
      <c r="U102" s="6">
        <f t="shared" ref="U102:U124" si="25">+T102-S102</f>
        <v>2768914.0256898412</v>
      </c>
    </row>
    <row r="103" spans="1:21" x14ac:dyDescent="0.25">
      <c r="A103" s="23">
        <f t="shared" si="15"/>
        <v>97</v>
      </c>
      <c r="B103" s="38">
        <v>403.02</v>
      </c>
      <c r="C103" s="5" t="s">
        <v>366</v>
      </c>
      <c r="D103" s="5" t="s">
        <v>252</v>
      </c>
      <c r="E103" s="6">
        <v>18725546.655301787</v>
      </c>
      <c r="F103" s="6">
        <v>10004735.14190805</v>
      </c>
      <c r="G103" s="6">
        <v>2452683.956433204</v>
      </c>
      <c r="H103" s="6">
        <v>2469417.312553443</v>
      </c>
      <c r="I103" s="6">
        <v>1579930.0358864793</v>
      </c>
      <c r="J103" s="6">
        <v>1122836.89987627</v>
      </c>
      <c r="K103" s="6">
        <v>543739.44469913549</v>
      </c>
      <c r="L103" s="6">
        <v>478157.92877281446</v>
      </c>
      <c r="M103" s="6">
        <v>0</v>
      </c>
      <c r="N103" s="6">
        <v>67678.78198790882</v>
      </c>
      <c r="O103" s="6">
        <v>6367.1531844868905</v>
      </c>
      <c r="Q103" s="6">
        <v>1041271.8002483927</v>
      </c>
      <c r="R103" s="6">
        <v>2896.8441300033114</v>
      </c>
      <c r="S103" s="6">
        <v>78668.255497873979</v>
      </c>
      <c r="T103" s="6">
        <f t="shared" si="24"/>
        <v>1122836.89987627</v>
      </c>
      <c r="U103" s="6">
        <f t="shared" si="25"/>
        <v>1044168.644378396</v>
      </c>
    </row>
    <row r="104" spans="1:21" x14ac:dyDescent="0.25">
      <c r="A104" s="23">
        <f t="shared" si="15"/>
        <v>98</v>
      </c>
      <c r="B104" s="38">
        <v>403.03</v>
      </c>
      <c r="C104" s="5" t="s">
        <v>367</v>
      </c>
      <c r="D104" s="5" t="s">
        <v>252</v>
      </c>
      <c r="E104" s="6">
        <v>74534250.89338842</v>
      </c>
      <c r="F104" s="6">
        <v>39822358.883058026</v>
      </c>
      <c r="G104" s="6">
        <v>9762543.3711555786</v>
      </c>
      <c r="H104" s="6">
        <v>9829148.0041904803</v>
      </c>
      <c r="I104" s="6">
        <v>6288676.3124440899</v>
      </c>
      <c r="J104" s="6">
        <v>4469285.1294697542</v>
      </c>
      <c r="K104" s="6">
        <v>2164273.9161562766</v>
      </c>
      <c r="L104" s="6">
        <v>1903236.4547672817</v>
      </c>
      <c r="M104" s="6">
        <v>0</v>
      </c>
      <c r="N104" s="6">
        <v>269385.31673880451</v>
      </c>
      <c r="O104" s="6">
        <v>25343.505408148769</v>
      </c>
      <c r="Q104" s="6">
        <v>4144627.392543972</v>
      </c>
      <c r="R104" s="6">
        <v>11530.456822395317</v>
      </c>
      <c r="S104" s="6">
        <v>313127.2801033869</v>
      </c>
      <c r="T104" s="6">
        <f t="shared" si="24"/>
        <v>4469285.1294697542</v>
      </c>
      <c r="U104" s="6">
        <f t="shared" si="25"/>
        <v>4156157.8493663673</v>
      </c>
    </row>
    <row r="105" spans="1:21" x14ac:dyDescent="0.25">
      <c r="A105" s="23">
        <f t="shared" si="15"/>
        <v>99</v>
      </c>
      <c r="B105" s="38">
        <v>403.04</v>
      </c>
      <c r="C105" s="5" t="s">
        <v>368</v>
      </c>
      <c r="D105" s="5" t="s">
        <v>301</v>
      </c>
      <c r="E105" s="6">
        <v>29988545.120614346</v>
      </c>
      <c r="F105" s="6">
        <v>14909217.350950381</v>
      </c>
      <c r="G105" s="6">
        <v>3649894.8308581477</v>
      </c>
      <c r="H105" s="6">
        <v>3673034.9208281725</v>
      </c>
      <c r="I105" s="6">
        <v>2348417.7496057698</v>
      </c>
      <c r="J105" s="6">
        <v>1668673.9071857508</v>
      </c>
      <c r="K105" s="6">
        <v>808346.07547276164</v>
      </c>
      <c r="L105" s="6">
        <v>710230.70527389378</v>
      </c>
      <c r="M105" s="6">
        <v>2110506.0507751182</v>
      </c>
      <c r="N105" s="6">
        <v>100735.00004363644</v>
      </c>
      <c r="O105" s="6">
        <v>9488.529620716894</v>
      </c>
      <c r="Q105" s="6">
        <v>1548081.5425224581</v>
      </c>
      <c r="R105" s="6">
        <v>4283.1165970128814</v>
      </c>
      <c r="S105" s="6">
        <v>116309.24806627976</v>
      </c>
      <c r="T105" s="6">
        <f t="shared" si="24"/>
        <v>1668673.9071857508</v>
      </c>
      <c r="U105" s="6">
        <f t="shared" si="25"/>
        <v>1552364.659119471</v>
      </c>
    </row>
    <row r="106" spans="1:21" x14ac:dyDescent="0.25">
      <c r="A106" s="23">
        <f t="shared" si="15"/>
        <v>100</v>
      </c>
      <c r="B106" s="38">
        <v>403.05</v>
      </c>
      <c r="C106" s="5" t="s">
        <v>369</v>
      </c>
      <c r="D106" s="5" t="s">
        <v>276</v>
      </c>
      <c r="E106" s="6">
        <v>116546832.38730794</v>
      </c>
      <c r="F106" s="6">
        <v>75533933.652575433</v>
      </c>
      <c r="G106" s="6">
        <v>14064584.699009214</v>
      </c>
      <c r="H106" s="6">
        <v>11245773.272572011</v>
      </c>
      <c r="I106" s="6">
        <v>4914574.1760079842</v>
      </c>
      <c r="J106" s="6">
        <v>4865617.4272583444</v>
      </c>
      <c r="K106" s="6">
        <v>2367345.7575814524</v>
      </c>
      <c r="L106" s="6">
        <v>734935.89438071509</v>
      </c>
      <c r="M106" s="6">
        <v>243824.75661864222</v>
      </c>
      <c r="N106" s="6">
        <v>2535107.0529764513</v>
      </c>
      <c r="O106" s="6">
        <v>41135.698327684389</v>
      </c>
      <c r="Q106" s="6">
        <v>3809358.7959307139</v>
      </c>
      <c r="R106" s="6">
        <v>40795.836540475837</v>
      </c>
      <c r="S106" s="6">
        <v>1015462.7947871545</v>
      </c>
      <c r="T106" s="6">
        <f t="shared" si="24"/>
        <v>4865617.4272583444</v>
      </c>
      <c r="U106" s="6">
        <f t="shared" si="25"/>
        <v>3850154.6324711898</v>
      </c>
    </row>
    <row r="107" spans="1:21" x14ac:dyDescent="0.25">
      <c r="A107" s="23">
        <f t="shared" si="15"/>
        <v>101</v>
      </c>
      <c r="B107" s="38">
        <v>403.06</v>
      </c>
      <c r="C107" s="5" t="s">
        <v>370</v>
      </c>
      <c r="D107" s="5" t="s">
        <v>264</v>
      </c>
      <c r="E107" s="6">
        <v>27073546.103763744</v>
      </c>
      <c r="F107" s="6">
        <v>16486008.731609983</v>
      </c>
      <c r="G107" s="6">
        <v>3333247.3226807285</v>
      </c>
      <c r="H107" s="6">
        <v>2787307.8849504883</v>
      </c>
      <c r="I107" s="6">
        <v>1582749.3298245531</v>
      </c>
      <c r="J107" s="6">
        <v>1238739.8113613846</v>
      </c>
      <c r="K107" s="6">
        <v>602780.74268055917</v>
      </c>
      <c r="L107" s="6">
        <v>415788.10363509535</v>
      </c>
      <c r="M107" s="6">
        <v>295465.77618443762</v>
      </c>
      <c r="N107" s="6">
        <v>323293.15914607508</v>
      </c>
      <c r="O107" s="6">
        <v>8165.2416904378733</v>
      </c>
      <c r="Q107" s="6">
        <v>1089496.2497949158</v>
      </c>
      <c r="R107" s="6">
        <v>5559.758042192193</v>
      </c>
      <c r="S107" s="6">
        <v>143683.80352427659</v>
      </c>
      <c r="T107" s="6">
        <f t="shared" si="24"/>
        <v>1238739.8113613846</v>
      </c>
      <c r="U107" s="6">
        <f t="shared" si="25"/>
        <v>1095056.0078371079</v>
      </c>
    </row>
    <row r="108" spans="1:21" x14ac:dyDescent="0.25">
      <c r="A108" s="23">
        <f t="shared" si="15"/>
        <v>102</v>
      </c>
      <c r="B108" s="38">
        <v>403.07</v>
      </c>
      <c r="C108" s="5" t="s">
        <v>371</v>
      </c>
      <c r="D108" s="5" t="s">
        <v>252</v>
      </c>
      <c r="E108" s="6">
        <v>1739313.9972498524</v>
      </c>
      <c r="F108" s="6">
        <v>929285.33363651019</v>
      </c>
      <c r="G108" s="6">
        <v>227816.44855460519</v>
      </c>
      <c r="H108" s="6">
        <v>229370.71882807981</v>
      </c>
      <c r="I108" s="6">
        <v>146751.0923273779</v>
      </c>
      <c r="J108" s="6">
        <v>104294.20152764842</v>
      </c>
      <c r="K108" s="6">
        <v>50504.994296350837</v>
      </c>
      <c r="L108" s="6">
        <v>44413.484621827221</v>
      </c>
      <c r="M108" s="6">
        <v>0</v>
      </c>
      <c r="N108" s="6">
        <v>6286.3132914233138</v>
      </c>
      <c r="O108" s="6">
        <v>591.41016602986531</v>
      </c>
      <c r="Q108" s="6">
        <v>96718.063854269538</v>
      </c>
      <c r="R108" s="6">
        <v>269.07206694226295</v>
      </c>
      <c r="S108" s="6">
        <v>7307.0656064366149</v>
      </c>
      <c r="T108" s="6">
        <f t="shared" si="24"/>
        <v>104294.20152764842</v>
      </c>
      <c r="U108" s="6">
        <f t="shared" si="25"/>
        <v>96987.135921211797</v>
      </c>
    </row>
    <row r="109" spans="1:21" x14ac:dyDescent="0.25">
      <c r="A109" s="23">
        <f t="shared" si="15"/>
        <v>103</v>
      </c>
      <c r="B109" s="38">
        <v>403.08</v>
      </c>
      <c r="C109" s="5" t="s">
        <v>372</v>
      </c>
      <c r="D109" s="5" t="s">
        <v>276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Q109" s="6">
        <v>0</v>
      </c>
      <c r="R109" s="6">
        <v>0</v>
      </c>
      <c r="S109" s="6">
        <v>0</v>
      </c>
      <c r="T109" s="6">
        <f t="shared" si="24"/>
        <v>0</v>
      </c>
      <c r="U109" s="6">
        <f t="shared" si="25"/>
        <v>0</v>
      </c>
    </row>
    <row r="110" spans="1:21" x14ac:dyDescent="0.25">
      <c r="A110" s="23">
        <f t="shared" si="15"/>
        <v>104</v>
      </c>
      <c r="B110" s="38">
        <v>404</v>
      </c>
      <c r="C110" s="5" t="s">
        <v>373</v>
      </c>
      <c r="D110" s="5" t="s">
        <v>252</v>
      </c>
      <c r="E110" s="6">
        <v>984175.52593432798</v>
      </c>
      <c r="F110" s="6">
        <v>525827.93182879826</v>
      </c>
      <c r="G110" s="6">
        <v>128907.93348828054</v>
      </c>
      <c r="H110" s="6">
        <v>129787.4036508042</v>
      </c>
      <c r="I110" s="6">
        <v>83037.814736787332</v>
      </c>
      <c r="J110" s="6">
        <v>59013.956538423357</v>
      </c>
      <c r="K110" s="6">
        <v>28577.806768941387</v>
      </c>
      <c r="L110" s="6">
        <v>25130.979601944731</v>
      </c>
      <c r="M110" s="6">
        <v>0</v>
      </c>
      <c r="N110" s="6">
        <v>3557.0550800815281</v>
      </c>
      <c r="O110" s="6">
        <v>334.64424026695127</v>
      </c>
      <c r="Q110" s="6">
        <v>54727.065677406819</v>
      </c>
      <c r="R110" s="6">
        <v>152.25206225894459</v>
      </c>
      <c r="S110" s="6">
        <v>4134.6387987575918</v>
      </c>
      <c r="T110" s="6">
        <f t="shared" si="24"/>
        <v>59013.956538423357</v>
      </c>
      <c r="U110" s="6">
        <f t="shared" si="25"/>
        <v>54879.317739665763</v>
      </c>
    </row>
    <row r="111" spans="1:21" x14ac:dyDescent="0.25">
      <c r="A111" s="23">
        <f t="shared" si="15"/>
        <v>105</v>
      </c>
      <c r="B111" s="38">
        <v>404.01</v>
      </c>
      <c r="C111" s="5" t="s">
        <v>374</v>
      </c>
      <c r="D111" s="5" t="s">
        <v>231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Q111" s="6">
        <v>0</v>
      </c>
      <c r="R111" s="6">
        <v>0</v>
      </c>
      <c r="S111" s="6">
        <v>0</v>
      </c>
      <c r="T111" s="6">
        <f t="shared" si="24"/>
        <v>0</v>
      </c>
      <c r="U111" s="6">
        <f t="shared" si="25"/>
        <v>0</v>
      </c>
    </row>
    <row r="112" spans="1:21" x14ac:dyDescent="0.25">
      <c r="A112" s="23">
        <f t="shared" si="15"/>
        <v>106</v>
      </c>
      <c r="B112" s="38">
        <v>404.02</v>
      </c>
      <c r="C112" s="5" t="s">
        <v>375</v>
      </c>
      <c r="D112" s="5" t="s">
        <v>264</v>
      </c>
      <c r="E112" s="6">
        <v>33860372.439818002</v>
      </c>
      <c r="F112" s="6">
        <v>20618739.545936391</v>
      </c>
      <c r="G112" s="6">
        <v>4168829.4303015326</v>
      </c>
      <c r="H112" s="6">
        <v>3486033.2934275055</v>
      </c>
      <c r="I112" s="6">
        <v>1979514.6738934699</v>
      </c>
      <c r="J112" s="6">
        <v>1549268.4707045201</v>
      </c>
      <c r="K112" s="6">
        <v>753886.48271222936</v>
      </c>
      <c r="L112" s="6">
        <v>520018.3230955755</v>
      </c>
      <c r="M112" s="6">
        <v>369533.46216564276</v>
      </c>
      <c r="N112" s="6">
        <v>404336.64411658421</v>
      </c>
      <c r="O112" s="6">
        <v>10212.1134645498</v>
      </c>
      <c r="Q112" s="6">
        <v>1362612.3688581863</v>
      </c>
      <c r="R112" s="6">
        <v>6953.4843076108855</v>
      </c>
      <c r="S112" s="6">
        <v>179702.61753872302</v>
      </c>
      <c r="T112" s="6">
        <f t="shared" si="24"/>
        <v>1549268.4707045201</v>
      </c>
      <c r="U112" s="6">
        <f t="shared" si="25"/>
        <v>1369565.8531657972</v>
      </c>
    </row>
    <row r="113" spans="1:21" x14ac:dyDescent="0.25">
      <c r="A113" s="23">
        <f t="shared" si="15"/>
        <v>107</v>
      </c>
      <c r="B113" s="38">
        <v>405</v>
      </c>
      <c r="C113" s="5" t="s">
        <v>376</v>
      </c>
      <c r="D113" s="5" t="s">
        <v>257</v>
      </c>
      <c r="E113" s="6">
        <v>2458878.21</v>
      </c>
      <c r="F113" s="6">
        <v>1411456.4663002768</v>
      </c>
      <c r="G113" s="6">
        <v>308319.20994462242</v>
      </c>
      <c r="H113" s="6">
        <v>285763.21628125245</v>
      </c>
      <c r="I113" s="6">
        <v>163535.14697212362</v>
      </c>
      <c r="J113" s="6">
        <v>127822.49544302317</v>
      </c>
      <c r="K113" s="6">
        <v>61996.551093847658</v>
      </c>
      <c r="L113" s="6">
        <v>43126.678354575823</v>
      </c>
      <c r="M113" s="6">
        <v>29363.479644415245</v>
      </c>
      <c r="N113" s="6">
        <v>26655.312644822428</v>
      </c>
      <c r="O113" s="6">
        <v>839.65332104125923</v>
      </c>
      <c r="Q113" s="6">
        <v>112604.86075793995</v>
      </c>
      <c r="R113" s="6">
        <v>568.20891906717588</v>
      </c>
      <c r="S113" s="6">
        <v>14649.425766016047</v>
      </c>
      <c r="T113" s="6">
        <f t="shared" si="24"/>
        <v>127822.49544302317</v>
      </c>
      <c r="U113" s="6">
        <f t="shared" si="25"/>
        <v>113173.06967700712</v>
      </c>
    </row>
    <row r="114" spans="1:21" x14ac:dyDescent="0.25">
      <c r="A114" s="23">
        <f t="shared" si="15"/>
        <v>108</v>
      </c>
      <c r="B114" s="38">
        <v>406</v>
      </c>
      <c r="C114" s="5" t="s">
        <v>377</v>
      </c>
      <c r="D114" s="5" t="s">
        <v>231</v>
      </c>
      <c r="E114" s="6">
        <v>25800</v>
      </c>
      <c r="F114" s="6">
        <v>13784.49299306011</v>
      </c>
      <c r="G114" s="6">
        <v>3379.3003345010666</v>
      </c>
      <c r="H114" s="6">
        <v>3402.3555005717421</v>
      </c>
      <c r="I114" s="6">
        <v>2176.8226944835337</v>
      </c>
      <c r="J114" s="6">
        <v>1547.0411919112482</v>
      </c>
      <c r="K114" s="6">
        <v>749.16251746732291</v>
      </c>
      <c r="L114" s="6">
        <v>658.8045085907155</v>
      </c>
      <c r="M114" s="6">
        <v>0</v>
      </c>
      <c r="N114" s="6">
        <v>93.247615539900323</v>
      </c>
      <c r="O114" s="6">
        <v>8.7726438743646007</v>
      </c>
      <c r="Q114" s="6">
        <v>1434.6610510728274</v>
      </c>
      <c r="R114" s="6">
        <v>3.9912628416070617</v>
      </c>
      <c r="S114" s="6">
        <v>108.38887799681372</v>
      </c>
      <c r="T114" s="6">
        <f t="shared" si="24"/>
        <v>1547.0411919112482</v>
      </c>
      <c r="U114" s="6">
        <f t="shared" si="25"/>
        <v>1438.6523139144344</v>
      </c>
    </row>
    <row r="115" spans="1:21" x14ac:dyDescent="0.25">
      <c r="A115" s="23">
        <f t="shared" si="15"/>
        <v>109</v>
      </c>
      <c r="B115" s="38">
        <v>406.01</v>
      </c>
      <c r="C115" s="5" t="s">
        <v>378</v>
      </c>
      <c r="D115" s="5" t="s">
        <v>276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Q115" s="6">
        <v>0</v>
      </c>
      <c r="R115" s="6">
        <v>0</v>
      </c>
      <c r="S115" s="6">
        <v>0</v>
      </c>
      <c r="T115" s="6">
        <f t="shared" si="24"/>
        <v>0</v>
      </c>
      <c r="U115" s="6">
        <f t="shared" si="25"/>
        <v>0</v>
      </c>
    </row>
    <row r="116" spans="1:21" x14ac:dyDescent="0.25">
      <c r="A116" s="23">
        <f t="shared" si="15"/>
        <v>110</v>
      </c>
      <c r="B116" s="38">
        <v>406.02</v>
      </c>
      <c r="C116" s="5" t="s">
        <v>379</v>
      </c>
      <c r="D116" s="5" t="s">
        <v>231</v>
      </c>
      <c r="E116" s="6">
        <v>715282.68</v>
      </c>
      <c r="F116" s="6">
        <v>382163.14304330456</v>
      </c>
      <c r="G116" s="6">
        <v>93688.178286310824</v>
      </c>
      <c r="H116" s="6">
        <v>94327.36282022082</v>
      </c>
      <c r="I116" s="6">
        <v>60350.525999806334</v>
      </c>
      <c r="J116" s="6">
        <v>42890.378675219843</v>
      </c>
      <c r="K116" s="6">
        <v>20769.882684091997</v>
      </c>
      <c r="L116" s="6">
        <v>18264.785058172482</v>
      </c>
      <c r="M116" s="6">
        <v>0</v>
      </c>
      <c r="N116" s="6">
        <v>2585.2094708135487</v>
      </c>
      <c r="O116" s="6">
        <v>243.21396205973235</v>
      </c>
      <c r="Q116" s="6">
        <v>39774.736492363911</v>
      </c>
      <c r="R116" s="6">
        <v>110.65430937709746</v>
      </c>
      <c r="S116" s="6">
        <v>3004.9878734788354</v>
      </c>
      <c r="T116" s="6">
        <f t="shared" si="24"/>
        <v>42890.378675219843</v>
      </c>
      <c r="U116" s="6">
        <f t="shared" si="25"/>
        <v>39885.390801741007</v>
      </c>
    </row>
    <row r="117" spans="1:21" x14ac:dyDescent="0.25">
      <c r="A117" s="23">
        <f t="shared" si="15"/>
        <v>111</v>
      </c>
      <c r="B117" s="38">
        <v>406.03</v>
      </c>
      <c r="C117" s="5" t="s">
        <v>380</v>
      </c>
      <c r="D117" s="5" t="s">
        <v>252</v>
      </c>
      <c r="E117" s="6">
        <v>10141653.090000002</v>
      </c>
      <c r="F117" s="6">
        <v>5418509.5332229249</v>
      </c>
      <c r="G117" s="6">
        <v>1328360.1426135963</v>
      </c>
      <c r="H117" s="6">
        <v>1337422.8362655779</v>
      </c>
      <c r="I117" s="6">
        <v>855681.41883298685</v>
      </c>
      <c r="J117" s="6">
        <v>608122.29008930235</v>
      </c>
      <c r="K117" s="6">
        <v>294486.29303041304</v>
      </c>
      <c r="L117" s="6">
        <v>258967.70466104514</v>
      </c>
      <c r="M117" s="6">
        <v>0</v>
      </c>
      <c r="N117" s="6">
        <v>36654.456134703971</v>
      </c>
      <c r="O117" s="6">
        <v>3448.4151494542384</v>
      </c>
      <c r="Q117" s="6">
        <v>563947.08068664314</v>
      </c>
      <c r="R117" s="6">
        <v>1568.9148500227307</v>
      </c>
      <c r="S117" s="6">
        <v>42606.294552636406</v>
      </c>
      <c r="T117" s="6">
        <f t="shared" si="24"/>
        <v>608122.29008930235</v>
      </c>
      <c r="U117" s="6">
        <f t="shared" si="25"/>
        <v>565515.9955366659</v>
      </c>
    </row>
    <row r="118" spans="1:21" x14ac:dyDescent="0.25">
      <c r="A118" s="23">
        <f t="shared" si="15"/>
        <v>112</v>
      </c>
      <c r="B118" s="38">
        <v>407</v>
      </c>
      <c r="C118" s="5" t="s">
        <v>381</v>
      </c>
      <c r="D118" s="5" t="s">
        <v>252</v>
      </c>
      <c r="E118" s="6">
        <v>9815154.7828824874</v>
      </c>
      <c r="F118" s="6">
        <v>5244067.1445908565</v>
      </c>
      <c r="G118" s="6">
        <v>1285595.1876346718</v>
      </c>
      <c r="H118" s="6">
        <v>1294366.1187791969</v>
      </c>
      <c r="I118" s="6">
        <v>828133.78609485284</v>
      </c>
      <c r="J118" s="6">
        <v>588544.52535286488</v>
      </c>
      <c r="K118" s="6">
        <v>285005.66149130545</v>
      </c>
      <c r="L118" s="6">
        <v>250630.55129762442</v>
      </c>
      <c r="M118" s="6">
        <v>0</v>
      </c>
      <c r="N118" s="6">
        <v>35474.410064296128</v>
      </c>
      <c r="O118" s="6">
        <v>3337.3975768214909</v>
      </c>
      <c r="Q118" s="6">
        <v>545791.48361444497</v>
      </c>
      <c r="R118" s="6">
        <v>1518.4055259511902</v>
      </c>
      <c r="S118" s="6">
        <v>41234.636212468715</v>
      </c>
      <c r="T118" s="6">
        <f t="shared" si="24"/>
        <v>588544.52535286488</v>
      </c>
      <c r="U118" s="6">
        <f t="shared" si="25"/>
        <v>547309.88914039615</v>
      </c>
    </row>
    <row r="119" spans="1:21" x14ac:dyDescent="0.25">
      <c r="A119" s="23">
        <f t="shared" si="15"/>
        <v>113</v>
      </c>
      <c r="B119" s="38">
        <v>407.01</v>
      </c>
      <c r="C119" s="5" t="s">
        <v>382</v>
      </c>
      <c r="D119" s="5" t="s">
        <v>383</v>
      </c>
      <c r="E119" s="6">
        <v>26207717.740833335</v>
      </c>
      <c r="F119" s="6">
        <v>15867548.716193695</v>
      </c>
      <c r="G119" s="6">
        <v>3170325.3614708795</v>
      </c>
      <c r="H119" s="6">
        <v>2721271.7360291681</v>
      </c>
      <c r="I119" s="6">
        <v>1372761.617087882</v>
      </c>
      <c r="J119" s="6">
        <v>1197018.881559649</v>
      </c>
      <c r="K119" s="6">
        <v>581530.35659614392</v>
      </c>
      <c r="L119" s="6">
        <v>293941.75149902795</v>
      </c>
      <c r="M119" s="6">
        <v>560469.49320267746</v>
      </c>
      <c r="N119" s="6">
        <v>433870.34323002462</v>
      </c>
      <c r="O119" s="6">
        <v>8979.4839641957569</v>
      </c>
      <c r="Q119" s="6">
        <v>996832.42514411267</v>
      </c>
      <c r="R119" s="6">
        <v>7639.3167861462935</v>
      </c>
      <c r="S119" s="6">
        <v>192547.13962939009</v>
      </c>
      <c r="T119" s="6">
        <f t="shared" si="24"/>
        <v>1197018.881559649</v>
      </c>
      <c r="U119" s="6">
        <f t="shared" si="25"/>
        <v>1004471.7419302589</v>
      </c>
    </row>
    <row r="120" spans="1:21" x14ac:dyDescent="0.25">
      <c r="A120" s="23">
        <f t="shared" si="15"/>
        <v>114</v>
      </c>
      <c r="B120" s="38">
        <v>407.02</v>
      </c>
      <c r="C120" s="5" t="s">
        <v>384</v>
      </c>
      <c r="D120" s="5" t="s">
        <v>252</v>
      </c>
      <c r="E120" s="6">
        <v>10579661.133228529</v>
      </c>
      <c r="F120" s="6">
        <v>5652529.6418581028</v>
      </c>
      <c r="G120" s="6">
        <v>1385730.713427407</v>
      </c>
      <c r="H120" s="6">
        <v>1395184.8159234556</v>
      </c>
      <c r="I120" s="6">
        <v>892637.45948671491</v>
      </c>
      <c r="J120" s="6">
        <v>634386.49494445627</v>
      </c>
      <c r="K120" s="6">
        <v>307204.86699692544</v>
      </c>
      <c r="L120" s="6">
        <v>270152.26565631456</v>
      </c>
      <c r="M120" s="6">
        <v>0</v>
      </c>
      <c r="N120" s="6">
        <v>38237.526119911636</v>
      </c>
      <c r="O120" s="6">
        <v>3597.3488152430427</v>
      </c>
      <c r="Q120" s="6">
        <v>588303.40160434041</v>
      </c>
      <c r="R120" s="6">
        <v>1636.6747425523058</v>
      </c>
      <c r="S120" s="6">
        <v>44446.418597563534</v>
      </c>
      <c r="T120" s="6">
        <f t="shared" si="24"/>
        <v>634386.49494445627</v>
      </c>
      <c r="U120" s="6">
        <f t="shared" si="25"/>
        <v>589940.07634689275</v>
      </c>
    </row>
    <row r="121" spans="1:21" x14ac:dyDescent="0.25">
      <c r="A121" s="23">
        <f t="shared" si="15"/>
        <v>115</v>
      </c>
      <c r="B121" s="38">
        <v>411</v>
      </c>
      <c r="C121" s="5" t="s">
        <v>385</v>
      </c>
      <c r="D121" s="5" t="s">
        <v>252</v>
      </c>
      <c r="E121" s="6">
        <v>1820785.2132301694</v>
      </c>
      <c r="F121" s="6">
        <v>972813.99277669494</v>
      </c>
      <c r="G121" s="6">
        <v>238487.60000477935</v>
      </c>
      <c r="H121" s="6">
        <v>240114.67386020772</v>
      </c>
      <c r="I121" s="6">
        <v>153625.06100540597</v>
      </c>
      <c r="J121" s="6">
        <v>109179.44676317743</v>
      </c>
      <c r="K121" s="6">
        <v>52870.698996542254</v>
      </c>
      <c r="L121" s="6">
        <v>46493.856885710979</v>
      </c>
      <c r="M121" s="6">
        <v>0</v>
      </c>
      <c r="N121" s="6">
        <v>6580.770524962104</v>
      </c>
      <c r="O121" s="6">
        <v>619.11241268904223</v>
      </c>
      <c r="Q121" s="6">
        <v>101248.43518568439</v>
      </c>
      <c r="R121" s="6">
        <v>281.67567302764212</v>
      </c>
      <c r="S121" s="6">
        <v>7649.3359044653998</v>
      </c>
      <c r="T121" s="6">
        <f t="shared" si="24"/>
        <v>109179.44676317743</v>
      </c>
      <c r="U121" s="6">
        <f t="shared" si="25"/>
        <v>101530.11085871203</v>
      </c>
    </row>
    <row r="122" spans="1:21" x14ac:dyDescent="0.25">
      <c r="A122" s="23">
        <f t="shared" si="15"/>
        <v>116</v>
      </c>
      <c r="B122" s="38">
        <v>411.01</v>
      </c>
      <c r="C122" s="5" t="s">
        <v>386</v>
      </c>
      <c r="D122" s="5" t="s">
        <v>257</v>
      </c>
      <c r="E122" s="6">
        <v>-1063695.3252306676</v>
      </c>
      <c r="F122" s="6">
        <v>-610587.23399326135</v>
      </c>
      <c r="G122" s="6">
        <v>-133376.96066569624</v>
      </c>
      <c r="H122" s="6">
        <v>-123619.3789692611</v>
      </c>
      <c r="I122" s="6">
        <v>-70744.281126944494</v>
      </c>
      <c r="J122" s="6">
        <v>-55295.211576201669</v>
      </c>
      <c r="K122" s="6">
        <v>-26819.320009733208</v>
      </c>
      <c r="L122" s="6">
        <v>-18656.331156185617</v>
      </c>
      <c r="M122" s="6">
        <v>-12702.457528496447</v>
      </c>
      <c r="N122" s="6">
        <v>-11530.921433013766</v>
      </c>
      <c r="O122" s="6">
        <v>-363.22877187398092</v>
      </c>
      <c r="Q122" s="6">
        <v>-48712.158048068173</v>
      </c>
      <c r="R122" s="6">
        <v>-245.80362236246168</v>
      </c>
      <c r="S122" s="6">
        <v>-6337.2499057710384</v>
      </c>
      <c r="T122" s="6">
        <f t="shared" si="24"/>
        <v>-55295.211576201669</v>
      </c>
      <c r="U122" s="6">
        <f t="shared" si="25"/>
        <v>-48957.961670430632</v>
      </c>
    </row>
    <row r="123" spans="1:21" x14ac:dyDescent="0.25">
      <c r="A123" s="23">
        <f t="shared" si="15"/>
        <v>117</v>
      </c>
      <c r="B123" s="38">
        <v>411.02</v>
      </c>
      <c r="C123" s="5" t="s">
        <v>387</v>
      </c>
      <c r="D123" s="5" t="s">
        <v>257</v>
      </c>
      <c r="E123" s="6">
        <v>-26423.68</v>
      </c>
      <c r="F123" s="6">
        <v>-15167.841110540117</v>
      </c>
      <c r="G123" s="6">
        <v>-3313.2702987471348</v>
      </c>
      <c r="H123" s="6">
        <v>-3070.8783184453059</v>
      </c>
      <c r="I123" s="6">
        <v>-1757.3869152081199</v>
      </c>
      <c r="J123" s="6">
        <v>-1373.610414152193</v>
      </c>
      <c r="K123" s="6">
        <v>-666.22942956067777</v>
      </c>
      <c r="L123" s="6">
        <v>-463.44936632881792</v>
      </c>
      <c r="M123" s="6">
        <v>-315.54681588338707</v>
      </c>
      <c r="N123" s="6">
        <v>-286.44422027992249</v>
      </c>
      <c r="O123" s="6">
        <v>-9.0231108543320264</v>
      </c>
      <c r="Q123" s="6">
        <v>-1210.0781547502359</v>
      </c>
      <c r="R123" s="6">
        <v>-6.1061058614110681</v>
      </c>
      <c r="S123" s="6">
        <v>-157.42615354054598</v>
      </c>
      <c r="T123" s="6">
        <f t="shared" si="24"/>
        <v>-1373.610414152193</v>
      </c>
      <c r="U123" s="6">
        <f t="shared" si="25"/>
        <v>-1216.184260611647</v>
      </c>
    </row>
    <row r="124" spans="1:21" x14ac:dyDescent="0.25">
      <c r="A124" s="23">
        <f t="shared" si="15"/>
        <v>118</v>
      </c>
      <c r="B124" s="38">
        <v>421</v>
      </c>
      <c r="C124" s="5" t="s">
        <v>388</v>
      </c>
      <c r="D124" s="5" t="s">
        <v>276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Q124" s="6">
        <v>0</v>
      </c>
      <c r="R124" s="6">
        <v>0</v>
      </c>
      <c r="S124" s="6">
        <v>0</v>
      </c>
      <c r="T124" s="6">
        <f t="shared" si="24"/>
        <v>0</v>
      </c>
      <c r="U124" s="6">
        <f t="shared" si="25"/>
        <v>0</v>
      </c>
    </row>
    <row r="125" spans="1:21" x14ac:dyDescent="0.25">
      <c r="A125" s="24">
        <f>+A124+1</f>
        <v>119</v>
      </c>
      <c r="B125" s="39"/>
      <c r="C125" s="14" t="s">
        <v>389</v>
      </c>
      <c r="D125" s="14"/>
      <c r="E125" s="15">
        <f t="shared" ref="E125:O125" si="26">SUM(E102:E124)</f>
        <v>413783579.47458893</v>
      </c>
      <c r="F125" s="15">
        <f t="shared" si="26"/>
        <v>239697662.6048882</v>
      </c>
      <c r="G125" s="15">
        <f t="shared" si="26"/>
        <v>51969701.678236432</v>
      </c>
      <c r="H125" s="15">
        <f t="shared" si="26"/>
        <v>47643407.207451634</v>
      </c>
      <c r="I125" s="15">
        <f t="shared" si="26"/>
        <v>27369691.083581772</v>
      </c>
      <c r="J125" s="15">
        <f t="shared" si="26"/>
        <v>21308098.10844193</v>
      </c>
      <c r="K125" s="15">
        <f t="shared" si="26"/>
        <v>10338464.95418831</v>
      </c>
      <c r="L125" s="15">
        <f t="shared" si="26"/>
        <v>7263002.0153667601</v>
      </c>
      <c r="M125" s="15">
        <f t="shared" si="26"/>
        <v>3596145.0142465536</v>
      </c>
      <c r="N125" s="15">
        <f t="shared" si="26"/>
        <v>4458183.0248321053</v>
      </c>
      <c r="O125" s="15">
        <f t="shared" si="26"/>
        <v>139223.78335520191</v>
      </c>
      <c r="Q125" s="15">
        <f>SUM(Q102:Q124)</f>
        <v>18808140.3365511</v>
      </c>
      <c r="R125" s="15">
        <f>SUM(R102:R124)</f>
        <v>93198.569812495683</v>
      </c>
      <c r="S125" s="15">
        <f>SUM(S102:S124)</f>
        <v>2406759.2020783396</v>
      </c>
      <c r="T125" s="15">
        <f>SUM(T102:T124)</f>
        <v>21308098.10844193</v>
      </c>
      <c r="U125" s="15">
        <f>SUM(U102:U124)</f>
        <v>18901338.906363592</v>
      </c>
    </row>
    <row r="126" spans="1:21" x14ac:dyDescent="0.25">
      <c r="A126" s="23">
        <f t="shared" si="15"/>
        <v>120</v>
      </c>
      <c r="B126" s="38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Q126" s="6"/>
      <c r="R126" s="6"/>
      <c r="S126" s="6"/>
      <c r="T126" s="6"/>
      <c r="U126" s="6"/>
    </row>
    <row r="127" spans="1:21" x14ac:dyDescent="0.25">
      <c r="A127" s="23">
        <f t="shared" si="15"/>
        <v>121</v>
      </c>
      <c r="B127" s="38"/>
      <c r="C127" s="1" t="s">
        <v>390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Q127" s="6"/>
      <c r="R127" s="6"/>
      <c r="S127" s="6"/>
      <c r="T127" s="6"/>
      <c r="U127" s="6"/>
    </row>
    <row r="128" spans="1:21" x14ac:dyDescent="0.25">
      <c r="A128" s="23">
        <f t="shared" si="15"/>
        <v>122</v>
      </c>
      <c r="B128" s="38">
        <v>236</v>
      </c>
      <c r="C128" s="5" t="s">
        <v>391</v>
      </c>
      <c r="D128" s="5" t="s">
        <v>346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Q128" s="6">
        <v>0</v>
      </c>
      <c r="R128" s="6">
        <v>0</v>
      </c>
      <c r="S128" s="6">
        <v>0</v>
      </c>
      <c r="T128" s="6">
        <f t="shared" ref="T128:T133" si="27">SUM(Q128:S128)</f>
        <v>0</v>
      </c>
      <c r="U128" s="6">
        <f t="shared" ref="U128:U133" si="28">+T128-S128</f>
        <v>0</v>
      </c>
    </row>
    <row r="129" spans="1:21" x14ac:dyDescent="0.25">
      <c r="A129" s="23">
        <f t="shared" si="15"/>
        <v>123</v>
      </c>
      <c r="B129" s="38">
        <v>236.01</v>
      </c>
      <c r="C129" s="5" t="s">
        <v>392</v>
      </c>
      <c r="D129" s="5" t="s">
        <v>348</v>
      </c>
      <c r="E129" s="6">
        <v>8147841.6632972043</v>
      </c>
      <c r="F129" s="6">
        <v>4982360.3457231568</v>
      </c>
      <c r="G129" s="6">
        <v>1001803.3103534047</v>
      </c>
      <c r="H129" s="6">
        <v>830829.20612265868</v>
      </c>
      <c r="I129" s="6">
        <v>471645.44184104679</v>
      </c>
      <c r="J129" s="6">
        <v>369049.88221696462</v>
      </c>
      <c r="K129" s="6">
        <v>179633.1749625472</v>
      </c>
      <c r="L129" s="6">
        <v>123928.4777032819</v>
      </c>
      <c r="M129" s="6">
        <v>88329.853678275453</v>
      </c>
      <c r="N129" s="6">
        <v>97829.749388568511</v>
      </c>
      <c r="O129" s="6">
        <v>2432.2213072977502</v>
      </c>
      <c r="Q129" s="6">
        <v>324599.20933000976</v>
      </c>
      <c r="R129" s="6">
        <v>1655.413214365406</v>
      </c>
      <c r="S129" s="6">
        <v>42795.259672589455</v>
      </c>
      <c r="T129" s="6">
        <f t="shared" si="27"/>
        <v>369049.88221696462</v>
      </c>
      <c r="U129" s="6">
        <f t="shared" si="28"/>
        <v>326254.62254437513</v>
      </c>
    </row>
    <row r="130" spans="1:21" x14ac:dyDescent="0.25">
      <c r="A130" s="23">
        <f t="shared" si="15"/>
        <v>124</v>
      </c>
      <c r="B130" s="38">
        <v>236.02</v>
      </c>
      <c r="C130" s="5" t="s">
        <v>393</v>
      </c>
      <c r="D130" s="5" t="s">
        <v>394</v>
      </c>
      <c r="E130" s="6">
        <v>76958872.988314226</v>
      </c>
      <c r="F130" s="6">
        <v>43724369.615239263</v>
      </c>
      <c r="G130" s="6">
        <v>9755593.545740949</v>
      </c>
      <c r="H130" s="6">
        <v>9160747.5527026989</v>
      </c>
      <c r="I130" s="6">
        <v>5520961.091313798</v>
      </c>
      <c r="J130" s="6">
        <v>4158310.0798694501</v>
      </c>
      <c r="K130" s="6">
        <v>1953217.7313460791</v>
      </c>
      <c r="L130" s="6">
        <v>1558623.7570331665</v>
      </c>
      <c r="M130" s="6">
        <v>432721.20013552817</v>
      </c>
      <c r="N130" s="6">
        <v>667978.78579966538</v>
      </c>
      <c r="O130" s="6">
        <v>26349.629133651706</v>
      </c>
      <c r="Q130" s="6">
        <v>3747239.1766363401</v>
      </c>
      <c r="R130" s="6">
        <v>15538.60282819703</v>
      </c>
      <c r="S130" s="6">
        <v>395532.30040491273</v>
      </c>
      <c r="T130" s="6">
        <f t="shared" si="27"/>
        <v>4158310.0798694501</v>
      </c>
      <c r="U130" s="6">
        <f t="shared" si="28"/>
        <v>3762777.7794645373</v>
      </c>
    </row>
    <row r="131" spans="1:21" x14ac:dyDescent="0.25">
      <c r="A131" s="23">
        <f t="shared" si="15"/>
        <v>125</v>
      </c>
      <c r="B131" s="38">
        <v>236.03</v>
      </c>
      <c r="C131" s="5" t="s">
        <v>395</v>
      </c>
      <c r="D131" s="5" t="s">
        <v>394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Q131" s="6">
        <v>0</v>
      </c>
      <c r="R131" s="6">
        <v>0</v>
      </c>
      <c r="S131" s="6">
        <v>0</v>
      </c>
      <c r="T131" s="6">
        <f t="shared" si="27"/>
        <v>0</v>
      </c>
      <c r="U131" s="6">
        <f t="shared" si="28"/>
        <v>0</v>
      </c>
    </row>
    <row r="132" spans="1:21" x14ac:dyDescent="0.25">
      <c r="A132" s="23">
        <f t="shared" si="15"/>
        <v>126</v>
      </c>
      <c r="B132" s="38">
        <v>236.04</v>
      </c>
      <c r="C132" s="5" t="s">
        <v>396</v>
      </c>
      <c r="D132" s="5" t="s">
        <v>397</v>
      </c>
      <c r="E132" s="6">
        <v>800</v>
      </c>
      <c r="F132" s="6">
        <v>407.41416633208132</v>
      </c>
      <c r="G132" s="6">
        <v>106.98212543472911</v>
      </c>
      <c r="H132" s="6">
        <v>110.14873590070032</v>
      </c>
      <c r="I132" s="6">
        <v>72.666370682915826</v>
      </c>
      <c r="J132" s="6">
        <v>52.082775239656712</v>
      </c>
      <c r="K132" s="6">
        <v>24.830766314441881</v>
      </c>
      <c r="L132" s="6">
        <v>22.692458339922158</v>
      </c>
      <c r="M132" s="6">
        <v>0</v>
      </c>
      <c r="N132" s="6">
        <v>2.9234497582805536</v>
      </c>
      <c r="O132" s="6">
        <v>0.25915199727226113</v>
      </c>
      <c r="Q132" s="6">
        <v>47.436841318445502</v>
      </c>
      <c r="R132" s="6">
        <v>0.16473999886232427</v>
      </c>
      <c r="S132" s="6">
        <v>4.4811939223488872</v>
      </c>
      <c r="T132" s="6">
        <f t="shared" si="27"/>
        <v>52.082775239656712</v>
      </c>
      <c r="U132" s="6">
        <f t="shared" si="28"/>
        <v>47.601581317307826</v>
      </c>
    </row>
    <row r="133" spans="1:21" x14ac:dyDescent="0.25">
      <c r="A133" s="23">
        <f t="shared" si="15"/>
        <v>127</v>
      </c>
      <c r="B133" s="38">
        <v>236.05</v>
      </c>
      <c r="C133" s="5" t="s">
        <v>398</v>
      </c>
      <c r="D133" s="5" t="s">
        <v>397</v>
      </c>
      <c r="E133" s="6">
        <v>1471072.9800129717</v>
      </c>
      <c r="F133" s="6">
        <v>749169.9647070443</v>
      </c>
      <c r="G133" s="6">
        <v>196723.14258923562</v>
      </c>
      <c r="H133" s="6">
        <v>202546.03645763127</v>
      </c>
      <c r="I133" s="6">
        <v>133621.91808405527</v>
      </c>
      <c r="J133" s="6">
        <v>95771.954223934517</v>
      </c>
      <c r="K133" s="6">
        <v>45659.836747739668</v>
      </c>
      <c r="L133" s="6">
        <v>41727.827892411879</v>
      </c>
      <c r="M133" s="6">
        <v>0</v>
      </c>
      <c r="N133" s="6">
        <v>5375.7599347899704</v>
      </c>
      <c r="O133" s="6">
        <v>476.53937612952336</v>
      </c>
      <c r="Q133" s="6">
        <v>87228.819400910113</v>
      </c>
      <c r="R133" s="6">
        <v>302.93070131716615</v>
      </c>
      <c r="S133" s="6">
        <v>8240.2041217072438</v>
      </c>
      <c r="T133" s="6">
        <f t="shared" si="27"/>
        <v>95771.954223934517</v>
      </c>
      <c r="U133" s="6">
        <f t="shared" si="28"/>
        <v>87531.750102227277</v>
      </c>
    </row>
    <row r="134" spans="1:21" x14ac:dyDescent="0.25">
      <c r="A134" s="24">
        <f>+A133+1</f>
        <v>128</v>
      </c>
      <c r="B134" s="39"/>
      <c r="C134" s="14" t="s">
        <v>399</v>
      </c>
      <c r="D134" s="14"/>
      <c r="E134" s="15">
        <f t="shared" ref="E134:O134" si="29">SUM(E128:E133)</f>
        <v>86578587.631624401</v>
      </c>
      <c r="F134" s="15">
        <f t="shared" si="29"/>
        <v>49456307.3398358</v>
      </c>
      <c r="G134" s="15">
        <f t="shared" si="29"/>
        <v>10954226.980809024</v>
      </c>
      <c r="H134" s="15">
        <f t="shared" si="29"/>
        <v>10194232.944018891</v>
      </c>
      <c r="I134" s="15">
        <f t="shared" si="29"/>
        <v>6126301.1176095838</v>
      </c>
      <c r="J134" s="15">
        <f t="shared" si="29"/>
        <v>4623183.9990855893</v>
      </c>
      <c r="K134" s="15">
        <f t="shared" si="29"/>
        <v>2178535.5738226804</v>
      </c>
      <c r="L134" s="15">
        <f t="shared" si="29"/>
        <v>1724302.7550872003</v>
      </c>
      <c r="M134" s="15">
        <f t="shared" si="29"/>
        <v>521051.05381380359</v>
      </c>
      <c r="N134" s="15">
        <f t="shared" si="29"/>
        <v>771187.21857278224</v>
      </c>
      <c r="O134" s="15">
        <f t="shared" si="29"/>
        <v>29258.648969076254</v>
      </c>
      <c r="Q134" s="15">
        <f>SUM(Q128:Q133)</f>
        <v>4159114.6422085785</v>
      </c>
      <c r="R134" s="15">
        <f>SUM(R128:R133)</f>
        <v>17497.111483878463</v>
      </c>
      <c r="S134" s="15">
        <f>SUM(S128:S133)</f>
        <v>446572.24539313174</v>
      </c>
      <c r="T134" s="15">
        <f>SUM(T128:T133)</f>
        <v>4623183.9990855893</v>
      </c>
      <c r="U134" s="15">
        <f>SUM(U128:U133)</f>
        <v>4176611.753692457</v>
      </c>
    </row>
    <row r="135" spans="1:21" x14ac:dyDescent="0.25">
      <c r="A135" s="23">
        <f t="shared" si="15"/>
        <v>129</v>
      </c>
      <c r="B135" s="38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Q135" s="6"/>
      <c r="R135" s="6"/>
      <c r="S135" s="6"/>
      <c r="T135" s="6"/>
      <c r="U135" s="6"/>
    </row>
    <row r="136" spans="1:21" x14ac:dyDescent="0.25">
      <c r="A136" s="23">
        <f t="shared" ref="A136:A141" si="30">+A135+1</f>
        <v>130</v>
      </c>
      <c r="B136" s="38"/>
      <c r="C136" s="1" t="s">
        <v>400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Q136" s="6"/>
      <c r="R136" s="6"/>
      <c r="S136" s="6"/>
      <c r="T136" s="6"/>
      <c r="U136" s="6"/>
    </row>
    <row r="137" spans="1:21" x14ac:dyDescent="0.25">
      <c r="A137" s="23">
        <f t="shared" si="30"/>
        <v>131</v>
      </c>
      <c r="B137" s="38" t="s">
        <v>401</v>
      </c>
      <c r="C137" s="5" t="s">
        <v>402</v>
      </c>
      <c r="D137" s="5" t="s">
        <v>403</v>
      </c>
      <c r="E137" s="6">
        <v>46784333.661284983</v>
      </c>
      <c r="F137" s="6">
        <v>26735773.185477238</v>
      </c>
      <c r="G137" s="6">
        <v>5699793.7699698629</v>
      </c>
      <c r="H137" s="6">
        <v>5533751.5709256381</v>
      </c>
      <c r="I137" s="6">
        <v>3190824.7595601641</v>
      </c>
      <c r="J137" s="6">
        <v>2496128.1693306263</v>
      </c>
      <c r="K137" s="6">
        <v>1167710.5015878908</v>
      </c>
      <c r="L137" s="6">
        <v>864609.68780021847</v>
      </c>
      <c r="M137" s="6">
        <v>579103.23880219087</v>
      </c>
      <c r="N137" s="6">
        <v>500354.36568125116</v>
      </c>
      <c r="O137" s="6">
        <v>16284.412149918395</v>
      </c>
      <c r="Q137" s="6">
        <v>2203556.1183846411</v>
      </c>
      <c r="R137" s="6">
        <v>10852.376257660651</v>
      </c>
      <c r="S137" s="6">
        <v>281719.67468832439</v>
      </c>
      <c r="T137" s="6">
        <f>SUM(Q137:S137)</f>
        <v>2496128.1693306263</v>
      </c>
      <c r="U137" s="6">
        <f>+T137-S137</f>
        <v>2214408.4946423019</v>
      </c>
    </row>
    <row r="138" spans="1:21" x14ac:dyDescent="0.25">
      <c r="A138" s="23">
        <f t="shared" si="30"/>
        <v>132</v>
      </c>
      <c r="B138" s="38" t="s">
        <v>404</v>
      </c>
      <c r="C138" s="5" t="s">
        <v>405</v>
      </c>
      <c r="D138" s="5" t="s">
        <v>403</v>
      </c>
      <c r="E138" s="6">
        <v>41744854.149501175</v>
      </c>
      <c r="F138" s="6">
        <v>23855869.366062429</v>
      </c>
      <c r="G138" s="6">
        <v>5085827.6903604874</v>
      </c>
      <c r="H138" s="6">
        <v>4937671.0994822998</v>
      </c>
      <c r="I138" s="6">
        <v>2847117.9085036842</v>
      </c>
      <c r="J138" s="6">
        <v>2227252.1207969338</v>
      </c>
      <c r="K138" s="6">
        <v>1041927.9438827537</v>
      </c>
      <c r="L138" s="6">
        <v>771476.31458805175</v>
      </c>
      <c r="M138" s="6">
        <v>516723.83358761354</v>
      </c>
      <c r="N138" s="6">
        <v>446457.57209351094</v>
      </c>
      <c r="O138" s="6">
        <v>14530.300143427052</v>
      </c>
      <c r="Q138" s="6">
        <v>1966195.1250217136</v>
      </c>
      <c r="R138" s="6">
        <v>9683.3881899753542</v>
      </c>
      <c r="S138" s="6">
        <v>251373.60758524499</v>
      </c>
      <c r="T138" s="6">
        <f>SUM(Q138:S138)</f>
        <v>2227252.1207969338</v>
      </c>
      <c r="U138" s="6">
        <f>+T138-S138</f>
        <v>1975878.5132116887</v>
      </c>
    </row>
    <row r="139" spans="1:21" x14ac:dyDescent="0.25">
      <c r="A139" s="24">
        <f t="shared" si="30"/>
        <v>133</v>
      </c>
      <c r="B139" s="39"/>
      <c r="C139" s="14" t="s">
        <v>406</v>
      </c>
      <c r="D139" s="14"/>
      <c r="E139" s="15">
        <f t="shared" ref="E139:O139" si="31">SUM(E137:E138)</f>
        <v>88529187.810786158</v>
      </c>
      <c r="F139" s="15">
        <f t="shared" si="31"/>
        <v>50591642.551539667</v>
      </c>
      <c r="G139" s="15">
        <f t="shared" si="31"/>
        <v>10785621.46033035</v>
      </c>
      <c r="H139" s="15">
        <f t="shared" si="31"/>
        <v>10471422.670407938</v>
      </c>
      <c r="I139" s="15">
        <f t="shared" si="31"/>
        <v>6037942.6680638483</v>
      </c>
      <c r="J139" s="15">
        <f t="shared" si="31"/>
        <v>4723380.2901275605</v>
      </c>
      <c r="K139" s="15">
        <f t="shared" si="31"/>
        <v>2209638.4454706446</v>
      </c>
      <c r="L139" s="15">
        <f t="shared" si="31"/>
        <v>1636086.0023882701</v>
      </c>
      <c r="M139" s="15">
        <f t="shared" si="31"/>
        <v>1095827.0723898043</v>
      </c>
      <c r="N139" s="15">
        <f t="shared" si="31"/>
        <v>946811.93777476205</v>
      </c>
      <c r="O139" s="15">
        <f t="shared" si="31"/>
        <v>30814.712293345445</v>
      </c>
      <c r="Q139" s="15">
        <f>SUM(Q137:Q138)</f>
        <v>4169751.2434063544</v>
      </c>
      <c r="R139" s="15">
        <f>SUM(R137:R138)</f>
        <v>20535.764447636007</v>
      </c>
      <c r="S139" s="15">
        <f>SUM(S137:S138)</f>
        <v>533093.28227356938</v>
      </c>
      <c r="T139" s="15">
        <f>SUM(T137:T138)</f>
        <v>4723380.2901275605</v>
      </c>
      <c r="U139" s="15">
        <f>SUM(U137:U138)</f>
        <v>4190287.0078539904</v>
      </c>
    </row>
    <row r="140" spans="1:21" x14ac:dyDescent="0.25">
      <c r="A140" s="23">
        <f t="shared" si="30"/>
        <v>134</v>
      </c>
      <c r="B140" s="38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Q140" s="6"/>
      <c r="R140" s="6"/>
      <c r="S140" s="6"/>
      <c r="T140" s="6"/>
      <c r="U140" s="6"/>
    </row>
    <row r="141" spans="1:21" ht="13.8" thickBot="1" x14ac:dyDescent="0.3">
      <c r="A141" s="25">
        <f t="shared" si="30"/>
        <v>135</v>
      </c>
      <c r="B141" s="40"/>
      <c r="C141" s="8" t="s">
        <v>105</v>
      </c>
      <c r="D141" s="8"/>
      <c r="E141" s="9">
        <f t="shared" ref="E141:O141" si="32">SUM(E139,E134,E125,E99)</f>
        <v>1762043711.7176518</v>
      </c>
      <c r="F141" s="9">
        <f t="shared" si="32"/>
        <v>1000360966.2249377</v>
      </c>
      <c r="G141" s="9">
        <f t="shared" si="32"/>
        <v>224852030.47870189</v>
      </c>
      <c r="H141" s="9">
        <f t="shared" si="32"/>
        <v>209862299.934717</v>
      </c>
      <c r="I141" s="9">
        <f t="shared" si="32"/>
        <v>127404963.10755892</v>
      </c>
      <c r="J141" s="9">
        <f t="shared" si="32"/>
        <v>95361197.720204636</v>
      </c>
      <c r="K141" s="9">
        <f t="shared" si="32"/>
        <v>44830595.38612844</v>
      </c>
      <c r="L141" s="9">
        <f t="shared" si="32"/>
        <v>36199274.176558167</v>
      </c>
      <c r="M141" s="9">
        <f t="shared" si="32"/>
        <v>7874281.0922811907</v>
      </c>
      <c r="N141" s="9">
        <f t="shared" si="32"/>
        <v>14696930.286201585</v>
      </c>
      <c r="O141" s="9">
        <f t="shared" si="32"/>
        <v>601173.31036239327</v>
      </c>
      <c r="Q141" s="9">
        <f>SUM(Q139,Q134,Q125,Q99)</f>
        <v>86226919.12424168</v>
      </c>
      <c r="R141" s="9">
        <f>SUM(R139,R134,R125,R99)</f>
        <v>346587.33019702847</v>
      </c>
      <c r="S141" s="9">
        <f>SUM(S139,S134,S125,S99)</f>
        <v>8787691.2657659277</v>
      </c>
      <c r="T141" s="9">
        <f>SUM(T139,T134,T125,T99)</f>
        <v>95361197.720204636</v>
      </c>
      <c r="U141" s="9">
        <f>SUM(U139,U134,U125,U99)</f>
        <v>86573506.454438701</v>
      </c>
    </row>
    <row r="142" spans="1:21" ht="13.8" thickTop="1" x14ac:dyDescent="0.25">
      <c r="A142" s="23"/>
      <c r="B142" s="3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21" x14ac:dyDescent="0.25">
      <c r="A143" s="23"/>
      <c r="B143" s="34"/>
      <c r="E143" s="6">
        <v>1762043711.7176516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6" fitToHeight="0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  <rowBreaks count="2" manualBreakCount="2">
    <brk id="67" max="14" man="1"/>
    <brk id="125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155"/>
  <sheetViews>
    <sheetView showGridLines="0" view="pageBreakPreview" zoomScale="50" zoomScaleNormal="86" zoomScaleSheetLayoutView="50" workbookViewId="0">
      <pane xSplit="4" ySplit="6" topLeftCell="E112" activePane="bottomRight" state="frozen"/>
      <selection activeCell="A15" sqref="A15"/>
      <selection pane="topRight" activeCell="A15" sqref="A15"/>
      <selection pane="bottomLeft" activeCell="A15" sqref="A15"/>
      <selection pane="bottomRight" activeCell="R5" sqref="R5"/>
    </sheetView>
  </sheetViews>
  <sheetFormatPr defaultColWidth="4.5546875" defaultRowHeight="13.2" x14ac:dyDescent="0.25"/>
  <cols>
    <col min="1" max="1" width="4.6640625" style="5" bestFit="1" customWidth="1"/>
    <col min="2" max="2" width="11.6640625" style="5" bestFit="1" customWidth="1"/>
    <col min="3" max="3" width="50.6640625" style="5" bestFit="1" customWidth="1"/>
    <col min="4" max="4" width="10.6640625" style="23" bestFit="1" customWidth="1"/>
    <col min="5" max="6" width="15.88671875" style="23" bestFit="1" customWidth="1"/>
    <col min="7" max="15" width="15.33203125" style="23" customWidth="1"/>
    <col min="16" max="16" width="4.5546875" style="41"/>
    <col min="17" max="17" width="14.33203125" style="41" bestFit="1" customWidth="1"/>
    <col min="18" max="18" width="11.44140625" style="41" bestFit="1" customWidth="1"/>
    <col min="19" max="19" width="13.33203125" style="41" bestFit="1" customWidth="1"/>
    <col min="20" max="21" width="14.33203125" style="41" bestFit="1" customWidth="1"/>
    <col min="22" max="25" width="4.5546875" style="41"/>
    <col min="26" max="16384" width="4.5546875" style="42"/>
  </cols>
  <sheetData>
    <row r="1" spans="1:25" x14ac:dyDescent="0.25">
      <c r="A1" s="88" t="str">
        <f>+'Customer Summary'!A1</f>
        <v>Puget Sound Energy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25" x14ac:dyDescent="0.25">
      <c r="A2" s="90" t="s">
        <v>103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25" x14ac:dyDescent="0.25">
      <c r="A3" s="88" t="str">
        <f>+'Customer Summary'!A3</f>
        <v>Adjusted Test Year Twelve Months ended September 2016 @ Proforma Rev Requirement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25" s="5" customFormat="1" x14ac:dyDescent="0.25"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s="26" customFormat="1" ht="52.8" x14ac:dyDescent="0.25">
      <c r="A5" s="2" t="s">
        <v>2</v>
      </c>
      <c r="B5" s="2" t="s">
        <v>94</v>
      </c>
      <c r="C5" s="33" t="s">
        <v>95</v>
      </c>
      <c r="D5" s="2" t="s">
        <v>96</v>
      </c>
      <c r="E5" s="2" t="s">
        <v>71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97</v>
      </c>
      <c r="R5" s="3" t="s">
        <v>98</v>
      </c>
      <c r="S5" s="3" t="s">
        <v>99</v>
      </c>
      <c r="T5" s="3" t="s">
        <v>100</v>
      </c>
      <c r="U5" s="3" t="s">
        <v>104</v>
      </c>
    </row>
    <row r="6" spans="1:25" s="26" customFormat="1" x14ac:dyDescent="0.25">
      <c r="B6" s="26" t="s">
        <v>20</v>
      </c>
      <c r="C6" s="26" t="s">
        <v>21</v>
      </c>
      <c r="D6" s="26" t="s">
        <v>22</v>
      </c>
      <c r="E6" s="26" t="s">
        <v>23</v>
      </c>
      <c r="F6" s="26" t="s">
        <v>24</v>
      </c>
      <c r="G6" s="26" t="s">
        <v>81</v>
      </c>
      <c r="H6" s="26" t="s">
        <v>25</v>
      </c>
      <c r="I6" s="26" t="s">
        <v>26</v>
      </c>
      <c r="J6" s="26" t="s">
        <v>82</v>
      </c>
      <c r="K6" s="26" t="s">
        <v>83</v>
      </c>
      <c r="L6" s="26" t="s">
        <v>27</v>
      </c>
      <c r="M6" s="26" t="s">
        <v>28</v>
      </c>
      <c r="N6" s="26" t="s">
        <v>29</v>
      </c>
      <c r="O6" s="26" t="s">
        <v>30</v>
      </c>
    </row>
    <row r="7" spans="1:25" x14ac:dyDescent="0.25">
      <c r="A7" s="5">
        <v>1</v>
      </c>
      <c r="C7" s="1" t="s">
        <v>407</v>
      </c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25" x14ac:dyDescent="0.25">
      <c r="A8" s="5">
        <f t="shared" ref="A8:A71" si="0">+A7+1</f>
        <v>2</v>
      </c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25" x14ac:dyDescent="0.25">
      <c r="A9" s="5">
        <f t="shared" si="0"/>
        <v>3</v>
      </c>
      <c r="C9" s="1" t="s">
        <v>408</v>
      </c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25" s="5" customFormat="1" x14ac:dyDescent="0.25">
      <c r="A10" s="5">
        <f t="shared" si="0"/>
        <v>4</v>
      </c>
      <c r="C10" s="1" t="s">
        <v>179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s="5" customFormat="1" x14ac:dyDescent="0.25">
      <c r="A11" s="5">
        <f t="shared" si="0"/>
        <v>5</v>
      </c>
      <c r="B11" s="38">
        <v>300</v>
      </c>
      <c r="C11" s="5" t="s">
        <v>409</v>
      </c>
      <c r="D11" s="23" t="s">
        <v>252</v>
      </c>
      <c r="E11" s="43">
        <v>70587020.038332</v>
      </c>
      <c r="F11" s="43">
        <v>37713421.826332599</v>
      </c>
      <c r="G11" s="43">
        <v>9245532.574688714</v>
      </c>
      <c r="H11" s="43">
        <v>9308609.918464601</v>
      </c>
      <c r="I11" s="43">
        <v>5955636.7114498094</v>
      </c>
      <c r="J11" s="43">
        <v>4232597.9695179965</v>
      </c>
      <c r="K11" s="43">
        <v>2049656.9624974099</v>
      </c>
      <c r="L11" s="43">
        <v>1802443.6840789269</v>
      </c>
      <c r="M11" s="43">
        <v>0</v>
      </c>
      <c r="N11" s="43">
        <v>255119.04289308615</v>
      </c>
      <c r="O11" s="43">
        <v>24001.348408873047</v>
      </c>
      <c r="P11" s="23"/>
      <c r="Q11" s="43">
        <v>3925133.6573756645</v>
      </c>
      <c r="R11" s="43">
        <v>10919.819774370839</v>
      </c>
      <c r="S11" s="43">
        <v>296544.49236796179</v>
      </c>
      <c r="T11" s="43">
        <f>SUM(Q11:S11)</f>
        <v>4232597.9695179965</v>
      </c>
      <c r="U11" s="43">
        <f>SUM(Q11:R11)</f>
        <v>3936053.4771500351</v>
      </c>
      <c r="V11" s="23"/>
      <c r="W11" s="23"/>
      <c r="X11" s="23"/>
      <c r="Y11" s="23"/>
    </row>
    <row r="12" spans="1:25" s="5" customFormat="1" x14ac:dyDescent="0.25">
      <c r="A12" s="5">
        <f t="shared" si="0"/>
        <v>6</v>
      </c>
      <c r="B12" s="38">
        <v>300.01</v>
      </c>
      <c r="C12" s="5" t="s">
        <v>410</v>
      </c>
      <c r="D12" s="23" t="s">
        <v>231</v>
      </c>
      <c r="E12" s="43">
        <v>16203260.800000003</v>
      </c>
      <c r="F12" s="43">
        <v>8657121.5101676583</v>
      </c>
      <c r="G12" s="43">
        <v>2122313.3581956597</v>
      </c>
      <c r="H12" s="43">
        <v>2136792.7717084684</v>
      </c>
      <c r="I12" s="43">
        <v>1367117.2803905203</v>
      </c>
      <c r="J12" s="43">
        <v>971593.48453026381</v>
      </c>
      <c r="K12" s="43">
        <v>470499.05628323992</v>
      </c>
      <c r="L12" s="43">
        <v>413751.21197330253</v>
      </c>
      <c r="M12" s="43">
        <v>0</v>
      </c>
      <c r="N12" s="43">
        <v>58562.613704307674</v>
      </c>
      <c r="O12" s="43">
        <v>5509.5130465834136</v>
      </c>
      <c r="P12" s="23"/>
      <c r="Q12" s="43">
        <v>901015.00659438549</v>
      </c>
      <c r="R12" s="43">
        <v>2506.6462303840435</v>
      </c>
      <c r="S12" s="43">
        <v>68071.831705494362</v>
      </c>
      <c r="T12" s="43">
        <f>SUM(Q12:S12)</f>
        <v>971593.48453026381</v>
      </c>
      <c r="U12" s="43">
        <f>SUM(Q12:R12)</f>
        <v>903521.6528247695</v>
      </c>
      <c r="V12" s="23"/>
      <c r="W12" s="23"/>
      <c r="X12" s="23"/>
      <c r="Y12" s="23"/>
    </row>
    <row r="13" spans="1:25" s="5" customFormat="1" x14ac:dyDescent="0.25">
      <c r="A13" s="5">
        <f t="shared" si="0"/>
        <v>7</v>
      </c>
      <c r="B13" s="38">
        <v>300.02</v>
      </c>
      <c r="C13" s="5" t="s">
        <v>113</v>
      </c>
      <c r="D13" s="23" t="s">
        <v>264</v>
      </c>
      <c r="E13" s="43">
        <v>177634269</v>
      </c>
      <c r="F13" s="43">
        <v>108167585.38180712</v>
      </c>
      <c r="G13" s="43">
        <v>21870018.404359862</v>
      </c>
      <c r="H13" s="43">
        <v>18288014.31195911</v>
      </c>
      <c r="I13" s="43">
        <v>10384695.050144872</v>
      </c>
      <c r="J13" s="43">
        <v>8127588.4595622756</v>
      </c>
      <c r="K13" s="43">
        <v>3954949.8312100605</v>
      </c>
      <c r="L13" s="43">
        <v>2728058.4362699604</v>
      </c>
      <c r="M13" s="43">
        <v>1938602.611046352</v>
      </c>
      <c r="N13" s="43">
        <v>2121182.9354570634</v>
      </c>
      <c r="O13" s="43">
        <v>53573.578183303398</v>
      </c>
      <c r="P13" s="23"/>
      <c r="Q13" s="43">
        <v>7148375.3612777228</v>
      </c>
      <c r="R13" s="43">
        <v>36478.544474984214</v>
      </c>
      <c r="S13" s="43">
        <v>942734.55380956875</v>
      </c>
      <c r="T13" s="43">
        <f>SUM(Q13:S13)</f>
        <v>8127588.4595622756</v>
      </c>
      <c r="U13" s="43">
        <f>SUM(Q13:R13)</f>
        <v>7184853.9057527073</v>
      </c>
      <c r="V13" s="23"/>
      <c r="W13" s="23"/>
      <c r="X13" s="23"/>
      <c r="Y13" s="23"/>
    </row>
    <row r="14" spans="1:25" s="1" customFormat="1" x14ac:dyDescent="0.25">
      <c r="A14" s="14">
        <f>+A13+1</f>
        <v>8</v>
      </c>
      <c r="B14" s="39"/>
      <c r="C14" s="14" t="s">
        <v>288</v>
      </c>
      <c r="D14" s="24"/>
      <c r="E14" s="44">
        <f t="shared" ref="E14:U14" si="1">SUM(E11:E13)</f>
        <v>264424549.838332</v>
      </c>
      <c r="F14" s="44">
        <f t="shared" si="1"/>
        <v>154538128.71830738</v>
      </c>
      <c r="G14" s="44">
        <f t="shared" si="1"/>
        <v>33237864.337244235</v>
      </c>
      <c r="H14" s="44">
        <f t="shared" si="1"/>
        <v>29733417.002132177</v>
      </c>
      <c r="I14" s="44">
        <f t="shared" si="1"/>
        <v>17707449.041985203</v>
      </c>
      <c r="J14" s="44">
        <f t="shared" si="1"/>
        <v>13331779.913610537</v>
      </c>
      <c r="K14" s="44">
        <f t="shared" si="1"/>
        <v>6475105.8499907106</v>
      </c>
      <c r="L14" s="44">
        <f t="shared" si="1"/>
        <v>4944253.3323221896</v>
      </c>
      <c r="M14" s="44">
        <f t="shared" si="1"/>
        <v>1938602.611046352</v>
      </c>
      <c r="N14" s="44">
        <f t="shared" si="1"/>
        <v>2434864.5920544574</v>
      </c>
      <c r="O14" s="44">
        <f t="shared" si="1"/>
        <v>83084.439638759854</v>
      </c>
      <c r="P14" s="37"/>
      <c r="Q14" s="44">
        <f t="shared" si="1"/>
        <v>11974524.025247771</v>
      </c>
      <c r="R14" s="44">
        <f t="shared" si="1"/>
        <v>49905.010479739096</v>
      </c>
      <c r="S14" s="44">
        <f t="shared" si="1"/>
        <v>1307350.877883025</v>
      </c>
      <c r="T14" s="44">
        <f t="shared" si="1"/>
        <v>13331779.913610537</v>
      </c>
      <c r="U14" s="44">
        <f t="shared" si="1"/>
        <v>12024429.035727512</v>
      </c>
      <c r="V14" s="37"/>
      <c r="W14" s="37"/>
      <c r="X14" s="37"/>
      <c r="Y14" s="37"/>
    </row>
    <row r="15" spans="1:25" s="5" customFormat="1" x14ac:dyDescent="0.25">
      <c r="A15" s="5">
        <f t="shared" si="0"/>
        <v>9</v>
      </c>
      <c r="B15" s="38"/>
      <c r="D15" s="2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23"/>
      <c r="Q15" s="43"/>
      <c r="R15" s="43"/>
      <c r="S15" s="43"/>
      <c r="T15" s="43"/>
      <c r="U15" s="43"/>
      <c r="V15" s="23"/>
      <c r="W15" s="23"/>
      <c r="X15" s="23"/>
      <c r="Y15" s="23"/>
    </row>
    <row r="16" spans="1:25" s="5" customFormat="1" x14ac:dyDescent="0.25">
      <c r="A16" s="5">
        <f t="shared" si="0"/>
        <v>10</v>
      </c>
      <c r="B16" s="38"/>
      <c r="C16" s="1" t="s">
        <v>409</v>
      </c>
      <c r="D16" s="2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23"/>
      <c r="Q16" s="43"/>
      <c r="R16" s="43"/>
      <c r="S16" s="43"/>
      <c r="T16" s="43"/>
      <c r="U16" s="43"/>
      <c r="V16" s="23"/>
      <c r="W16" s="23"/>
      <c r="X16" s="23"/>
      <c r="Y16" s="23"/>
    </row>
    <row r="17" spans="1:25" s="5" customFormat="1" x14ac:dyDescent="0.25">
      <c r="A17" s="5">
        <f t="shared" si="0"/>
        <v>11</v>
      </c>
      <c r="B17" s="38">
        <v>310</v>
      </c>
      <c r="C17" s="5" t="s">
        <v>411</v>
      </c>
      <c r="D17" s="23" t="s">
        <v>231</v>
      </c>
      <c r="E17" s="43">
        <v>1271475239.5103557</v>
      </c>
      <c r="F17" s="43">
        <v>679327191.08061719</v>
      </c>
      <c r="G17" s="43">
        <v>166538631.86771971</v>
      </c>
      <c r="H17" s="43">
        <v>167674836.23987719</v>
      </c>
      <c r="I17" s="43">
        <v>107278145.6139546</v>
      </c>
      <c r="J17" s="43">
        <v>76241262.403788388</v>
      </c>
      <c r="K17" s="43">
        <v>36920216.718176171</v>
      </c>
      <c r="L17" s="43">
        <v>32467194.587243497</v>
      </c>
      <c r="M17" s="43">
        <v>0</v>
      </c>
      <c r="N17" s="43">
        <v>4595427.6861381521</v>
      </c>
      <c r="O17" s="43">
        <v>432333.31284096063</v>
      </c>
      <c r="P17" s="23"/>
      <c r="Q17" s="43">
        <v>70702945.873217121</v>
      </c>
      <c r="R17" s="43">
        <v>196697.35959229153</v>
      </c>
      <c r="S17" s="43">
        <v>5341619.1709789708</v>
      </c>
      <c r="T17" s="43">
        <f>SUM(Q17:S17)</f>
        <v>76241262.403788388</v>
      </c>
      <c r="U17" s="43">
        <f>SUM(Q17:R17)</f>
        <v>70899643.232809409</v>
      </c>
      <c r="V17" s="23"/>
      <c r="W17" s="23"/>
      <c r="X17" s="23"/>
      <c r="Y17" s="23"/>
    </row>
    <row r="18" spans="1:25" s="5" customFormat="1" x14ac:dyDescent="0.25">
      <c r="A18" s="5">
        <f t="shared" si="0"/>
        <v>12</v>
      </c>
      <c r="B18" s="38">
        <v>330</v>
      </c>
      <c r="C18" s="5" t="s">
        <v>412</v>
      </c>
      <c r="D18" s="23" t="s">
        <v>231</v>
      </c>
      <c r="E18" s="43">
        <v>692253354.87934923</v>
      </c>
      <c r="F18" s="43">
        <v>369858973.6339823</v>
      </c>
      <c r="G18" s="43">
        <v>90671782.701677144</v>
      </c>
      <c r="H18" s="43">
        <v>91290387.975309923</v>
      </c>
      <c r="I18" s="43">
        <v>58407473.381152362</v>
      </c>
      <c r="J18" s="43">
        <v>41509475.009190261</v>
      </c>
      <c r="K18" s="43">
        <v>20101173.103357106</v>
      </c>
      <c r="L18" s="43">
        <v>17676729.894634258</v>
      </c>
      <c r="M18" s="43">
        <v>0</v>
      </c>
      <c r="N18" s="43">
        <v>2501975.7632556488</v>
      </c>
      <c r="O18" s="43">
        <v>235383.4167903359</v>
      </c>
      <c r="P18" s="23"/>
      <c r="Q18" s="43">
        <v>38494144.407747991</v>
      </c>
      <c r="R18" s="43">
        <v>107091.67024448734</v>
      </c>
      <c r="S18" s="43">
        <v>2908238.931197782</v>
      </c>
      <c r="T18" s="43">
        <f>SUM(Q18:S18)</f>
        <v>41509475.009190261</v>
      </c>
      <c r="U18" s="43">
        <f>SUM(Q18:R18)</f>
        <v>38601236.077992477</v>
      </c>
      <c r="V18" s="23"/>
      <c r="W18" s="23"/>
      <c r="X18" s="23"/>
      <c r="Y18" s="23"/>
    </row>
    <row r="19" spans="1:25" s="5" customFormat="1" x14ac:dyDescent="0.25">
      <c r="A19" s="5">
        <f t="shared" si="0"/>
        <v>13</v>
      </c>
      <c r="B19" s="38">
        <v>340</v>
      </c>
      <c r="C19" s="5" t="s">
        <v>413</v>
      </c>
      <c r="D19" s="23" t="s">
        <v>231</v>
      </c>
      <c r="E19" s="43">
        <v>1924113394.52511</v>
      </c>
      <c r="F19" s="43">
        <v>1028020449.7939721</v>
      </c>
      <c r="G19" s="43">
        <v>252021590.60994908</v>
      </c>
      <c r="H19" s="43">
        <v>253740999.6738866</v>
      </c>
      <c r="I19" s="43">
        <v>162343166.8202329</v>
      </c>
      <c r="J19" s="43">
        <v>115375297.64490402</v>
      </c>
      <c r="K19" s="43">
        <v>55871071.106008828</v>
      </c>
      <c r="L19" s="43">
        <v>49132348.036935218</v>
      </c>
      <c r="M19" s="43">
        <v>0</v>
      </c>
      <c r="N19" s="43">
        <v>6954224.2661957359</v>
      </c>
      <c r="O19" s="43">
        <v>654246.57302572019</v>
      </c>
      <c r="P19" s="23"/>
      <c r="Q19" s="43">
        <v>106994207.1694845</v>
      </c>
      <c r="R19" s="43">
        <v>297660.55405451549</v>
      </c>
      <c r="S19" s="43">
        <v>8083429.9213650096</v>
      </c>
      <c r="T19" s="43">
        <f>SUM(Q19:S19)</f>
        <v>115375297.64490402</v>
      </c>
      <c r="U19" s="43">
        <f>SUM(Q19:R19)</f>
        <v>107291867.72353901</v>
      </c>
      <c r="V19" s="23"/>
      <c r="W19" s="23"/>
      <c r="X19" s="23"/>
      <c r="Y19" s="23"/>
    </row>
    <row r="20" spans="1:25" s="5" customFormat="1" x14ac:dyDescent="0.25">
      <c r="A20" s="14">
        <f t="shared" si="0"/>
        <v>14</v>
      </c>
      <c r="B20" s="39"/>
      <c r="C20" s="14" t="s">
        <v>288</v>
      </c>
      <c r="D20" s="24"/>
      <c r="E20" s="44">
        <f>SUM(E17:E19)</f>
        <v>3887841988.9148149</v>
      </c>
      <c r="F20" s="44">
        <f t="shared" ref="F20:U20" si="2">SUM(F17:F19)</f>
        <v>2077206614.5085716</v>
      </c>
      <c r="G20" s="44">
        <f t="shared" si="2"/>
        <v>509232005.17934597</v>
      </c>
      <c r="H20" s="44">
        <f t="shared" si="2"/>
        <v>512706223.88907373</v>
      </c>
      <c r="I20" s="44">
        <f t="shared" si="2"/>
        <v>328028785.81533986</v>
      </c>
      <c r="J20" s="44">
        <f t="shared" si="2"/>
        <v>233126035.05788267</v>
      </c>
      <c r="K20" s="44">
        <f t="shared" si="2"/>
        <v>112892460.92754211</v>
      </c>
      <c r="L20" s="44">
        <f t="shared" si="2"/>
        <v>99276272.518812984</v>
      </c>
      <c r="M20" s="44">
        <f t="shared" si="2"/>
        <v>0</v>
      </c>
      <c r="N20" s="44">
        <f t="shared" si="2"/>
        <v>14051627.715589538</v>
      </c>
      <c r="O20" s="44">
        <f t="shared" si="2"/>
        <v>1321963.3026570168</v>
      </c>
      <c r="P20" s="23"/>
      <c r="Q20" s="44">
        <f t="shared" si="2"/>
        <v>216191297.45044962</v>
      </c>
      <c r="R20" s="44">
        <f t="shared" si="2"/>
        <v>601449.58389129443</v>
      </c>
      <c r="S20" s="44">
        <f t="shared" si="2"/>
        <v>16333288.023541763</v>
      </c>
      <c r="T20" s="44">
        <f t="shared" si="2"/>
        <v>233126035.05788267</v>
      </c>
      <c r="U20" s="44">
        <f t="shared" si="2"/>
        <v>216792747.03434092</v>
      </c>
      <c r="V20" s="23"/>
      <c r="W20" s="23"/>
      <c r="X20" s="23"/>
      <c r="Y20" s="23"/>
    </row>
    <row r="21" spans="1:25" s="5" customFormat="1" x14ac:dyDescent="0.25">
      <c r="A21" s="5">
        <f t="shared" si="0"/>
        <v>15</v>
      </c>
      <c r="B21" s="38"/>
      <c r="D21" s="2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23"/>
      <c r="Q21" s="43"/>
      <c r="R21" s="43"/>
      <c r="S21" s="43"/>
      <c r="T21" s="43"/>
      <c r="U21" s="43"/>
      <c r="V21" s="23"/>
      <c r="W21" s="23"/>
      <c r="X21" s="23"/>
      <c r="Y21" s="23"/>
    </row>
    <row r="22" spans="1:25" s="5" customFormat="1" x14ac:dyDescent="0.25">
      <c r="A22" s="5">
        <f t="shared" si="0"/>
        <v>16</v>
      </c>
      <c r="B22" s="38"/>
      <c r="C22" s="1" t="s">
        <v>410</v>
      </c>
      <c r="D22" s="2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23"/>
      <c r="Q22" s="43"/>
      <c r="R22" s="43"/>
      <c r="S22" s="43"/>
      <c r="T22" s="43"/>
      <c r="U22" s="43"/>
      <c r="V22" s="23"/>
      <c r="W22" s="23"/>
      <c r="X22" s="23"/>
      <c r="Y22" s="23"/>
    </row>
    <row r="23" spans="1:25" s="5" customFormat="1" x14ac:dyDescent="0.25">
      <c r="A23" s="5">
        <f t="shared" si="0"/>
        <v>17</v>
      </c>
      <c r="B23" s="38">
        <v>350</v>
      </c>
      <c r="C23" s="5" t="s">
        <v>414</v>
      </c>
      <c r="D23" s="23" t="s">
        <v>231</v>
      </c>
      <c r="E23" s="43">
        <v>174349685</v>
      </c>
      <c r="F23" s="43">
        <v>93152015.938943297</v>
      </c>
      <c r="G23" s="43">
        <v>22836432.125606805</v>
      </c>
      <c r="H23" s="43">
        <v>22992232.937313974</v>
      </c>
      <c r="I23" s="43">
        <v>14710401.204808347</v>
      </c>
      <c r="J23" s="43">
        <v>10454501.724486459</v>
      </c>
      <c r="K23" s="43">
        <v>5062645.3075284781</v>
      </c>
      <c r="L23" s="43">
        <v>4452029.4011384128</v>
      </c>
      <c r="M23" s="43">
        <v>0</v>
      </c>
      <c r="N23" s="43">
        <v>630143.11613886536</v>
      </c>
      <c r="O23" s="43">
        <v>59283.244035373937</v>
      </c>
      <c r="P23" s="23"/>
      <c r="Q23" s="43">
        <v>9695065.9820277654</v>
      </c>
      <c r="R23" s="43">
        <v>26971.915472340934</v>
      </c>
      <c r="S23" s="43">
        <v>732463.8269863528</v>
      </c>
      <c r="T23" s="43">
        <f>SUM(Q23:S23)</f>
        <v>10454501.724486459</v>
      </c>
      <c r="U23" s="43">
        <f>SUM(Q23:R23)</f>
        <v>9722037.8975001071</v>
      </c>
      <c r="V23" s="23"/>
      <c r="W23" s="23"/>
      <c r="X23" s="23"/>
      <c r="Y23" s="23"/>
    </row>
    <row r="24" spans="1:25" s="5" customFormat="1" x14ac:dyDescent="0.25">
      <c r="A24" s="5">
        <f t="shared" si="0"/>
        <v>18</v>
      </c>
      <c r="B24" s="38">
        <v>350.01</v>
      </c>
      <c r="C24" s="5" t="s">
        <v>415</v>
      </c>
      <c r="D24" s="23" t="s">
        <v>416</v>
      </c>
      <c r="E24" s="43">
        <v>1214311299</v>
      </c>
      <c r="F24" s="43">
        <v>597433388.70555854</v>
      </c>
      <c r="G24" s="43">
        <v>146224360.22493044</v>
      </c>
      <c r="H24" s="43">
        <v>147140393.56918862</v>
      </c>
      <c r="I24" s="43">
        <v>94066805.788049072</v>
      </c>
      <c r="J24" s="43">
        <v>66837405.576075949</v>
      </c>
      <c r="K24" s="43">
        <v>32379427.50440003</v>
      </c>
      <c r="L24" s="43">
        <v>28445402.264599342</v>
      </c>
      <c r="M24" s="43">
        <v>97368058.384898379</v>
      </c>
      <c r="N24" s="43">
        <v>4035837.6076959856</v>
      </c>
      <c r="O24" s="43">
        <v>380219.37460385484</v>
      </c>
      <c r="P24" s="23"/>
      <c r="Q24" s="43">
        <v>62011080.175765559</v>
      </c>
      <c r="R24" s="43">
        <v>171419.30377560804</v>
      </c>
      <c r="S24" s="43">
        <v>4654906.096534783</v>
      </c>
      <c r="T24" s="43">
        <f>SUM(Q24:S24)</f>
        <v>66837405.576075949</v>
      </c>
      <c r="U24" s="43">
        <f>SUM(Q24:R24)</f>
        <v>62182499.479541168</v>
      </c>
      <c r="V24" s="23"/>
      <c r="W24" s="23"/>
      <c r="X24" s="23"/>
      <c r="Y24" s="23"/>
    </row>
    <row r="25" spans="1:25" s="5" customFormat="1" x14ac:dyDescent="0.25">
      <c r="A25" s="5">
        <f t="shared" si="0"/>
        <v>19</v>
      </c>
      <c r="B25" s="38">
        <v>350.02</v>
      </c>
      <c r="C25" s="5" t="s">
        <v>417</v>
      </c>
      <c r="D25" s="23" t="s">
        <v>226</v>
      </c>
      <c r="E25" s="43">
        <v>389231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389231</v>
      </c>
      <c r="N25" s="43">
        <v>0</v>
      </c>
      <c r="O25" s="43">
        <v>0</v>
      </c>
      <c r="P25" s="23"/>
      <c r="Q25" s="43">
        <v>0</v>
      </c>
      <c r="R25" s="43">
        <v>0</v>
      </c>
      <c r="S25" s="43">
        <v>0</v>
      </c>
      <c r="T25" s="43">
        <f>SUM(Q25:S25)</f>
        <v>0</v>
      </c>
      <c r="U25" s="43">
        <f>SUM(Q25:R25)</f>
        <v>0</v>
      </c>
      <c r="V25" s="23"/>
      <c r="W25" s="23"/>
      <c r="X25" s="23"/>
      <c r="Y25" s="23"/>
    </row>
    <row r="26" spans="1:25" s="5" customFormat="1" x14ac:dyDescent="0.25">
      <c r="A26" s="14">
        <f>+A25+1</f>
        <v>20</v>
      </c>
      <c r="B26" s="39"/>
      <c r="C26" s="14" t="s">
        <v>288</v>
      </c>
      <c r="D26" s="24"/>
      <c r="E26" s="44">
        <f t="shared" ref="E26:U26" si="3">SUM(E23:E25)</f>
        <v>1389050215</v>
      </c>
      <c r="F26" s="44">
        <f t="shared" si="3"/>
        <v>690585404.64450181</v>
      </c>
      <c r="G26" s="44">
        <f t="shared" si="3"/>
        <v>169060792.35053724</v>
      </c>
      <c r="H26" s="44">
        <f t="shared" si="3"/>
        <v>170132626.5065026</v>
      </c>
      <c r="I26" s="44">
        <f t="shared" si="3"/>
        <v>108777206.99285743</v>
      </c>
      <c r="J26" s="44">
        <f t="shared" si="3"/>
        <v>77291907.300562412</v>
      </c>
      <c r="K26" s="44">
        <f t="shared" si="3"/>
        <v>37442072.811928511</v>
      </c>
      <c r="L26" s="44">
        <f t="shared" si="3"/>
        <v>32897431.665737756</v>
      </c>
      <c r="M26" s="44">
        <f t="shared" si="3"/>
        <v>97757289.384898379</v>
      </c>
      <c r="N26" s="44">
        <f t="shared" si="3"/>
        <v>4665980.7238348508</v>
      </c>
      <c r="O26" s="44">
        <f t="shared" si="3"/>
        <v>439502.61863922875</v>
      </c>
      <c r="P26" s="23"/>
      <c r="Q26" s="44">
        <f t="shared" si="3"/>
        <v>71706146.157793328</v>
      </c>
      <c r="R26" s="44">
        <f t="shared" si="3"/>
        <v>198391.21924794899</v>
      </c>
      <c r="S26" s="44">
        <f t="shared" si="3"/>
        <v>5387369.9235211359</v>
      </c>
      <c r="T26" s="44">
        <f t="shared" si="3"/>
        <v>77291907.300562412</v>
      </c>
      <c r="U26" s="44">
        <f t="shared" si="3"/>
        <v>71904537.37704128</v>
      </c>
      <c r="V26" s="23"/>
      <c r="W26" s="23"/>
      <c r="X26" s="23"/>
      <c r="Y26" s="23"/>
    </row>
    <row r="27" spans="1:25" s="5" customFormat="1" x14ac:dyDescent="0.25">
      <c r="A27" s="5">
        <f t="shared" si="0"/>
        <v>21</v>
      </c>
      <c r="B27" s="38"/>
      <c r="D27" s="2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23"/>
      <c r="Q27" s="43"/>
      <c r="R27" s="43"/>
      <c r="S27" s="43"/>
      <c r="T27" s="43"/>
      <c r="U27" s="43"/>
      <c r="V27" s="23"/>
      <c r="W27" s="23"/>
      <c r="X27" s="23"/>
      <c r="Y27" s="23"/>
    </row>
    <row r="28" spans="1:25" s="5" customFormat="1" x14ac:dyDescent="0.25">
      <c r="A28" s="5">
        <f t="shared" si="0"/>
        <v>22</v>
      </c>
      <c r="B28" s="38"/>
      <c r="C28" s="1" t="s">
        <v>418</v>
      </c>
      <c r="D28" s="2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23"/>
      <c r="Q28" s="43"/>
      <c r="R28" s="43"/>
      <c r="S28" s="43"/>
      <c r="T28" s="43"/>
      <c r="U28" s="43"/>
      <c r="V28" s="23"/>
      <c r="W28" s="23"/>
      <c r="X28" s="23"/>
      <c r="Y28" s="23"/>
    </row>
    <row r="29" spans="1:25" s="5" customFormat="1" x14ac:dyDescent="0.25">
      <c r="A29" s="5">
        <f t="shared" si="0"/>
        <v>23</v>
      </c>
      <c r="B29" s="38">
        <v>360.01</v>
      </c>
      <c r="C29" s="5" t="s">
        <v>419</v>
      </c>
      <c r="D29" s="23" t="s">
        <v>420</v>
      </c>
      <c r="E29" s="43">
        <v>7206033.3636128018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6463301.9866000013</v>
      </c>
      <c r="L29" s="43">
        <v>742731.37701280008</v>
      </c>
      <c r="M29" s="43">
        <v>0</v>
      </c>
      <c r="N29" s="43">
        <v>0</v>
      </c>
      <c r="O29" s="43">
        <v>0</v>
      </c>
      <c r="P29" s="23"/>
      <c r="Q29" s="43">
        <v>0</v>
      </c>
      <c r="R29" s="43">
        <v>0</v>
      </c>
      <c r="S29" s="43">
        <v>0</v>
      </c>
      <c r="T29" s="43">
        <f t="shared" ref="T29:T49" si="4">SUM(Q29:S29)</f>
        <v>0</v>
      </c>
      <c r="U29" s="43">
        <f t="shared" ref="U29:U49" si="5">SUM(Q29:R29)</f>
        <v>0</v>
      </c>
      <c r="V29" s="23"/>
      <c r="W29" s="23"/>
      <c r="X29" s="23"/>
      <c r="Y29" s="23"/>
    </row>
    <row r="30" spans="1:25" s="5" customFormat="1" x14ac:dyDescent="0.25">
      <c r="A30" s="5">
        <f t="shared" si="0"/>
        <v>24</v>
      </c>
      <c r="B30" s="38">
        <v>360.02</v>
      </c>
      <c r="C30" s="5" t="s">
        <v>421</v>
      </c>
      <c r="D30" s="23" t="s">
        <v>422</v>
      </c>
      <c r="E30" s="43">
        <v>38836547.873053797</v>
      </c>
      <c r="F30" s="43">
        <v>15899895.228788249</v>
      </c>
      <c r="G30" s="43">
        <v>6216844.1601683861</v>
      </c>
      <c r="H30" s="43">
        <v>7820648.3325043339</v>
      </c>
      <c r="I30" s="43">
        <v>4440537.5998917911</v>
      </c>
      <c r="J30" s="43">
        <v>4423968.5465404708</v>
      </c>
      <c r="K30" s="43">
        <v>0</v>
      </c>
      <c r="L30" s="43">
        <v>0</v>
      </c>
      <c r="M30" s="43">
        <v>0</v>
      </c>
      <c r="N30" s="43">
        <v>32087.262638886525</v>
      </c>
      <c r="O30" s="43">
        <v>2566.7425216780134</v>
      </c>
      <c r="P30" s="23"/>
      <c r="Q30" s="43">
        <v>4211844.120439983</v>
      </c>
      <c r="R30" s="43">
        <v>788.50568755381482</v>
      </c>
      <c r="S30" s="43">
        <v>211335.92041293485</v>
      </c>
      <c r="T30" s="43">
        <f t="shared" si="4"/>
        <v>4423968.5465404708</v>
      </c>
      <c r="U30" s="43">
        <f t="shared" si="5"/>
        <v>4212632.6261275364</v>
      </c>
      <c r="V30" s="23"/>
      <c r="W30" s="23"/>
      <c r="X30" s="23"/>
      <c r="Y30" s="23"/>
    </row>
    <row r="31" spans="1:25" s="5" customFormat="1" x14ac:dyDescent="0.25">
      <c r="A31" s="5">
        <f t="shared" si="0"/>
        <v>25</v>
      </c>
      <c r="B31" s="38">
        <v>361.01</v>
      </c>
      <c r="C31" s="5" t="s">
        <v>423</v>
      </c>
      <c r="D31" s="23" t="s">
        <v>424</v>
      </c>
      <c r="E31" s="43">
        <v>927905.5494767999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571996.11739999987</v>
      </c>
      <c r="L31" s="43">
        <v>162866.1520768</v>
      </c>
      <c r="M31" s="43">
        <v>193043.28</v>
      </c>
      <c r="N31" s="43">
        <v>0</v>
      </c>
      <c r="O31" s="43">
        <v>0</v>
      </c>
      <c r="P31" s="23"/>
      <c r="Q31" s="43">
        <v>0</v>
      </c>
      <c r="R31" s="43">
        <v>0</v>
      </c>
      <c r="S31" s="43">
        <v>0</v>
      </c>
      <c r="T31" s="43">
        <f t="shared" si="4"/>
        <v>0</v>
      </c>
      <c r="U31" s="43">
        <f t="shared" si="5"/>
        <v>0</v>
      </c>
      <c r="V31" s="23"/>
      <c r="W31" s="23"/>
      <c r="X31" s="23"/>
      <c r="Y31" s="23"/>
    </row>
    <row r="32" spans="1:25" s="5" customFormat="1" x14ac:dyDescent="0.25">
      <c r="A32" s="5">
        <f t="shared" si="0"/>
        <v>26</v>
      </c>
      <c r="B32" s="38">
        <v>361.02</v>
      </c>
      <c r="C32" s="5" t="s">
        <v>425</v>
      </c>
      <c r="D32" s="23" t="s">
        <v>426</v>
      </c>
      <c r="E32" s="43">
        <v>7043220.28260653</v>
      </c>
      <c r="F32" s="43">
        <v>3493516.5805092505</v>
      </c>
      <c r="G32" s="43">
        <v>1028704.1033856421</v>
      </c>
      <c r="H32" s="43">
        <v>1235661.0884105454</v>
      </c>
      <c r="I32" s="43">
        <v>770667.49667737808</v>
      </c>
      <c r="J32" s="43">
        <v>507745.79025136476</v>
      </c>
      <c r="K32" s="43">
        <v>0</v>
      </c>
      <c r="L32" s="43">
        <v>0</v>
      </c>
      <c r="M32" s="43">
        <v>0</v>
      </c>
      <c r="N32" s="43">
        <v>6168.1382094890796</v>
      </c>
      <c r="O32" s="43">
        <v>757.08516286009683</v>
      </c>
      <c r="P32" s="23"/>
      <c r="Q32" s="43">
        <v>445691.00183802127</v>
      </c>
      <c r="R32" s="43">
        <v>0</v>
      </c>
      <c r="S32" s="43">
        <v>62054.788413343507</v>
      </c>
      <c r="T32" s="43">
        <f t="shared" si="4"/>
        <v>507745.79025136476</v>
      </c>
      <c r="U32" s="43">
        <f t="shared" si="5"/>
        <v>445691.00183802127</v>
      </c>
      <c r="V32" s="23"/>
      <c r="W32" s="23"/>
      <c r="X32" s="23"/>
      <c r="Y32" s="23"/>
    </row>
    <row r="33" spans="1:25" s="5" customFormat="1" x14ac:dyDescent="0.25">
      <c r="A33" s="5">
        <f t="shared" si="0"/>
        <v>27</v>
      </c>
      <c r="B33" s="38">
        <v>362.01</v>
      </c>
      <c r="C33" s="5" t="s">
        <v>427</v>
      </c>
      <c r="D33" s="23" t="s">
        <v>428</v>
      </c>
      <c r="E33" s="43">
        <v>45047849.680454798</v>
      </c>
      <c r="F33" s="43">
        <v>0</v>
      </c>
      <c r="G33" s="43">
        <v>0</v>
      </c>
      <c r="H33" s="43">
        <v>0</v>
      </c>
      <c r="I33" s="43">
        <v>0</v>
      </c>
      <c r="J33" s="43">
        <v>764313.05011033465</v>
      </c>
      <c r="K33" s="43">
        <v>23432137.945886824</v>
      </c>
      <c r="L33" s="43">
        <v>14253457.618277829</v>
      </c>
      <c r="M33" s="43">
        <v>6597941.0661798157</v>
      </c>
      <c r="N33" s="43">
        <v>0</v>
      </c>
      <c r="O33" s="43">
        <v>0</v>
      </c>
      <c r="P33" s="23"/>
      <c r="Q33" s="43">
        <v>764313.05011033465</v>
      </c>
      <c r="R33" s="43">
        <v>0</v>
      </c>
      <c r="S33" s="43">
        <v>0</v>
      </c>
      <c r="T33" s="43">
        <f t="shared" si="4"/>
        <v>764313.05011033465</v>
      </c>
      <c r="U33" s="43">
        <f t="shared" si="5"/>
        <v>764313.05011033465</v>
      </c>
      <c r="V33" s="23"/>
      <c r="W33" s="23"/>
      <c r="X33" s="23"/>
      <c r="Y33" s="23"/>
    </row>
    <row r="34" spans="1:25" s="5" customFormat="1" x14ac:dyDescent="0.25">
      <c r="A34" s="5">
        <f t="shared" si="0"/>
        <v>28</v>
      </c>
      <c r="B34" s="38">
        <v>362.02</v>
      </c>
      <c r="C34" s="5" t="s">
        <v>429</v>
      </c>
      <c r="D34" s="23" t="s">
        <v>430</v>
      </c>
      <c r="E34" s="43">
        <v>372825963.36057419</v>
      </c>
      <c r="F34" s="43">
        <v>203031789.48580393</v>
      </c>
      <c r="G34" s="43">
        <v>52523489.820649475</v>
      </c>
      <c r="H34" s="43">
        <v>56569491.908042848</v>
      </c>
      <c r="I34" s="43">
        <v>32062868.651319444</v>
      </c>
      <c r="J34" s="43">
        <v>28172010.890762903</v>
      </c>
      <c r="K34" s="43">
        <v>0</v>
      </c>
      <c r="L34" s="43">
        <v>0</v>
      </c>
      <c r="M34" s="43">
        <v>0</v>
      </c>
      <c r="N34" s="43">
        <v>359516.71344980953</v>
      </c>
      <c r="O34" s="43">
        <v>106795.89054578304</v>
      </c>
      <c r="P34" s="23"/>
      <c r="Q34" s="43">
        <v>24867781.183034331</v>
      </c>
      <c r="R34" s="43">
        <v>90857.367675157337</v>
      </c>
      <c r="S34" s="43">
        <v>3213372.3400534131</v>
      </c>
      <c r="T34" s="43">
        <f t="shared" si="4"/>
        <v>28172010.890762903</v>
      </c>
      <c r="U34" s="43">
        <f t="shared" si="5"/>
        <v>24958638.55070949</v>
      </c>
      <c r="V34" s="23"/>
      <c r="W34" s="23"/>
      <c r="X34" s="23"/>
      <c r="Y34" s="23"/>
    </row>
    <row r="35" spans="1:25" s="5" customFormat="1" x14ac:dyDescent="0.25">
      <c r="A35" s="5">
        <f t="shared" si="0"/>
        <v>29</v>
      </c>
      <c r="B35" s="38">
        <v>363.01</v>
      </c>
      <c r="C35" s="5" t="s">
        <v>431</v>
      </c>
      <c r="D35" s="23" t="s">
        <v>432</v>
      </c>
      <c r="E35" s="43">
        <v>2897295.0557666672</v>
      </c>
      <c r="F35" s="43">
        <v>1577795.1581976237</v>
      </c>
      <c r="G35" s="43">
        <v>408169.12534013449</v>
      </c>
      <c r="H35" s="43">
        <v>439611.30747187947</v>
      </c>
      <c r="I35" s="43">
        <v>249166.09878728064</v>
      </c>
      <c r="J35" s="43">
        <v>218929.57005752227</v>
      </c>
      <c r="K35" s="43">
        <v>0</v>
      </c>
      <c r="L35" s="43">
        <v>0</v>
      </c>
      <c r="M35" s="43">
        <v>0</v>
      </c>
      <c r="N35" s="43">
        <v>2793.8665723669537</v>
      </c>
      <c r="O35" s="43">
        <v>829.92933985996103</v>
      </c>
      <c r="P35" s="23"/>
      <c r="Q35" s="43">
        <v>193251.82940601997</v>
      </c>
      <c r="R35" s="43">
        <v>706.06832145597537</v>
      </c>
      <c r="S35" s="43">
        <v>24971.672330046335</v>
      </c>
      <c r="T35" s="43">
        <f t="shared" si="4"/>
        <v>218929.57005752227</v>
      </c>
      <c r="U35" s="43">
        <f t="shared" si="5"/>
        <v>193957.89772747594</v>
      </c>
      <c r="V35" s="23"/>
      <c r="W35" s="23"/>
      <c r="X35" s="23"/>
      <c r="Y35" s="23"/>
    </row>
    <row r="36" spans="1:25" s="5" customFormat="1" x14ac:dyDescent="0.25">
      <c r="A36" s="5">
        <f t="shared" si="0"/>
        <v>30</v>
      </c>
      <c r="B36" s="38">
        <v>364.01</v>
      </c>
      <c r="C36" s="5" t="s">
        <v>433</v>
      </c>
      <c r="D36" s="23" t="s">
        <v>434</v>
      </c>
      <c r="E36" s="43">
        <v>332823919.61817998</v>
      </c>
      <c r="F36" s="43">
        <v>226093115.02757889</v>
      </c>
      <c r="G36" s="43">
        <v>43352802.788722634</v>
      </c>
      <c r="H36" s="43">
        <v>33490419.039243501</v>
      </c>
      <c r="I36" s="43">
        <v>13955010.378855238</v>
      </c>
      <c r="J36" s="43">
        <v>15478579.549964435</v>
      </c>
      <c r="K36" s="43">
        <v>0</v>
      </c>
      <c r="L36" s="43">
        <v>0</v>
      </c>
      <c r="M36" s="43">
        <v>0</v>
      </c>
      <c r="N36" s="43">
        <v>217796.11998069525</v>
      </c>
      <c r="O36" s="43">
        <v>236196.71383467104</v>
      </c>
      <c r="P36" s="23"/>
      <c r="Q36" s="43">
        <v>11887452.742172142</v>
      </c>
      <c r="R36" s="43">
        <v>266306.77650481323</v>
      </c>
      <c r="S36" s="43">
        <v>3324820.0312874797</v>
      </c>
      <c r="T36" s="43">
        <f t="shared" si="4"/>
        <v>15478579.549964435</v>
      </c>
      <c r="U36" s="43">
        <f t="shared" si="5"/>
        <v>12153759.518676955</v>
      </c>
      <c r="V36" s="23"/>
      <c r="W36" s="23"/>
      <c r="X36" s="23"/>
      <c r="Y36" s="23"/>
    </row>
    <row r="37" spans="1:25" s="5" customFormat="1" x14ac:dyDescent="0.25">
      <c r="A37" s="5">
        <f t="shared" si="0"/>
        <v>31</v>
      </c>
      <c r="B37" s="38">
        <v>365.01</v>
      </c>
      <c r="C37" s="5" t="s">
        <v>435</v>
      </c>
      <c r="D37" s="23" t="s">
        <v>436</v>
      </c>
      <c r="E37" s="43">
        <v>2006904.4079999996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2006904.4079999996</v>
      </c>
      <c r="L37" s="43">
        <v>0</v>
      </c>
      <c r="M37" s="43">
        <v>0</v>
      </c>
      <c r="N37" s="43">
        <v>0</v>
      </c>
      <c r="O37" s="43">
        <v>0</v>
      </c>
      <c r="P37" s="23"/>
      <c r="Q37" s="43">
        <v>0</v>
      </c>
      <c r="R37" s="43">
        <v>0</v>
      </c>
      <c r="S37" s="43">
        <v>0</v>
      </c>
      <c r="T37" s="43">
        <f t="shared" si="4"/>
        <v>0</v>
      </c>
      <c r="U37" s="43">
        <f t="shared" si="5"/>
        <v>0</v>
      </c>
      <c r="V37" s="23"/>
      <c r="W37" s="23"/>
      <c r="X37" s="23"/>
      <c r="Y37" s="23"/>
    </row>
    <row r="38" spans="1:25" s="5" customFormat="1" x14ac:dyDescent="0.25">
      <c r="A38" s="5">
        <f t="shared" si="0"/>
        <v>32</v>
      </c>
      <c r="B38" s="38">
        <v>365.02</v>
      </c>
      <c r="C38" s="5" t="s">
        <v>437</v>
      </c>
      <c r="D38" s="23" t="s">
        <v>434</v>
      </c>
      <c r="E38" s="43">
        <v>390038424.25837201</v>
      </c>
      <c r="F38" s="43">
        <v>264959929.62942904</v>
      </c>
      <c r="G38" s="43">
        <v>50805419.593326882</v>
      </c>
      <c r="H38" s="43">
        <v>39247630.653483823</v>
      </c>
      <c r="I38" s="43">
        <v>16353963.576062066</v>
      </c>
      <c r="J38" s="43">
        <v>18139443.776613146</v>
      </c>
      <c r="K38" s="43">
        <v>0</v>
      </c>
      <c r="L38" s="43">
        <v>0</v>
      </c>
      <c r="M38" s="43">
        <v>0</v>
      </c>
      <c r="N38" s="43">
        <v>255236.62945954173</v>
      </c>
      <c r="O38" s="43">
        <v>276800.39999759826</v>
      </c>
      <c r="P38" s="23"/>
      <c r="Q38" s="43">
        <v>13930979.904694989</v>
      </c>
      <c r="R38" s="43">
        <v>312086.56996896345</v>
      </c>
      <c r="S38" s="43">
        <v>3896377.3019491946</v>
      </c>
      <c r="T38" s="43">
        <f t="shared" si="4"/>
        <v>18139443.776613146</v>
      </c>
      <c r="U38" s="43">
        <f t="shared" si="5"/>
        <v>14243066.474663952</v>
      </c>
      <c r="V38" s="23"/>
      <c r="W38" s="23"/>
      <c r="X38" s="23"/>
      <c r="Y38" s="23"/>
    </row>
    <row r="39" spans="1:25" s="5" customFormat="1" x14ac:dyDescent="0.25">
      <c r="A39" s="5">
        <f>+A37+1</f>
        <v>32</v>
      </c>
      <c r="B39" s="38">
        <v>366.01</v>
      </c>
      <c r="C39" s="5" t="s">
        <v>438</v>
      </c>
      <c r="D39" s="23" t="s">
        <v>439</v>
      </c>
      <c r="E39" s="43">
        <v>42630640.692599982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35974435.602599978</v>
      </c>
      <c r="L39" s="43">
        <v>6656205.0899999999</v>
      </c>
      <c r="M39" s="43">
        <v>0</v>
      </c>
      <c r="N39" s="43">
        <v>0</v>
      </c>
      <c r="O39" s="43">
        <v>0</v>
      </c>
      <c r="P39" s="23"/>
      <c r="Q39" s="43">
        <v>0</v>
      </c>
      <c r="R39" s="43">
        <v>0</v>
      </c>
      <c r="S39" s="43">
        <v>0</v>
      </c>
      <c r="T39" s="43">
        <f t="shared" si="4"/>
        <v>0</v>
      </c>
      <c r="U39" s="43">
        <f t="shared" si="5"/>
        <v>0</v>
      </c>
      <c r="V39" s="23"/>
      <c r="W39" s="23"/>
      <c r="X39" s="23"/>
      <c r="Y39" s="23"/>
    </row>
    <row r="40" spans="1:25" s="5" customFormat="1" x14ac:dyDescent="0.25">
      <c r="A40" s="5">
        <f t="shared" si="0"/>
        <v>33</v>
      </c>
      <c r="B40" s="38">
        <v>366.02</v>
      </c>
      <c r="C40" s="5" t="s">
        <v>440</v>
      </c>
      <c r="D40" s="23" t="s">
        <v>441</v>
      </c>
      <c r="E40" s="43">
        <v>616192355.93198299</v>
      </c>
      <c r="F40" s="43">
        <v>411392598.7555871</v>
      </c>
      <c r="G40" s="43">
        <v>76127894.821712211</v>
      </c>
      <c r="H40" s="43">
        <v>70256878.010038823</v>
      </c>
      <c r="I40" s="43">
        <v>30168409.558058511</v>
      </c>
      <c r="J40" s="43">
        <v>27782445.4087702</v>
      </c>
      <c r="K40" s="43">
        <v>0</v>
      </c>
      <c r="L40" s="43">
        <v>0</v>
      </c>
      <c r="M40" s="43">
        <v>0</v>
      </c>
      <c r="N40" s="43">
        <v>301464.27787796571</v>
      </c>
      <c r="O40" s="43">
        <v>162665.09993831901</v>
      </c>
      <c r="P40" s="23"/>
      <c r="Q40" s="43">
        <v>20535997.829278596</v>
      </c>
      <c r="R40" s="43">
        <v>228610.41072412403</v>
      </c>
      <c r="S40" s="43">
        <v>7017837.1687674774</v>
      </c>
      <c r="T40" s="43">
        <f t="shared" si="4"/>
        <v>27782445.4087702</v>
      </c>
      <c r="U40" s="43">
        <f t="shared" si="5"/>
        <v>20764608.240002722</v>
      </c>
      <c r="V40" s="23"/>
      <c r="W40" s="23"/>
      <c r="X40" s="23"/>
      <c r="Y40" s="23"/>
    </row>
    <row r="41" spans="1:25" s="5" customFormat="1" x14ac:dyDescent="0.25">
      <c r="A41" s="5">
        <f t="shared" si="0"/>
        <v>34</v>
      </c>
      <c r="B41" s="38">
        <v>367.01</v>
      </c>
      <c r="C41" s="5" t="s">
        <v>442</v>
      </c>
      <c r="D41" s="23" t="s">
        <v>441</v>
      </c>
      <c r="E41" s="43">
        <v>839507907.99583304</v>
      </c>
      <c r="F41" s="43">
        <v>560486245.27954161</v>
      </c>
      <c r="G41" s="43">
        <v>103717563.36580877</v>
      </c>
      <c r="H41" s="43">
        <v>95718819.152369767</v>
      </c>
      <c r="I41" s="43">
        <v>41101805.551191904</v>
      </c>
      <c r="J41" s="43">
        <v>37851139.176902786</v>
      </c>
      <c r="K41" s="43">
        <v>0</v>
      </c>
      <c r="L41" s="43">
        <v>0</v>
      </c>
      <c r="M41" s="43">
        <v>0</v>
      </c>
      <c r="N41" s="43">
        <v>410718.57321894681</v>
      </c>
      <c r="O41" s="43">
        <v>221616.89679939006</v>
      </c>
      <c r="P41" s="23"/>
      <c r="Q41" s="43">
        <v>27978491.473152347</v>
      </c>
      <c r="R41" s="43">
        <v>311461.58469103469</v>
      </c>
      <c r="S41" s="43">
        <v>9561186.1190594006</v>
      </c>
      <c r="T41" s="43">
        <f t="shared" si="4"/>
        <v>37851139.176902786</v>
      </c>
      <c r="U41" s="43">
        <f t="shared" si="5"/>
        <v>28289953.057843383</v>
      </c>
      <c r="V41" s="23"/>
      <c r="W41" s="23"/>
      <c r="X41" s="23"/>
      <c r="Y41" s="23"/>
    </row>
    <row r="42" spans="1:25" s="5" customFormat="1" x14ac:dyDescent="0.25">
      <c r="A42" s="5">
        <f t="shared" si="0"/>
        <v>35</v>
      </c>
      <c r="B42" s="38" t="s">
        <v>443</v>
      </c>
      <c r="C42" s="5" t="s">
        <v>444</v>
      </c>
      <c r="D42" s="23" t="s">
        <v>445</v>
      </c>
      <c r="E42" s="43">
        <v>158181415.66</v>
      </c>
      <c r="F42" s="43">
        <v>115526683.12460129</v>
      </c>
      <c r="G42" s="43">
        <v>18108248.172830954</v>
      </c>
      <c r="H42" s="43">
        <v>2322391.4985946612</v>
      </c>
      <c r="I42" s="43">
        <v>29481.619275960766</v>
      </c>
      <c r="J42" s="43">
        <v>0</v>
      </c>
      <c r="K42" s="43">
        <v>0</v>
      </c>
      <c r="L42" s="43">
        <v>0</v>
      </c>
      <c r="M42" s="43">
        <v>0</v>
      </c>
      <c r="N42" s="43">
        <v>22194611.244697127</v>
      </c>
      <c r="O42" s="43">
        <v>0</v>
      </c>
      <c r="P42" s="23"/>
      <c r="Q42" s="43">
        <v>0</v>
      </c>
      <c r="R42" s="43">
        <v>0</v>
      </c>
      <c r="S42" s="43">
        <v>0</v>
      </c>
      <c r="T42" s="43">
        <f t="shared" si="4"/>
        <v>0</v>
      </c>
      <c r="U42" s="43">
        <f t="shared" si="5"/>
        <v>0</v>
      </c>
      <c r="V42" s="23"/>
      <c r="W42" s="23"/>
      <c r="X42" s="23"/>
      <c r="Y42" s="23"/>
    </row>
    <row r="43" spans="1:25" s="5" customFormat="1" x14ac:dyDescent="0.25">
      <c r="A43" s="5">
        <f t="shared" si="0"/>
        <v>36</v>
      </c>
      <c r="B43" s="38" t="s">
        <v>446</v>
      </c>
      <c r="C43" s="5" t="s">
        <v>447</v>
      </c>
      <c r="D43" s="23" t="s">
        <v>448</v>
      </c>
      <c r="E43" s="43">
        <v>295925429.44</v>
      </c>
      <c r="F43" s="43">
        <v>217662652.45164084</v>
      </c>
      <c r="G43" s="43">
        <v>42890899.34515518</v>
      </c>
      <c r="H43" s="43">
        <v>25965513.2978139</v>
      </c>
      <c r="I43" s="43">
        <v>8706892.3517976124</v>
      </c>
      <c r="J43" s="43">
        <v>0</v>
      </c>
      <c r="K43" s="43">
        <v>0</v>
      </c>
      <c r="L43" s="43">
        <v>0</v>
      </c>
      <c r="M43" s="43">
        <v>0</v>
      </c>
      <c r="N43" s="43">
        <v>681987.01044993114</v>
      </c>
      <c r="O43" s="43">
        <v>17484.983142559689</v>
      </c>
      <c r="P43" s="23"/>
      <c r="Q43" s="43">
        <v>0</v>
      </c>
      <c r="R43" s="43">
        <v>0</v>
      </c>
      <c r="S43" s="43">
        <v>0</v>
      </c>
      <c r="T43" s="43">
        <f t="shared" si="4"/>
        <v>0</v>
      </c>
      <c r="U43" s="43">
        <f t="shared" si="5"/>
        <v>0</v>
      </c>
      <c r="V43" s="23"/>
      <c r="W43" s="23"/>
      <c r="X43" s="23"/>
      <c r="Y43" s="23"/>
    </row>
    <row r="44" spans="1:25" s="5" customFormat="1" x14ac:dyDescent="0.25">
      <c r="A44" s="5">
        <f t="shared" si="0"/>
        <v>37</v>
      </c>
      <c r="B44" s="38">
        <v>368.03</v>
      </c>
      <c r="C44" s="5" t="s">
        <v>449</v>
      </c>
      <c r="D44" s="23" t="s">
        <v>450</v>
      </c>
      <c r="E44" s="43">
        <v>3221790.9</v>
      </c>
      <c r="F44" s="43">
        <v>0</v>
      </c>
      <c r="G44" s="43">
        <v>0</v>
      </c>
      <c r="H44" s="43">
        <v>0</v>
      </c>
      <c r="I44" s="43">
        <v>0</v>
      </c>
      <c r="J44" s="43">
        <v>860858.16999999993</v>
      </c>
      <c r="K44" s="43">
        <v>2341535.54</v>
      </c>
      <c r="L44" s="43">
        <v>0</v>
      </c>
      <c r="M44" s="43">
        <v>0</v>
      </c>
      <c r="N44" s="43">
        <v>0</v>
      </c>
      <c r="O44" s="43">
        <v>19397.189999999999</v>
      </c>
      <c r="P44" s="23"/>
      <c r="Q44" s="43">
        <v>813608.53999999992</v>
      </c>
      <c r="R44" s="43">
        <v>0</v>
      </c>
      <c r="S44" s="43">
        <v>47249.630000000005</v>
      </c>
      <c r="T44" s="43">
        <f t="shared" si="4"/>
        <v>860858.16999999993</v>
      </c>
      <c r="U44" s="43">
        <f t="shared" si="5"/>
        <v>813608.53999999992</v>
      </c>
      <c r="V44" s="23"/>
      <c r="W44" s="23"/>
      <c r="X44" s="23"/>
      <c r="Y44" s="23"/>
    </row>
    <row r="45" spans="1:25" s="5" customFormat="1" x14ac:dyDescent="0.25">
      <c r="A45" s="5">
        <f t="shared" si="0"/>
        <v>38</v>
      </c>
      <c r="B45" s="38" t="s">
        <v>451</v>
      </c>
      <c r="C45" s="5" t="s">
        <v>452</v>
      </c>
      <c r="D45" s="23" t="s">
        <v>453</v>
      </c>
      <c r="E45" s="43">
        <v>39681227</v>
      </c>
      <c r="F45" s="43">
        <v>34421864.686668307</v>
      </c>
      <c r="G45" s="43">
        <v>5076816.6766513577</v>
      </c>
      <c r="H45" s="43">
        <v>179788.74464848876</v>
      </c>
      <c r="I45" s="43">
        <v>2756.892031849773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23"/>
      <c r="Q45" s="43">
        <v>0</v>
      </c>
      <c r="R45" s="43">
        <v>0</v>
      </c>
      <c r="S45" s="43">
        <v>0</v>
      </c>
      <c r="T45" s="43">
        <f t="shared" si="4"/>
        <v>0</v>
      </c>
      <c r="U45" s="43">
        <f t="shared" si="5"/>
        <v>0</v>
      </c>
      <c r="V45" s="23"/>
      <c r="W45" s="23"/>
      <c r="X45" s="23"/>
      <c r="Y45" s="23"/>
    </row>
    <row r="46" spans="1:25" s="5" customFormat="1" x14ac:dyDescent="0.25">
      <c r="A46" s="5">
        <f t="shared" si="0"/>
        <v>39</v>
      </c>
      <c r="B46" s="38" t="s">
        <v>454</v>
      </c>
      <c r="C46" s="5" t="s">
        <v>455</v>
      </c>
      <c r="D46" s="23" t="s">
        <v>331</v>
      </c>
      <c r="E46" s="43">
        <v>141200591</v>
      </c>
      <c r="F46" s="43">
        <v>141200591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23"/>
      <c r="Q46" s="43">
        <v>0</v>
      </c>
      <c r="R46" s="43">
        <v>0</v>
      </c>
      <c r="S46" s="43">
        <v>0</v>
      </c>
      <c r="T46" s="43">
        <f t="shared" si="4"/>
        <v>0</v>
      </c>
      <c r="U46" s="43">
        <f t="shared" si="5"/>
        <v>0</v>
      </c>
      <c r="V46" s="23"/>
      <c r="W46" s="23"/>
      <c r="X46" s="23"/>
      <c r="Y46" s="23"/>
    </row>
    <row r="47" spans="1:25" s="5" customFormat="1" x14ac:dyDescent="0.25">
      <c r="A47" s="5">
        <f t="shared" si="0"/>
        <v>40</v>
      </c>
      <c r="B47" s="38">
        <v>370.01</v>
      </c>
      <c r="C47" s="5" t="s">
        <v>456</v>
      </c>
      <c r="D47" s="23" t="s">
        <v>457</v>
      </c>
      <c r="E47" s="43">
        <v>136044280.14375001</v>
      </c>
      <c r="F47" s="43">
        <v>88452023.525747895</v>
      </c>
      <c r="G47" s="43">
        <v>25064056.785852611</v>
      </c>
      <c r="H47" s="43">
        <v>6808147.5456820754</v>
      </c>
      <c r="I47" s="43">
        <v>770934.07285703754</v>
      </c>
      <c r="J47" s="43">
        <v>12934223.643074373</v>
      </c>
      <c r="K47" s="43">
        <v>809283.09371419554</v>
      </c>
      <c r="L47" s="43">
        <v>418776.31203883816</v>
      </c>
      <c r="M47" s="43">
        <v>588094.24947242113</v>
      </c>
      <c r="N47" s="43">
        <v>0</v>
      </c>
      <c r="O47" s="43">
        <v>198740.91531056986</v>
      </c>
      <c r="P47" s="23"/>
      <c r="Q47" s="43">
        <v>9567586.0425776914</v>
      </c>
      <c r="R47" s="43">
        <v>22484.476366603812</v>
      </c>
      <c r="S47" s="43">
        <v>3344153.1241300781</v>
      </c>
      <c r="T47" s="43">
        <f t="shared" si="4"/>
        <v>12934223.643074373</v>
      </c>
      <c r="U47" s="43">
        <f t="shared" si="5"/>
        <v>9590070.5189442951</v>
      </c>
      <c r="V47" s="23"/>
      <c r="W47" s="23"/>
      <c r="X47" s="23"/>
      <c r="Y47" s="23"/>
    </row>
    <row r="48" spans="1:25" s="5" customFormat="1" x14ac:dyDescent="0.25">
      <c r="A48" s="5">
        <f t="shared" si="0"/>
        <v>41</v>
      </c>
      <c r="B48" s="38">
        <v>373</v>
      </c>
      <c r="C48" s="5" t="s">
        <v>458</v>
      </c>
      <c r="D48" s="23" t="s">
        <v>270</v>
      </c>
      <c r="E48" s="43">
        <v>52258330.571666598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52258330.571666598</v>
      </c>
      <c r="O48" s="43">
        <v>0</v>
      </c>
      <c r="P48" s="23"/>
      <c r="Q48" s="43">
        <v>0</v>
      </c>
      <c r="R48" s="43">
        <v>0</v>
      </c>
      <c r="S48" s="43">
        <v>0</v>
      </c>
      <c r="T48" s="43">
        <f t="shared" si="4"/>
        <v>0</v>
      </c>
      <c r="U48" s="43">
        <f t="shared" si="5"/>
        <v>0</v>
      </c>
      <c r="V48" s="23"/>
      <c r="W48" s="23"/>
      <c r="X48" s="23"/>
      <c r="Y48" s="23"/>
    </row>
    <row r="49" spans="1:25" s="5" customFormat="1" x14ac:dyDescent="0.25">
      <c r="A49" s="5">
        <f t="shared" si="0"/>
        <v>42</v>
      </c>
      <c r="B49" s="38">
        <v>374</v>
      </c>
      <c r="C49" s="5" t="s">
        <v>459</v>
      </c>
      <c r="D49" s="23" t="s">
        <v>262</v>
      </c>
      <c r="E49" s="43">
        <v>2659127.9012499899</v>
      </c>
      <c r="F49" s="43">
        <v>1749785.325341281</v>
      </c>
      <c r="G49" s="43">
        <v>327730.65038507106</v>
      </c>
      <c r="H49" s="43">
        <v>285521.02420692507</v>
      </c>
      <c r="I49" s="43">
        <v>121496.95810066018</v>
      </c>
      <c r="J49" s="43">
        <v>118712.98204911163</v>
      </c>
      <c r="K49" s="43">
        <v>45428.766643920862</v>
      </c>
      <c r="L49" s="43">
        <v>7961.3617550960034</v>
      </c>
      <c r="M49" s="43">
        <v>0</v>
      </c>
      <c r="N49" s="43">
        <v>1417.6140948294617</v>
      </c>
      <c r="O49" s="43">
        <v>1073.21867309506</v>
      </c>
      <c r="P49" s="23"/>
      <c r="Q49" s="43">
        <v>88908.210301506493</v>
      </c>
      <c r="R49" s="43">
        <v>1337.7753655296319</v>
      </c>
      <c r="S49" s="43">
        <v>28466.996382075515</v>
      </c>
      <c r="T49" s="43">
        <f t="shared" si="4"/>
        <v>118712.98204911163</v>
      </c>
      <c r="U49" s="43">
        <f t="shared" si="5"/>
        <v>90245.985667036119</v>
      </c>
      <c r="V49" s="23"/>
      <c r="W49" s="23"/>
      <c r="X49" s="23"/>
      <c r="Y49" s="23"/>
    </row>
    <row r="50" spans="1:25" s="5" customFormat="1" x14ac:dyDescent="0.25">
      <c r="A50" s="14">
        <f>+A49+1</f>
        <v>43</v>
      </c>
      <c r="B50" s="39"/>
      <c r="C50" s="14" t="s">
        <v>288</v>
      </c>
      <c r="D50" s="24"/>
      <c r="E50" s="44">
        <f t="shared" ref="E50:U50" si="6">SUM(E29:E49)</f>
        <v>3527157160.6871805</v>
      </c>
      <c r="F50" s="44">
        <f t="shared" si="6"/>
        <v>2285948485.2594352</v>
      </c>
      <c r="G50" s="44">
        <f t="shared" si="6"/>
        <v>425648639.4099893</v>
      </c>
      <c r="H50" s="44">
        <f t="shared" si="6"/>
        <v>340340521.60251158</v>
      </c>
      <c r="I50" s="44">
        <f t="shared" si="6"/>
        <v>148733990.80490673</v>
      </c>
      <c r="J50" s="44">
        <f t="shared" si="6"/>
        <v>147252370.55509663</v>
      </c>
      <c r="K50" s="44">
        <f t="shared" si="6"/>
        <v>71645023.460844934</v>
      </c>
      <c r="L50" s="44">
        <f t="shared" si="6"/>
        <v>22241997.911161363</v>
      </c>
      <c r="M50" s="44">
        <f t="shared" si="6"/>
        <v>7379078.5956522375</v>
      </c>
      <c r="N50" s="44">
        <f t="shared" si="6"/>
        <v>76722128.022316188</v>
      </c>
      <c r="O50" s="44">
        <f t="shared" si="6"/>
        <v>1244925.065266384</v>
      </c>
      <c r="P50" s="23"/>
      <c r="Q50" s="44">
        <f t="shared" si="6"/>
        <v>115285905.92700596</v>
      </c>
      <c r="R50" s="44">
        <f t="shared" si="6"/>
        <v>1234639.535305236</v>
      </c>
      <c r="S50" s="44">
        <f t="shared" si="6"/>
        <v>30731825.09278544</v>
      </c>
      <c r="T50" s="44">
        <f t="shared" si="6"/>
        <v>147252370.55509663</v>
      </c>
      <c r="U50" s="44">
        <f t="shared" si="6"/>
        <v>116520545.46231121</v>
      </c>
      <c r="V50" s="23"/>
      <c r="W50" s="23"/>
      <c r="X50" s="23"/>
      <c r="Y50" s="23"/>
    </row>
    <row r="51" spans="1:25" s="5" customFormat="1" x14ac:dyDescent="0.25">
      <c r="A51" s="5">
        <f t="shared" si="0"/>
        <v>44</v>
      </c>
      <c r="B51" s="38"/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23"/>
      <c r="Q51" s="43"/>
      <c r="R51" s="43"/>
      <c r="S51" s="43"/>
      <c r="T51" s="43"/>
      <c r="U51" s="43"/>
      <c r="V51" s="23"/>
      <c r="W51" s="23"/>
      <c r="X51" s="23"/>
      <c r="Y51" s="23"/>
    </row>
    <row r="52" spans="1:25" s="5" customFormat="1" x14ac:dyDescent="0.25">
      <c r="A52" s="5">
        <f t="shared" si="0"/>
        <v>45</v>
      </c>
      <c r="B52" s="38"/>
      <c r="C52" s="1" t="s">
        <v>113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23"/>
      <c r="Q52" s="43"/>
      <c r="R52" s="43"/>
      <c r="S52" s="43"/>
      <c r="T52" s="43"/>
      <c r="U52" s="43"/>
      <c r="V52" s="23"/>
      <c r="W52" s="23"/>
      <c r="X52" s="23"/>
      <c r="Y52" s="23"/>
    </row>
    <row r="53" spans="1:25" s="5" customFormat="1" x14ac:dyDescent="0.25">
      <c r="A53" s="5">
        <f t="shared" si="0"/>
        <v>46</v>
      </c>
      <c r="B53" s="38">
        <v>389</v>
      </c>
      <c r="C53" s="5" t="s">
        <v>460</v>
      </c>
      <c r="D53" s="23" t="s">
        <v>348</v>
      </c>
      <c r="E53" s="43">
        <v>34591566.081577167</v>
      </c>
      <c r="F53" s="43">
        <v>21152552.327774119</v>
      </c>
      <c r="G53" s="43">
        <v>4253144.1874889191</v>
      </c>
      <c r="H53" s="43">
        <v>3527275.6361426516</v>
      </c>
      <c r="I53" s="43">
        <v>2002365.1836549095</v>
      </c>
      <c r="J53" s="43">
        <v>1566796.9403004271</v>
      </c>
      <c r="K53" s="43">
        <v>762630.53443357127</v>
      </c>
      <c r="L53" s="43">
        <v>526136.89649530547</v>
      </c>
      <c r="M53" s="43">
        <v>375003.35631849343</v>
      </c>
      <c r="N53" s="43">
        <v>415335.05197612738</v>
      </c>
      <c r="O53" s="43">
        <v>10325.966992633399</v>
      </c>
      <c r="P53" s="23"/>
      <c r="Q53" s="43">
        <v>1378082.1306513846</v>
      </c>
      <c r="R53" s="43">
        <v>7028.0373580387113</v>
      </c>
      <c r="S53" s="43">
        <v>181686.77229100378</v>
      </c>
      <c r="T53" s="43">
        <f t="shared" ref="T53:T63" si="7">SUM(Q53:S53)</f>
        <v>1566796.9403004271</v>
      </c>
      <c r="U53" s="43">
        <f t="shared" ref="U53:U63" si="8">SUM(Q53:R53)</f>
        <v>1385110.1680094234</v>
      </c>
      <c r="V53" s="23"/>
      <c r="W53" s="23"/>
      <c r="X53" s="23"/>
      <c r="Y53" s="23"/>
    </row>
    <row r="54" spans="1:25" s="5" customFormat="1" x14ac:dyDescent="0.25">
      <c r="A54" s="5">
        <f t="shared" si="0"/>
        <v>47</v>
      </c>
      <c r="B54" s="38">
        <v>390</v>
      </c>
      <c r="C54" s="5" t="s">
        <v>461</v>
      </c>
      <c r="D54" s="23" t="s">
        <v>348</v>
      </c>
      <c r="E54" s="43">
        <v>140669439.09722066</v>
      </c>
      <c r="F54" s="43">
        <v>86018588.01088804</v>
      </c>
      <c r="G54" s="43">
        <v>17295759.487810746</v>
      </c>
      <c r="H54" s="43">
        <v>14343955.521046367</v>
      </c>
      <c r="I54" s="43">
        <v>8142782.1622263147</v>
      </c>
      <c r="J54" s="43">
        <v>6371508.1951344162</v>
      </c>
      <c r="K54" s="43">
        <v>3101299.5845342427</v>
      </c>
      <c r="L54" s="43">
        <v>2139578.8194095138</v>
      </c>
      <c r="M54" s="43">
        <v>1524981.8891834484</v>
      </c>
      <c r="N54" s="43">
        <v>1688994.0357459818</v>
      </c>
      <c r="O54" s="43">
        <v>41991.391241570716</v>
      </c>
      <c r="P54" s="23"/>
      <c r="Q54" s="43">
        <v>5604083.9518935848</v>
      </c>
      <c r="R54" s="43">
        <v>28580.090036343983</v>
      </c>
      <c r="S54" s="43">
        <v>738844.1532044874</v>
      </c>
      <c r="T54" s="43">
        <f t="shared" si="7"/>
        <v>6371508.1951344162</v>
      </c>
      <c r="U54" s="43">
        <f t="shared" si="8"/>
        <v>5632664.0419299286</v>
      </c>
      <c r="V54" s="23"/>
      <c r="W54" s="23"/>
      <c r="X54" s="23"/>
      <c r="Y54" s="23"/>
    </row>
    <row r="55" spans="1:25" s="5" customFormat="1" x14ac:dyDescent="0.25">
      <c r="A55" s="5">
        <f t="shared" si="0"/>
        <v>48</v>
      </c>
      <c r="B55" s="38">
        <v>391</v>
      </c>
      <c r="C55" s="5" t="s">
        <v>462</v>
      </c>
      <c r="D55" s="23" t="s">
        <v>348</v>
      </c>
      <c r="E55" s="43">
        <v>83991254.610513493</v>
      </c>
      <c r="F55" s="43">
        <v>51360190.054259673</v>
      </c>
      <c r="G55" s="43">
        <v>10326994.606262129</v>
      </c>
      <c r="H55" s="43">
        <v>8564524.2351285499</v>
      </c>
      <c r="I55" s="43">
        <v>4861912.3969977554</v>
      </c>
      <c r="J55" s="43">
        <v>3804315.7810606603</v>
      </c>
      <c r="K55" s="43">
        <v>1851731.5822100404</v>
      </c>
      <c r="L55" s="43">
        <v>1277504.9828419834</v>
      </c>
      <c r="M55" s="43">
        <v>910539.93641295168</v>
      </c>
      <c r="N55" s="43">
        <v>1008468.7121979315</v>
      </c>
      <c r="O55" s="43">
        <v>25072.323141794179</v>
      </c>
      <c r="P55" s="23"/>
      <c r="Q55" s="43">
        <v>3346100.2267655069</v>
      </c>
      <c r="R55" s="43">
        <v>17064.670439006502</v>
      </c>
      <c r="S55" s="43">
        <v>441150.88385614712</v>
      </c>
      <c r="T55" s="43">
        <f t="shared" si="7"/>
        <v>3804315.7810606603</v>
      </c>
      <c r="U55" s="43">
        <f t="shared" si="8"/>
        <v>3363164.8972045132</v>
      </c>
      <c r="V55" s="23"/>
      <c r="W55" s="23"/>
      <c r="X55" s="23"/>
      <c r="Y55" s="23"/>
    </row>
    <row r="56" spans="1:25" s="5" customFormat="1" x14ac:dyDescent="0.25">
      <c r="A56" s="5">
        <f t="shared" si="0"/>
        <v>49</v>
      </c>
      <c r="B56" s="38">
        <v>392</v>
      </c>
      <c r="C56" s="5" t="s">
        <v>463</v>
      </c>
      <c r="D56" s="23" t="s">
        <v>348</v>
      </c>
      <c r="E56" s="43">
        <v>13379543.047083501</v>
      </c>
      <c r="F56" s="43">
        <v>8181516.9558300767</v>
      </c>
      <c r="G56" s="43">
        <v>1645057.8041989147</v>
      </c>
      <c r="H56" s="43">
        <v>1364301.8099094899</v>
      </c>
      <c r="I56" s="43">
        <v>774487.3738156762</v>
      </c>
      <c r="J56" s="43">
        <v>606015.55475549295</v>
      </c>
      <c r="K56" s="43">
        <v>294975.02484886156</v>
      </c>
      <c r="L56" s="43">
        <v>203502.53118684172</v>
      </c>
      <c r="M56" s="43">
        <v>145046.15190973491</v>
      </c>
      <c r="N56" s="43">
        <v>160645.89830284708</v>
      </c>
      <c r="O56" s="43">
        <v>3993.942325562462</v>
      </c>
      <c r="P56" s="23"/>
      <c r="Q56" s="43">
        <v>533023.25618863921</v>
      </c>
      <c r="R56" s="43">
        <v>2718.3484016489674</v>
      </c>
      <c r="S56" s="43">
        <v>70273.95016520482</v>
      </c>
      <c r="T56" s="43">
        <f t="shared" si="7"/>
        <v>606015.55475549295</v>
      </c>
      <c r="U56" s="43">
        <f t="shared" si="8"/>
        <v>535741.60459028813</v>
      </c>
      <c r="V56" s="23"/>
      <c r="W56" s="23"/>
      <c r="X56" s="23"/>
      <c r="Y56" s="23"/>
    </row>
    <row r="57" spans="1:25" s="5" customFormat="1" x14ac:dyDescent="0.25">
      <c r="A57" s="5">
        <f t="shared" si="0"/>
        <v>50</v>
      </c>
      <c r="B57" s="38">
        <v>393</v>
      </c>
      <c r="C57" s="5" t="s">
        <v>464</v>
      </c>
      <c r="D57" s="23" t="s">
        <v>257</v>
      </c>
      <c r="E57" s="43">
        <v>798002.50228599901</v>
      </c>
      <c r="F57" s="43">
        <v>458073.02996734215</v>
      </c>
      <c r="G57" s="43">
        <v>100061.68668217649</v>
      </c>
      <c r="H57" s="43">
        <v>92741.3813040112</v>
      </c>
      <c r="I57" s="43">
        <v>53073.574756459071</v>
      </c>
      <c r="J57" s="43">
        <v>41483.4174369186</v>
      </c>
      <c r="K57" s="43">
        <v>20120.314501462119</v>
      </c>
      <c r="L57" s="43">
        <v>13996.300061658987</v>
      </c>
      <c r="M57" s="43">
        <v>9529.6018065357384</v>
      </c>
      <c r="N57" s="43">
        <v>8650.6953062079192</v>
      </c>
      <c r="O57" s="43">
        <v>272.50046322695835</v>
      </c>
      <c r="P57" s="23"/>
      <c r="Q57" s="43">
        <v>36544.697614121593</v>
      </c>
      <c r="R57" s="43">
        <v>184.40609924996201</v>
      </c>
      <c r="S57" s="43">
        <v>4754.313723547044</v>
      </c>
      <c r="T57" s="43">
        <f t="shared" si="7"/>
        <v>41483.4174369186</v>
      </c>
      <c r="U57" s="43">
        <f t="shared" si="8"/>
        <v>36729.103713371558</v>
      </c>
      <c r="V57" s="23"/>
      <c r="W57" s="23"/>
      <c r="X57" s="23"/>
      <c r="Y57" s="23"/>
    </row>
    <row r="58" spans="1:25" s="5" customFormat="1" x14ac:dyDescent="0.25">
      <c r="A58" s="5">
        <f t="shared" si="0"/>
        <v>51</v>
      </c>
      <c r="B58" s="38">
        <v>394</v>
      </c>
      <c r="C58" s="5" t="s">
        <v>465</v>
      </c>
      <c r="D58" s="23" t="s">
        <v>466</v>
      </c>
      <c r="E58" s="43">
        <v>13311690.639508801</v>
      </c>
      <c r="F58" s="43">
        <v>7663314.5498022996</v>
      </c>
      <c r="G58" s="43">
        <v>1667434.912880284</v>
      </c>
      <c r="H58" s="43">
        <v>1540640.8950846335</v>
      </c>
      <c r="I58" s="43">
        <v>877584.12931239442</v>
      </c>
      <c r="J58" s="43">
        <v>688688.50278196938</v>
      </c>
      <c r="K58" s="43">
        <v>334048.34110850631</v>
      </c>
      <c r="L58" s="43">
        <v>229924.83218860696</v>
      </c>
      <c r="M58" s="43">
        <v>157807.73547764539</v>
      </c>
      <c r="N58" s="43">
        <v>147698.15368174628</v>
      </c>
      <c r="O58" s="43">
        <v>4548.5871907150031</v>
      </c>
      <c r="P58" s="23"/>
      <c r="Q58" s="43">
        <v>605417.78186131478</v>
      </c>
      <c r="R58" s="43">
        <v>3112.8763288055552</v>
      </c>
      <c r="S58" s="43">
        <v>80157.844591849003</v>
      </c>
      <c r="T58" s="43">
        <f t="shared" si="7"/>
        <v>688688.50278196938</v>
      </c>
      <c r="U58" s="43">
        <f t="shared" si="8"/>
        <v>608530.65819012036</v>
      </c>
      <c r="V58" s="23"/>
      <c r="W58" s="23"/>
      <c r="X58" s="23"/>
      <c r="Y58" s="23"/>
    </row>
    <row r="59" spans="1:25" s="5" customFormat="1" x14ac:dyDescent="0.25">
      <c r="A59" s="5">
        <f t="shared" si="0"/>
        <v>52</v>
      </c>
      <c r="B59" s="38">
        <v>395</v>
      </c>
      <c r="C59" s="5" t="s">
        <v>467</v>
      </c>
      <c r="D59" s="23" t="s">
        <v>466</v>
      </c>
      <c r="E59" s="43">
        <v>12031126.7299999</v>
      </c>
      <c r="F59" s="43">
        <v>6926115.624027581</v>
      </c>
      <c r="G59" s="43">
        <v>1507030.270922018</v>
      </c>
      <c r="H59" s="43">
        <v>1392433.64018469</v>
      </c>
      <c r="I59" s="43">
        <v>793161.90271558461</v>
      </c>
      <c r="J59" s="43">
        <v>622437.74129425699</v>
      </c>
      <c r="K59" s="43">
        <v>301913.41090022307</v>
      </c>
      <c r="L59" s="43">
        <v>207806.42138909904</v>
      </c>
      <c r="M59" s="43">
        <v>142626.87707531577</v>
      </c>
      <c r="N59" s="43">
        <v>133489.82130474606</v>
      </c>
      <c r="O59" s="43">
        <v>4111.0201863860148</v>
      </c>
      <c r="P59" s="23"/>
      <c r="Q59" s="43">
        <v>547177.53405045217</v>
      </c>
      <c r="R59" s="43">
        <v>2813.4224735903585</v>
      </c>
      <c r="S59" s="43">
        <v>72446.78477021445</v>
      </c>
      <c r="T59" s="43">
        <f t="shared" si="7"/>
        <v>622437.74129425699</v>
      </c>
      <c r="U59" s="43">
        <f t="shared" si="8"/>
        <v>549990.95652404253</v>
      </c>
      <c r="V59" s="23"/>
      <c r="W59" s="23"/>
      <c r="X59" s="23"/>
      <c r="Y59" s="23"/>
    </row>
    <row r="60" spans="1:25" s="5" customFormat="1" x14ac:dyDescent="0.25">
      <c r="A60" s="5">
        <f t="shared" si="0"/>
        <v>53</v>
      </c>
      <c r="B60" s="38">
        <v>396</v>
      </c>
      <c r="C60" s="5" t="s">
        <v>468</v>
      </c>
      <c r="D60" s="23" t="s">
        <v>466</v>
      </c>
      <c r="E60" s="43">
        <v>6323256.5831426596</v>
      </c>
      <c r="F60" s="43">
        <v>3640191.5795662133</v>
      </c>
      <c r="G60" s="43">
        <v>792057.07789955218</v>
      </c>
      <c r="H60" s="43">
        <v>731827.98082679755</v>
      </c>
      <c r="I60" s="43">
        <v>416865.87926452002</v>
      </c>
      <c r="J60" s="43">
        <v>327137.56853888545</v>
      </c>
      <c r="K60" s="43">
        <v>158678.06946572711</v>
      </c>
      <c r="L60" s="43">
        <v>109217.81073017996</v>
      </c>
      <c r="M60" s="43">
        <v>74961.087156595575</v>
      </c>
      <c r="N60" s="43">
        <v>70158.881232878499</v>
      </c>
      <c r="O60" s="43">
        <v>2160.64846130982</v>
      </c>
      <c r="P60" s="23"/>
      <c r="Q60" s="43">
        <v>287582.70293212327</v>
      </c>
      <c r="R60" s="43">
        <v>1478.6638505712001</v>
      </c>
      <c r="S60" s="43">
        <v>38076.201756190945</v>
      </c>
      <c r="T60" s="43">
        <f t="shared" si="7"/>
        <v>327137.56853888545</v>
      </c>
      <c r="U60" s="43">
        <f t="shared" si="8"/>
        <v>289061.36678269447</v>
      </c>
      <c r="V60" s="23"/>
      <c r="W60" s="23"/>
      <c r="X60" s="23"/>
      <c r="Y60" s="23"/>
    </row>
    <row r="61" spans="1:25" s="5" customFormat="1" x14ac:dyDescent="0.25">
      <c r="A61" s="5">
        <f t="shared" si="0"/>
        <v>54</v>
      </c>
      <c r="B61" s="38">
        <v>397</v>
      </c>
      <c r="C61" s="5" t="s">
        <v>469</v>
      </c>
      <c r="D61" s="23" t="s">
        <v>348</v>
      </c>
      <c r="E61" s="43">
        <v>147993975.31044</v>
      </c>
      <c r="F61" s="43">
        <v>90497501.603913039</v>
      </c>
      <c r="G61" s="43">
        <v>18196334.747914311</v>
      </c>
      <c r="H61" s="43">
        <v>15090832.89774579</v>
      </c>
      <c r="I61" s="43">
        <v>8566769.7973967567</v>
      </c>
      <c r="J61" s="43">
        <v>6703267.1244910043</v>
      </c>
      <c r="K61" s="43">
        <v>3262781.5756528955</v>
      </c>
      <c r="L61" s="43">
        <v>2250984.8408195451</v>
      </c>
      <c r="M61" s="43">
        <v>1604386.3791957251</v>
      </c>
      <c r="N61" s="43">
        <v>1776938.4965906921</v>
      </c>
      <c r="O61" s="43">
        <v>44177.846720217916</v>
      </c>
      <c r="P61" s="23"/>
      <c r="Q61" s="43">
        <v>5895883.7636437183</v>
      </c>
      <c r="R61" s="43">
        <v>30068.230643086521</v>
      </c>
      <c r="S61" s="43">
        <v>777315.13020420016</v>
      </c>
      <c r="T61" s="43">
        <f t="shared" si="7"/>
        <v>6703267.1244910043</v>
      </c>
      <c r="U61" s="43">
        <f t="shared" si="8"/>
        <v>5925951.9942868045</v>
      </c>
      <c r="V61" s="23"/>
      <c r="W61" s="23"/>
      <c r="X61" s="23"/>
      <c r="Y61" s="23"/>
    </row>
    <row r="62" spans="1:25" s="5" customFormat="1" x14ac:dyDescent="0.25">
      <c r="A62" s="5">
        <f t="shared" si="0"/>
        <v>55</v>
      </c>
      <c r="B62" s="38">
        <v>398</v>
      </c>
      <c r="C62" s="5" t="s">
        <v>470</v>
      </c>
      <c r="D62" s="23" t="s">
        <v>348</v>
      </c>
      <c r="E62" s="43">
        <v>967417.93570825004</v>
      </c>
      <c r="F62" s="43">
        <v>591570.74471960345</v>
      </c>
      <c r="G62" s="43">
        <v>118947.14337092174</v>
      </c>
      <c r="H62" s="43">
        <v>98646.869775823274</v>
      </c>
      <c r="I62" s="43">
        <v>55999.892804424962</v>
      </c>
      <c r="J62" s="43">
        <v>43818.411056754689</v>
      </c>
      <c r="K62" s="43">
        <v>21328.391307577553</v>
      </c>
      <c r="L62" s="43">
        <v>14714.403768452523</v>
      </c>
      <c r="M62" s="43">
        <v>10487.671243266283</v>
      </c>
      <c r="N62" s="43">
        <v>11615.622653870434</v>
      </c>
      <c r="O62" s="43">
        <v>288.78500755492433</v>
      </c>
      <c r="P62" s="23"/>
      <c r="Q62" s="43">
        <v>38540.647940805931</v>
      </c>
      <c r="R62" s="43">
        <v>196.5522282790001</v>
      </c>
      <c r="S62" s="43">
        <v>5081.2108876697566</v>
      </c>
      <c r="T62" s="43">
        <f t="shared" si="7"/>
        <v>43818.411056754689</v>
      </c>
      <c r="U62" s="43">
        <f t="shared" si="8"/>
        <v>38737.200169084928</v>
      </c>
      <c r="V62" s="23"/>
      <c r="W62" s="23"/>
      <c r="X62" s="23"/>
      <c r="Y62" s="23"/>
    </row>
    <row r="63" spans="1:25" s="5" customFormat="1" x14ac:dyDescent="0.25">
      <c r="A63" s="5">
        <f t="shared" si="0"/>
        <v>56</v>
      </c>
      <c r="B63" s="38">
        <v>399</v>
      </c>
      <c r="C63" s="5" t="s">
        <v>471</v>
      </c>
      <c r="D63" s="23" t="s">
        <v>348</v>
      </c>
      <c r="E63" s="43">
        <v>545833.37664433336</v>
      </c>
      <c r="F63" s="43">
        <v>333774.106511586</v>
      </c>
      <c r="G63" s="43">
        <v>67111.967343065437</v>
      </c>
      <c r="H63" s="43">
        <v>55658.213516282929</v>
      </c>
      <c r="I63" s="43">
        <v>31596.075959437378</v>
      </c>
      <c r="J63" s="43">
        <v>24723.080256712092</v>
      </c>
      <c r="K63" s="43">
        <v>12033.835032512334</v>
      </c>
      <c r="L63" s="43">
        <v>8302.1126627785452</v>
      </c>
      <c r="M63" s="43">
        <v>5917.3194919698981</v>
      </c>
      <c r="N63" s="43">
        <v>6553.7285396169882</v>
      </c>
      <c r="O63" s="43">
        <v>162.93733037165919</v>
      </c>
      <c r="P63" s="23"/>
      <c r="Q63" s="43">
        <v>21745.278051093275</v>
      </c>
      <c r="R63" s="43">
        <v>110.89805397286841</v>
      </c>
      <c r="S63" s="43">
        <v>2866.904151645947</v>
      </c>
      <c r="T63" s="43">
        <f t="shared" si="7"/>
        <v>24723.080256712092</v>
      </c>
      <c r="U63" s="43">
        <f t="shared" si="8"/>
        <v>21856.176105066144</v>
      </c>
      <c r="V63" s="23"/>
      <c r="W63" s="23"/>
      <c r="X63" s="23"/>
      <c r="Y63" s="23"/>
    </row>
    <row r="64" spans="1:25" s="5" customFormat="1" x14ac:dyDescent="0.25">
      <c r="A64" s="14">
        <f t="shared" si="0"/>
        <v>57</v>
      </c>
      <c r="B64" s="39"/>
      <c r="C64" s="14" t="s">
        <v>288</v>
      </c>
      <c r="D64" s="24"/>
      <c r="E64" s="44">
        <f t="shared" ref="E64:N64" si="9">SUM(E53:E63)</f>
        <v>454603105.91412473</v>
      </c>
      <c r="F64" s="44">
        <f t="shared" si="9"/>
        <v>276823388.58725959</v>
      </c>
      <c r="G64" s="44">
        <f t="shared" si="9"/>
        <v>55969933.89277304</v>
      </c>
      <c r="H64" s="44">
        <f t="shared" si="9"/>
        <v>46802839.080665089</v>
      </c>
      <c r="I64" s="44">
        <f t="shared" si="9"/>
        <v>26576598.368904229</v>
      </c>
      <c r="J64" s="44">
        <f t="shared" si="9"/>
        <v>20800192.317107495</v>
      </c>
      <c r="K64" s="44">
        <f t="shared" si="9"/>
        <v>10121540.66399562</v>
      </c>
      <c r="L64" s="44">
        <f t="shared" si="9"/>
        <v>6981669.9515539659</v>
      </c>
      <c r="M64" s="44">
        <f t="shared" si="9"/>
        <v>4961288.0052716825</v>
      </c>
      <c r="N64" s="44">
        <f t="shared" si="9"/>
        <v>5428549.0975326467</v>
      </c>
      <c r="O64" s="44">
        <f>SUM(O53:O63)</f>
        <v>137105.94906134307</v>
      </c>
      <c r="P64" s="23"/>
      <c r="Q64" s="44">
        <f>SUM(Q53:Q63)</f>
        <v>18294181.971592747</v>
      </c>
      <c r="R64" s="44">
        <f>SUM(R53:R63)</f>
        <v>93356.195912593626</v>
      </c>
      <c r="S64" s="44">
        <f>SUM(S53:S63)</f>
        <v>2412654.1496021603</v>
      </c>
      <c r="T64" s="44">
        <f>SUM(T53:T63)</f>
        <v>20800192.317107495</v>
      </c>
      <c r="U64" s="44">
        <f>SUM(U53:U63)</f>
        <v>18387538.167505339</v>
      </c>
      <c r="V64" s="23"/>
      <c r="W64" s="23"/>
      <c r="X64" s="23"/>
      <c r="Y64" s="23"/>
    </row>
    <row r="65" spans="1:25" s="5" customFormat="1" x14ac:dyDescent="0.25">
      <c r="A65" s="5">
        <f t="shared" si="0"/>
        <v>58</v>
      </c>
      <c r="B65" s="38"/>
      <c r="D65" s="2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3"/>
      <c r="Q65" s="43"/>
      <c r="R65" s="43"/>
      <c r="S65" s="43"/>
      <c r="T65" s="43"/>
      <c r="U65" s="43"/>
      <c r="V65" s="23"/>
      <c r="W65" s="23"/>
      <c r="X65" s="23"/>
      <c r="Y65" s="23"/>
    </row>
    <row r="66" spans="1:25" s="5" customFormat="1" x14ac:dyDescent="0.25">
      <c r="A66" s="14">
        <f t="shared" si="0"/>
        <v>59</v>
      </c>
      <c r="B66" s="39"/>
      <c r="C66" s="14" t="s">
        <v>472</v>
      </c>
      <c r="D66" s="24"/>
      <c r="E66" s="44">
        <f t="shared" ref="E66:N66" si="10">SUM(E64,E50,E26,E20,E14)</f>
        <v>9523077020.3544521</v>
      </c>
      <c r="F66" s="44">
        <f t="shared" si="10"/>
        <v>5485102021.7180758</v>
      </c>
      <c r="G66" s="44">
        <f t="shared" si="10"/>
        <v>1193149235.1698897</v>
      </c>
      <c r="H66" s="44">
        <f t="shared" si="10"/>
        <v>1099715628.0808852</v>
      </c>
      <c r="I66" s="44">
        <f t="shared" si="10"/>
        <v>629824031.02399337</v>
      </c>
      <c r="J66" s="44">
        <f t="shared" si="10"/>
        <v>491802285.14425975</v>
      </c>
      <c r="K66" s="44">
        <f t="shared" si="10"/>
        <v>238576203.71430188</v>
      </c>
      <c r="L66" s="44">
        <f t="shared" si="10"/>
        <v>166341625.37958825</v>
      </c>
      <c r="M66" s="44">
        <f t="shared" si="10"/>
        <v>112036258.59686866</v>
      </c>
      <c r="N66" s="44">
        <f t="shared" si="10"/>
        <v>103303150.15132768</v>
      </c>
      <c r="O66" s="44">
        <f>SUM(O64,O50,O26,O20,O14)</f>
        <v>3226581.3752627326</v>
      </c>
      <c r="P66" s="23"/>
      <c r="Q66" s="44">
        <f>SUM(Q64,Q50,Q26,Q20,Q14)</f>
        <v>433452055.53208941</v>
      </c>
      <c r="R66" s="44">
        <f>SUM(R64,R50,R26,R20,R14)</f>
        <v>2177741.5448368117</v>
      </c>
      <c r="S66" s="44">
        <f>SUM(S64,S50,S26,S20,S14)</f>
        <v>56172488.067333527</v>
      </c>
      <c r="T66" s="44">
        <f>SUM(T64,T50,T26,T20,T14)</f>
        <v>491802285.14425975</v>
      </c>
      <c r="U66" s="44">
        <f>SUM(U64,U50,U26,U20,U14)</f>
        <v>435629797.07692623</v>
      </c>
      <c r="V66" s="23"/>
      <c r="W66" s="23"/>
      <c r="X66" s="23"/>
      <c r="Y66" s="23"/>
    </row>
    <row r="67" spans="1:25" s="5" customFormat="1" x14ac:dyDescent="0.25">
      <c r="A67" s="5">
        <f t="shared" si="0"/>
        <v>60</v>
      </c>
      <c r="B67" s="38"/>
      <c r="D67" s="2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23"/>
      <c r="Q67" s="43"/>
      <c r="R67" s="43"/>
      <c r="S67" s="43"/>
      <c r="T67" s="43"/>
      <c r="U67" s="43"/>
      <c r="V67" s="23"/>
      <c r="W67" s="23"/>
      <c r="X67" s="23"/>
      <c r="Y67" s="23"/>
    </row>
    <row r="68" spans="1:25" s="5" customFormat="1" x14ac:dyDescent="0.25">
      <c r="A68" s="5">
        <f t="shared" si="0"/>
        <v>61</v>
      </c>
      <c r="B68" s="38"/>
      <c r="C68" s="1" t="s">
        <v>180</v>
      </c>
      <c r="D68" s="2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23"/>
      <c r="Q68" s="43"/>
      <c r="R68" s="43"/>
      <c r="S68" s="43"/>
      <c r="T68" s="43"/>
      <c r="U68" s="43"/>
      <c r="V68" s="23"/>
      <c r="W68" s="23"/>
      <c r="X68" s="23"/>
      <c r="Y68" s="23"/>
    </row>
    <row r="69" spans="1:25" s="5" customFormat="1" x14ac:dyDescent="0.25">
      <c r="A69" s="5">
        <f t="shared" si="0"/>
        <v>62</v>
      </c>
      <c r="B69" s="38"/>
      <c r="C69" s="1" t="s">
        <v>179</v>
      </c>
      <c r="D69" s="2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23"/>
      <c r="Q69" s="43"/>
      <c r="R69" s="43"/>
      <c r="S69" s="43"/>
      <c r="T69" s="43"/>
      <c r="U69" s="43"/>
      <c r="V69" s="23"/>
      <c r="W69" s="23"/>
      <c r="X69" s="23"/>
      <c r="Y69" s="23"/>
    </row>
    <row r="70" spans="1:25" s="5" customFormat="1" x14ac:dyDescent="0.25">
      <c r="A70" s="5">
        <f t="shared" si="0"/>
        <v>63</v>
      </c>
      <c r="B70" s="38">
        <v>111</v>
      </c>
      <c r="C70" s="5" t="s">
        <v>473</v>
      </c>
      <c r="D70" s="23" t="s">
        <v>252</v>
      </c>
      <c r="E70" s="43">
        <v>-9768706.2646949999</v>
      </c>
      <c r="F70" s="43">
        <v>-5219250.5060833581</v>
      </c>
      <c r="G70" s="43">
        <v>-1279511.3313149798</v>
      </c>
      <c r="H70" s="43">
        <v>-1288240.7555486306</v>
      </c>
      <c r="I70" s="43">
        <v>-824214.78653998254</v>
      </c>
      <c r="J70" s="43">
        <v>-585759.3404327376</v>
      </c>
      <c r="K70" s="43">
        <v>-283656.9216146401</v>
      </c>
      <c r="L70" s="43">
        <v>-249444.48566974554</v>
      </c>
      <c r="M70" s="43">
        <v>0</v>
      </c>
      <c r="N70" s="43">
        <v>-35306.53356947656</v>
      </c>
      <c r="O70" s="43">
        <v>-3321.6039214513057</v>
      </c>
      <c r="P70" s="23"/>
      <c r="Q70" s="43">
        <v>-543208.62005151331</v>
      </c>
      <c r="R70" s="43">
        <v>-1511.2199350717549</v>
      </c>
      <c r="S70" s="43">
        <v>-41039.500446152568</v>
      </c>
      <c r="T70" s="43">
        <f>SUM(Q70:S70)</f>
        <v>-585759.3404327376</v>
      </c>
      <c r="U70" s="43">
        <f>SUM(Q70:R70)</f>
        <v>-544719.83998658508</v>
      </c>
      <c r="V70" s="23"/>
      <c r="W70" s="23"/>
      <c r="X70" s="23"/>
      <c r="Y70" s="23"/>
    </row>
    <row r="71" spans="1:25" s="5" customFormat="1" x14ac:dyDescent="0.25">
      <c r="A71" s="5">
        <f t="shared" si="0"/>
        <v>64</v>
      </c>
      <c r="B71" s="38">
        <v>111.01</v>
      </c>
      <c r="C71" s="5" t="s">
        <v>474</v>
      </c>
      <c r="D71" s="23" t="s">
        <v>231</v>
      </c>
      <c r="E71" s="43">
        <v>-9434100.5500000026</v>
      </c>
      <c r="F71" s="43">
        <v>-5040476.4700503703</v>
      </c>
      <c r="G71" s="43">
        <v>-1235684.4629585929</v>
      </c>
      <c r="H71" s="43">
        <v>-1244114.8798154807</v>
      </c>
      <c r="I71" s="43">
        <v>-795983.10772401514</v>
      </c>
      <c r="J71" s="43">
        <v>-565695.43253808399</v>
      </c>
      <c r="K71" s="43">
        <v>-273940.87279371539</v>
      </c>
      <c r="L71" s="43">
        <v>-240900.30917977329</v>
      </c>
      <c r="M71" s="43">
        <v>0</v>
      </c>
      <c r="N71" s="43">
        <v>-34097.185312060559</v>
      </c>
      <c r="O71" s="43">
        <v>-3207.8296279107453</v>
      </c>
      <c r="P71" s="23"/>
      <c r="Q71" s="43">
        <v>-524602.19422440859</v>
      </c>
      <c r="R71" s="43">
        <v>-1459.4563941550293</v>
      </c>
      <c r="S71" s="43">
        <v>-39633.78191952029</v>
      </c>
      <c r="T71" s="43">
        <f>SUM(Q71:S71)</f>
        <v>-565695.43253808399</v>
      </c>
      <c r="U71" s="43">
        <f>SUM(Q71:R71)</f>
        <v>-526061.65061856364</v>
      </c>
      <c r="V71" s="23"/>
      <c r="W71" s="23"/>
      <c r="X71" s="23"/>
      <c r="Y71" s="23"/>
    </row>
    <row r="72" spans="1:25" s="5" customFormat="1" x14ac:dyDescent="0.25">
      <c r="A72" s="5">
        <f t="shared" ref="A72:A135" si="11">+A71+1</f>
        <v>65</v>
      </c>
      <c r="B72" s="38">
        <v>111.02</v>
      </c>
      <c r="C72" s="5" t="s">
        <v>475</v>
      </c>
      <c r="D72" s="23" t="s">
        <v>264</v>
      </c>
      <c r="E72" s="43">
        <v>-57900107</v>
      </c>
      <c r="F72" s="43">
        <v>-35257356.60576997</v>
      </c>
      <c r="G72" s="43">
        <v>-7128559.2179536335</v>
      </c>
      <c r="H72" s="43">
        <v>-5961000.6078273328</v>
      </c>
      <c r="I72" s="43">
        <v>-3384904.0387908402</v>
      </c>
      <c r="J72" s="43">
        <v>-2649197.3880367698</v>
      </c>
      <c r="K72" s="43">
        <v>-1289120.7293266957</v>
      </c>
      <c r="L72" s="43">
        <v>-889213.98022744933</v>
      </c>
      <c r="M72" s="43">
        <v>-631889.88950135047</v>
      </c>
      <c r="N72" s="43">
        <v>-691402.16930516972</v>
      </c>
      <c r="O72" s="43">
        <v>-17462.37326079312</v>
      </c>
      <c r="P72" s="23"/>
      <c r="Q72" s="43">
        <v>-2330021.6823260821</v>
      </c>
      <c r="R72" s="43">
        <v>-11890.226138211232</v>
      </c>
      <c r="S72" s="43">
        <v>-307285.47957247647</v>
      </c>
      <c r="T72" s="43">
        <f>SUM(Q72:S72)</f>
        <v>-2649197.3880367698</v>
      </c>
      <c r="U72" s="43">
        <f>SUM(Q72:R72)</f>
        <v>-2341911.9084642935</v>
      </c>
      <c r="V72" s="23"/>
      <c r="W72" s="23"/>
      <c r="X72" s="23"/>
      <c r="Y72" s="23"/>
    </row>
    <row r="73" spans="1:25" s="5" customFormat="1" x14ac:dyDescent="0.25">
      <c r="A73" s="14">
        <f>+A72+1</f>
        <v>66</v>
      </c>
      <c r="B73" s="39"/>
      <c r="C73" s="14" t="s">
        <v>288</v>
      </c>
      <c r="D73" s="24"/>
      <c r="E73" s="44">
        <f t="shared" ref="E73:U73" si="12">SUM(E70:E72)</f>
        <v>-77102913.814695001</v>
      </c>
      <c r="F73" s="44">
        <f t="shared" si="12"/>
        <v>-45517083.581903696</v>
      </c>
      <c r="G73" s="44">
        <f t="shared" si="12"/>
        <v>-9643755.0122272074</v>
      </c>
      <c r="H73" s="44">
        <f t="shared" si="12"/>
        <v>-8493356.2431914434</v>
      </c>
      <c r="I73" s="44">
        <f t="shared" si="12"/>
        <v>-5005101.9330548383</v>
      </c>
      <c r="J73" s="44">
        <f t="shared" si="12"/>
        <v>-3800652.1610075915</v>
      </c>
      <c r="K73" s="44">
        <f t="shared" si="12"/>
        <v>-1846718.523735051</v>
      </c>
      <c r="L73" s="44">
        <f t="shared" si="12"/>
        <v>-1379558.7750769681</v>
      </c>
      <c r="M73" s="44">
        <f t="shared" si="12"/>
        <v>-631889.88950135047</v>
      </c>
      <c r="N73" s="44">
        <f t="shared" si="12"/>
        <v>-760805.88818670681</v>
      </c>
      <c r="O73" s="44">
        <f t="shared" si="12"/>
        <v>-23991.806810155169</v>
      </c>
      <c r="P73" s="23"/>
      <c r="Q73" s="44">
        <f t="shared" si="12"/>
        <v>-3397832.4966020039</v>
      </c>
      <c r="R73" s="44">
        <f t="shared" si="12"/>
        <v>-14860.902467438016</v>
      </c>
      <c r="S73" s="44">
        <f t="shared" si="12"/>
        <v>-387958.76193814934</v>
      </c>
      <c r="T73" s="44">
        <f t="shared" si="12"/>
        <v>-3800652.1610075915</v>
      </c>
      <c r="U73" s="44">
        <f t="shared" si="12"/>
        <v>-3412693.3990694424</v>
      </c>
      <c r="V73" s="23"/>
      <c r="W73" s="23"/>
      <c r="X73" s="23"/>
      <c r="Y73" s="23"/>
    </row>
    <row r="74" spans="1:25" s="5" customFormat="1" x14ac:dyDescent="0.25">
      <c r="A74" s="5">
        <f t="shared" si="11"/>
        <v>67</v>
      </c>
      <c r="B74" s="38"/>
      <c r="D74" s="2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23"/>
      <c r="Q74" s="43"/>
      <c r="R74" s="43"/>
      <c r="S74" s="43"/>
      <c r="T74" s="43"/>
      <c r="U74" s="43"/>
      <c r="V74" s="23"/>
      <c r="W74" s="23"/>
      <c r="X74" s="23"/>
      <c r="Y74" s="23"/>
    </row>
    <row r="75" spans="1:25" s="5" customFormat="1" x14ac:dyDescent="0.25">
      <c r="A75" s="5">
        <f t="shared" si="11"/>
        <v>68</v>
      </c>
      <c r="B75" s="38"/>
      <c r="C75" s="1" t="s">
        <v>409</v>
      </c>
      <c r="D75" s="2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23"/>
      <c r="Q75" s="43"/>
      <c r="R75" s="43"/>
      <c r="S75" s="43"/>
      <c r="T75" s="43"/>
      <c r="U75" s="43"/>
      <c r="V75" s="23"/>
      <c r="W75" s="23"/>
      <c r="X75" s="23"/>
      <c r="Y75" s="23"/>
    </row>
    <row r="76" spans="1:25" s="5" customFormat="1" x14ac:dyDescent="0.25">
      <c r="A76" s="5">
        <f t="shared" si="11"/>
        <v>69</v>
      </c>
      <c r="B76" s="38">
        <v>108.01</v>
      </c>
      <c r="C76" s="5" t="s">
        <v>476</v>
      </c>
      <c r="D76" s="23" t="s">
        <v>252</v>
      </c>
      <c r="E76" s="43">
        <v>-849906233.73617113</v>
      </c>
      <c r="F76" s="43">
        <v>-454090175.33699071</v>
      </c>
      <c r="G76" s="43">
        <v>-111321256.5875653</v>
      </c>
      <c r="H76" s="43">
        <v>-112080742.22180136</v>
      </c>
      <c r="I76" s="43">
        <v>-71709115.417826518</v>
      </c>
      <c r="J76" s="43">
        <v>-50962788.870232798</v>
      </c>
      <c r="K76" s="43">
        <v>-24678988.127013989</v>
      </c>
      <c r="L76" s="43">
        <v>-21702405.374602485</v>
      </c>
      <c r="M76" s="43">
        <v>0</v>
      </c>
      <c r="N76" s="43">
        <v>-3071772.4700928354</v>
      </c>
      <c r="O76" s="43">
        <v>-288989.33004534536</v>
      </c>
      <c r="P76" s="23"/>
      <c r="Q76" s="43">
        <v>-47260750.7986544</v>
      </c>
      <c r="R76" s="43">
        <v>-131480.58796749558</v>
      </c>
      <c r="S76" s="43">
        <v>-3570557.4836109034</v>
      </c>
      <c r="T76" s="43">
        <f>SUM(Q76:S76)</f>
        <v>-50962788.870232798</v>
      </c>
      <c r="U76" s="43">
        <f>SUM(Q76:R76)</f>
        <v>-47392231.386621892</v>
      </c>
      <c r="V76" s="23"/>
      <c r="W76" s="23"/>
      <c r="X76" s="23"/>
      <c r="Y76" s="23"/>
    </row>
    <row r="77" spans="1:25" s="5" customFormat="1" x14ac:dyDescent="0.25">
      <c r="A77" s="5">
        <f t="shared" si="11"/>
        <v>70</v>
      </c>
      <c r="B77" s="38">
        <v>108.02</v>
      </c>
      <c r="C77" s="5" t="s">
        <v>477</v>
      </c>
      <c r="D77" s="23" t="s">
        <v>252</v>
      </c>
      <c r="E77" s="43">
        <v>-142074117.2418308</v>
      </c>
      <c r="F77" s="43">
        <v>-75907739.287411541</v>
      </c>
      <c r="G77" s="43">
        <v>-18608957.826328009</v>
      </c>
      <c r="H77" s="43">
        <v>-18735916.832814638</v>
      </c>
      <c r="I77" s="43">
        <v>-11987215.608943086</v>
      </c>
      <c r="J77" s="43">
        <v>-8519167.1192845087</v>
      </c>
      <c r="K77" s="43">
        <v>-4125449.7418541689</v>
      </c>
      <c r="L77" s="43">
        <v>-3627870.8912001573</v>
      </c>
      <c r="M77" s="43">
        <v>0</v>
      </c>
      <c r="N77" s="43">
        <v>-513491.18847817689</v>
      </c>
      <c r="O77" s="43">
        <v>-48308.745516562209</v>
      </c>
      <c r="P77" s="23"/>
      <c r="Q77" s="43">
        <v>-7900317.9214112051</v>
      </c>
      <c r="R77" s="43">
        <v>-21978.881585327308</v>
      </c>
      <c r="S77" s="43">
        <v>-596870.31628797716</v>
      </c>
      <c r="T77" s="43">
        <f>SUM(Q77:S77)</f>
        <v>-8519167.1192845087</v>
      </c>
      <c r="U77" s="43">
        <f>SUM(Q77:R77)</f>
        <v>-7922296.8029965321</v>
      </c>
      <c r="V77" s="23"/>
      <c r="W77" s="23"/>
      <c r="X77" s="23"/>
      <c r="Y77" s="23"/>
    </row>
    <row r="78" spans="1:25" s="5" customFormat="1" x14ac:dyDescent="0.25">
      <c r="A78" s="5">
        <f t="shared" si="11"/>
        <v>71</v>
      </c>
      <c r="B78" s="38">
        <v>108.03</v>
      </c>
      <c r="C78" s="5" t="s">
        <v>478</v>
      </c>
      <c r="D78" s="23" t="s">
        <v>252</v>
      </c>
      <c r="E78" s="43">
        <v>-675730421.05950725</v>
      </c>
      <c r="F78" s="43">
        <v>-361031056.36792004</v>
      </c>
      <c r="G78" s="43">
        <v>-88507598.368951157</v>
      </c>
      <c r="H78" s="43">
        <v>-89111438.565716058</v>
      </c>
      <c r="I78" s="43">
        <v>-57013384.337800369</v>
      </c>
      <c r="J78" s="43">
        <v>-40518713.023511238</v>
      </c>
      <c r="K78" s="43">
        <v>-19621391.603495914</v>
      </c>
      <c r="L78" s="43">
        <v>-17254815.813407209</v>
      </c>
      <c r="M78" s="43">
        <v>0</v>
      </c>
      <c r="N78" s="43">
        <v>-2442257.7717663529</v>
      </c>
      <c r="O78" s="43">
        <v>-229765.20693912788</v>
      </c>
      <c r="P78" s="23"/>
      <c r="Q78" s="43">
        <v>-37575353.337950274</v>
      </c>
      <c r="R78" s="43">
        <v>-104535.57056272503</v>
      </c>
      <c r="S78" s="43">
        <v>-2838824.1149982368</v>
      </c>
      <c r="T78" s="43">
        <f>SUM(Q78:S78)</f>
        <v>-40518713.023511238</v>
      </c>
      <c r="U78" s="43">
        <f>SUM(Q78:R78)</f>
        <v>-37679888.908513002</v>
      </c>
      <c r="V78" s="23"/>
      <c r="W78" s="23"/>
      <c r="X78" s="23"/>
      <c r="Y78" s="23"/>
    </row>
    <row r="79" spans="1:25" s="5" customFormat="1" x14ac:dyDescent="0.25">
      <c r="A79" s="14">
        <f t="shared" si="11"/>
        <v>72</v>
      </c>
      <c r="B79" s="39"/>
      <c r="C79" s="14" t="s">
        <v>288</v>
      </c>
      <c r="D79" s="24"/>
      <c r="E79" s="44">
        <f>SUM(E76:E78)</f>
        <v>-1667710772.0375092</v>
      </c>
      <c r="F79" s="44">
        <f t="shared" ref="F79:U79" si="13">SUM(F76:F78)</f>
        <v>-891028970.99232233</v>
      </c>
      <c r="G79" s="44">
        <f t="shared" si="13"/>
        <v>-218437812.78284448</v>
      </c>
      <c r="H79" s="44">
        <f t="shared" si="13"/>
        <v>-219928097.62033206</v>
      </c>
      <c r="I79" s="44">
        <f t="shared" si="13"/>
        <v>-140709715.36456996</v>
      </c>
      <c r="J79" s="44">
        <f t="shared" si="13"/>
        <v>-100000669.01302855</v>
      </c>
      <c r="K79" s="44">
        <f t="shared" si="13"/>
        <v>-48425829.472364068</v>
      </c>
      <c r="L79" s="44">
        <f t="shared" si="13"/>
        <v>-42585092.079209849</v>
      </c>
      <c r="M79" s="44">
        <f t="shared" si="13"/>
        <v>0</v>
      </c>
      <c r="N79" s="44">
        <f t="shared" si="13"/>
        <v>-6027521.4303373657</v>
      </c>
      <c r="O79" s="44">
        <f t="shared" si="13"/>
        <v>-567063.28250103537</v>
      </c>
      <c r="P79" s="23"/>
      <c r="Q79" s="44">
        <f t="shared" si="13"/>
        <v>-92736422.058015883</v>
      </c>
      <c r="R79" s="44">
        <f t="shared" si="13"/>
        <v>-257995.04011554789</v>
      </c>
      <c r="S79" s="44">
        <f t="shared" si="13"/>
        <v>-7006251.9148971178</v>
      </c>
      <c r="T79" s="44">
        <f t="shared" si="13"/>
        <v>-100000669.01302855</v>
      </c>
      <c r="U79" s="44">
        <f t="shared" si="13"/>
        <v>-92994417.098131418</v>
      </c>
      <c r="V79" s="23"/>
      <c r="W79" s="23"/>
      <c r="X79" s="23"/>
      <c r="Y79" s="23"/>
    </row>
    <row r="80" spans="1:25" s="5" customFormat="1" x14ac:dyDescent="0.25">
      <c r="A80" s="5">
        <f t="shared" si="11"/>
        <v>73</v>
      </c>
      <c r="B80" s="38"/>
      <c r="D80" s="2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23"/>
      <c r="Q80" s="43"/>
      <c r="R80" s="43"/>
      <c r="S80" s="43"/>
      <c r="T80" s="43"/>
      <c r="U80" s="43"/>
      <c r="V80" s="23"/>
      <c r="W80" s="23"/>
      <c r="X80" s="23"/>
      <c r="Y80" s="23"/>
    </row>
    <row r="81" spans="1:25" s="5" customFormat="1" x14ac:dyDescent="0.25">
      <c r="A81" s="5">
        <f t="shared" si="11"/>
        <v>74</v>
      </c>
      <c r="B81" s="38"/>
      <c r="C81" s="1" t="s">
        <v>479</v>
      </c>
      <c r="D81" s="2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23"/>
      <c r="Q81" s="43"/>
      <c r="R81" s="43"/>
      <c r="S81" s="43"/>
      <c r="T81" s="43"/>
      <c r="U81" s="43"/>
      <c r="V81" s="23"/>
      <c r="W81" s="23"/>
      <c r="X81" s="23"/>
      <c r="Y81" s="23"/>
    </row>
    <row r="82" spans="1:25" s="5" customFormat="1" x14ac:dyDescent="0.25">
      <c r="A82" s="5">
        <f t="shared" si="11"/>
        <v>75</v>
      </c>
      <c r="B82" s="38" t="s">
        <v>480</v>
      </c>
      <c r="C82" s="5" t="s">
        <v>481</v>
      </c>
      <c r="D82" s="23" t="s">
        <v>231</v>
      </c>
      <c r="E82" s="43">
        <v>-48274493</v>
      </c>
      <c r="F82" s="43">
        <v>-25792225.213256951</v>
      </c>
      <c r="G82" s="43">
        <v>-6323023.6566964872</v>
      </c>
      <c r="H82" s="43">
        <v>-6366162.2789093824</v>
      </c>
      <c r="I82" s="43">
        <v>-4073062.4777940502</v>
      </c>
      <c r="J82" s="43">
        <v>-2894675.5499857059</v>
      </c>
      <c r="K82" s="43">
        <v>-1401761.2676487851</v>
      </c>
      <c r="L82" s="43">
        <v>-1232692.0014856954</v>
      </c>
      <c r="M82" s="43">
        <v>0</v>
      </c>
      <c r="N82" s="43">
        <v>-174476.02184680657</v>
      </c>
      <c r="O82" s="43">
        <v>-16414.532376143674</v>
      </c>
      <c r="P82" s="23"/>
      <c r="Q82" s="43">
        <v>-2684400.5762553429</v>
      </c>
      <c r="R82" s="43">
        <v>-7468.0693840434187</v>
      </c>
      <c r="S82" s="43">
        <v>-202806.90434631929</v>
      </c>
      <c r="T82" s="43">
        <f>SUM(Q82:S82)</f>
        <v>-2894675.5499857059</v>
      </c>
      <c r="U82" s="43">
        <f>SUM(Q82:R82)</f>
        <v>-2691868.6456393865</v>
      </c>
      <c r="V82" s="23"/>
      <c r="W82" s="23"/>
      <c r="X82" s="23"/>
      <c r="Y82" s="23"/>
    </row>
    <row r="83" spans="1:25" s="5" customFormat="1" x14ac:dyDescent="0.25">
      <c r="A83" s="5">
        <f t="shared" si="11"/>
        <v>76</v>
      </c>
      <c r="B83" s="38" t="s">
        <v>482</v>
      </c>
      <c r="C83" s="5" t="s">
        <v>483</v>
      </c>
      <c r="D83" s="23" t="s">
        <v>416</v>
      </c>
      <c r="E83" s="43">
        <v>-383823970.41082251</v>
      </c>
      <c r="F83" s="43">
        <v>-188838937.3448132</v>
      </c>
      <c r="G83" s="43">
        <v>-46219132.242724165</v>
      </c>
      <c r="H83" s="43">
        <v>-46508675.422888443</v>
      </c>
      <c r="I83" s="43">
        <v>-29732981.082499787</v>
      </c>
      <c r="J83" s="43">
        <v>-21126212.365226392</v>
      </c>
      <c r="K83" s="43">
        <v>-10234608.238104034</v>
      </c>
      <c r="L83" s="43">
        <v>-8991127.1072933692</v>
      </c>
      <c r="M83" s="43">
        <v>-30776453.114832196</v>
      </c>
      <c r="N83" s="43">
        <v>-1275662.3575806725</v>
      </c>
      <c r="O83" s="43">
        <v>-120181.13486035465</v>
      </c>
      <c r="P83" s="23"/>
      <c r="Q83" s="43">
        <v>-19600689.72604214</v>
      </c>
      <c r="R83" s="43">
        <v>-54182.842434551698</v>
      </c>
      <c r="S83" s="43">
        <v>-1471339.7967496999</v>
      </c>
      <c r="T83" s="43">
        <f>SUM(Q83:S83)</f>
        <v>-21126212.365226392</v>
      </c>
      <c r="U83" s="43">
        <f>SUM(Q83:R83)</f>
        <v>-19654872.568476692</v>
      </c>
      <c r="V83" s="23"/>
      <c r="W83" s="23"/>
      <c r="X83" s="23"/>
      <c r="Y83" s="23"/>
    </row>
    <row r="84" spans="1:25" s="5" customFormat="1" x14ac:dyDescent="0.25">
      <c r="A84" s="5">
        <f t="shared" si="11"/>
        <v>77</v>
      </c>
      <c r="B84" s="38" t="s">
        <v>484</v>
      </c>
      <c r="C84" s="5" t="s">
        <v>485</v>
      </c>
      <c r="D84" s="23" t="s">
        <v>226</v>
      </c>
      <c r="E84" s="43">
        <v>-184422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-184422</v>
      </c>
      <c r="N84" s="43">
        <v>0</v>
      </c>
      <c r="O84" s="43">
        <v>0</v>
      </c>
      <c r="P84" s="23"/>
      <c r="Q84" s="43">
        <v>0</v>
      </c>
      <c r="R84" s="43">
        <v>0</v>
      </c>
      <c r="S84" s="43">
        <v>0</v>
      </c>
      <c r="T84" s="43">
        <f>SUM(Q84:S84)</f>
        <v>0</v>
      </c>
      <c r="U84" s="43">
        <f>SUM(Q84:R84)</f>
        <v>0</v>
      </c>
      <c r="V84" s="23"/>
      <c r="W84" s="23"/>
      <c r="X84" s="23"/>
      <c r="Y84" s="23"/>
    </row>
    <row r="85" spans="1:25" s="5" customFormat="1" x14ac:dyDescent="0.25">
      <c r="A85" s="14">
        <f>+A84+1</f>
        <v>78</v>
      </c>
      <c r="B85" s="39"/>
      <c r="C85" s="14" t="s">
        <v>288</v>
      </c>
      <c r="D85" s="24"/>
      <c r="E85" s="44">
        <f t="shared" ref="E85:U85" si="14">SUM(E82:E84)</f>
        <v>-432282885.41082251</v>
      </c>
      <c r="F85" s="44">
        <f t="shared" si="14"/>
        <v>-214631162.55807015</v>
      </c>
      <c r="G85" s="44">
        <f t="shared" si="14"/>
        <v>-52542155.899420649</v>
      </c>
      <c r="H85" s="44">
        <f t="shared" si="14"/>
        <v>-52874837.701797828</v>
      </c>
      <c r="I85" s="44">
        <f t="shared" si="14"/>
        <v>-33806043.560293838</v>
      </c>
      <c r="J85" s="44">
        <f t="shared" si="14"/>
        <v>-24020887.915212099</v>
      </c>
      <c r="K85" s="44">
        <f t="shared" si="14"/>
        <v>-11636369.505752819</v>
      </c>
      <c r="L85" s="44">
        <f t="shared" si="14"/>
        <v>-10223819.108779065</v>
      </c>
      <c r="M85" s="44">
        <f t="shared" si="14"/>
        <v>-30960875.114832196</v>
      </c>
      <c r="N85" s="44">
        <f t="shared" si="14"/>
        <v>-1450138.3794274791</v>
      </c>
      <c r="O85" s="44">
        <f t="shared" si="14"/>
        <v>-136595.66723649832</v>
      </c>
      <c r="P85" s="23"/>
      <c r="Q85" s="44">
        <f t="shared" si="14"/>
        <v>-22285090.302297484</v>
      </c>
      <c r="R85" s="44">
        <f t="shared" si="14"/>
        <v>-61650.911818595116</v>
      </c>
      <c r="S85" s="44">
        <f t="shared" si="14"/>
        <v>-1674146.7010960192</v>
      </c>
      <c r="T85" s="44">
        <f t="shared" si="14"/>
        <v>-24020887.915212099</v>
      </c>
      <c r="U85" s="44">
        <f t="shared" si="14"/>
        <v>-22346741.214116078</v>
      </c>
      <c r="V85" s="23"/>
      <c r="W85" s="23"/>
      <c r="X85" s="23"/>
      <c r="Y85" s="23"/>
    </row>
    <row r="86" spans="1:25" s="5" customFormat="1" x14ac:dyDescent="0.25">
      <c r="A86" s="5">
        <f t="shared" si="11"/>
        <v>79</v>
      </c>
      <c r="B86" s="38"/>
      <c r="D86" s="2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23"/>
      <c r="Q86" s="43"/>
      <c r="R86" s="43"/>
      <c r="S86" s="43"/>
      <c r="T86" s="43"/>
      <c r="U86" s="43"/>
      <c r="V86" s="23"/>
      <c r="W86" s="23"/>
      <c r="X86" s="23"/>
      <c r="Y86" s="23"/>
    </row>
    <row r="87" spans="1:25" s="5" customFormat="1" x14ac:dyDescent="0.25">
      <c r="A87" s="5">
        <f t="shared" si="11"/>
        <v>80</v>
      </c>
      <c r="B87" s="38"/>
      <c r="C87" s="1" t="s">
        <v>418</v>
      </c>
      <c r="D87" s="2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23"/>
      <c r="Q87" s="43"/>
      <c r="R87" s="43"/>
      <c r="S87" s="43"/>
      <c r="T87" s="43"/>
      <c r="U87" s="43"/>
      <c r="V87" s="23"/>
      <c r="W87" s="23"/>
      <c r="X87" s="23"/>
      <c r="Y87" s="23"/>
    </row>
    <row r="88" spans="1:25" s="5" customFormat="1" x14ac:dyDescent="0.25">
      <c r="A88" s="5">
        <f t="shared" si="11"/>
        <v>81</v>
      </c>
      <c r="B88" s="38" t="s">
        <v>486</v>
      </c>
      <c r="C88" s="5" t="s">
        <v>487</v>
      </c>
      <c r="D88" s="23" t="s">
        <v>488</v>
      </c>
      <c r="E88" s="43">
        <v>-10782.6924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-10782.6924</v>
      </c>
      <c r="M88" s="43">
        <v>0</v>
      </c>
      <c r="N88" s="43">
        <v>0</v>
      </c>
      <c r="O88" s="43">
        <v>0</v>
      </c>
      <c r="P88" s="23"/>
      <c r="Q88" s="43">
        <v>0</v>
      </c>
      <c r="R88" s="43">
        <v>0</v>
      </c>
      <c r="S88" s="43">
        <v>0</v>
      </c>
      <c r="T88" s="43">
        <f t="shared" ref="T88:T108" si="15">SUM(Q88:S88)</f>
        <v>0</v>
      </c>
      <c r="U88" s="43">
        <f t="shared" ref="U88:U108" si="16">SUM(Q88:R88)</f>
        <v>0</v>
      </c>
      <c r="V88" s="23"/>
      <c r="W88" s="23"/>
      <c r="X88" s="23"/>
      <c r="Y88" s="23"/>
    </row>
    <row r="89" spans="1:25" s="5" customFormat="1" x14ac:dyDescent="0.25">
      <c r="A89" s="5">
        <f t="shared" si="11"/>
        <v>82</v>
      </c>
      <c r="B89" s="38" t="s">
        <v>489</v>
      </c>
      <c r="C89" s="5" t="s">
        <v>490</v>
      </c>
      <c r="D89" s="23" t="s">
        <v>422</v>
      </c>
      <c r="E89" s="43">
        <v>-3040575.9469045717</v>
      </c>
      <c r="F89" s="43">
        <v>-1244828.4319446352</v>
      </c>
      <c r="G89" s="43">
        <v>-486726.75235837803</v>
      </c>
      <c r="H89" s="43">
        <v>-612291.16673140111</v>
      </c>
      <c r="I89" s="43">
        <v>-347656.84791784419</v>
      </c>
      <c r="J89" s="43">
        <v>-346359.63001764152</v>
      </c>
      <c r="K89" s="43">
        <v>0</v>
      </c>
      <c r="L89" s="43">
        <v>0</v>
      </c>
      <c r="M89" s="43">
        <v>0</v>
      </c>
      <c r="N89" s="43">
        <v>-2512.1635244388276</v>
      </c>
      <c r="O89" s="43">
        <v>-200.95441023290104</v>
      </c>
      <c r="P89" s="23"/>
      <c r="Q89" s="43">
        <v>-329752.06670227303</v>
      </c>
      <c r="R89" s="43">
        <v>-61.733381540769258</v>
      </c>
      <c r="S89" s="43">
        <v>-16545.829933827765</v>
      </c>
      <c r="T89" s="43">
        <f t="shared" si="15"/>
        <v>-346359.63001764152</v>
      </c>
      <c r="U89" s="43">
        <f t="shared" si="16"/>
        <v>-329813.80008381378</v>
      </c>
      <c r="V89" s="23"/>
      <c r="W89" s="23"/>
      <c r="X89" s="23"/>
      <c r="Y89" s="23"/>
    </row>
    <row r="90" spans="1:25" s="5" customFormat="1" x14ac:dyDescent="0.25">
      <c r="A90" s="5">
        <f t="shared" si="11"/>
        <v>83</v>
      </c>
      <c r="B90" s="38" t="s">
        <v>491</v>
      </c>
      <c r="C90" s="5" t="s">
        <v>423</v>
      </c>
      <c r="D90" s="23" t="s">
        <v>492</v>
      </c>
      <c r="E90" s="43">
        <v>-272296.41799360001</v>
      </c>
      <c r="F90" s="43">
        <v>0</v>
      </c>
      <c r="G90" s="43">
        <v>0</v>
      </c>
      <c r="H90" s="43">
        <v>0</v>
      </c>
      <c r="I90" s="43">
        <v>0</v>
      </c>
      <c r="J90" s="43">
        <v>-9600.18</v>
      </c>
      <c r="K90" s="43">
        <v>-125592.1933</v>
      </c>
      <c r="L90" s="43">
        <v>-51224.674693600005</v>
      </c>
      <c r="M90" s="43">
        <v>-85879.37</v>
      </c>
      <c r="N90" s="43">
        <v>0</v>
      </c>
      <c r="O90" s="43">
        <v>0</v>
      </c>
      <c r="P90" s="23"/>
      <c r="Q90" s="43">
        <v>-9600.18</v>
      </c>
      <c r="R90" s="43">
        <v>0</v>
      </c>
      <c r="S90" s="43">
        <v>0</v>
      </c>
      <c r="T90" s="43">
        <f t="shared" si="15"/>
        <v>-9600.18</v>
      </c>
      <c r="U90" s="43">
        <f t="shared" si="16"/>
        <v>-9600.18</v>
      </c>
      <c r="V90" s="23"/>
      <c r="W90" s="23"/>
      <c r="X90" s="23"/>
      <c r="Y90" s="23"/>
    </row>
    <row r="91" spans="1:25" s="5" customFormat="1" x14ac:dyDescent="0.25">
      <c r="A91" s="5">
        <f t="shared" si="11"/>
        <v>84</v>
      </c>
      <c r="B91" s="38" t="s">
        <v>493</v>
      </c>
      <c r="C91" s="5" t="s">
        <v>425</v>
      </c>
      <c r="D91" s="23" t="s">
        <v>426</v>
      </c>
      <c r="E91" s="43">
        <v>-1985322.9143761354</v>
      </c>
      <c r="F91" s="43">
        <v>-984742.52412153932</v>
      </c>
      <c r="G91" s="43">
        <v>-289968.18878543744</v>
      </c>
      <c r="H91" s="43">
        <v>-348304.6354921821</v>
      </c>
      <c r="I91" s="43">
        <v>-217233.56350176045</v>
      </c>
      <c r="J91" s="43">
        <v>-143121.94019452162</v>
      </c>
      <c r="K91" s="43">
        <v>0</v>
      </c>
      <c r="L91" s="43">
        <v>0</v>
      </c>
      <c r="M91" s="43">
        <v>0</v>
      </c>
      <c r="N91" s="43">
        <v>-1738.6572668441083</v>
      </c>
      <c r="O91" s="43">
        <v>-213.40501385029691</v>
      </c>
      <c r="P91" s="23"/>
      <c r="Q91" s="43">
        <v>-125630.11281436469</v>
      </c>
      <c r="R91" s="43">
        <v>0</v>
      </c>
      <c r="S91" s="43">
        <v>-17491.827380156938</v>
      </c>
      <c r="T91" s="43">
        <f t="shared" si="15"/>
        <v>-143121.94019452162</v>
      </c>
      <c r="U91" s="43">
        <f t="shared" si="16"/>
        <v>-125630.11281436469</v>
      </c>
      <c r="V91" s="23"/>
      <c r="W91" s="23"/>
      <c r="X91" s="23"/>
      <c r="Y91" s="23"/>
    </row>
    <row r="92" spans="1:25" s="5" customFormat="1" x14ac:dyDescent="0.25">
      <c r="A92" s="5">
        <f t="shared" si="11"/>
        <v>85</v>
      </c>
      <c r="B92" s="38" t="s">
        <v>494</v>
      </c>
      <c r="C92" s="5" t="s">
        <v>427</v>
      </c>
      <c r="D92" s="23" t="s">
        <v>495</v>
      </c>
      <c r="E92" s="43">
        <v>-14004627.3980048</v>
      </c>
      <c r="F92" s="43">
        <v>0</v>
      </c>
      <c r="G92" s="43">
        <v>0</v>
      </c>
      <c r="H92" s="43">
        <v>0</v>
      </c>
      <c r="I92" s="43">
        <v>0</v>
      </c>
      <c r="J92" s="43">
        <v>-640870.65918735345</v>
      </c>
      <c r="K92" s="43">
        <v>-6112233.2821394028</v>
      </c>
      <c r="L92" s="43">
        <v>-3892875.2261544624</v>
      </c>
      <c r="M92" s="43">
        <v>-3358648.2305235812</v>
      </c>
      <c r="N92" s="43">
        <v>0</v>
      </c>
      <c r="O92" s="43">
        <v>0</v>
      </c>
      <c r="P92" s="23"/>
      <c r="Q92" s="43">
        <v>-640870.65918735345</v>
      </c>
      <c r="R92" s="43">
        <v>0</v>
      </c>
      <c r="S92" s="43">
        <v>0</v>
      </c>
      <c r="T92" s="43">
        <f t="shared" si="15"/>
        <v>-640870.65918735345</v>
      </c>
      <c r="U92" s="43">
        <f t="shared" si="16"/>
        <v>-640870.65918735345</v>
      </c>
      <c r="V92" s="23"/>
      <c r="W92" s="23"/>
      <c r="X92" s="23"/>
      <c r="Y92" s="23"/>
    </row>
    <row r="93" spans="1:25" s="5" customFormat="1" x14ac:dyDescent="0.25">
      <c r="A93" s="5">
        <f t="shared" si="11"/>
        <v>86</v>
      </c>
      <c r="B93" s="38" t="s">
        <v>496</v>
      </c>
      <c r="C93" s="5" t="s">
        <v>429</v>
      </c>
      <c r="D93" s="23" t="s">
        <v>430</v>
      </c>
      <c r="E93" s="43">
        <v>-108902602.07049446</v>
      </c>
      <c r="F93" s="43">
        <v>-59305660.954327948</v>
      </c>
      <c r="G93" s="43">
        <v>-15342130.842319798</v>
      </c>
      <c r="H93" s="43">
        <v>-16523969.551534506</v>
      </c>
      <c r="I93" s="43">
        <v>-9365575.81585644</v>
      </c>
      <c r="J93" s="43">
        <v>-8229054.8220087448</v>
      </c>
      <c r="K93" s="43">
        <v>0</v>
      </c>
      <c r="L93" s="43">
        <v>0</v>
      </c>
      <c r="M93" s="43">
        <v>0</v>
      </c>
      <c r="N93" s="43">
        <v>-105014.96523902469</v>
      </c>
      <c r="O93" s="43">
        <v>-31195.119208002521</v>
      </c>
      <c r="P93" s="23"/>
      <c r="Q93" s="43">
        <v>-7263888.0998020712</v>
      </c>
      <c r="R93" s="43">
        <v>-26539.470770523611</v>
      </c>
      <c r="S93" s="43">
        <v>-938627.25143614982</v>
      </c>
      <c r="T93" s="43">
        <f t="shared" si="15"/>
        <v>-8229054.8220087448</v>
      </c>
      <c r="U93" s="43">
        <f t="shared" si="16"/>
        <v>-7290427.5705725951</v>
      </c>
      <c r="V93" s="23"/>
      <c r="W93" s="23"/>
      <c r="X93" s="23"/>
      <c r="Y93" s="23"/>
    </row>
    <row r="94" spans="1:25" s="5" customFormat="1" x14ac:dyDescent="0.25">
      <c r="A94" s="5">
        <f t="shared" si="11"/>
        <v>87</v>
      </c>
      <c r="B94" s="38" t="s">
        <v>497</v>
      </c>
      <c r="C94" s="5" t="s">
        <v>431</v>
      </c>
      <c r="D94" s="23" t="s">
        <v>430</v>
      </c>
      <c r="E94" s="43">
        <v>-227790.68922477314</v>
      </c>
      <c r="F94" s="43">
        <v>-124049.16987173825</v>
      </c>
      <c r="G94" s="43">
        <v>-32091.010612275706</v>
      </c>
      <c r="H94" s="43">
        <v>-34563.053052090589</v>
      </c>
      <c r="I94" s="43">
        <v>-19589.898951173142</v>
      </c>
      <c r="J94" s="43">
        <v>-17212.647208929116</v>
      </c>
      <c r="K94" s="43">
        <v>0</v>
      </c>
      <c r="L94" s="43">
        <v>0</v>
      </c>
      <c r="M94" s="43">
        <v>0</v>
      </c>
      <c r="N94" s="43">
        <v>-219.65895080475937</v>
      </c>
      <c r="O94" s="43">
        <v>-65.250577761585987</v>
      </c>
      <c r="P94" s="23"/>
      <c r="Q94" s="43">
        <v>-15193.815806480561</v>
      </c>
      <c r="R94" s="43">
        <v>-55.512395696155899</v>
      </c>
      <c r="S94" s="43">
        <v>-1963.3190067523997</v>
      </c>
      <c r="T94" s="43">
        <f t="shared" si="15"/>
        <v>-17212.647208929116</v>
      </c>
      <c r="U94" s="43">
        <f t="shared" si="16"/>
        <v>-15249.328202176717</v>
      </c>
      <c r="V94" s="23"/>
      <c r="W94" s="23"/>
      <c r="X94" s="23"/>
      <c r="Y94" s="23"/>
    </row>
    <row r="95" spans="1:25" s="5" customFormat="1" x14ac:dyDescent="0.25">
      <c r="A95" s="5">
        <f t="shared" si="11"/>
        <v>88</v>
      </c>
      <c r="B95" s="38" t="s">
        <v>498</v>
      </c>
      <c r="C95" s="5" t="s">
        <v>433</v>
      </c>
      <c r="D95" s="23" t="s">
        <v>434</v>
      </c>
      <c r="E95" s="43">
        <v>-144226000.46602783</v>
      </c>
      <c r="F95" s="43">
        <v>-97975246.94361566</v>
      </c>
      <c r="G95" s="43">
        <v>-18786514.389900193</v>
      </c>
      <c r="H95" s="43">
        <v>-14512746.552299058</v>
      </c>
      <c r="I95" s="43">
        <v>-6047267.6835041381</v>
      </c>
      <c r="J95" s="43">
        <v>-6707491.5286968378</v>
      </c>
      <c r="K95" s="43">
        <v>0</v>
      </c>
      <c r="L95" s="43">
        <v>0</v>
      </c>
      <c r="M95" s="43">
        <v>0</v>
      </c>
      <c r="N95" s="43">
        <v>-94379.825037427931</v>
      </c>
      <c r="O95" s="43">
        <v>-102353.54297453782</v>
      </c>
      <c r="P95" s="23"/>
      <c r="Q95" s="43">
        <v>-5151311.7407525191</v>
      </c>
      <c r="R95" s="43">
        <v>-115401.44505344491</v>
      </c>
      <c r="S95" s="43">
        <v>-1440778.3428908738</v>
      </c>
      <c r="T95" s="43">
        <f t="shared" si="15"/>
        <v>-6707491.5286968378</v>
      </c>
      <c r="U95" s="43">
        <f t="shared" si="16"/>
        <v>-5266713.1858059643</v>
      </c>
      <c r="V95" s="23"/>
      <c r="W95" s="23"/>
      <c r="X95" s="23"/>
      <c r="Y95" s="23"/>
    </row>
    <row r="96" spans="1:25" s="5" customFormat="1" x14ac:dyDescent="0.25">
      <c r="A96" s="5">
        <f t="shared" si="11"/>
        <v>89</v>
      </c>
      <c r="B96" s="38" t="s">
        <v>499</v>
      </c>
      <c r="C96" s="5" t="s">
        <v>500</v>
      </c>
      <c r="D96" s="23" t="s">
        <v>501</v>
      </c>
      <c r="E96" s="43">
        <v>-1850071.6673484158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-1850071.6673484158</v>
      </c>
      <c r="L96" s="43">
        <v>0</v>
      </c>
      <c r="M96" s="43">
        <v>0</v>
      </c>
      <c r="N96" s="43">
        <v>0</v>
      </c>
      <c r="O96" s="43">
        <v>0</v>
      </c>
      <c r="P96" s="23"/>
      <c r="Q96" s="43">
        <v>0</v>
      </c>
      <c r="R96" s="43">
        <v>0</v>
      </c>
      <c r="S96" s="43">
        <v>0</v>
      </c>
      <c r="T96" s="43">
        <f t="shared" si="15"/>
        <v>0</v>
      </c>
      <c r="U96" s="43">
        <f t="shared" si="16"/>
        <v>0</v>
      </c>
      <c r="V96" s="23"/>
      <c r="W96" s="23"/>
      <c r="X96" s="23"/>
      <c r="Y96" s="23"/>
    </row>
    <row r="97" spans="1:25" s="5" customFormat="1" x14ac:dyDescent="0.25">
      <c r="A97" s="5">
        <f t="shared" si="11"/>
        <v>90</v>
      </c>
      <c r="B97" s="38" t="s">
        <v>502</v>
      </c>
      <c r="C97" s="5" t="s">
        <v>437</v>
      </c>
      <c r="D97" s="23" t="s">
        <v>434</v>
      </c>
      <c r="E97" s="43">
        <v>-118410195.94847618</v>
      </c>
      <c r="F97" s="43">
        <v>-80438119.002173468</v>
      </c>
      <c r="G97" s="43">
        <v>-15423812.92491661</v>
      </c>
      <c r="H97" s="43">
        <v>-11915030.282026596</v>
      </c>
      <c r="I97" s="43">
        <v>-4964834.0038749035</v>
      </c>
      <c r="J97" s="43">
        <v>-5506880.754297955</v>
      </c>
      <c r="K97" s="43">
        <v>0</v>
      </c>
      <c r="L97" s="43">
        <v>0</v>
      </c>
      <c r="M97" s="43">
        <v>0</v>
      </c>
      <c r="N97" s="43">
        <v>-77486.261424112061</v>
      </c>
      <c r="O97" s="43">
        <v>-84032.719762554712</v>
      </c>
      <c r="P97" s="23"/>
      <c r="Q97" s="43">
        <v>-4229250.1396644395</v>
      </c>
      <c r="R97" s="43">
        <v>-94745.106134551766</v>
      </c>
      <c r="S97" s="43">
        <v>-1182885.5084989641</v>
      </c>
      <c r="T97" s="43">
        <f t="shared" si="15"/>
        <v>-5506880.754297955</v>
      </c>
      <c r="U97" s="43">
        <f t="shared" si="16"/>
        <v>-4323995.2457989911</v>
      </c>
      <c r="V97" s="23"/>
      <c r="W97" s="23"/>
      <c r="X97" s="23"/>
      <c r="Y97" s="23"/>
    </row>
    <row r="98" spans="1:25" s="5" customFormat="1" x14ac:dyDescent="0.25">
      <c r="A98" s="5">
        <f t="shared" si="11"/>
        <v>91</v>
      </c>
      <c r="B98" s="38" t="s">
        <v>503</v>
      </c>
      <c r="C98" s="5" t="s">
        <v>504</v>
      </c>
      <c r="D98" s="23" t="s">
        <v>505</v>
      </c>
      <c r="E98" s="43">
        <v>-21918802.352061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-20344190.334061</v>
      </c>
      <c r="L98" s="43">
        <v>-1574612.0180000002</v>
      </c>
      <c r="M98" s="43">
        <v>0</v>
      </c>
      <c r="N98" s="43">
        <v>0</v>
      </c>
      <c r="O98" s="43">
        <v>0</v>
      </c>
      <c r="P98" s="23"/>
      <c r="Q98" s="43">
        <v>0</v>
      </c>
      <c r="R98" s="43">
        <v>0</v>
      </c>
      <c r="S98" s="43">
        <v>0</v>
      </c>
      <c r="T98" s="43">
        <f t="shared" si="15"/>
        <v>0</v>
      </c>
      <c r="U98" s="43">
        <f t="shared" si="16"/>
        <v>0</v>
      </c>
      <c r="V98" s="23"/>
      <c r="W98" s="23"/>
      <c r="X98" s="23"/>
      <c r="Y98" s="23"/>
    </row>
    <row r="99" spans="1:25" s="5" customFormat="1" x14ac:dyDescent="0.25">
      <c r="A99" s="5">
        <f t="shared" si="11"/>
        <v>92</v>
      </c>
      <c r="B99" s="38" t="s">
        <v>506</v>
      </c>
      <c r="C99" s="5" t="s">
        <v>507</v>
      </c>
      <c r="D99" s="23" t="s">
        <v>441</v>
      </c>
      <c r="E99" s="43">
        <v>-230834273.00678843</v>
      </c>
      <c r="F99" s="43">
        <v>-154113420.16810364</v>
      </c>
      <c r="G99" s="43">
        <v>-28518573.928312317</v>
      </c>
      <c r="H99" s="43">
        <v>-26319208.933783147</v>
      </c>
      <c r="I99" s="43">
        <v>-11301508.077899912</v>
      </c>
      <c r="J99" s="43">
        <v>-10407692.543644853</v>
      </c>
      <c r="K99" s="43">
        <v>0</v>
      </c>
      <c r="L99" s="43">
        <v>0</v>
      </c>
      <c r="M99" s="43">
        <v>0</v>
      </c>
      <c r="N99" s="43">
        <v>-112932.73399379531</v>
      </c>
      <c r="O99" s="43">
        <v>-60936.621050818714</v>
      </c>
      <c r="P99" s="23"/>
      <c r="Q99" s="43">
        <v>-7693071.9502689987</v>
      </c>
      <c r="R99" s="43">
        <v>-85640.656611961444</v>
      </c>
      <c r="S99" s="43">
        <v>-2628979.9367638933</v>
      </c>
      <c r="T99" s="43">
        <f t="shared" si="15"/>
        <v>-10407692.543644853</v>
      </c>
      <c r="U99" s="43">
        <f t="shared" si="16"/>
        <v>-7778712.6068809601</v>
      </c>
      <c r="V99" s="23"/>
      <c r="W99" s="23"/>
      <c r="X99" s="23"/>
      <c r="Y99" s="23"/>
    </row>
    <row r="100" spans="1:25" s="5" customFormat="1" x14ac:dyDescent="0.25">
      <c r="A100" s="5">
        <f t="shared" si="11"/>
        <v>93</v>
      </c>
      <c r="B100" s="38" t="s">
        <v>508</v>
      </c>
      <c r="C100" s="5" t="s">
        <v>509</v>
      </c>
      <c r="D100" s="23" t="s">
        <v>441</v>
      </c>
      <c r="E100" s="43">
        <v>-339678468.295748</v>
      </c>
      <c r="F100" s="43">
        <v>-226781793.81525803</v>
      </c>
      <c r="G100" s="43">
        <v>-41965802.494429842</v>
      </c>
      <c r="H100" s="43">
        <v>-38729381.304310538</v>
      </c>
      <c r="I100" s="43">
        <v>-16630454.842466876</v>
      </c>
      <c r="J100" s="43">
        <v>-15315182.6878602</v>
      </c>
      <c r="K100" s="43">
        <v>0</v>
      </c>
      <c r="L100" s="43">
        <v>0</v>
      </c>
      <c r="M100" s="43">
        <v>0</v>
      </c>
      <c r="N100" s="43">
        <v>-166183.37304848753</v>
      </c>
      <c r="O100" s="43">
        <v>-89669.778374079731</v>
      </c>
      <c r="P100" s="23"/>
      <c r="Q100" s="43">
        <v>-11320549.858207181</v>
      </c>
      <c r="R100" s="43">
        <v>-126022.39122843639</v>
      </c>
      <c r="S100" s="43">
        <v>-3868610.4384245831</v>
      </c>
      <c r="T100" s="43">
        <f t="shared" si="15"/>
        <v>-15315182.6878602</v>
      </c>
      <c r="U100" s="43">
        <f t="shared" si="16"/>
        <v>-11446572.249435617</v>
      </c>
      <c r="V100" s="23"/>
      <c r="W100" s="23"/>
      <c r="X100" s="23"/>
      <c r="Y100" s="23"/>
    </row>
    <row r="101" spans="1:25" s="5" customFormat="1" x14ac:dyDescent="0.25">
      <c r="A101" s="5">
        <f t="shared" si="11"/>
        <v>94</v>
      </c>
      <c r="B101" s="38" t="s">
        <v>510</v>
      </c>
      <c r="C101" s="5" t="s">
        <v>511</v>
      </c>
      <c r="D101" s="23" t="s">
        <v>450</v>
      </c>
      <c r="E101" s="43">
        <v>-1714983</v>
      </c>
      <c r="F101" s="43">
        <v>0</v>
      </c>
      <c r="G101" s="43">
        <v>0</v>
      </c>
      <c r="H101" s="43">
        <v>0</v>
      </c>
      <c r="I101" s="43">
        <v>0</v>
      </c>
      <c r="J101" s="43">
        <v>-458241.13754902896</v>
      </c>
      <c r="K101" s="43">
        <v>-1246416.595501533</v>
      </c>
      <c r="L101" s="43">
        <v>0</v>
      </c>
      <c r="M101" s="43">
        <v>0</v>
      </c>
      <c r="N101" s="43">
        <v>0</v>
      </c>
      <c r="O101" s="43">
        <v>-10325.266949437966</v>
      </c>
      <c r="P101" s="23"/>
      <c r="Q101" s="43">
        <v>-433089.81186669186</v>
      </c>
      <c r="R101" s="43">
        <v>0</v>
      </c>
      <c r="S101" s="43">
        <v>-25151.325682337116</v>
      </c>
      <c r="T101" s="43">
        <f t="shared" si="15"/>
        <v>-458241.13754902896</v>
      </c>
      <c r="U101" s="43">
        <f t="shared" si="16"/>
        <v>-433089.81186669186</v>
      </c>
      <c r="V101" s="23"/>
      <c r="W101" s="23"/>
      <c r="X101" s="23"/>
      <c r="Y101" s="23"/>
    </row>
    <row r="102" spans="1:25" s="5" customFormat="1" x14ac:dyDescent="0.25">
      <c r="A102" s="5">
        <f t="shared" si="11"/>
        <v>95</v>
      </c>
      <c r="B102" s="38" t="s">
        <v>512</v>
      </c>
      <c r="C102" s="5" t="s">
        <v>513</v>
      </c>
      <c r="D102" s="23" t="s">
        <v>445</v>
      </c>
      <c r="E102" s="43">
        <v>-61577305</v>
      </c>
      <c r="F102" s="43">
        <v>-44972551.122519948</v>
      </c>
      <c r="G102" s="43">
        <v>-7049229.6209489135</v>
      </c>
      <c r="H102" s="43">
        <v>-904067.07413564518</v>
      </c>
      <c r="I102" s="43">
        <v>-11476.687412836089</v>
      </c>
      <c r="J102" s="43">
        <v>0</v>
      </c>
      <c r="K102" s="43">
        <v>0</v>
      </c>
      <c r="L102" s="43">
        <v>0</v>
      </c>
      <c r="M102" s="43">
        <v>0</v>
      </c>
      <c r="N102" s="43">
        <v>-8639980.4949826598</v>
      </c>
      <c r="O102" s="43">
        <v>0</v>
      </c>
      <c r="P102" s="23"/>
      <c r="Q102" s="43">
        <v>0</v>
      </c>
      <c r="R102" s="43">
        <v>0</v>
      </c>
      <c r="S102" s="43">
        <v>0</v>
      </c>
      <c r="T102" s="43">
        <f t="shared" si="15"/>
        <v>0</v>
      </c>
      <c r="U102" s="43">
        <f t="shared" si="16"/>
        <v>0</v>
      </c>
      <c r="V102" s="23"/>
      <c r="W102" s="23"/>
      <c r="X102" s="23"/>
      <c r="Y102" s="23"/>
    </row>
    <row r="103" spans="1:25" s="5" customFormat="1" x14ac:dyDescent="0.25">
      <c r="A103" s="5">
        <f t="shared" si="11"/>
        <v>96</v>
      </c>
      <c r="B103" s="38" t="s">
        <v>514</v>
      </c>
      <c r="C103" s="5" t="s">
        <v>515</v>
      </c>
      <c r="D103" s="23" t="s">
        <v>448</v>
      </c>
      <c r="E103" s="43">
        <v>-116431906.72550035</v>
      </c>
      <c r="F103" s="43">
        <v>-85639404.818411559</v>
      </c>
      <c r="G103" s="43">
        <v>-16875431.088765074</v>
      </c>
      <c r="H103" s="43">
        <v>-10216135.288176628</v>
      </c>
      <c r="I103" s="43">
        <v>-3425728.1643280191</v>
      </c>
      <c r="J103" s="43">
        <v>0</v>
      </c>
      <c r="K103" s="43">
        <v>0</v>
      </c>
      <c r="L103" s="43">
        <v>0</v>
      </c>
      <c r="M103" s="43">
        <v>0</v>
      </c>
      <c r="N103" s="43">
        <v>-268327.89645341673</v>
      </c>
      <c r="O103" s="43">
        <v>-6879.4693656572827</v>
      </c>
      <c r="P103" s="23"/>
      <c r="Q103" s="43">
        <v>0</v>
      </c>
      <c r="R103" s="43">
        <v>0</v>
      </c>
      <c r="S103" s="43">
        <v>0</v>
      </c>
      <c r="T103" s="43">
        <f t="shared" si="15"/>
        <v>0</v>
      </c>
      <c r="U103" s="43">
        <f t="shared" si="16"/>
        <v>0</v>
      </c>
      <c r="V103" s="23"/>
      <c r="W103" s="23"/>
      <c r="X103" s="23"/>
      <c r="Y103" s="23"/>
    </row>
    <row r="104" spans="1:25" s="5" customFormat="1" x14ac:dyDescent="0.25">
      <c r="A104" s="5">
        <f t="shared" si="11"/>
        <v>97</v>
      </c>
      <c r="B104" s="38" t="s">
        <v>516</v>
      </c>
      <c r="C104" s="5" t="s">
        <v>517</v>
      </c>
      <c r="D104" s="23" t="s">
        <v>453</v>
      </c>
      <c r="E104" s="43">
        <v>-29187822</v>
      </c>
      <c r="F104" s="43">
        <v>-25319258.887396809</v>
      </c>
      <c r="G104" s="43">
        <v>-3734290.3102449775</v>
      </c>
      <c r="H104" s="43">
        <v>-132244.94989541383</v>
      </c>
      <c r="I104" s="43">
        <v>-2027.8524627993361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23"/>
      <c r="Q104" s="43">
        <v>0</v>
      </c>
      <c r="R104" s="43">
        <v>0</v>
      </c>
      <c r="S104" s="43">
        <v>0</v>
      </c>
      <c r="T104" s="43">
        <f t="shared" si="15"/>
        <v>0</v>
      </c>
      <c r="U104" s="43">
        <f t="shared" si="16"/>
        <v>0</v>
      </c>
      <c r="V104" s="23"/>
      <c r="W104" s="23"/>
      <c r="X104" s="23"/>
      <c r="Y104" s="23"/>
    </row>
    <row r="105" spans="1:25" s="5" customFormat="1" x14ac:dyDescent="0.25">
      <c r="A105" s="5">
        <f t="shared" si="11"/>
        <v>98</v>
      </c>
      <c r="B105" s="38" t="s">
        <v>518</v>
      </c>
      <c r="C105" s="5" t="s">
        <v>519</v>
      </c>
      <c r="D105" s="23" t="s">
        <v>331</v>
      </c>
      <c r="E105" s="43">
        <v>-86306645.845380351</v>
      </c>
      <c r="F105" s="43">
        <v>-86306645.845380351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23"/>
      <c r="Q105" s="43">
        <v>0</v>
      </c>
      <c r="R105" s="43">
        <v>0</v>
      </c>
      <c r="S105" s="43">
        <v>0</v>
      </c>
      <c r="T105" s="43">
        <f t="shared" si="15"/>
        <v>0</v>
      </c>
      <c r="U105" s="43">
        <f t="shared" si="16"/>
        <v>0</v>
      </c>
      <c r="V105" s="23"/>
      <c r="W105" s="23"/>
      <c r="X105" s="23"/>
      <c r="Y105" s="23"/>
    </row>
    <row r="106" spans="1:25" s="5" customFormat="1" x14ac:dyDescent="0.25">
      <c r="A106" s="5">
        <f t="shared" si="11"/>
        <v>99</v>
      </c>
      <c r="B106" s="38" t="s">
        <v>520</v>
      </c>
      <c r="C106" s="5" t="s">
        <v>456</v>
      </c>
      <c r="D106" s="23" t="s">
        <v>312</v>
      </c>
      <c r="E106" s="43">
        <v>-42422979.190129757</v>
      </c>
      <c r="F106" s="43">
        <v>-27582183.899188787</v>
      </c>
      <c r="G106" s="43">
        <v>-7815778.4974343469</v>
      </c>
      <c r="H106" s="43">
        <v>-2122999.2275207932</v>
      </c>
      <c r="I106" s="43">
        <v>-240402.02274743406</v>
      </c>
      <c r="J106" s="43">
        <v>-4033306.6547953403</v>
      </c>
      <c r="K106" s="43">
        <v>-252360.48003844279</v>
      </c>
      <c r="L106" s="43">
        <v>-130587.91411274993</v>
      </c>
      <c r="M106" s="43">
        <v>-183386.68910476545</v>
      </c>
      <c r="N106" s="43">
        <v>0</v>
      </c>
      <c r="O106" s="43">
        <v>-61973.805187097249</v>
      </c>
      <c r="P106" s="23"/>
      <c r="Q106" s="43">
        <v>-2983480.8428195138</v>
      </c>
      <c r="R106" s="43">
        <v>-7011.3824116200367</v>
      </c>
      <c r="S106" s="43">
        <v>-1042814.4295642062</v>
      </c>
      <c r="T106" s="43">
        <f t="shared" si="15"/>
        <v>-4033306.6547953403</v>
      </c>
      <c r="U106" s="43">
        <f t="shared" si="16"/>
        <v>-2990492.2252311339</v>
      </c>
      <c r="V106" s="23"/>
      <c r="W106" s="23"/>
      <c r="X106" s="23"/>
      <c r="Y106" s="23"/>
    </row>
    <row r="107" spans="1:25" s="5" customFormat="1" x14ac:dyDescent="0.25">
      <c r="A107" s="5">
        <f>+A106+1</f>
        <v>100</v>
      </c>
      <c r="B107" s="38" t="s">
        <v>521</v>
      </c>
      <c r="C107" s="5" t="s">
        <v>458</v>
      </c>
      <c r="D107" s="23" t="s">
        <v>270</v>
      </c>
      <c r="E107" s="43">
        <v>-20159019.939354461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-20159019.939354461</v>
      </c>
      <c r="O107" s="43">
        <v>0</v>
      </c>
      <c r="P107" s="23"/>
      <c r="Q107" s="43">
        <v>0</v>
      </c>
      <c r="R107" s="43">
        <v>0</v>
      </c>
      <c r="S107" s="43">
        <v>0</v>
      </c>
      <c r="T107" s="43">
        <f t="shared" si="15"/>
        <v>0</v>
      </c>
      <c r="U107" s="43">
        <f t="shared" si="16"/>
        <v>0</v>
      </c>
      <c r="V107" s="23"/>
      <c r="W107" s="23"/>
      <c r="X107" s="23"/>
      <c r="Y107" s="23"/>
    </row>
    <row r="108" spans="1:25" s="5" customFormat="1" x14ac:dyDescent="0.25">
      <c r="A108" s="5">
        <f>+A107+1</f>
        <v>101</v>
      </c>
      <c r="B108" s="38" t="s">
        <v>522</v>
      </c>
      <c r="C108" s="5" t="s">
        <v>459</v>
      </c>
      <c r="D108" s="23" t="s">
        <v>262</v>
      </c>
      <c r="E108" s="43">
        <v>-288060.25499999902</v>
      </c>
      <c r="F108" s="43">
        <v>-189552.22378589888</v>
      </c>
      <c r="G108" s="43">
        <v>-35502.682919787767</v>
      </c>
      <c r="H108" s="43">
        <v>-30930.162856117357</v>
      </c>
      <c r="I108" s="43">
        <v>-13161.625176340136</v>
      </c>
      <c r="J108" s="43">
        <v>-12860.04026538268</v>
      </c>
      <c r="K108" s="43">
        <v>-4921.2458331288944</v>
      </c>
      <c r="L108" s="43">
        <v>-862.44512580314279</v>
      </c>
      <c r="M108" s="43">
        <v>0</v>
      </c>
      <c r="N108" s="43">
        <v>-153.56849794859752</v>
      </c>
      <c r="O108" s="43">
        <v>-116.26053959164547</v>
      </c>
      <c r="P108" s="23"/>
      <c r="Q108" s="43">
        <v>-9631.3237580661116</v>
      </c>
      <c r="R108" s="43">
        <v>-144.9196605947516</v>
      </c>
      <c r="S108" s="43">
        <v>-3083.7968467218175</v>
      </c>
      <c r="T108" s="43">
        <f t="shared" si="15"/>
        <v>-12860.04026538268</v>
      </c>
      <c r="U108" s="43">
        <f t="shared" si="16"/>
        <v>-9776.2434186608625</v>
      </c>
      <c r="V108" s="23"/>
      <c r="W108" s="23"/>
      <c r="X108" s="23"/>
      <c r="Y108" s="23"/>
    </row>
    <row r="109" spans="1:25" s="5" customFormat="1" x14ac:dyDescent="0.25">
      <c r="A109" s="14">
        <f>+A108+1</f>
        <v>102</v>
      </c>
      <c r="B109" s="39"/>
      <c r="C109" s="14" t="s">
        <v>288</v>
      </c>
      <c r="D109" s="24"/>
      <c r="E109" s="44">
        <f t="shared" ref="E109:U109" si="17">SUM(E88:E108)</f>
        <v>-1343450531.8212132</v>
      </c>
      <c r="F109" s="44">
        <f t="shared" si="17"/>
        <v>-890977457.80609989</v>
      </c>
      <c r="G109" s="44">
        <f t="shared" si="17"/>
        <v>-156355852.73194796</v>
      </c>
      <c r="H109" s="44">
        <f t="shared" si="17"/>
        <v>-122401872.1818141</v>
      </c>
      <c r="I109" s="44">
        <f t="shared" si="17"/>
        <v>-52586917.086100474</v>
      </c>
      <c r="J109" s="44">
        <f t="shared" si="17"/>
        <v>-51827875.225726783</v>
      </c>
      <c r="K109" s="44">
        <f t="shared" si="17"/>
        <v>-29935785.798221923</v>
      </c>
      <c r="L109" s="44">
        <f t="shared" si="17"/>
        <v>-5660944.9704866158</v>
      </c>
      <c r="M109" s="44">
        <f t="shared" si="17"/>
        <v>-3627914.2896283469</v>
      </c>
      <c r="N109" s="44">
        <f t="shared" si="17"/>
        <v>-29627949.537773423</v>
      </c>
      <c r="O109" s="44">
        <f t="shared" si="17"/>
        <v>-447962.19341362244</v>
      </c>
      <c r="P109" s="23"/>
      <c r="Q109" s="44">
        <f t="shared" si="17"/>
        <v>-40205320.601649955</v>
      </c>
      <c r="R109" s="44">
        <f t="shared" si="17"/>
        <v>-455622.61764836987</v>
      </c>
      <c r="S109" s="44">
        <f t="shared" si="17"/>
        <v>-11166932.006428465</v>
      </c>
      <c r="T109" s="44">
        <f t="shared" si="17"/>
        <v>-51827875.225726783</v>
      </c>
      <c r="U109" s="44">
        <f t="shared" si="17"/>
        <v>-40660943.219298325</v>
      </c>
      <c r="V109" s="23"/>
      <c r="W109" s="23"/>
      <c r="X109" s="23"/>
      <c r="Y109" s="23"/>
    </row>
    <row r="110" spans="1:25" s="5" customFormat="1" x14ac:dyDescent="0.25">
      <c r="A110" s="5">
        <f t="shared" si="11"/>
        <v>103</v>
      </c>
      <c r="B110" s="38"/>
      <c r="D110" s="2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23"/>
      <c r="Q110" s="43"/>
      <c r="R110" s="43"/>
      <c r="S110" s="43"/>
      <c r="T110" s="43"/>
      <c r="U110" s="43"/>
      <c r="V110" s="23"/>
      <c r="W110" s="23"/>
      <c r="X110" s="23"/>
      <c r="Y110" s="23"/>
    </row>
    <row r="111" spans="1:25" s="5" customFormat="1" x14ac:dyDescent="0.25">
      <c r="A111" s="5">
        <f t="shared" si="11"/>
        <v>104</v>
      </c>
      <c r="B111" s="38"/>
      <c r="C111" s="1" t="s">
        <v>113</v>
      </c>
      <c r="D111" s="2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23"/>
      <c r="Q111" s="43"/>
      <c r="R111" s="43"/>
      <c r="S111" s="43"/>
      <c r="T111" s="43"/>
      <c r="U111" s="43"/>
      <c r="V111" s="23"/>
      <c r="W111" s="23"/>
      <c r="X111" s="23"/>
      <c r="Y111" s="23"/>
    </row>
    <row r="112" spans="1:25" s="5" customFormat="1" x14ac:dyDescent="0.25">
      <c r="A112" s="5">
        <f t="shared" si="11"/>
        <v>105</v>
      </c>
      <c r="B112" s="38">
        <v>108.06</v>
      </c>
      <c r="C112" s="5" t="s">
        <v>523</v>
      </c>
      <c r="D112" s="23" t="s">
        <v>264</v>
      </c>
      <c r="E112" s="43">
        <v>-186848802.70880008</v>
      </c>
      <c r="F112" s="43">
        <v>-113778630.29623279</v>
      </c>
      <c r="G112" s="43">
        <v>-23004495.568780497</v>
      </c>
      <c r="H112" s="43">
        <v>-19236679.934269663</v>
      </c>
      <c r="I112" s="43">
        <v>-10923386.841621039</v>
      </c>
      <c r="J112" s="43">
        <v>-8549195.9469772801</v>
      </c>
      <c r="K112" s="43">
        <v>-4160107.4212486036</v>
      </c>
      <c r="L112" s="43">
        <v>-2869572.7204342731</v>
      </c>
      <c r="M112" s="43">
        <v>-2039164.9586610147</v>
      </c>
      <c r="N112" s="43">
        <v>-2231216.3866111343</v>
      </c>
      <c r="O112" s="43">
        <v>-56352.633963756918</v>
      </c>
      <c r="P112" s="23"/>
      <c r="Q112" s="43">
        <v>-7519187.5142505793</v>
      </c>
      <c r="R112" s="43">
        <v>-38370.818863282024</v>
      </c>
      <c r="S112" s="43">
        <v>-991637.61386341928</v>
      </c>
      <c r="T112" s="43">
        <f>SUM(Q112:S112)</f>
        <v>-8549195.9469772801</v>
      </c>
      <c r="U112" s="43">
        <f>SUM(Q112:R112)</f>
        <v>-7557558.3331138613</v>
      </c>
      <c r="V112" s="23"/>
      <c r="W112" s="23"/>
      <c r="X112" s="23"/>
      <c r="Y112" s="23"/>
    </row>
    <row r="113" spans="1:25" s="5" customFormat="1" x14ac:dyDescent="0.25">
      <c r="A113" s="5">
        <f t="shared" si="11"/>
        <v>106</v>
      </c>
      <c r="B113" s="38">
        <v>108.07</v>
      </c>
      <c r="C113" s="5" t="s">
        <v>524</v>
      </c>
      <c r="D113" s="23" t="s">
        <v>346</v>
      </c>
      <c r="E113" s="43">
        <v>9889632.4909608345</v>
      </c>
      <c r="F113" s="43">
        <v>5693843.4657991286</v>
      </c>
      <c r="G113" s="43">
        <v>1238959.6883726644</v>
      </c>
      <c r="H113" s="43">
        <v>1142901.8286550585</v>
      </c>
      <c r="I113" s="43">
        <v>653832.51576864778</v>
      </c>
      <c r="J113" s="43">
        <v>511078.41768162791</v>
      </c>
      <c r="K113" s="43">
        <v>247918.85924395389</v>
      </c>
      <c r="L113" s="43">
        <v>172396.65271347624</v>
      </c>
      <c r="M113" s="43">
        <v>117600.8451859864</v>
      </c>
      <c r="N113" s="43">
        <v>107742.49031931706</v>
      </c>
      <c r="O113" s="43">
        <v>3357.7272209731905</v>
      </c>
      <c r="P113" s="23"/>
      <c r="Q113" s="43">
        <v>450201.35522676894</v>
      </c>
      <c r="R113" s="43">
        <v>2272.8492502168779</v>
      </c>
      <c r="S113" s="43">
        <v>58604.213204642117</v>
      </c>
      <c r="T113" s="43">
        <f>SUM(Q113:S113)</f>
        <v>511078.41768162791</v>
      </c>
      <c r="U113" s="43">
        <f>SUM(Q113:R113)</f>
        <v>452474.20447698579</v>
      </c>
      <c r="V113" s="23"/>
      <c r="W113" s="23"/>
      <c r="X113" s="23"/>
      <c r="Y113" s="23"/>
    </row>
    <row r="114" spans="1:25" s="5" customFormat="1" x14ac:dyDescent="0.25">
      <c r="A114" s="14">
        <f>+A113+1</f>
        <v>107</v>
      </c>
      <c r="B114" s="39"/>
      <c r="C114" s="14" t="s">
        <v>288</v>
      </c>
      <c r="D114" s="24"/>
      <c r="E114" s="44">
        <f t="shared" ref="E114:U114" si="18">SUM(E112:E113)</f>
        <v>-176959170.21783924</v>
      </c>
      <c r="F114" s="44">
        <f t="shared" si="18"/>
        <v>-108084786.83043367</v>
      </c>
      <c r="G114" s="44">
        <f t="shared" si="18"/>
        <v>-21765535.880407833</v>
      </c>
      <c r="H114" s="44">
        <f t="shared" si="18"/>
        <v>-18093778.105614603</v>
      </c>
      <c r="I114" s="44">
        <f t="shared" si="18"/>
        <v>-10269554.325852392</v>
      </c>
      <c r="J114" s="44">
        <f t="shared" si="18"/>
        <v>-8038117.5292956522</v>
      </c>
      <c r="K114" s="44">
        <f t="shared" si="18"/>
        <v>-3912188.5620046495</v>
      </c>
      <c r="L114" s="44">
        <f t="shared" si="18"/>
        <v>-2697176.0677207969</v>
      </c>
      <c r="M114" s="44">
        <f t="shared" si="18"/>
        <v>-1921564.1134750282</v>
      </c>
      <c r="N114" s="44">
        <f t="shared" si="18"/>
        <v>-2123473.8962918171</v>
      </c>
      <c r="O114" s="44">
        <f t="shared" si="18"/>
        <v>-52994.906742783729</v>
      </c>
      <c r="P114" s="23"/>
      <c r="Q114" s="44">
        <f t="shared" si="18"/>
        <v>-7068986.1590238102</v>
      </c>
      <c r="R114" s="44">
        <f t="shared" si="18"/>
        <v>-36097.969613065143</v>
      </c>
      <c r="S114" s="44">
        <f t="shared" si="18"/>
        <v>-933033.40065877722</v>
      </c>
      <c r="T114" s="44">
        <f t="shared" si="18"/>
        <v>-8038117.5292956522</v>
      </c>
      <c r="U114" s="44">
        <f t="shared" si="18"/>
        <v>-7105084.1286368752</v>
      </c>
      <c r="V114" s="23"/>
      <c r="W114" s="23"/>
      <c r="X114" s="23"/>
      <c r="Y114" s="23"/>
    </row>
    <row r="115" spans="1:25" s="5" customFormat="1" x14ac:dyDescent="0.25">
      <c r="A115" s="5">
        <f t="shared" si="11"/>
        <v>108</v>
      </c>
      <c r="B115" s="38"/>
      <c r="D115" s="2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23"/>
      <c r="Q115" s="43"/>
      <c r="R115" s="43"/>
      <c r="S115" s="43"/>
      <c r="T115" s="43"/>
      <c r="U115" s="43"/>
      <c r="V115" s="23"/>
      <c r="W115" s="23"/>
      <c r="X115" s="23"/>
      <c r="Y115" s="23"/>
    </row>
    <row r="116" spans="1:25" s="5" customFormat="1" x14ac:dyDescent="0.25">
      <c r="A116" s="5">
        <f t="shared" si="11"/>
        <v>109</v>
      </c>
      <c r="B116" s="38"/>
      <c r="C116" s="1" t="s">
        <v>525</v>
      </c>
      <c r="D116" s="23"/>
      <c r="E116" s="43">
        <v>-3697506273.3020787</v>
      </c>
      <c r="F116" s="43">
        <v>-2150239461.7688298</v>
      </c>
      <c r="G116" s="43">
        <v>-458745112.30684805</v>
      </c>
      <c r="H116" s="43">
        <v>-421791941.85275</v>
      </c>
      <c r="I116" s="43">
        <v>-242377332.26987153</v>
      </c>
      <c r="J116" s="43">
        <v>-187688201.84427068</v>
      </c>
      <c r="K116" s="43">
        <v>-95756891.862078503</v>
      </c>
      <c r="L116" s="43">
        <v>-62546591.001273289</v>
      </c>
      <c r="M116" s="43">
        <v>-37142243.407436922</v>
      </c>
      <c r="N116" s="43">
        <v>-39989889.132016793</v>
      </c>
      <c r="O116" s="43">
        <v>-1228607.8567040951</v>
      </c>
      <c r="P116" s="23"/>
      <c r="Q116" s="43">
        <v>-165693651.61758912</v>
      </c>
      <c r="R116" s="43">
        <v>-826227.4416630161</v>
      </c>
      <c r="S116" s="43">
        <v>-21168322.78501853</v>
      </c>
      <c r="T116" s="43">
        <f>SUM(Q116:S116)</f>
        <v>-187688201.84427068</v>
      </c>
      <c r="U116" s="43">
        <f>SUM(Q116:R116)</f>
        <v>-166519879.05925214</v>
      </c>
      <c r="V116" s="23"/>
      <c r="W116" s="23"/>
      <c r="X116" s="23"/>
      <c r="Y116" s="23"/>
    </row>
    <row r="117" spans="1:25" s="5" customFormat="1" x14ac:dyDescent="0.25">
      <c r="A117" s="5">
        <f t="shared" si="11"/>
        <v>110</v>
      </c>
      <c r="B117" s="38"/>
      <c r="C117" s="1"/>
      <c r="D117" s="2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23"/>
      <c r="Q117" s="43"/>
      <c r="R117" s="43"/>
      <c r="S117" s="43"/>
      <c r="T117" s="43"/>
      <c r="U117" s="43"/>
      <c r="V117" s="23"/>
      <c r="W117" s="23"/>
      <c r="X117" s="23"/>
      <c r="Y117" s="23"/>
    </row>
    <row r="118" spans="1:25" s="5" customFormat="1" x14ac:dyDescent="0.25">
      <c r="A118" s="5">
        <f t="shared" si="11"/>
        <v>111</v>
      </c>
      <c r="B118" s="38"/>
      <c r="C118" s="1" t="s">
        <v>526</v>
      </c>
      <c r="D118" s="2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23"/>
      <c r="Q118" s="43"/>
      <c r="R118" s="43"/>
      <c r="S118" s="43"/>
      <c r="T118" s="43"/>
      <c r="U118" s="43"/>
      <c r="V118" s="23"/>
      <c r="W118" s="23"/>
      <c r="X118" s="23"/>
      <c r="Y118" s="23"/>
    </row>
    <row r="119" spans="1:25" s="5" customFormat="1" x14ac:dyDescent="0.25">
      <c r="A119" s="5">
        <f t="shared" si="11"/>
        <v>112</v>
      </c>
      <c r="B119" s="38"/>
      <c r="C119" s="5" t="s">
        <v>89</v>
      </c>
      <c r="D119" s="2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23"/>
      <c r="Q119" s="43"/>
      <c r="R119" s="43"/>
      <c r="S119" s="43"/>
      <c r="T119" s="43"/>
      <c r="U119" s="43"/>
      <c r="V119" s="23"/>
      <c r="W119" s="23"/>
      <c r="X119" s="23"/>
      <c r="Y119" s="23"/>
    </row>
    <row r="120" spans="1:25" s="5" customFormat="1" x14ac:dyDescent="0.25">
      <c r="A120" s="5">
        <f t="shared" si="11"/>
        <v>113</v>
      </c>
      <c r="B120" s="38" t="s">
        <v>527</v>
      </c>
      <c r="C120" s="5" t="s">
        <v>528</v>
      </c>
      <c r="D120" s="23" t="s">
        <v>529</v>
      </c>
      <c r="E120" s="43">
        <v>227005241.70228952</v>
      </c>
      <c r="F120" s="43">
        <v>130750481.96507017</v>
      </c>
      <c r="G120" s="43">
        <v>28441556.225758802</v>
      </c>
      <c r="H120" s="43">
        <v>26214343.47561276</v>
      </c>
      <c r="I120" s="43">
        <v>15013357.141491482</v>
      </c>
      <c r="J120" s="43">
        <v>11723279.814947423</v>
      </c>
      <c r="K120" s="43">
        <v>5687032.5287533989</v>
      </c>
      <c r="L120" s="43">
        <v>3965149.1627902095</v>
      </c>
      <c r="M120" s="43">
        <v>2670651.2934677247</v>
      </c>
      <c r="N120" s="43">
        <v>2462476.8358575371</v>
      </c>
      <c r="O120" s="43">
        <v>76913.258540080613</v>
      </c>
      <c r="P120" s="23"/>
      <c r="Q120" s="43">
        <v>10332362.998021185</v>
      </c>
      <c r="R120" s="43">
        <v>51911.660978291424</v>
      </c>
      <c r="S120" s="43">
        <v>1339005.1559479469</v>
      </c>
      <c r="T120" s="43">
        <f>SUM(Q120:S120)</f>
        <v>11723279.814947423</v>
      </c>
      <c r="U120" s="43">
        <f>SUM(Q120:R120)</f>
        <v>10384274.658999477</v>
      </c>
      <c r="V120" s="23"/>
      <c r="W120" s="23"/>
      <c r="X120" s="23"/>
      <c r="Y120" s="23"/>
    </row>
    <row r="121" spans="1:25" s="5" customFormat="1" x14ac:dyDescent="0.25">
      <c r="A121" s="14">
        <f t="shared" si="11"/>
        <v>114</v>
      </c>
      <c r="B121" s="39"/>
      <c r="C121" s="14" t="s">
        <v>288</v>
      </c>
      <c r="D121" s="24"/>
      <c r="E121" s="44">
        <f>SUM(E120)</f>
        <v>227005241.70228952</v>
      </c>
      <c r="F121" s="44">
        <f t="shared" ref="F121:U121" si="19">SUM(F120)</f>
        <v>130750481.96507017</v>
      </c>
      <c r="G121" s="44">
        <f t="shared" si="19"/>
        <v>28441556.225758802</v>
      </c>
      <c r="H121" s="44">
        <f t="shared" si="19"/>
        <v>26214343.47561276</v>
      </c>
      <c r="I121" s="44">
        <f t="shared" si="19"/>
        <v>15013357.141491482</v>
      </c>
      <c r="J121" s="44">
        <f t="shared" si="19"/>
        <v>11723279.814947423</v>
      </c>
      <c r="K121" s="44">
        <f t="shared" si="19"/>
        <v>5687032.5287533989</v>
      </c>
      <c r="L121" s="44">
        <f t="shared" si="19"/>
        <v>3965149.1627902095</v>
      </c>
      <c r="M121" s="44">
        <f t="shared" si="19"/>
        <v>2670651.2934677247</v>
      </c>
      <c r="N121" s="44">
        <f t="shared" si="19"/>
        <v>2462476.8358575371</v>
      </c>
      <c r="O121" s="44">
        <f t="shared" si="19"/>
        <v>76913.258540080613</v>
      </c>
      <c r="P121" s="23"/>
      <c r="Q121" s="44">
        <f t="shared" si="19"/>
        <v>10332362.998021185</v>
      </c>
      <c r="R121" s="44">
        <f t="shared" si="19"/>
        <v>51911.660978291424</v>
      </c>
      <c r="S121" s="44">
        <f t="shared" si="19"/>
        <v>1339005.1559479469</v>
      </c>
      <c r="T121" s="44">
        <f t="shared" si="19"/>
        <v>11723279.814947423</v>
      </c>
      <c r="U121" s="44">
        <f t="shared" si="19"/>
        <v>10384274.658999477</v>
      </c>
      <c r="V121" s="23"/>
      <c r="W121" s="23"/>
      <c r="X121" s="23"/>
      <c r="Y121" s="23"/>
    </row>
    <row r="122" spans="1:25" s="5" customFormat="1" x14ac:dyDescent="0.25">
      <c r="A122" s="5">
        <f t="shared" si="11"/>
        <v>115</v>
      </c>
      <c r="B122" s="38"/>
      <c r="D122" s="2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23"/>
      <c r="Q122" s="43"/>
      <c r="R122" s="43"/>
      <c r="S122" s="43"/>
      <c r="T122" s="43"/>
      <c r="U122" s="43"/>
      <c r="V122" s="23"/>
      <c r="W122" s="23"/>
      <c r="X122" s="23"/>
      <c r="Y122" s="23"/>
    </row>
    <row r="123" spans="1:25" s="5" customFormat="1" x14ac:dyDescent="0.25">
      <c r="A123" s="5">
        <f t="shared" si="11"/>
        <v>116</v>
      </c>
      <c r="B123" s="38"/>
      <c r="C123" s="1" t="s">
        <v>90</v>
      </c>
      <c r="D123" s="2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23"/>
      <c r="Q123" s="43"/>
      <c r="R123" s="43"/>
      <c r="S123" s="43"/>
      <c r="T123" s="43"/>
      <c r="U123" s="43"/>
      <c r="V123" s="23"/>
      <c r="W123" s="23"/>
      <c r="X123" s="23"/>
      <c r="Y123" s="23"/>
    </row>
    <row r="124" spans="1:25" s="5" customFormat="1" x14ac:dyDescent="0.25">
      <c r="A124" s="5">
        <f t="shared" si="11"/>
        <v>117</v>
      </c>
      <c r="B124" s="38">
        <v>182.01</v>
      </c>
      <c r="C124" s="5" t="s">
        <v>530</v>
      </c>
      <c r="D124" s="23" t="s">
        <v>231</v>
      </c>
      <c r="E124" s="43">
        <v>231686397.00665423</v>
      </c>
      <c r="F124" s="43">
        <v>123786027.75680496</v>
      </c>
      <c r="G124" s="43">
        <v>30346430.965268739</v>
      </c>
      <c r="H124" s="43">
        <v>30553468.498575129</v>
      </c>
      <c r="I124" s="43">
        <v>19548070.039039023</v>
      </c>
      <c r="J124" s="43">
        <v>13892573.634682054</v>
      </c>
      <c r="K124" s="43">
        <v>6727549.0094743678</v>
      </c>
      <c r="L124" s="43">
        <v>5916125.6948496997</v>
      </c>
      <c r="M124" s="43">
        <v>0</v>
      </c>
      <c r="N124" s="43">
        <v>837372.25092640333</v>
      </c>
      <c r="O124" s="43">
        <v>78779.157033877127</v>
      </c>
      <c r="P124" s="23"/>
      <c r="Q124" s="43">
        <v>12883389.529024919</v>
      </c>
      <c r="R124" s="43">
        <v>35841.911134824833</v>
      </c>
      <c r="S124" s="43">
        <v>973342.1945223097</v>
      </c>
      <c r="T124" s="43">
        <f t="shared" ref="T124:T143" si="20">SUM(Q124:S124)</f>
        <v>13892573.634682054</v>
      </c>
      <c r="U124" s="43">
        <f t="shared" ref="U124:U143" si="21">SUM(Q124:R124)</f>
        <v>12919231.440159744</v>
      </c>
      <c r="V124" s="23"/>
      <c r="W124" s="23"/>
      <c r="X124" s="23"/>
      <c r="Y124" s="23"/>
    </row>
    <row r="125" spans="1:25" s="5" customFormat="1" x14ac:dyDescent="0.25">
      <c r="A125" s="5">
        <f t="shared" si="11"/>
        <v>118</v>
      </c>
      <c r="B125" s="38">
        <v>182.02</v>
      </c>
      <c r="C125" s="5" t="s">
        <v>531</v>
      </c>
      <c r="D125" s="23" t="s">
        <v>231</v>
      </c>
      <c r="E125" s="43">
        <v>776259.08333333337</v>
      </c>
      <c r="F125" s="43">
        <v>414741.77887626347</v>
      </c>
      <c r="G125" s="43">
        <v>101674.90620030327</v>
      </c>
      <c r="H125" s="43">
        <v>102368.57992433895</v>
      </c>
      <c r="I125" s="43">
        <v>65495.286410813358</v>
      </c>
      <c r="J125" s="43">
        <v>46546.696802788094</v>
      </c>
      <c r="K125" s="43">
        <v>22540.473220033968</v>
      </c>
      <c r="L125" s="43">
        <v>19821.821082732404</v>
      </c>
      <c r="M125" s="43">
        <v>0</v>
      </c>
      <c r="N125" s="43">
        <v>2805.5933551171361</v>
      </c>
      <c r="O125" s="43">
        <v>263.94746094279247</v>
      </c>
      <c r="P125" s="23"/>
      <c r="Q125" s="43">
        <v>43165.452418598041</v>
      </c>
      <c r="R125" s="43">
        <v>120.08736568869352</v>
      </c>
      <c r="S125" s="43">
        <v>3261.1570185013611</v>
      </c>
      <c r="T125" s="43">
        <f t="shared" si="20"/>
        <v>46546.696802788094</v>
      </c>
      <c r="U125" s="43">
        <f t="shared" si="21"/>
        <v>43285.539784286731</v>
      </c>
      <c r="V125" s="23"/>
      <c r="W125" s="23"/>
      <c r="X125" s="23"/>
      <c r="Y125" s="23"/>
    </row>
    <row r="126" spans="1:25" s="5" customFormat="1" x14ac:dyDescent="0.25">
      <c r="A126" s="5">
        <f t="shared" si="11"/>
        <v>119</v>
      </c>
      <c r="B126" s="38">
        <v>182.03</v>
      </c>
      <c r="C126" s="5" t="s">
        <v>532</v>
      </c>
      <c r="D126" s="23" t="s">
        <v>276</v>
      </c>
      <c r="E126" s="43">
        <v>51386936.710416667</v>
      </c>
      <c r="F126" s="43">
        <v>33303843.515839733</v>
      </c>
      <c r="G126" s="43">
        <v>6201248.9656045567</v>
      </c>
      <c r="H126" s="43">
        <v>4958400.220581932</v>
      </c>
      <c r="I126" s="43">
        <v>2166896.4052314549</v>
      </c>
      <c r="J126" s="43">
        <v>2145310.7705298159</v>
      </c>
      <c r="K126" s="43">
        <v>1043791.9600615363</v>
      </c>
      <c r="L126" s="43">
        <v>324042.30571665062</v>
      </c>
      <c r="M126" s="43">
        <v>107505.34424785773</v>
      </c>
      <c r="N126" s="43">
        <v>1117759.9855525417</v>
      </c>
      <c r="O126" s="43">
        <v>18137.237050585933</v>
      </c>
      <c r="P126" s="23"/>
      <c r="Q126" s="43">
        <v>1679593.304631745</v>
      </c>
      <c r="R126" s="43">
        <v>17987.387794352722</v>
      </c>
      <c r="S126" s="43">
        <v>447730.07810371823</v>
      </c>
      <c r="T126" s="43">
        <f t="shared" si="20"/>
        <v>2145310.7705298159</v>
      </c>
      <c r="U126" s="43">
        <f t="shared" si="21"/>
        <v>1697580.6924260978</v>
      </c>
      <c r="V126" s="23"/>
      <c r="W126" s="23"/>
      <c r="X126" s="23"/>
      <c r="Y126" s="23"/>
    </row>
    <row r="127" spans="1:25" s="5" customFormat="1" x14ac:dyDescent="0.25">
      <c r="A127" s="5">
        <f t="shared" si="11"/>
        <v>120</v>
      </c>
      <c r="B127" s="38">
        <v>282</v>
      </c>
      <c r="C127" s="5" t="s">
        <v>533</v>
      </c>
      <c r="D127" s="23" t="s">
        <v>252</v>
      </c>
      <c r="E127" s="43">
        <v>-20891024.605048284</v>
      </c>
      <c r="F127" s="43">
        <v>-11161712.491710637</v>
      </c>
      <c r="G127" s="43">
        <v>-2736319.6292988248</v>
      </c>
      <c r="H127" s="43">
        <v>-2754988.0805258001</v>
      </c>
      <c r="I127" s="43">
        <v>-1762637.8477241478</v>
      </c>
      <c r="J127" s="43">
        <v>-1252685.1009783377</v>
      </c>
      <c r="K127" s="43">
        <v>-606619.09246471932</v>
      </c>
      <c r="L127" s="43">
        <v>-533453.53484051873</v>
      </c>
      <c r="M127" s="43">
        <v>0</v>
      </c>
      <c r="N127" s="43">
        <v>-75505.357775431796</v>
      </c>
      <c r="O127" s="43">
        <v>-7103.4697298712017</v>
      </c>
      <c r="P127" s="23"/>
      <c r="Q127" s="43">
        <v>-1161687.5704599563</v>
      </c>
      <c r="R127" s="43">
        <v>-3231.8438073344214</v>
      </c>
      <c r="S127" s="43">
        <v>-87765.68671104699</v>
      </c>
      <c r="T127" s="43">
        <f t="shared" si="20"/>
        <v>-1252685.1009783377</v>
      </c>
      <c r="U127" s="43">
        <f t="shared" si="21"/>
        <v>-1164919.4142672906</v>
      </c>
      <c r="V127" s="23"/>
      <c r="W127" s="23"/>
      <c r="X127" s="23"/>
      <c r="Y127" s="23"/>
    </row>
    <row r="128" spans="1:25" s="5" customFormat="1" x14ac:dyDescent="0.25">
      <c r="A128" s="5">
        <f t="shared" si="11"/>
        <v>121</v>
      </c>
      <c r="B128" s="38">
        <v>282.01</v>
      </c>
      <c r="C128" s="5" t="s">
        <v>534</v>
      </c>
      <c r="D128" s="23" t="s">
        <v>231</v>
      </c>
      <c r="E128" s="43">
        <v>-1584894.1527864772</v>
      </c>
      <c r="F128" s="43">
        <v>-846781.48619485018</v>
      </c>
      <c r="G128" s="43">
        <v>-207590.43956047003</v>
      </c>
      <c r="H128" s="43">
        <v>-209006.71854872332</v>
      </c>
      <c r="I128" s="43">
        <v>-133722.23101317274</v>
      </c>
      <c r="J128" s="43">
        <v>-95034.749580618591</v>
      </c>
      <c r="K128" s="43">
        <v>-46021.057884525464</v>
      </c>
      <c r="L128" s="43">
        <v>-40470.364864139287</v>
      </c>
      <c r="M128" s="43">
        <v>0</v>
      </c>
      <c r="N128" s="43">
        <v>-5728.2015748243984</v>
      </c>
      <c r="O128" s="43">
        <v>-538.90356515343262</v>
      </c>
      <c r="P128" s="23"/>
      <c r="Q128" s="43">
        <v>-88131.236863404105</v>
      </c>
      <c r="R128" s="43">
        <v>-245.18329999600664</v>
      </c>
      <c r="S128" s="43">
        <v>-6658.3294172184851</v>
      </c>
      <c r="T128" s="43">
        <f t="shared" si="20"/>
        <v>-95034.749580618591</v>
      </c>
      <c r="U128" s="43">
        <f t="shared" si="21"/>
        <v>-88376.420163400107</v>
      </c>
      <c r="V128" s="23"/>
      <c r="W128" s="23"/>
      <c r="X128" s="23"/>
      <c r="Y128" s="23"/>
    </row>
    <row r="129" spans="1:25" s="5" customFormat="1" x14ac:dyDescent="0.25">
      <c r="A129" s="5">
        <f t="shared" si="11"/>
        <v>122</v>
      </c>
      <c r="B129" s="38">
        <v>282.02</v>
      </c>
      <c r="C129" s="5" t="s">
        <v>535</v>
      </c>
      <c r="D129" s="23" t="s">
        <v>257</v>
      </c>
      <c r="E129" s="43">
        <v>-1211715825.9577425</v>
      </c>
      <c r="F129" s="43">
        <v>-695554635.81355524</v>
      </c>
      <c r="G129" s="43">
        <v>-151937279.61690578</v>
      </c>
      <c r="H129" s="43">
        <v>-140821863.49708584</v>
      </c>
      <c r="I129" s="43">
        <v>-80588833.103062704</v>
      </c>
      <c r="J129" s="43">
        <v>-62989919.554300562</v>
      </c>
      <c r="K129" s="43">
        <v>-30551412.351249795</v>
      </c>
      <c r="L129" s="43">
        <v>-21252487.606219724</v>
      </c>
      <c r="M129" s="43">
        <v>-14470091.623743324</v>
      </c>
      <c r="N129" s="43">
        <v>-13135528.244639196</v>
      </c>
      <c r="O129" s="43">
        <v>-413774.54698078398</v>
      </c>
      <c r="P129" s="23"/>
      <c r="Q129" s="43">
        <v>-55490788.972489923</v>
      </c>
      <c r="R129" s="43">
        <v>-280008.88245865545</v>
      </c>
      <c r="S129" s="43">
        <v>-7219121.699351985</v>
      </c>
      <c r="T129" s="43">
        <f t="shared" si="20"/>
        <v>-62989919.554300562</v>
      </c>
      <c r="U129" s="43">
        <f t="shared" si="21"/>
        <v>-55770797.85494858</v>
      </c>
      <c r="V129" s="23"/>
      <c r="W129" s="23"/>
      <c r="X129" s="23"/>
      <c r="Y129" s="23"/>
    </row>
    <row r="130" spans="1:25" s="5" customFormat="1" x14ac:dyDescent="0.25">
      <c r="A130" s="5">
        <f t="shared" si="11"/>
        <v>123</v>
      </c>
      <c r="B130" s="38">
        <v>235</v>
      </c>
      <c r="C130" s="5" t="s">
        <v>536</v>
      </c>
      <c r="D130" s="23" t="s">
        <v>537</v>
      </c>
      <c r="E130" s="43">
        <v>-19040677.756270085</v>
      </c>
      <c r="F130" s="43">
        <v>-16610348.796423338</v>
      </c>
      <c r="G130" s="43">
        <v>-1460866.4787124703</v>
      </c>
      <c r="H130" s="43">
        <v>-639730.09634541022</v>
      </c>
      <c r="I130" s="43">
        <v>-282350.80818747677</v>
      </c>
      <c r="J130" s="43">
        <v>-23480.247694574198</v>
      </c>
      <c r="K130" s="43">
        <v>-236.10387396380045</v>
      </c>
      <c r="L130" s="43">
        <v>0</v>
      </c>
      <c r="M130" s="43">
        <v>0</v>
      </c>
      <c r="N130" s="43">
        <v>-23665.225032851478</v>
      </c>
      <c r="O130" s="43">
        <v>0</v>
      </c>
      <c r="P130" s="23"/>
      <c r="Q130" s="43">
        <v>-23480.247694574198</v>
      </c>
      <c r="R130" s="43">
        <v>0</v>
      </c>
      <c r="S130" s="43">
        <v>0</v>
      </c>
      <c r="T130" s="43">
        <f t="shared" si="20"/>
        <v>-23480.247694574198</v>
      </c>
      <c r="U130" s="43">
        <f t="shared" si="21"/>
        <v>-23480.247694574198</v>
      </c>
      <c r="V130" s="23"/>
      <c r="W130" s="23"/>
      <c r="X130" s="23"/>
      <c r="Y130" s="23"/>
    </row>
    <row r="131" spans="1:25" s="5" customFormat="1" x14ac:dyDescent="0.25">
      <c r="A131" s="5">
        <f t="shared" si="11"/>
        <v>124</v>
      </c>
      <c r="B131" s="38">
        <v>235.01</v>
      </c>
      <c r="C131" s="5" t="s">
        <v>538</v>
      </c>
      <c r="D131" s="23" t="s">
        <v>231</v>
      </c>
      <c r="E131" s="43">
        <v>-5962277.1433333335</v>
      </c>
      <c r="F131" s="43">
        <v>-3185541.3761612703</v>
      </c>
      <c r="G131" s="43">
        <v>-780942.83507187583</v>
      </c>
      <c r="H131" s="43">
        <v>-786270.79203695117</v>
      </c>
      <c r="I131" s="43">
        <v>-503055.04637242062</v>
      </c>
      <c r="J131" s="43">
        <v>-357515.05187316251</v>
      </c>
      <c r="K131" s="43">
        <v>-173128.4711061038</v>
      </c>
      <c r="L131" s="43">
        <v>-152247.09548431676</v>
      </c>
      <c r="M131" s="43">
        <v>0</v>
      </c>
      <c r="N131" s="43">
        <v>-21549.152201700846</v>
      </c>
      <c r="O131" s="43">
        <v>-2027.3230255320634</v>
      </c>
      <c r="P131" s="23"/>
      <c r="Q131" s="43">
        <v>-331544.44935046881</v>
      </c>
      <c r="R131" s="43">
        <v>-922.36493075773001</v>
      </c>
      <c r="S131" s="43">
        <v>-25048.237591935955</v>
      </c>
      <c r="T131" s="43">
        <f t="shared" si="20"/>
        <v>-357515.05187316251</v>
      </c>
      <c r="U131" s="43">
        <f t="shared" si="21"/>
        <v>-332466.81428122654</v>
      </c>
      <c r="V131" s="23"/>
      <c r="W131" s="23"/>
      <c r="X131" s="23"/>
      <c r="Y131" s="23"/>
    </row>
    <row r="132" spans="1:25" s="5" customFormat="1" x14ac:dyDescent="0.25">
      <c r="A132" s="5">
        <f t="shared" si="11"/>
        <v>125</v>
      </c>
      <c r="B132" s="38">
        <v>252</v>
      </c>
      <c r="C132" s="5" t="s">
        <v>539</v>
      </c>
      <c r="D132" s="23" t="s">
        <v>249</v>
      </c>
      <c r="E132" s="43">
        <v>-54720677.887500003</v>
      </c>
      <c r="F132" s="43">
        <v>-21173102.935833331</v>
      </c>
      <c r="G132" s="43">
        <v>-31313866.958082631</v>
      </c>
      <c r="H132" s="43">
        <v>-2025260.4454428731</v>
      </c>
      <c r="I132" s="43">
        <v>-208447.54814116366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23"/>
      <c r="Q132" s="43">
        <v>0</v>
      </c>
      <c r="R132" s="43">
        <v>0</v>
      </c>
      <c r="S132" s="43">
        <v>0</v>
      </c>
      <c r="T132" s="43">
        <f t="shared" si="20"/>
        <v>0</v>
      </c>
      <c r="U132" s="43">
        <f t="shared" si="21"/>
        <v>0</v>
      </c>
      <c r="V132" s="23"/>
      <c r="W132" s="23"/>
      <c r="X132" s="23"/>
      <c r="Y132" s="23"/>
    </row>
    <row r="133" spans="1:25" s="5" customFormat="1" x14ac:dyDescent="0.25">
      <c r="A133" s="5">
        <f t="shared" si="11"/>
        <v>126</v>
      </c>
      <c r="B133" s="38">
        <v>253</v>
      </c>
      <c r="C133" s="5" t="s">
        <v>540</v>
      </c>
      <c r="D133" s="23" t="s">
        <v>348</v>
      </c>
      <c r="E133" s="43">
        <v>-6362920.1743808333</v>
      </c>
      <c r="F133" s="43">
        <v>-3890890.6763178157</v>
      </c>
      <c r="G133" s="43">
        <v>-782341.47859344166</v>
      </c>
      <c r="H133" s="43">
        <v>-648822.12192662794</v>
      </c>
      <c r="I133" s="43">
        <v>-368323.59059745405</v>
      </c>
      <c r="J133" s="43">
        <v>-288203.31051461905</v>
      </c>
      <c r="K133" s="43">
        <v>-140281.51260056969</v>
      </c>
      <c r="L133" s="43">
        <v>-96779.864354827761</v>
      </c>
      <c r="M133" s="43">
        <v>-68979.716493676402</v>
      </c>
      <c r="N133" s="43">
        <v>-76398.500579998014</v>
      </c>
      <c r="O133" s="43">
        <v>-1899.4024018013454</v>
      </c>
      <c r="P133" s="23"/>
      <c r="Q133" s="43">
        <v>-253490.30368837298</v>
      </c>
      <c r="R133" s="43">
        <v>-1292.7671614030542</v>
      </c>
      <c r="S133" s="43">
        <v>-33420.239664843037</v>
      </c>
      <c r="T133" s="43">
        <f t="shared" si="20"/>
        <v>-288203.31051461905</v>
      </c>
      <c r="U133" s="43">
        <f t="shared" si="21"/>
        <v>-254783.07084977604</v>
      </c>
      <c r="V133" s="23"/>
      <c r="W133" s="23"/>
      <c r="X133" s="23"/>
      <c r="Y133" s="23"/>
    </row>
    <row r="134" spans="1:25" s="5" customFormat="1" x14ac:dyDescent="0.25">
      <c r="A134" s="5">
        <f t="shared" si="11"/>
        <v>127</v>
      </c>
      <c r="B134" s="38">
        <v>114.01</v>
      </c>
      <c r="C134" s="5" t="s">
        <v>541</v>
      </c>
      <c r="D134" s="23" t="s">
        <v>252</v>
      </c>
      <c r="E134" s="43">
        <v>274406870.52357036</v>
      </c>
      <c r="F134" s="43">
        <v>146610836.58836082</v>
      </c>
      <c r="G134" s="43">
        <v>35941985.633708999</v>
      </c>
      <c r="H134" s="43">
        <v>36187198.655835181</v>
      </c>
      <c r="I134" s="43">
        <v>23152523.382864833</v>
      </c>
      <c r="J134" s="43">
        <v>16454214.420287594</v>
      </c>
      <c r="K134" s="43">
        <v>7968036.5089832442</v>
      </c>
      <c r="L134" s="43">
        <v>7006995.4840773996</v>
      </c>
      <c r="M134" s="43">
        <v>0</v>
      </c>
      <c r="N134" s="43">
        <v>991774.66527477128</v>
      </c>
      <c r="O134" s="43">
        <v>93305.184177603092</v>
      </c>
      <c r="P134" s="23"/>
      <c r="Q134" s="43">
        <v>15258947.646781038</v>
      </c>
      <c r="R134" s="43">
        <v>42450.773093116542</v>
      </c>
      <c r="S134" s="43">
        <v>1152816.0004134392</v>
      </c>
      <c r="T134" s="43">
        <f t="shared" si="20"/>
        <v>16454214.420287594</v>
      </c>
      <c r="U134" s="43">
        <f t="shared" si="21"/>
        <v>15301398.419874156</v>
      </c>
      <c r="V134" s="23"/>
      <c r="W134" s="23"/>
      <c r="X134" s="23"/>
      <c r="Y134" s="23"/>
    </row>
    <row r="135" spans="1:25" s="5" customFormat="1" x14ac:dyDescent="0.25">
      <c r="A135" s="5">
        <f t="shared" si="11"/>
        <v>128</v>
      </c>
      <c r="B135" s="38">
        <v>114.02</v>
      </c>
      <c r="C135" s="5" t="s">
        <v>542</v>
      </c>
      <c r="D135" s="23" t="s">
        <v>231</v>
      </c>
      <c r="E135" s="43">
        <v>946172.25</v>
      </c>
      <c r="F135" s="43">
        <v>505523.43993615964</v>
      </c>
      <c r="G135" s="43">
        <v>123930.24034576071</v>
      </c>
      <c r="H135" s="43">
        <v>124775.75035952874</v>
      </c>
      <c r="I135" s="43">
        <v>79831.365375602618</v>
      </c>
      <c r="J135" s="43">
        <v>56735.172302067731</v>
      </c>
      <c r="K135" s="43">
        <v>27474.293983245007</v>
      </c>
      <c r="L135" s="43">
        <v>24160.563728814792</v>
      </c>
      <c r="M135" s="43">
        <v>0</v>
      </c>
      <c r="N135" s="43">
        <v>3419.7017907954437</v>
      </c>
      <c r="O135" s="43">
        <v>321.72217802543685</v>
      </c>
      <c r="P135" s="23"/>
      <c r="Q135" s="43">
        <v>52613.816848098526</v>
      </c>
      <c r="R135" s="43">
        <v>146.37295128623052</v>
      </c>
      <c r="S135" s="43">
        <v>3974.982502682974</v>
      </c>
      <c r="T135" s="43">
        <f t="shared" si="20"/>
        <v>56735.172302067731</v>
      </c>
      <c r="U135" s="43">
        <f t="shared" si="21"/>
        <v>52760.18979938476</v>
      </c>
      <c r="V135" s="23"/>
      <c r="W135" s="23"/>
      <c r="X135" s="23"/>
      <c r="Y135" s="23"/>
    </row>
    <row r="136" spans="1:25" s="5" customFormat="1" x14ac:dyDescent="0.25">
      <c r="A136" s="5">
        <f t="shared" ref="A136:A148" si="22">+A135+1</f>
        <v>129</v>
      </c>
      <c r="B136" s="38">
        <v>114.03</v>
      </c>
      <c r="C136" s="5" t="s">
        <v>543</v>
      </c>
      <c r="D136" s="23" t="s">
        <v>276</v>
      </c>
      <c r="E136" s="43">
        <v>302358.00999999995</v>
      </c>
      <c r="F136" s="43">
        <v>195958.04878478916</v>
      </c>
      <c r="G136" s="43">
        <v>36487.819994428086</v>
      </c>
      <c r="H136" s="43">
        <v>29174.963900403269</v>
      </c>
      <c r="I136" s="43">
        <v>12749.903514468971</v>
      </c>
      <c r="J136" s="43">
        <v>12622.894784803804</v>
      </c>
      <c r="K136" s="43">
        <v>6141.6165294443463</v>
      </c>
      <c r="L136" s="43">
        <v>1906.6477393745322</v>
      </c>
      <c r="M136" s="43">
        <v>632.55574338522661</v>
      </c>
      <c r="N136" s="43">
        <v>6576.8404681103802</v>
      </c>
      <c r="O136" s="43">
        <v>106.71854079213442</v>
      </c>
      <c r="P136" s="23"/>
      <c r="Q136" s="43">
        <v>9882.6379174852427</v>
      </c>
      <c r="R136" s="43">
        <v>105.83683571658224</v>
      </c>
      <c r="S136" s="43">
        <v>2634.4200316019792</v>
      </c>
      <c r="T136" s="43">
        <f t="shared" si="20"/>
        <v>12622.894784803804</v>
      </c>
      <c r="U136" s="43">
        <f t="shared" si="21"/>
        <v>9988.4747532018246</v>
      </c>
      <c r="V136" s="23"/>
      <c r="W136" s="23"/>
      <c r="X136" s="23"/>
      <c r="Y136" s="23"/>
    </row>
    <row r="137" spans="1:25" s="5" customFormat="1" x14ac:dyDescent="0.25">
      <c r="A137" s="5">
        <f t="shared" si="22"/>
        <v>130</v>
      </c>
      <c r="B137" s="38">
        <v>115.01</v>
      </c>
      <c r="C137" s="5" t="s">
        <v>544</v>
      </c>
      <c r="D137" s="23" t="s">
        <v>252</v>
      </c>
      <c r="E137" s="43">
        <v>-110171960.3233543</v>
      </c>
      <c r="F137" s="43">
        <v>-58862969.57786721</v>
      </c>
      <c r="G137" s="43">
        <v>-14430393.115246102</v>
      </c>
      <c r="H137" s="43">
        <v>-14528844.000578927</v>
      </c>
      <c r="I137" s="43">
        <v>-9295535.7956440747</v>
      </c>
      <c r="J137" s="43">
        <v>-6606223.2873581704</v>
      </c>
      <c r="K137" s="43">
        <v>-3199097.0213238038</v>
      </c>
      <c r="L137" s="43">
        <v>-2813247.448887723</v>
      </c>
      <c r="M137" s="43">
        <v>0</v>
      </c>
      <c r="N137" s="43">
        <v>-398188.86044609675</v>
      </c>
      <c r="O137" s="43">
        <v>-37461.216002225352</v>
      </c>
      <c r="P137" s="23"/>
      <c r="Q137" s="43">
        <v>-6126334.1238859436</v>
      </c>
      <c r="R137" s="43">
        <v>-17043.614396341538</v>
      </c>
      <c r="S137" s="43">
        <v>-462845.54907588579</v>
      </c>
      <c r="T137" s="43">
        <f t="shared" si="20"/>
        <v>-6606223.2873581704</v>
      </c>
      <c r="U137" s="43">
        <f t="shared" si="21"/>
        <v>-6143377.7382822847</v>
      </c>
      <c r="V137" s="23"/>
      <c r="W137" s="23"/>
      <c r="X137" s="23"/>
      <c r="Y137" s="23"/>
    </row>
    <row r="138" spans="1:25" s="5" customFormat="1" x14ac:dyDescent="0.25">
      <c r="A138" s="5">
        <f t="shared" si="22"/>
        <v>131</v>
      </c>
      <c r="B138" s="38">
        <v>115.02</v>
      </c>
      <c r="C138" s="5" t="s">
        <v>545</v>
      </c>
      <c r="D138" s="23" t="s">
        <v>231</v>
      </c>
      <c r="E138" s="43">
        <v>-880239</v>
      </c>
      <c r="F138" s="43">
        <v>-470296.4468107844</v>
      </c>
      <c r="G138" s="43">
        <v>-115294.26151708854</v>
      </c>
      <c r="H138" s="43">
        <v>-116080.85284758797</v>
      </c>
      <c r="I138" s="43">
        <v>-74268.381076336867</v>
      </c>
      <c r="J138" s="43">
        <v>-52781.627586308721</v>
      </c>
      <c r="K138" s="43">
        <v>-25559.769969492976</v>
      </c>
      <c r="L138" s="43">
        <v>-22476.95433478228</v>
      </c>
      <c r="M138" s="43">
        <v>0</v>
      </c>
      <c r="N138" s="43">
        <v>-3181.4026300475316</v>
      </c>
      <c r="O138" s="43">
        <v>-299.30322757080705</v>
      </c>
      <c r="P138" s="23"/>
      <c r="Q138" s="43">
        <v>-48947.465462608314</v>
      </c>
      <c r="R138" s="43">
        <v>-136.17307024935496</v>
      </c>
      <c r="S138" s="43">
        <v>-3697.9890534510587</v>
      </c>
      <c r="T138" s="43">
        <f t="shared" si="20"/>
        <v>-52781.627586308721</v>
      </c>
      <c r="U138" s="43">
        <f t="shared" si="21"/>
        <v>-49083.638532857665</v>
      </c>
      <c r="V138" s="23"/>
      <c r="W138" s="23"/>
      <c r="X138" s="23"/>
      <c r="Y138" s="23"/>
    </row>
    <row r="139" spans="1:25" s="5" customFormat="1" x14ac:dyDescent="0.25">
      <c r="A139" s="5">
        <f t="shared" si="22"/>
        <v>132</v>
      </c>
      <c r="B139" s="38">
        <v>115.03</v>
      </c>
      <c r="C139" s="5" t="s">
        <v>546</v>
      </c>
      <c r="D139" s="23" t="s">
        <v>276</v>
      </c>
      <c r="E139" s="43">
        <v>-302358.00999999995</v>
      </c>
      <c r="F139" s="43">
        <v>-195958.04878478916</v>
      </c>
      <c r="G139" s="43">
        <v>-36487.819994428086</v>
      </c>
      <c r="H139" s="43">
        <v>-29174.963900403269</v>
      </c>
      <c r="I139" s="43">
        <v>-12749.903514468971</v>
      </c>
      <c r="J139" s="43">
        <v>-12622.894784803804</v>
      </c>
      <c r="K139" s="43">
        <v>-6141.6165294443463</v>
      </c>
      <c r="L139" s="43">
        <v>-1906.6477393745322</v>
      </c>
      <c r="M139" s="43">
        <v>-632.55574338522661</v>
      </c>
      <c r="N139" s="43">
        <v>-6576.8404681103802</v>
      </c>
      <c r="O139" s="43">
        <v>-106.71854079213442</v>
      </c>
      <c r="P139" s="23"/>
      <c r="Q139" s="43">
        <v>-9882.6379174852427</v>
      </c>
      <c r="R139" s="43">
        <v>-105.83683571658224</v>
      </c>
      <c r="S139" s="43">
        <v>-2634.4200316019792</v>
      </c>
      <c r="T139" s="43">
        <f t="shared" si="20"/>
        <v>-12622.894784803804</v>
      </c>
      <c r="U139" s="43">
        <f t="shared" si="21"/>
        <v>-9988.4747532018246</v>
      </c>
      <c r="V139" s="23"/>
      <c r="W139" s="23"/>
      <c r="X139" s="23"/>
      <c r="Y139" s="23"/>
    </row>
    <row r="140" spans="1:25" s="5" customFormat="1" x14ac:dyDescent="0.25">
      <c r="A140" s="5">
        <f t="shared" si="22"/>
        <v>133</v>
      </c>
      <c r="B140" s="38">
        <v>230</v>
      </c>
      <c r="C140" s="5" t="s">
        <v>547</v>
      </c>
      <c r="D140" s="23" t="s">
        <v>252</v>
      </c>
      <c r="E140" s="43">
        <v>-66549569.550243177</v>
      </c>
      <c r="F140" s="43">
        <v>-35556281.982809827</v>
      </c>
      <c r="G140" s="43">
        <v>-8716704.7535673939</v>
      </c>
      <c r="H140" s="43">
        <v>-8776174.186819829</v>
      </c>
      <c r="I140" s="43">
        <v>-5614985.0118247941</v>
      </c>
      <c r="J140" s="43">
        <v>-3990500.9844259196</v>
      </c>
      <c r="K140" s="43">
        <v>-1932420.2736677085</v>
      </c>
      <c r="L140" s="43">
        <v>-1699347.1497857214</v>
      </c>
      <c r="M140" s="43">
        <v>0</v>
      </c>
      <c r="N140" s="43">
        <v>-240526.69285918347</v>
      </c>
      <c r="O140" s="43">
        <v>-22628.514482811697</v>
      </c>
      <c r="P140" s="23"/>
      <c r="Q140" s="43">
        <v>-3700623.0774959736</v>
      </c>
      <c r="R140" s="43">
        <v>-10295.225739179474</v>
      </c>
      <c r="S140" s="43">
        <v>-279582.68119076657</v>
      </c>
      <c r="T140" s="43">
        <f t="shared" si="20"/>
        <v>-3990500.9844259196</v>
      </c>
      <c r="U140" s="43">
        <f t="shared" si="21"/>
        <v>-3710918.3032351532</v>
      </c>
      <c r="V140" s="23"/>
      <c r="W140" s="23"/>
      <c r="X140" s="23"/>
      <c r="Y140" s="23"/>
    </row>
    <row r="141" spans="1:25" s="5" customFormat="1" x14ac:dyDescent="0.25">
      <c r="A141" s="5">
        <f t="shared" si="22"/>
        <v>134</v>
      </c>
      <c r="B141" s="38">
        <v>230.01</v>
      </c>
      <c r="C141" s="5" t="s">
        <v>548</v>
      </c>
      <c r="D141" s="23" t="s">
        <v>231</v>
      </c>
      <c r="E141" s="43">
        <v>-6071941.4970833324</v>
      </c>
      <c r="F141" s="43">
        <v>-3244133.1403417094</v>
      </c>
      <c r="G141" s="43">
        <v>-795306.74155676784</v>
      </c>
      <c r="H141" s="43">
        <v>-800732.69580431376</v>
      </c>
      <c r="I141" s="43">
        <v>-512307.75389253185</v>
      </c>
      <c r="J141" s="43">
        <v>-364090.83763035532</v>
      </c>
      <c r="K141" s="43">
        <v>-176312.8285995835</v>
      </c>
      <c r="L141" s="43">
        <v>-155047.38116967282</v>
      </c>
      <c r="M141" s="43">
        <v>0</v>
      </c>
      <c r="N141" s="43">
        <v>-21945.506445767183</v>
      </c>
      <c r="O141" s="43">
        <v>-2064.6116426313301</v>
      </c>
      <c r="P141" s="23"/>
      <c r="Q141" s="43">
        <v>-337642.55698675546</v>
      </c>
      <c r="R141" s="43">
        <v>-939.33001836126584</v>
      </c>
      <c r="S141" s="43">
        <v>-25508.950625238595</v>
      </c>
      <c r="T141" s="43">
        <f t="shared" si="20"/>
        <v>-364090.83763035532</v>
      </c>
      <c r="U141" s="43">
        <f t="shared" si="21"/>
        <v>-338581.88700511673</v>
      </c>
      <c r="V141" s="23"/>
      <c r="W141" s="23"/>
      <c r="X141" s="23"/>
      <c r="Y141" s="23"/>
    </row>
    <row r="142" spans="1:25" s="5" customFormat="1" x14ac:dyDescent="0.25">
      <c r="A142" s="5">
        <f t="shared" si="22"/>
        <v>135</v>
      </c>
      <c r="B142" s="38">
        <v>230.02</v>
      </c>
      <c r="C142" s="5" t="s">
        <v>549</v>
      </c>
      <c r="D142" s="23" t="s">
        <v>276</v>
      </c>
      <c r="E142" s="43">
        <v>-8827087.1591666676</v>
      </c>
      <c r="F142" s="43">
        <v>-5720830.0060037049</v>
      </c>
      <c r="G142" s="43">
        <v>-1065231.1388701128</v>
      </c>
      <c r="H142" s="43">
        <v>-851738.47127251828</v>
      </c>
      <c r="I142" s="43">
        <v>-372222.68261781137</v>
      </c>
      <c r="J142" s="43">
        <v>-368514.76984669123</v>
      </c>
      <c r="K142" s="43">
        <v>-179299.31607759939</v>
      </c>
      <c r="L142" s="43">
        <v>-55662.973100289586</v>
      </c>
      <c r="M142" s="43">
        <v>-18466.93156861583</v>
      </c>
      <c r="N142" s="43">
        <v>-192005.31199403264</v>
      </c>
      <c r="O142" s="43">
        <v>-3115.5578152907351</v>
      </c>
      <c r="P142" s="23"/>
      <c r="Q142" s="43">
        <v>-288515.2811401544</v>
      </c>
      <c r="R142" s="43">
        <v>-3089.8171790476972</v>
      </c>
      <c r="S142" s="43">
        <v>-76909.671527489161</v>
      </c>
      <c r="T142" s="43">
        <f t="shared" si="20"/>
        <v>-368514.76984669123</v>
      </c>
      <c r="U142" s="43">
        <f t="shared" si="21"/>
        <v>-291605.09831920208</v>
      </c>
      <c r="V142" s="23"/>
      <c r="W142" s="23"/>
      <c r="X142" s="23"/>
      <c r="Y142" s="23"/>
    </row>
    <row r="143" spans="1:25" s="5" customFormat="1" x14ac:dyDescent="0.25">
      <c r="A143" s="5">
        <f t="shared" si="22"/>
        <v>136</v>
      </c>
      <c r="B143" s="38">
        <v>230.03</v>
      </c>
      <c r="C143" s="5" t="s">
        <v>550</v>
      </c>
      <c r="D143" s="23" t="s">
        <v>264</v>
      </c>
      <c r="E143" s="43">
        <v>-1037096.4044746666</v>
      </c>
      <c r="F143" s="43">
        <v>-631523.49212627811</v>
      </c>
      <c r="G143" s="43">
        <v>-127685.48310324288</v>
      </c>
      <c r="H143" s="43">
        <v>-106772.3812228711</v>
      </c>
      <c r="I143" s="43">
        <v>-60629.798285549921</v>
      </c>
      <c r="J143" s="43">
        <v>-47451.951787871687</v>
      </c>
      <c r="K143" s="43">
        <v>-23090.50090906526</v>
      </c>
      <c r="L143" s="43">
        <v>-15927.44244328417</v>
      </c>
      <c r="M143" s="43">
        <v>-11318.299160064502</v>
      </c>
      <c r="N143" s="43">
        <v>-12384.272516670411</v>
      </c>
      <c r="O143" s="43">
        <v>-312.78291976840569</v>
      </c>
      <c r="P143" s="23"/>
      <c r="Q143" s="43">
        <v>-41734.933392927815</v>
      </c>
      <c r="R143" s="43">
        <v>-212.97561291777177</v>
      </c>
      <c r="S143" s="43">
        <v>-5504.0427820261011</v>
      </c>
      <c r="T143" s="43">
        <f t="shared" si="20"/>
        <v>-47451.951787871687</v>
      </c>
      <c r="U143" s="43">
        <f t="shared" si="21"/>
        <v>-41947.909005845584</v>
      </c>
      <c r="V143" s="23"/>
      <c r="W143" s="23"/>
      <c r="X143" s="23"/>
      <c r="Y143" s="23"/>
    </row>
    <row r="144" spans="1:25" s="5" customFormat="1" x14ac:dyDescent="0.25">
      <c r="A144" s="14">
        <f>+A143+1</f>
        <v>137</v>
      </c>
      <c r="B144" s="39"/>
      <c r="C144" s="14" t="s">
        <v>288</v>
      </c>
      <c r="D144" s="24"/>
      <c r="E144" s="44">
        <f t="shared" ref="E144:N144" si="23">SUM(E124:E143)</f>
        <v>-954613556.03740871</v>
      </c>
      <c r="F144" s="44">
        <f t="shared" si="23"/>
        <v>-552288075.14233804</v>
      </c>
      <c r="G144" s="44">
        <f t="shared" si="23"/>
        <v>-141754552.21895784</v>
      </c>
      <c r="H144" s="44">
        <f t="shared" si="23"/>
        <v>-101140072.63518214</v>
      </c>
      <c r="I144" s="44">
        <f t="shared" si="23"/>
        <v>-54764503.119517922</v>
      </c>
      <c r="J144" s="44">
        <f t="shared" si="23"/>
        <v>-43841020.778972864</v>
      </c>
      <c r="K144" s="44">
        <f t="shared" si="23"/>
        <v>-21264086.054004509</v>
      </c>
      <c r="L144" s="44">
        <f t="shared" si="23"/>
        <v>-13546001.946029702</v>
      </c>
      <c r="M144" s="44">
        <f t="shared" si="23"/>
        <v>-14461351.226717822</v>
      </c>
      <c r="N144" s="44">
        <f t="shared" si="23"/>
        <v>-11253474.531796172</v>
      </c>
      <c r="O144" s="44">
        <f>SUM(O124:O143)</f>
        <v>-300418.38389240601</v>
      </c>
      <c r="P144" s="23"/>
      <c r="Q144" s="44">
        <f>SUM(Q124:Q143)</f>
        <v>-37975210.469206676</v>
      </c>
      <c r="R144" s="44">
        <f>SUM(R124:R143)</f>
        <v>-220871.64533497475</v>
      </c>
      <c r="S144" s="44">
        <f>SUM(S124:S143)</f>
        <v>-5644938.6644312367</v>
      </c>
      <c r="T144" s="44">
        <f>SUM(T124:T143)</f>
        <v>-43841020.778972864</v>
      </c>
      <c r="U144" s="44">
        <f>SUM(U124:U143)</f>
        <v>-38196082.114541627</v>
      </c>
      <c r="V144" s="23"/>
      <c r="W144" s="23"/>
      <c r="X144" s="23"/>
      <c r="Y144" s="23"/>
    </row>
    <row r="145" spans="1:25" s="5" customFormat="1" x14ac:dyDescent="0.25">
      <c r="A145" s="5">
        <f>+A144+1</f>
        <v>138</v>
      </c>
      <c r="B145" s="38"/>
      <c r="D145" s="2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23"/>
      <c r="Q145" s="43"/>
      <c r="R145" s="43"/>
      <c r="S145" s="43"/>
      <c r="T145" s="43"/>
      <c r="U145" s="43"/>
      <c r="V145" s="23"/>
      <c r="W145" s="23"/>
      <c r="X145" s="23"/>
      <c r="Y145" s="23"/>
    </row>
    <row r="146" spans="1:25" s="5" customFormat="1" x14ac:dyDescent="0.25">
      <c r="A146" s="14">
        <f t="shared" si="22"/>
        <v>139</v>
      </c>
      <c r="B146" s="39"/>
      <c r="C146" s="14" t="s">
        <v>551</v>
      </c>
      <c r="D146" s="24"/>
      <c r="E146" s="44">
        <f t="shared" ref="E146:N146" si="24">SUM(E144,E121)</f>
        <v>-727608314.33511925</v>
      </c>
      <c r="F146" s="44">
        <f t="shared" si="24"/>
        <v>-421537593.17726785</v>
      </c>
      <c r="G146" s="44">
        <f t="shared" si="24"/>
        <v>-113312995.99319904</v>
      </c>
      <c r="H146" s="44">
        <f t="shared" si="24"/>
        <v>-74925729.159569383</v>
      </c>
      <c r="I146" s="44">
        <f t="shared" si="24"/>
        <v>-39751145.978026442</v>
      </c>
      <c r="J146" s="44">
        <f t="shared" si="24"/>
        <v>-32117740.964025442</v>
      </c>
      <c r="K146" s="44">
        <f t="shared" si="24"/>
        <v>-15577053.525251109</v>
      </c>
      <c r="L146" s="44">
        <f t="shared" si="24"/>
        <v>-9580852.7832394931</v>
      </c>
      <c r="M146" s="44">
        <f t="shared" si="24"/>
        <v>-11790699.933250098</v>
      </c>
      <c r="N146" s="44">
        <f t="shared" si="24"/>
        <v>-8790997.6959386356</v>
      </c>
      <c r="O146" s="44">
        <f>SUM(O144,O121)</f>
        <v>-223505.12535232538</v>
      </c>
      <c r="P146" s="23"/>
      <c r="Q146" s="44">
        <f>SUM(Q144,Q121)</f>
        <v>-27642847.47118549</v>
      </c>
      <c r="R146" s="44">
        <f>SUM(R144,R121)</f>
        <v>-168959.98435668333</v>
      </c>
      <c r="S146" s="44">
        <f>SUM(S144,S121)</f>
        <v>-4305933.5084832897</v>
      </c>
      <c r="T146" s="44">
        <f>SUM(T144,T121)</f>
        <v>-32117740.964025442</v>
      </c>
      <c r="U146" s="44">
        <f>SUM(U144,U121)</f>
        <v>-27811807.455542151</v>
      </c>
      <c r="V146" s="23"/>
      <c r="W146" s="23"/>
      <c r="X146" s="23"/>
      <c r="Y146" s="23"/>
    </row>
    <row r="147" spans="1:25" s="5" customFormat="1" x14ac:dyDescent="0.25">
      <c r="A147" s="5">
        <f t="shared" si="22"/>
        <v>140</v>
      </c>
      <c r="B147" s="38"/>
      <c r="D147" s="2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23"/>
      <c r="Q147" s="43"/>
      <c r="R147" s="43"/>
      <c r="S147" s="43"/>
      <c r="T147" s="43"/>
      <c r="U147" s="43"/>
      <c r="V147" s="23"/>
      <c r="W147" s="23"/>
      <c r="X147" s="23"/>
      <c r="Y147" s="23"/>
    </row>
    <row r="148" spans="1:25" s="5" customFormat="1" ht="13.8" thickBot="1" x14ac:dyDescent="0.3">
      <c r="A148" s="8">
        <f t="shared" si="22"/>
        <v>141</v>
      </c>
      <c r="B148" s="40"/>
      <c r="C148" s="8" t="s">
        <v>36</v>
      </c>
      <c r="D148" s="25"/>
      <c r="E148" s="45">
        <f t="shared" ref="E148:N148" si="25">SUM(E146,E116,E66)</f>
        <v>5097962432.7172546</v>
      </c>
      <c r="F148" s="45">
        <f t="shared" si="25"/>
        <v>2913324966.7719779</v>
      </c>
      <c r="G148" s="45">
        <f t="shared" si="25"/>
        <v>621091126.86984265</v>
      </c>
      <c r="H148" s="45">
        <f t="shared" si="25"/>
        <v>602997957.06856585</v>
      </c>
      <c r="I148" s="45">
        <f t="shared" si="25"/>
        <v>347695552.77609539</v>
      </c>
      <c r="J148" s="45">
        <f t="shared" si="25"/>
        <v>271996342.33596361</v>
      </c>
      <c r="K148" s="45">
        <f t="shared" si="25"/>
        <v>127242258.32697228</v>
      </c>
      <c r="L148" s="45">
        <f t="shared" si="25"/>
        <v>94214181.595075458</v>
      </c>
      <c r="M148" s="45">
        <f t="shared" si="25"/>
        <v>63103315.256181642</v>
      </c>
      <c r="N148" s="45">
        <f t="shared" si="25"/>
        <v>54522263.32337226</v>
      </c>
      <c r="O148" s="45">
        <f>SUM(O146,O116,O66)</f>
        <v>1774468.3932063121</v>
      </c>
      <c r="P148" s="23"/>
      <c r="Q148" s="45">
        <f>SUM(Q146,Q116,Q66)</f>
        <v>240115556.44331479</v>
      </c>
      <c r="R148" s="45">
        <f>SUM(R146,R116,R66)</f>
        <v>1182554.1188171124</v>
      </c>
      <c r="S148" s="45">
        <f>SUM(S146,S116,S66)</f>
        <v>30698231.773831706</v>
      </c>
      <c r="T148" s="45">
        <f>SUM(T146,T116,T66)</f>
        <v>271996342.33596361</v>
      </c>
      <c r="U148" s="45">
        <f>SUM(U146,U116,U66)</f>
        <v>241298110.56213194</v>
      </c>
      <c r="V148" s="23"/>
      <c r="W148" s="23"/>
      <c r="X148" s="23"/>
      <c r="Y148" s="23"/>
    </row>
    <row r="149" spans="1:25" s="5" customFormat="1" ht="13.8" thickTop="1" x14ac:dyDescent="0.25">
      <c r="B149" s="38"/>
      <c r="D149" s="2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23"/>
      <c r="Q149" s="43"/>
      <c r="R149" s="43"/>
      <c r="S149" s="43"/>
      <c r="T149" s="43"/>
      <c r="U149" s="43"/>
      <c r="V149" s="23"/>
      <c r="W149" s="23"/>
      <c r="X149" s="23"/>
      <c r="Y149" s="23"/>
    </row>
    <row r="150" spans="1:25" s="5" customFormat="1" x14ac:dyDescent="0.25">
      <c r="B150" s="38"/>
      <c r="D150" s="2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23"/>
      <c r="Q150" s="43"/>
      <c r="R150" s="23"/>
      <c r="S150" s="23"/>
      <c r="T150" s="23"/>
      <c r="U150" s="23"/>
      <c r="V150" s="23"/>
      <c r="W150" s="23"/>
      <c r="X150" s="23"/>
      <c r="Y150" s="23"/>
    </row>
    <row r="151" spans="1:25" s="5" customFormat="1" x14ac:dyDescent="0.25">
      <c r="B151" s="38"/>
      <c r="D151" s="2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23"/>
      <c r="Q151" s="43"/>
      <c r="R151" s="23"/>
      <c r="S151" s="23"/>
      <c r="T151" s="23"/>
      <c r="U151" s="23"/>
      <c r="V151" s="23"/>
      <c r="W151" s="23"/>
      <c r="X151" s="23"/>
      <c r="Y151" s="23"/>
    </row>
    <row r="152" spans="1:25" s="5" customFormat="1" x14ac:dyDescent="0.25">
      <c r="B152" s="38"/>
      <c r="D152" s="23"/>
      <c r="E152" s="43">
        <v>5097962432.7172546</v>
      </c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23"/>
      <c r="Q152" s="43"/>
      <c r="R152" s="23"/>
      <c r="S152" s="23"/>
      <c r="T152" s="23"/>
      <c r="U152" s="23"/>
      <c r="V152" s="23"/>
      <c r="W152" s="23"/>
      <c r="X152" s="23"/>
      <c r="Y152" s="23"/>
    </row>
    <row r="153" spans="1:25" x14ac:dyDescent="0.25">
      <c r="Q153" s="23"/>
    </row>
    <row r="154" spans="1:25" x14ac:dyDescent="0.25">
      <c r="Q154" s="23"/>
    </row>
    <row r="155" spans="1:25" x14ac:dyDescent="0.25">
      <c r="Q155" s="23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48" fitToHeight="3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  <rowBreaks count="1" manualBreakCount="1">
    <brk id="7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O62"/>
  <sheetViews>
    <sheetView showGridLines="0" view="pageBreakPreview" zoomScale="60" zoomScaleNormal="90" workbookViewId="0">
      <pane xSplit="4" ySplit="6" topLeftCell="E25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ColWidth="8.88671875" defaultRowHeight="13.2" x14ac:dyDescent="0.25"/>
  <cols>
    <col min="1" max="1" width="4.6640625" style="5" bestFit="1" customWidth="1"/>
    <col min="2" max="2" width="1.6640625" style="5" customWidth="1"/>
    <col min="3" max="3" width="42.6640625" style="5" bestFit="1" customWidth="1"/>
    <col min="4" max="4" width="2" style="5" hidden="1" customWidth="1"/>
    <col min="5" max="6" width="14.33203125" style="5" bestFit="1" customWidth="1"/>
    <col min="7" max="7" width="14.5546875" style="5" bestFit="1" customWidth="1"/>
    <col min="8" max="8" width="17.109375" style="5" bestFit="1" customWidth="1"/>
    <col min="9" max="10" width="13.33203125" style="5" bestFit="1" customWidth="1"/>
    <col min="11" max="11" width="12.88671875" style="5" bestFit="1" customWidth="1"/>
    <col min="12" max="12" width="11.33203125" style="5" bestFit="1" customWidth="1"/>
    <col min="13" max="13" width="15.6640625" style="5" bestFit="1" customWidth="1"/>
    <col min="14" max="14" width="13.33203125" style="5" bestFit="1" customWidth="1"/>
    <col min="15" max="15" width="11.44140625" style="5" bestFit="1" customWidth="1"/>
    <col min="16" max="16384" width="8.88671875" style="5"/>
  </cols>
  <sheetData>
    <row r="1" spans="1:15" x14ac:dyDescent="0.25">
      <c r="A1" s="88" t="str">
        <f>+'Customer Summary'!A1</f>
        <v>Puget Sound Energy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x14ac:dyDescent="0.25">
      <c r="A2" s="90" t="s">
        <v>106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x14ac:dyDescent="0.25">
      <c r="A3" s="88" t="str">
        <f>+'Customer Summary'!A3</f>
        <v>Adjusted Test Year Twelve Months ended September 2016 @ Proforma Rev Requirement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ht="1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s="26" customFormat="1" ht="40.200000000000003" customHeight="1" x14ac:dyDescent="0.25">
      <c r="A5" s="2" t="s">
        <v>2</v>
      </c>
      <c r="B5" s="2"/>
      <c r="C5" s="2" t="s">
        <v>3</v>
      </c>
      <c r="D5" s="2"/>
      <c r="E5" s="2" t="s">
        <v>71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</row>
    <row r="6" spans="1:15" s="26" customFormat="1" x14ac:dyDescent="0.25">
      <c r="C6" s="26" t="s">
        <v>20</v>
      </c>
      <c r="E6" s="26" t="s">
        <v>21</v>
      </c>
      <c r="F6" s="26" t="s">
        <v>22</v>
      </c>
      <c r="G6" s="26" t="s">
        <v>23</v>
      </c>
      <c r="H6" s="26" t="s">
        <v>24</v>
      </c>
      <c r="I6" s="26" t="s">
        <v>81</v>
      </c>
      <c r="J6" s="26" t="s">
        <v>25</v>
      </c>
      <c r="K6" s="26" t="s">
        <v>26</v>
      </c>
      <c r="L6" s="26" t="s">
        <v>82</v>
      </c>
      <c r="M6" s="26" t="s">
        <v>83</v>
      </c>
      <c r="N6" s="26" t="s">
        <v>27</v>
      </c>
      <c r="O6" s="26" t="s">
        <v>28</v>
      </c>
    </row>
    <row r="7" spans="1:15" x14ac:dyDescent="0.25">
      <c r="A7" s="23">
        <v>1</v>
      </c>
      <c r="C7" s="1" t="s">
        <v>107</v>
      </c>
      <c r="D7" s="5">
        <f t="shared" ref="D7:D23" si="0">+SUM(F7:O7)-E7</f>
        <v>0</v>
      </c>
    </row>
    <row r="8" spans="1:15" x14ac:dyDescent="0.25">
      <c r="A8" s="23">
        <f t="shared" ref="A8:A61" si="1">+A7+1</f>
        <v>2</v>
      </c>
      <c r="C8" s="5" t="s">
        <v>108</v>
      </c>
      <c r="D8" s="5">
        <f t="shared" si="0"/>
        <v>0</v>
      </c>
      <c r="E8" s="6">
        <f>SUM(F8:O8)</f>
        <v>136044280.14375001</v>
      </c>
      <c r="F8" s="6">
        <v>88452023.525747895</v>
      </c>
      <c r="G8" s="6">
        <v>25064056.785852611</v>
      </c>
      <c r="H8" s="6">
        <v>6808147.5456820754</v>
      </c>
      <c r="I8" s="6">
        <v>770934.07285703754</v>
      </c>
      <c r="J8" s="6">
        <v>12934223.643074373</v>
      </c>
      <c r="K8" s="6">
        <v>809283.09371419554</v>
      </c>
      <c r="L8" s="6">
        <v>418776.31203883816</v>
      </c>
      <c r="M8" s="6">
        <v>588094.24947242113</v>
      </c>
      <c r="N8" s="6">
        <v>0</v>
      </c>
      <c r="O8" s="6">
        <v>198740.91531056986</v>
      </c>
    </row>
    <row r="9" spans="1:15" x14ac:dyDescent="0.25">
      <c r="A9" s="23">
        <f t="shared" si="1"/>
        <v>3</v>
      </c>
      <c r="C9" s="5" t="s">
        <v>109</v>
      </c>
      <c r="D9" s="5">
        <f t="shared" si="0"/>
        <v>0</v>
      </c>
      <c r="E9" s="6">
        <f>SUM(F9:O9)</f>
        <v>141200591</v>
      </c>
      <c r="F9" s="6">
        <v>141200591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</row>
    <row r="10" spans="1:15" x14ac:dyDescent="0.25">
      <c r="A10" s="23">
        <f t="shared" si="1"/>
        <v>4</v>
      </c>
      <c r="C10" s="5" t="s">
        <v>110</v>
      </c>
      <c r="D10" s="5">
        <f t="shared" si="0"/>
        <v>0</v>
      </c>
      <c r="E10" s="6">
        <f>SUM(F10:O10)</f>
        <v>39681227</v>
      </c>
      <c r="F10" s="6">
        <v>34421864.686668307</v>
      </c>
      <c r="G10" s="6">
        <v>5076816.6766513577</v>
      </c>
      <c r="H10" s="6">
        <v>179788.74464848876</v>
      </c>
      <c r="I10" s="6">
        <v>2756.892031849773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1:15" x14ac:dyDescent="0.25">
      <c r="A11" s="23">
        <f t="shared" si="1"/>
        <v>5</v>
      </c>
      <c r="C11" s="5" t="s">
        <v>111</v>
      </c>
      <c r="D11" s="5">
        <f t="shared" si="0"/>
        <v>0</v>
      </c>
      <c r="E11" s="6">
        <f>SUM(F11:O11)</f>
        <v>457328636</v>
      </c>
      <c r="F11" s="6">
        <v>333189335.57624215</v>
      </c>
      <c r="G11" s="6">
        <v>60999147.517986134</v>
      </c>
      <c r="H11" s="6">
        <v>28287904.79640856</v>
      </c>
      <c r="I11" s="6">
        <v>8736373.9710735735</v>
      </c>
      <c r="J11" s="6">
        <v>860858.16999999993</v>
      </c>
      <c r="K11" s="6">
        <v>2341535.54</v>
      </c>
      <c r="L11" s="6">
        <v>0</v>
      </c>
      <c r="M11" s="6">
        <v>0</v>
      </c>
      <c r="N11" s="6">
        <v>22876598.255147059</v>
      </c>
      <c r="O11" s="6">
        <v>36882.173142559688</v>
      </c>
    </row>
    <row r="12" spans="1:15" s="49" customFormat="1" x14ac:dyDescent="0.25">
      <c r="A12" s="46">
        <f t="shared" si="1"/>
        <v>6</v>
      </c>
      <c r="B12" s="47"/>
      <c r="C12" s="47" t="s">
        <v>112</v>
      </c>
      <c r="D12" s="47">
        <f t="shared" si="0"/>
        <v>0</v>
      </c>
      <c r="E12" s="48">
        <f>SUM(E8:E11)</f>
        <v>774254734.14374995</v>
      </c>
      <c r="F12" s="48">
        <f t="shared" ref="F12:O12" si="2">SUM(F8:F11)</f>
        <v>597263814.78865838</v>
      </c>
      <c r="G12" s="48">
        <f t="shared" si="2"/>
        <v>91140020.980490103</v>
      </c>
      <c r="H12" s="48">
        <f t="shared" si="2"/>
        <v>35275841.086739123</v>
      </c>
      <c r="I12" s="48">
        <f t="shared" si="2"/>
        <v>9510064.9359624609</v>
      </c>
      <c r="J12" s="48">
        <f t="shared" si="2"/>
        <v>13795081.813074373</v>
      </c>
      <c r="K12" s="48">
        <f t="shared" si="2"/>
        <v>3150818.6337141953</v>
      </c>
      <c r="L12" s="48">
        <f t="shared" si="2"/>
        <v>418776.31203883816</v>
      </c>
      <c r="M12" s="48">
        <f t="shared" si="2"/>
        <v>588094.24947242113</v>
      </c>
      <c r="N12" s="48">
        <f t="shared" si="2"/>
        <v>22876598.255147059</v>
      </c>
      <c r="O12" s="48">
        <f t="shared" si="2"/>
        <v>235623.08845312955</v>
      </c>
    </row>
    <row r="13" spans="1:15" s="42" customFormat="1" x14ac:dyDescent="0.25">
      <c r="A13" s="23">
        <f t="shared" si="1"/>
        <v>7</v>
      </c>
      <c r="C13" s="5"/>
      <c r="D13" s="5">
        <f t="shared" si="0"/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42" customFormat="1" x14ac:dyDescent="0.25">
      <c r="A14" s="23">
        <f t="shared" si="1"/>
        <v>8</v>
      </c>
      <c r="C14" s="5" t="s">
        <v>113</v>
      </c>
      <c r="D14" s="5">
        <f t="shared" si="0"/>
        <v>0</v>
      </c>
      <c r="E14" s="6">
        <f>SUM(F14:O14)</f>
        <v>92671604.679434091</v>
      </c>
      <c r="F14" s="6">
        <v>74323884.079843298</v>
      </c>
      <c r="G14" s="6">
        <v>10041209.331766553</v>
      </c>
      <c r="H14" s="6">
        <v>2042952.2850486129</v>
      </c>
      <c r="I14" s="6">
        <v>550262.63926210173</v>
      </c>
      <c r="J14" s="6">
        <v>695903.75853267056</v>
      </c>
      <c r="K14" s="6">
        <v>205144.3488000434</v>
      </c>
      <c r="L14" s="6">
        <v>52578.388362466176</v>
      </c>
      <c r="M14" s="6">
        <v>231043.75965935068</v>
      </c>
      <c r="N14" s="6">
        <v>4517346.0530855283</v>
      </c>
      <c r="O14" s="6">
        <v>11280.035073457391</v>
      </c>
    </row>
    <row r="15" spans="1:15" s="42" customFormat="1" x14ac:dyDescent="0.25">
      <c r="A15" s="23">
        <f t="shared" si="1"/>
        <v>9</v>
      </c>
      <c r="C15" s="5" t="s">
        <v>114</v>
      </c>
      <c r="D15" s="5">
        <f t="shared" si="0"/>
        <v>0</v>
      </c>
      <c r="E15" s="6">
        <f>SUM(F15:O15)</f>
        <v>826513064.71541667</v>
      </c>
      <c r="F15" s="6">
        <v>597263814.78865838</v>
      </c>
      <c r="G15" s="6">
        <v>91140020.980490103</v>
      </c>
      <c r="H15" s="6">
        <v>35275841.086739123</v>
      </c>
      <c r="I15" s="6">
        <v>9510064.9359624609</v>
      </c>
      <c r="J15" s="6">
        <v>13795081.813074373</v>
      </c>
      <c r="K15" s="6">
        <v>3150818.6337141953</v>
      </c>
      <c r="L15" s="6">
        <v>418776.31203883816</v>
      </c>
      <c r="M15" s="6">
        <v>588094.24947242113</v>
      </c>
      <c r="N15" s="6">
        <v>75134928.826813653</v>
      </c>
      <c r="O15" s="6">
        <v>235623.08845312955</v>
      </c>
    </row>
    <row r="16" spans="1:15" x14ac:dyDescent="0.25">
      <c r="A16" s="46">
        <f t="shared" si="1"/>
        <v>10</v>
      </c>
      <c r="B16" s="47"/>
      <c r="C16" s="47" t="s">
        <v>115</v>
      </c>
      <c r="D16" s="47">
        <f t="shared" si="0"/>
        <v>0</v>
      </c>
      <c r="E16" s="48">
        <f>+SUM(F16:O16)</f>
        <v>89529671.000453755</v>
      </c>
      <c r="F16" s="48">
        <v>74323884.079843298</v>
      </c>
      <c r="G16" s="48">
        <v>10041209.331766553</v>
      </c>
      <c r="H16" s="48">
        <v>2042952.2850486129</v>
      </c>
      <c r="I16" s="48">
        <v>550262.63926210173</v>
      </c>
      <c r="J16" s="48">
        <v>695903.75853267056</v>
      </c>
      <c r="K16" s="48">
        <v>205144.3488000434</v>
      </c>
      <c r="L16" s="48">
        <v>52578.388362466176</v>
      </c>
      <c r="M16" s="48">
        <v>231043.75965935068</v>
      </c>
      <c r="N16" s="48">
        <v>1375412.3741051846</v>
      </c>
      <c r="O16" s="48">
        <v>11280.035073457391</v>
      </c>
    </row>
    <row r="17" spans="1:15" s="42" customFormat="1" x14ac:dyDescent="0.25">
      <c r="A17" s="23">
        <f t="shared" si="1"/>
        <v>11</v>
      </c>
      <c r="C17" s="5"/>
      <c r="D17" s="5">
        <f t="shared" si="0"/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5">
      <c r="A18" s="46">
        <f t="shared" si="1"/>
        <v>12</v>
      </c>
      <c r="B18" s="47"/>
      <c r="C18" s="47" t="s">
        <v>116</v>
      </c>
      <c r="D18" s="47">
        <f t="shared" si="0"/>
        <v>0</v>
      </c>
      <c r="E18" s="48">
        <f>+SUM(F18:O18)</f>
        <v>-337641641.76101035</v>
      </c>
      <c r="F18" s="48">
        <v>-269820044.57289743</v>
      </c>
      <c r="G18" s="48">
        <v>-35474729.517393313</v>
      </c>
      <c r="H18" s="48">
        <v>-13375446.539728479</v>
      </c>
      <c r="I18" s="48">
        <v>-3679634.7269510888</v>
      </c>
      <c r="J18" s="48">
        <v>-4491547.792344369</v>
      </c>
      <c r="K18" s="48">
        <v>-1498777.0755399759</v>
      </c>
      <c r="L18" s="48">
        <v>-130587.91411274993</v>
      </c>
      <c r="M18" s="48">
        <v>-183386.68910476545</v>
      </c>
      <c r="N18" s="48">
        <v>-8908308.3914360758</v>
      </c>
      <c r="O18" s="48">
        <v>-79178.5415021925</v>
      </c>
    </row>
    <row r="19" spans="1:15" x14ac:dyDescent="0.25">
      <c r="A19" s="23">
        <f t="shared" si="1"/>
        <v>13</v>
      </c>
      <c r="D19" s="5">
        <f t="shared" si="0"/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s="42" customFormat="1" x14ac:dyDescent="0.25">
      <c r="A20" s="23">
        <f t="shared" si="1"/>
        <v>14</v>
      </c>
      <c r="C20" s="5" t="s">
        <v>117</v>
      </c>
      <c r="D20" s="5">
        <f t="shared" si="0"/>
        <v>0</v>
      </c>
      <c r="E20" s="6">
        <f>SUM(F20:O20)</f>
        <v>-37107614.048242286</v>
      </c>
      <c r="F20" s="6">
        <v>-29830892.122593731</v>
      </c>
      <c r="G20" s="6">
        <v>-4019013.2574479361</v>
      </c>
      <c r="H20" s="6">
        <v>-799822.43423420517</v>
      </c>
      <c r="I20" s="6">
        <v>-215420.38634966593</v>
      </c>
      <c r="J20" s="6">
        <v>-270548.49660348793</v>
      </c>
      <c r="K20" s="6">
        <v>-80732.779971783486</v>
      </c>
      <c r="L20" s="6">
        <v>-21107.041014832499</v>
      </c>
      <c r="M20" s="6">
        <v>-94087.542807020931</v>
      </c>
      <c r="N20" s="6">
        <v>-1771617.4505931828</v>
      </c>
      <c r="O20" s="6">
        <v>-4372.5366264448612</v>
      </c>
    </row>
    <row r="21" spans="1:15" x14ac:dyDescent="0.25">
      <c r="A21" s="46">
        <f t="shared" si="1"/>
        <v>15</v>
      </c>
      <c r="B21" s="47"/>
      <c r="C21" s="47" t="s">
        <v>118</v>
      </c>
      <c r="D21" s="47">
        <f t="shared" si="0"/>
        <v>0</v>
      </c>
      <c r="E21" s="48">
        <f>+SUM(F21:O21)</f>
        <v>-35875407.24608995</v>
      </c>
      <c r="F21" s="48">
        <v>-29830892.122593731</v>
      </c>
      <c r="G21" s="48">
        <v>-4019013.2574479361</v>
      </c>
      <c r="H21" s="48">
        <v>-799822.43423420517</v>
      </c>
      <c r="I21" s="48">
        <v>-215420.38634966593</v>
      </c>
      <c r="J21" s="48">
        <v>-270548.49660348793</v>
      </c>
      <c r="K21" s="48">
        <v>-80732.779971783486</v>
      </c>
      <c r="L21" s="48">
        <v>-21107.041014832499</v>
      </c>
      <c r="M21" s="48">
        <v>-94087.542807020931</v>
      </c>
      <c r="N21" s="48">
        <v>-539410.64844084228</v>
      </c>
      <c r="O21" s="48">
        <v>-4372.5366264448612</v>
      </c>
    </row>
    <row r="22" spans="1:15" s="42" customFormat="1" x14ac:dyDescent="0.25">
      <c r="A22" s="23">
        <f t="shared" si="1"/>
        <v>16</v>
      </c>
      <c r="C22" s="5"/>
      <c r="D22" s="5">
        <f t="shared" si="0"/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24">
        <f t="shared" si="1"/>
        <v>17</v>
      </c>
      <c r="B23" s="14"/>
      <c r="C23" s="14" t="s">
        <v>119</v>
      </c>
      <c r="D23" s="14">
        <f t="shared" si="0"/>
        <v>0</v>
      </c>
      <c r="E23" s="15">
        <f>SUM(E21,E18,E16,E12)</f>
        <v>490267356.13710344</v>
      </c>
      <c r="F23" s="15">
        <f t="shared" ref="F23:O23" si="3">SUM(F21,F18,F16,F12)</f>
        <v>371936762.17301047</v>
      </c>
      <c r="G23" s="15">
        <f t="shared" si="3"/>
        <v>61687487.537415408</v>
      </c>
      <c r="H23" s="15">
        <f t="shared" si="3"/>
        <v>23143524.397825051</v>
      </c>
      <c r="I23" s="15">
        <f t="shared" si="3"/>
        <v>6165272.4619238079</v>
      </c>
      <c r="J23" s="15">
        <f t="shared" si="3"/>
        <v>9728889.2826591861</v>
      </c>
      <c r="K23" s="15">
        <f t="shared" si="3"/>
        <v>1776453.1270024793</v>
      </c>
      <c r="L23" s="15">
        <f t="shared" si="3"/>
        <v>319659.74527372193</v>
      </c>
      <c r="M23" s="15">
        <f t="shared" si="3"/>
        <v>541663.77721998538</v>
      </c>
      <c r="N23" s="15">
        <f t="shared" si="3"/>
        <v>14804291.589375325</v>
      </c>
      <c r="O23" s="15">
        <f t="shared" si="3"/>
        <v>163352.04539794958</v>
      </c>
    </row>
    <row r="24" spans="1:15" s="42" customFormat="1" x14ac:dyDescent="0.25">
      <c r="A24" s="23">
        <f t="shared" si="1"/>
        <v>18</v>
      </c>
      <c r="C24" s="5"/>
      <c r="D24" s="5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s="42" customFormat="1" x14ac:dyDescent="0.25">
      <c r="A25" s="23">
        <f t="shared" si="1"/>
        <v>19</v>
      </c>
      <c r="C25" s="1" t="s">
        <v>120</v>
      </c>
      <c r="D25" s="5">
        <f t="shared" ref="D25:D52" si="4">+SUM(F25:O25)-E25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s="42" customFormat="1" x14ac:dyDescent="0.25">
      <c r="A26" s="23">
        <f t="shared" si="1"/>
        <v>20</v>
      </c>
      <c r="C26" s="5" t="s">
        <v>121</v>
      </c>
      <c r="D26" s="5">
        <f t="shared" si="4"/>
        <v>0</v>
      </c>
      <c r="E26" s="6">
        <f t="shared" ref="E26:E33" si="5">SUM(F26:O26)</f>
        <v>374213.29931409296</v>
      </c>
      <c r="F26" s="6">
        <v>212392.83369716373</v>
      </c>
      <c r="G26" s="6">
        <v>60184.333071184534</v>
      </c>
      <c r="H26" s="6">
        <v>16347.865111699602</v>
      </c>
      <c r="I26" s="6">
        <v>1851.1828876378145</v>
      </c>
      <c r="J26" s="6">
        <v>31057.926113196751</v>
      </c>
      <c r="K26" s="6">
        <v>1943.2673520140584</v>
      </c>
      <c r="L26" s="6">
        <v>1005.5743673663393</v>
      </c>
      <c r="M26" s="6">
        <v>1412.1441109834477</v>
      </c>
      <c r="N26" s="6">
        <v>47540.951794414927</v>
      </c>
      <c r="O26" s="6">
        <v>477.22080843173177</v>
      </c>
    </row>
    <row r="27" spans="1:15" s="42" customFormat="1" x14ac:dyDescent="0.25">
      <c r="A27" s="23">
        <f t="shared" si="1"/>
        <v>21</v>
      </c>
      <c r="C27" s="5" t="s">
        <v>122</v>
      </c>
      <c r="D27" s="5">
        <f t="shared" si="4"/>
        <v>0</v>
      </c>
      <c r="E27" s="6">
        <f t="shared" si="5"/>
        <v>-869427.87551867531</v>
      </c>
      <c r="F27" s="6">
        <v>-565276.64976477041</v>
      </c>
      <c r="G27" s="6">
        <v>-160178.6537455128</v>
      </c>
      <c r="H27" s="6">
        <v>-43509.313663210145</v>
      </c>
      <c r="I27" s="6">
        <v>-4926.863315538274</v>
      </c>
      <c r="J27" s="6">
        <v>-82659.664717981883</v>
      </c>
      <c r="K27" s="6">
        <v>-5171.9431358499396</v>
      </c>
      <c r="L27" s="6">
        <v>-2676.3036190037119</v>
      </c>
      <c r="M27" s="6">
        <v>-3758.3758272180967</v>
      </c>
      <c r="N27" s="6">
        <v>0</v>
      </c>
      <c r="O27" s="6">
        <v>-1270.107729590158</v>
      </c>
    </row>
    <row r="28" spans="1:15" s="42" customFormat="1" x14ac:dyDescent="0.25">
      <c r="A28" s="23">
        <f t="shared" si="1"/>
        <v>22</v>
      </c>
      <c r="C28" s="5" t="s">
        <v>123</v>
      </c>
      <c r="D28" s="5">
        <f t="shared" si="4"/>
        <v>0</v>
      </c>
      <c r="E28" s="6">
        <f t="shared" si="5"/>
        <v>4611537.0928189065</v>
      </c>
      <c r="F28" s="6">
        <v>2998286.9327021553</v>
      </c>
      <c r="G28" s="6">
        <v>849604.46291713312</v>
      </c>
      <c r="H28" s="6">
        <v>230777.98571996231</v>
      </c>
      <c r="I28" s="6">
        <v>26132.602336104246</v>
      </c>
      <c r="J28" s="6">
        <v>438435.57431321358</v>
      </c>
      <c r="K28" s="6">
        <v>27432.531535400274</v>
      </c>
      <c r="L28" s="6">
        <v>14195.396487970082</v>
      </c>
      <c r="M28" s="6">
        <v>19934.82153494388</v>
      </c>
      <c r="N28" s="6">
        <v>0</v>
      </c>
      <c r="O28" s="6">
        <v>6736.7852720236442</v>
      </c>
    </row>
    <row r="29" spans="1:15" s="42" customFormat="1" x14ac:dyDescent="0.25">
      <c r="A29" s="23">
        <f t="shared" si="1"/>
        <v>23</v>
      </c>
      <c r="C29" s="5" t="s">
        <v>124</v>
      </c>
      <c r="D29" s="5">
        <f t="shared" si="4"/>
        <v>0</v>
      </c>
      <c r="E29" s="6">
        <f t="shared" si="5"/>
        <v>255499.37168193504</v>
      </c>
      <c r="F29" s="6">
        <v>186145.49623534019</v>
      </c>
      <c r="G29" s="6">
        <v>34078.871597227349</v>
      </c>
      <c r="H29" s="6">
        <v>15803.825373578362</v>
      </c>
      <c r="I29" s="6">
        <v>4880.818485172902</v>
      </c>
      <c r="J29" s="6">
        <v>480.94237759968394</v>
      </c>
      <c r="K29" s="6">
        <v>1308.1640031850543</v>
      </c>
      <c r="L29" s="6">
        <v>0</v>
      </c>
      <c r="M29" s="6">
        <v>0</v>
      </c>
      <c r="N29" s="6">
        <v>12780.648357235441</v>
      </c>
      <c r="O29" s="6">
        <v>20.605252596052917</v>
      </c>
    </row>
    <row r="30" spans="1:15" s="42" customFormat="1" x14ac:dyDescent="0.25">
      <c r="A30" s="23">
        <f t="shared" si="1"/>
        <v>24</v>
      </c>
      <c r="C30" s="5" t="s">
        <v>125</v>
      </c>
      <c r="D30" s="5">
        <f t="shared" si="4"/>
        <v>0</v>
      </c>
      <c r="E30" s="6">
        <f t="shared" si="5"/>
        <v>500154.12212071667</v>
      </c>
      <c r="F30" s="6">
        <v>325185.62433919287</v>
      </c>
      <c r="G30" s="6">
        <v>92145.669816224254</v>
      </c>
      <c r="H30" s="6">
        <v>25029.520207545189</v>
      </c>
      <c r="I30" s="6">
        <v>2834.2672989657062</v>
      </c>
      <c r="J30" s="6">
        <v>47551.468276941559</v>
      </c>
      <c r="K30" s="6">
        <v>2975.2539015684324</v>
      </c>
      <c r="L30" s="6">
        <v>1539.59209818612</v>
      </c>
      <c r="M30" s="6">
        <v>2162.0737215730228</v>
      </c>
      <c r="N30" s="6">
        <v>0</v>
      </c>
      <c r="O30" s="6">
        <v>730.65246051943132</v>
      </c>
    </row>
    <row r="31" spans="1:15" s="42" customFormat="1" x14ac:dyDescent="0.25">
      <c r="A31" s="23">
        <f t="shared" si="1"/>
        <v>25</v>
      </c>
      <c r="C31" s="5" t="s">
        <v>126</v>
      </c>
      <c r="D31" s="5">
        <f t="shared" si="4"/>
        <v>0</v>
      </c>
      <c r="E31" s="6">
        <f t="shared" si="5"/>
        <v>10691941.564082045</v>
      </c>
      <c r="F31" s="6">
        <v>9326092.4612682872</v>
      </c>
      <c r="G31" s="6">
        <v>1167547.3574711173</v>
      </c>
      <c r="H31" s="6">
        <v>81028.349281853036</v>
      </c>
      <c r="I31" s="6">
        <v>23295.214436056394</v>
      </c>
      <c r="J31" s="6">
        <v>11231.115261669684</v>
      </c>
      <c r="K31" s="6">
        <v>13011.773935720388</v>
      </c>
      <c r="L31" s="6">
        <v>7457.0907581840138</v>
      </c>
      <c r="M31" s="6">
        <v>46098.580254036358</v>
      </c>
      <c r="N31" s="6">
        <v>16121.599979876632</v>
      </c>
      <c r="O31" s="6">
        <v>58.021435242428126</v>
      </c>
    </row>
    <row r="32" spans="1:15" s="42" customFormat="1" x14ac:dyDescent="0.25">
      <c r="A32" s="23">
        <f t="shared" si="1"/>
        <v>26</v>
      </c>
      <c r="C32" s="5" t="s">
        <v>127</v>
      </c>
      <c r="D32" s="5">
        <f t="shared" si="4"/>
        <v>0</v>
      </c>
      <c r="E32" s="6">
        <f t="shared" si="5"/>
        <v>25302937.027326718</v>
      </c>
      <c r="F32" s="6">
        <v>22234737.892873555</v>
      </c>
      <c r="G32" s="6">
        <v>2851357.7305485085</v>
      </c>
      <c r="H32" s="6">
        <v>177729.01368025815</v>
      </c>
      <c r="I32" s="6">
        <v>18122.000018692655</v>
      </c>
      <c r="J32" s="6">
        <v>14653.249094869279</v>
      </c>
      <c r="K32" s="6">
        <v>4224.7607405541166</v>
      </c>
      <c r="L32" s="6">
        <v>822.71656526580159</v>
      </c>
      <c r="M32" s="6">
        <v>1089.5435594060616</v>
      </c>
      <c r="N32" s="6">
        <v>0</v>
      </c>
      <c r="O32" s="6">
        <v>200.12024560519498</v>
      </c>
    </row>
    <row r="33" spans="1:15" s="42" customFormat="1" x14ac:dyDescent="0.25">
      <c r="A33" s="23">
        <f t="shared" si="1"/>
        <v>27</v>
      </c>
      <c r="C33" s="5" t="s">
        <v>128</v>
      </c>
      <c r="D33" s="5">
        <f t="shared" si="4"/>
        <v>0</v>
      </c>
      <c r="E33" s="6">
        <f t="shared" si="5"/>
        <v>14179929.207059458</v>
      </c>
      <c r="F33" s="6">
        <v>12203233.288530607</v>
      </c>
      <c r="G33" s="6">
        <v>1460759.2847558532</v>
      </c>
      <c r="H33" s="6">
        <v>121555.92397590238</v>
      </c>
      <c r="I33" s="6">
        <v>68080.172852533229</v>
      </c>
      <c r="J33" s="6">
        <v>26895.431096868742</v>
      </c>
      <c r="K33" s="6">
        <v>43988.734159788321</v>
      </c>
      <c r="L33" s="6">
        <v>26817.354697840245</v>
      </c>
      <c r="M33" s="6">
        <v>169795.60649280614</v>
      </c>
      <c r="N33" s="6">
        <v>58789.514276845381</v>
      </c>
      <c r="O33" s="6">
        <v>13.896220413519693</v>
      </c>
    </row>
    <row r="34" spans="1:15" x14ac:dyDescent="0.25">
      <c r="A34" s="46">
        <f t="shared" si="1"/>
        <v>28</v>
      </c>
      <c r="B34" s="47"/>
      <c r="C34" s="47" t="s">
        <v>129</v>
      </c>
      <c r="D34" s="47">
        <f t="shared" si="4"/>
        <v>0</v>
      </c>
      <c r="E34" s="48">
        <f>SUM(E26:E33)</f>
        <v>55046783.808885202</v>
      </c>
      <c r="F34" s="48">
        <f t="shared" ref="F34:O34" si="6">SUM(F26:F33)</f>
        <v>46920797.879881531</v>
      </c>
      <c r="G34" s="48">
        <f t="shared" si="6"/>
        <v>6355499.0564317359</v>
      </c>
      <c r="H34" s="48">
        <f t="shared" si="6"/>
        <v>624763.16968758893</v>
      </c>
      <c r="I34" s="48">
        <f t="shared" si="6"/>
        <v>140269.39499962467</v>
      </c>
      <c r="J34" s="48">
        <f t="shared" si="6"/>
        <v>487646.04181637749</v>
      </c>
      <c r="K34" s="48">
        <f t="shared" si="6"/>
        <v>89712.5424923807</v>
      </c>
      <c r="L34" s="48">
        <f t="shared" si="6"/>
        <v>49161.421355808889</v>
      </c>
      <c r="M34" s="48">
        <f t="shared" si="6"/>
        <v>236734.39384653082</v>
      </c>
      <c r="N34" s="48">
        <f t="shared" si="6"/>
        <v>135232.71440837238</v>
      </c>
      <c r="O34" s="48">
        <f t="shared" si="6"/>
        <v>6967.1939652418459</v>
      </c>
    </row>
    <row r="35" spans="1:15" s="42" customFormat="1" x14ac:dyDescent="0.25">
      <c r="A35" s="23">
        <f t="shared" si="1"/>
        <v>29</v>
      </c>
      <c r="C35" s="5"/>
      <c r="D35" s="5">
        <f t="shared" si="4"/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23">
        <f t="shared" si="1"/>
        <v>30</v>
      </c>
      <c r="C36" s="5" t="s">
        <v>130</v>
      </c>
      <c r="D36" s="5">
        <f t="shared" si="4"/>
        <v>0</v>
      </c>
      <c r="E36" s="6">
        <f>SUM(F36:O36)</f>
        <v>22711012.744835246</v>
      </c>
      <c r="F36" s="6">
        <v>18159289.512898911</v>
      </c>
      <c r="G36" s="6">
        <v>2495014.8431279371</v>
      </c>
      <c r="H36" s="6">
        <v>379758.16713145107</v>
      </c>
      <c r="I36" s="6">
        <v>91959.458840428648</v>
      </c>
      <c r="J36" s="6">
        <v>225956.1826177903</v>
      </c>
      <c r="K36" s="6">
        <v>43619.97260829639</v>
      </c>
      <c r="L36" s="6">
        <v>17098.323016859362</v>
      </c>
      <c r="M36" s="6">
        <v>73846.256308137978</v>
      </c>
      <c r="N36" s="6">
        <v>1221034.5045308182</v>
      </c>
      <c r="O36" s="6">
        <v>3435.5237546151429</v>
      </c>
    </row>
    <row r="37" spans="1:15" x14ac:dyDescent="0.25">
      <c r="A37" s="23">
        <f t="shared" si="1"/>
        <v>31</v>
      </c>
      <c r="C37" s="5" t="s">
        <v>131</v>
      </c>
      <c r="D37" s="5">
        <f t="shared" si="4"/>
        <v>0</v>
      </c>
      <c r="E37" s="6">
        <f>SUM(F37:O37)</f>
        <v>64067884.446702287</v>
      </c>
      <c r="F37" s="6">
        <v>51185989.228290528</v>
      </c>
      <c r="G37" s="6">
        <v>7113063.7490271088</v>
      </c>
      <c r="H37" s="6">
        <v>779257.28373891977</v>
      </c>
      <c r="I37" s="6">
        <v>157627.81084101452</v>
      </c>
      <c r="J37" s="6">
        <v>751958.70348796144</v>
      </c>
      <c r="K37" s="6">
        <v>106498.93858822736</v>
      </c>
      <c r="L37" s="6">
        <v>57728.559947909518</v>
      </c>
      <c r="M37" s="6">
        <v>248725.21905384099</v>
      </c>
      <c r="N37" s="6">
        <v>3656010.1256963508</v>
      </c>
      <c r="O37" s="6">
        <v>11024.828030421706</v>
      </c>
    </row>
    <row r="38" spans="1:15" x14ac:dyDescent="0.25">
      <c r="A38" s="46">
        <f t="shared" si="1"/>
        <v>32</v>
      </c>
      <c r="B38" s="47"/>
      <c r="C38" s="47" t="s">
        <v>132</v>
      </c>
      <c r="D38" s="47">
        <f t="shared" si="4"/>
        <v>0</v>
      </c>
      <c r="E38" s="48">
        <f>+SUM(F38:O38)</f>
        <v>19577184.818412784</v>
      </c>
      <c r="F38" s="48">
        <v>16646124.568909464</v>
      </c>
      <c r="G38" s="48">
        <v>2229287.553264461</v>
      </c>
      <c r="H38" s="48">
        <v>304468.01225060486</v>
      </c>
      <c r="I38" s="48">
        <v>81832.625773443055</v>
      </c>
      <c r="J38" s="48">
        <v>146544.28306604369</v>
      </c>
      <c r="K38" s="48">
        <v>36744.578847575976</v>
      </c>
      <c r="L38" s="48">
        <v>14560.866632876881</v>
      </c>
      <c r="M38" s="48">
        <v>70286.202700848109</v>
      </c>
      <c r="N38" s="48">
        <v>45165.030937252646</v>
      </c>
      <c r="O38" s="48">
        <v>2171.096030210284</v>
      </c>
    </row>
    <row r="39" spans="1:15" x14ac:dyDescent="0.25">
      <c r="A39" s="23">
        <f t="shared" si="1"/>
        <v>33</v>
      </c>
      <c r="D39" s="5">
        <f t="shared" si="4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15" x14ac:dyDescent="0.25">
      <c r="A40" s="23">
        <f t="shared" si="1"/>
        <v>34</v>
      </c>
      <c r="C40" s="5" t="s">
        <v>133</v>
      </c>
      <c r="D40" s="5">
        <f t="shared" si="4"/>
        <v>0</v>
      </c>
      <c r="E40" s="6">
        <f>SUM(F40:O40)</f>
        <v>27310231.790335312</v>
      </c>
      <c r="F40" s="6">
        <v>19735215.229143985</v>
      </c>
      <c r="G40" s="6">
        <v>3011513.3137190449</v>
      </c>
      <c r="H40" s="6">
        <v>1165609.3990596414</v>
      </c>
      <c r="I40" s="6">
        <v>314238.32100186107</v>
      </c>
      <c r="J40" s="6">
        <v>455826.89247800451</v>
      </c>
      <c r="K40" s="6">
        <v>104111.58745043034</v>
      </c>
      <c r="L40" s="6">
        <v>13837.504376316641</v>
      </c>
      <c r="M40" s="6">
        <v>19432.227938447879</v>
      </c>
      <c r="N40" s="6">
        <v>2482661.6897062012</v>
      </c>
      <c r="O40" s="6">
        <v>7785.6254613776819</v>
      </c>
    </row>
    <row r="41" spans="1:15" x14ac:dyDescent="0.25">
      <c r="A41" s="46">
        <f t="shared" si="1"/>
        <v>35</v>
      </c>
      <c r="B41" s="47"/>
      <c r="C41" s="47" t="s">
        <v>134</v>
      </c>
      <c r="D41" s="47">
        <f t="shared" si="4"/>
        <v>0</v>
      </c>
      <c r="E41" s="48">
        <f>SUM(F41:O41)</f>
        <v>25583474.910358362</v>
      </c>
      <c r="F41" s="48">
        <v>19735215.229143985</v>
      </c>
      <c r="G41" s="48">
        <v>3011513.3137190449</v>
      </c>
      <c r="H41" s="48">
        <v>1165609.3990596414</v>
      </c>
      <c r="I41" s="48">
        <v>314238.32100186107</v>
      </c>
      <c r="J41" s="48">
        <v>455826.89247800451</v>
      </c>
      <c r="K41" s="48">
        <v>104111.58745043034</v>
      </c>
      <c r="L41" s="48">
        <v>13837.504376316641</v>
      </c>
      <c r="M41" s="48">
        <v>19432.227938447879</v>
      </c>
      <c r="N41" s="48">
        <v>755904.80972925015</v>
      </c>
      <c r="O41" s="48">
        <v>7785.6254613776819</v>
      </c>
    </row>
    <row r="42" spans="1:15" x14ac:dyDescent="0.25">
      <c r="A42" s="23">
        <f t="shared" si="1"/>
        <v>36</v>
      </c>
      <c r="D42" s="5">
        <f t="shared" si="4"/>
        <v>0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 x14ac:dyDescent="0.25">
      <c r="A43" s="23">
        <f t="shared" si="1"/>
        <v>37</v>
      </c>
      <c r="C43" s="5" t="s">
        <v>135</v>
      </c>
      <c r="D43" s="5">
        <f t="shared" si="4"/>
        <v>0</v>
      </c>
      <c r="E43" s="6">
        <f>SUM(F43:O43)</f>
        <v>32829219.51646046</v>
      </c>
      <c r="F43" s="6">
        <v>24161518.252745718</v>
      </c>
      <c r="G43" s="6">
        <v>3609509.9843191742</v>
      </c>
      <c r="H43" s="6">
        <v>1287275.8860622649</v>
      </c>
      <c r="I43" s="6">
        <v>347008.79867663392</v>
      </c>
      <c r="J43" s="6">
        <v>497270.91748643841</v>
      </c>
      <c r="K43" s="6">
        <v>116328.80487131994</v>
      </c>
      <c r="L43" s="6">
        <v>16968.770755437512</v>
      </c>
      <c r="M43" s="6">
        <v>33191.865296284042</v>
      </c>
      <c r="N43" s="6">
        <v>2751688.836779783</v>
      </c>
      <c r="O43" s="6">
        <v>8457.3994674070418</v>
      </c>
    </row>
    <row r="44" spans="1:15" x14ac:dyDescent="0.25">
      <c r="A44" s="23">
        <f t="shared" si="1"/>
        <v>38</v>
      </c>
      <c r="C44" s="5" t="s">
        <v>136</v>
      </c>
      <c r="D44" s="5">
        <f t="shared" si="4"/>
        <v>0</v>
      </c>
      <c r="E44" s="6">
        <f>SUM(F44:O44)</f>
        <v>5518987.7261251528</v>
      </c>
      <c r="F44" s="6">
        <v>4426303.023601735</v>
      </c>
      <c r="G44" s="6">
        <v>597996.67060012929</v>
      </c>
      <c r="H44" s="6">
        <v>121666.48700262346</v>
      </c>
      <c r="I44" s="6">
        <v>32770.477674772861</v>
      </c>
      <c r="J44" s="6">
        <v>41444.025008433942</v>
      </c>
      <c r="K44" s="6">
        <v>12217.217420889603</v>
      </c>
      <c r="L44" s="6">
        <v>3131.2663791208715</v>
      </c>
      <c r="M44" s="6">
        <v>13759.637357836162</v>
      </c>
      <c r="N44" s="6">
        <v>269027.14707358164</v>
      </c>
      <c r="O44" s="6">
        <v>671.77400602935938</v>
      </c>
    </row>
    <row r="45" spans="1:15" x14ac:dyDescent="0.25">
      <c r="A45" s="23">
        <f t="shared" si="1"/>
        <v>39</v>
      </c>
      <c r="C45" s="5" t="s">
        <v>137</v>
      </c>
      <c r="D45" s="5">
        <f t="shared" si="4"/>
        <v>0</v>
      </c>
      <c r="E45" s="6">
        <f>SUM(F45:O45)</f>
        <v>27310231.790335312</v>
      </c>
      <c r="F45" s="6">
        <v>19735215.229143985</v>
      </c>
      <c r="G45" s="6">
        <v>3011513.3137190449</v>
      </c>
      <c r="H45" s="6">
        <v>1165609.3990596414</v>
      </c>
      <c r="I45" s="6">
        <v>314238.32100186107</v>
      </c>
      <c r="J45" s="6">
        <v>455826.89247800451</v>
      </c>
      <c r="K45" s="6">
        <v>104111.58745043034</v>
      </c>
      <c r="L45" s="6">
        <v>13837.50437631664</v>
      </c>
      <c r="M45" s="6">
        <v>19432.227938447879</v>
      </c>
      <c r="N45" s="6">
        <v>2482661.6897062012</v>
      </c>
      <c r="O45" s="6">
        <v>7785.6254613776828</v>
      </c>
    </row>
    <row r="46" spans="1:15" x14ac:dyDescent="0.25">
      <c r="A46" s="46">
        <f t="shared" si="1"/>
        <v>40</v>
      </c>
      <c r="B46" s="47"/>
      <c r="C46" s="47" t="s">
        <v>138</v>
      </c>
      <c r="D46" s="47">
        <f t="shared" si="4"/>
        <v>0</v>
      </c>
      <c r="E46" s="48">
        <f>+SUM(F46:O46)</f>
        <v>5331872.2286588615</v>
      </c>
      <c r="F46" s="48">
        <v>4426303.023601735</v>
      </c>
      <c r="G46" s="48">
        <v>597996.67060012929</v>
      </c>
      <c r="H46" s="48">
        <v>121666.48700262346</v>
      </c>
      <c r="I46" s="48">
        <v>32770.477674772861</v>
      </c>
      <c r="J46" s="48">
        <v>41444.025008433942</v>
      </c>
      <c r="K46" s="48">
        <v>12217.217420889603</v>
      </c>
      <c r="L46" s="48">
        <v>3131.2663791208724</v>
      </c>
      <c r="M46" s="48">
        <v>13759.637357836162</v>
      </c>
      <c r="N46" s="48">
        <v>81911.649607290747</v>
      </c>
      <c r="O46" s="48">
        <v>671.77400602935927</v>
      </c>
    </row>
    <row r="47" spans="1:15" x14ac:dyDescent="0.25">
      <c r="A47" s="23">
        <f t="shared" si="1"/>
        <v>41</v>
      </c>
      <c r="D47" s="5">
        <f t="shared" si="4"/>
        <v>0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1:15" x14ac:dyDescent="0.25">
      <c r="A48" s="23">
        <f t="shared" si="1"/>
        <v>42</v>
      </c>
      <c r="C48" s="5" t="s">
        <v>139</v>
      </c>
      <c r="D48" s="5">
        <f t="shared" si="4"/>
        <v>0</v>
      </c>
      <c r="E48" s="6">
        <f>SUM(F48:O48)</f>
        <v>955395712.69862866</v>
      </c>
      <c r="F48" s="6">
        <v>700629446.81524289</v>
      </c>
      <c r="G48" s="6">
        <v>105104791.01019274</v>
      </c>
      <c r="H48" s="6">
        <v>38117068.462818548</v>
      </c>
      <c r="I48" s="6">
        <v>10275340.408202872</v>
      </c>
      <c r="J48" s="6">
        <v>14762907.064956132</v>
      </c>
      <c r="K48" s="6">
        <v>3436122.2818338093</v>
      </c>
      <c r="L48" s="6">
        <v>491899.48652454099</v>
      </c>
      <c r="M48" s="6">
        <v>909417.39530440653</v>
      </c>
      <c r="N48" s="6">
        <v>81417409.023332551</v>
      </c>
      <c r="O48" s="6">
        <v>251310.75022007123</v>
      </c>
    </row>
    <row r="49" spans="1:15" x14ac:dyDescent="0.25">
      <c r="A49" s="23">
        <f t="shared" si="1"/>
        <v>43</v>
      </c>
      <c r="C49" s="5" t="s">
        <v>140</v>
      </c>
      <c r="D49" s="5">
        <f t="shared" si="4"/>
        <v>0</v>
      </c>
      <c r="E49" s="6">
        <f>SUM(F49:O49)</f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</row>
    <row r="50" spans="1:15" x14ac:dyDescent="0.25">
      <c r="A50" s="46">
        <f t="shared" si="1"/>
        <v>44</v>
      </c>
      <c r="B50" s="47"/>
      <c r="C50" s="47" t="s">
        <v>141</v>
      </c>
      <c r="D50" s="47">
        <f t="shared" si="4"/>
        <v>0</v>
      </c>
      <c r="E50" s="48">
        <f>+SUM(F50:O50)</f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</row>
    <row r="51" spans="1:15" x14ac:dyDescent="0.25">
      <c r="A51" s="23">
        <f t="shared" si="1"/>
        <v>45</v>
      </c>
      <c r="D51" s="5">
        <f t="shared" si="4"/>
        <v>0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1:15" x14ac:dyDescent="0.25">
      <c r="A52" s="24">
        <f t="shared" si="1"/>
        <v>46</v>
      </c>
      <c r="B52" s="14"/>
      <c r="C52" s="14" t="s">
        <v>142</v>
      </c>
      <c r="D52" s="14">
        <f t="shared" si="4"/>
        <v>0</v>
      </c>
      <c r="E52" s="15">
        <f>SUM(E50,E46,E41,E38,E34)</f>
        <v>105539315.76631521</v>
      </c>
      <c r="F52" s="15">
        <f t="shared" ref="F52:O52" si="7">SUM(F50,F46,F41,F38,F34)</f>
        <v>87728440.701536715</v>
      </c>
      <c r="G52" s="15">
        <f t="shared" si="7"/>
        <v>12194296.594015371</v>
      </c>
      <c r="H52" s="15">
        <f t="shared" si="7"/>
        <v>2216507.0680004586</v>
      </c>
      <c r="I52" s="15">
        <f t="shared" si="7"/>
        <v>569110.8194497017</v>
      </c>
      <c r="J52" s="15">
        <f t="shared" si="7"/>
        <v>1131461.2423688597</v>
      </c>
      <c r="K52" s="15">
        <f t="shared" si="7"/>
        <v>242785.92621127662</v>
      </c>
      <c r="L52" s="15">
        <f t="shared" si="7"/>
        <v>80691.058744123293</v>
      </c>
      <c r="M52" s="15">
        <f t="shared" si="7"/>
        <v>340212.46184366295</v>
      </c>
      <c r="N52" s="15">
        <f t="shared" si="7"/>
        <v>1018214.204682166</v>
      </c>
      <c r="O52" s="15">
        <f t="shared" si="7"/>
        <v>17595.689462859169</v>
      </c>
    </row>
    <row r="53" spans="1:15" x14ac:dyDescent="0.25">
      <c r="A53" s="23">
        <f t="shared" si="1"/>
        <v>47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</row>
    <row r="54" spans="1:15" s="42" customFormat="1" x14ac:dyDescent="0.25">
      <c r="A54" s="23">
        <f t="shared" si="1"/>
        <v>48</v>
      </c>
      <c r="B54" s="5"/>
      <c r="C54" s="5" t="s">
        <v>143</v>
      </c>
      <c r="D54" s="5"/>
      <c r="E54" s="51">
        <f>SUM(F54:O54)</f>
        <v>13380480</v>
      </c>
      <c r="F54" s="51">
        <v>11767920</v>
      </c>
      <c r="G54" s="51">
        <v>1415016</v>
      </c>
      <c r="H54" s="51">
        <v>91392</v>
      </c>
      <c r="I54" s="51">
        <v>9336</v>
      </c>
      <c r="J54" s="51">
        <v>7608</v>
      </c>
      <c r="K54" s="51">
        <v>1896</v>
      </c>
      <c r="L54" s="51">
        <v>300</v>
      </c>
      <c r="M54" s="51">
        <v>192</v>
      </c>
      <c r="N54" s="51">
        <v>86724</v>
      </c>
      <c r="O54" s="51">
        <v>96</v>
      </c>
    </row>
    <row r="55" spans="1:15" x14ac:dyDescent="0.25">
      <c r="A55" s="23">
        <f t="shared" si="1"/>
        <v>49</v>
      </c>
      <c r="C55" s="5" t="s">
        <v>144</v>
      </c>
      <c r="E55" s="12">
        <v>6.6934999999999995E-2</v>
      </c>
      <c r="F55" s="12">
        <v>6.6934999999999995E-2</v>
      </c>
      <c r="G55" s="12">
        <v>6.6934999999999995E-2</v>
      </c>
      <c r="H55" s="12">
        <v>6.6934999999999995E-2</v>
      </c>
      <c r="I55" s="12">
        <v>6.6934999999999995E-2</v>
      </c>
      <c r="J55" s="12">
        <v>6.6934999999999995E-2</v>
      </c>
      <c r="K55" s="12">
        <v>6.6934999999999995E-2</v>
      </c>
      <c r="L55" s="12">
        <v>6.6934999999999995E-2</v>
      </c>
      <c r="M55" s="12">
        <v>6.6934999999999995E-2</v>
      </c>
      <c r="N55" s="12">
        <v>6.6934999999999995E-2</v>
      </c>
      <c r="O55" s="12">
        <v>6.6934999999999995E-2</v>
      </c>
    </row>
    <row r="56" spans="1:15" x14ac:dyDescent="0.25">
      <c r="A56" s="23">
        <f t="shared" si="1"/>
        <v>50</v>
      </c>
      <c r="C56" s="5" t="s">
        <v>145</v>
      </c>
      <c r="E56" s="13">
        <v>0.61905100000000002</v>
      </c>
      <c r="F56" s="13">
        <v>0.61905100000000002</v>
      </c>
      <c r="G56" s="13">
        <v>0.61905100000000002</v>
      </c>
      <c r="H56" s="13">
        <v>0.61905100000000002</v>
      </c>
      <c r="I56" s="13">
        <v>0.61905100000000002</v>
      </c>
      <c r="J56" s="13">
        <v>0.61905100000000002</v>
      </c>
      <c r="K56" s="13">
        <v>0.61905100000000002</v>
      </c>
      <c r="L56" s="13">
        <v>0.61905100000000002</v>
      </c>
      <c r="M56" s="13">
        <v>0.61905100000000002</v>
      </c>
      <c r="N56" s="13">
        <v>0.61905100000000002</v>
      </c>
      <c r="O56" s="13">
        <v>0.61905100000000002</v>
      </c>
    </row>
    <row r="57" spans="1:15" x14ac:dyDescent="0.25">
      <c r="A57" s="23">
        <f t="shared" si="1"/>
        <v>51</v>
      </c>
      <c r="C57" s="5" t="s">
        <v>146</v>
      </c>
      <c r="E57" s="52">
        <v>0.65</v>
      </c>
      <c r="F57" s="52">
        <v>0.65</v>
      </c>
      <c r="G57" s="52">
        <v>0.65</v>
      </c>
      <c r="H57" s="52">
        <v>0.65</v>
      </c>
      <c r="I57" s="52">
        <v>0.65</v>
      </c>
      <c r="J57" s="52">
        <v>0.65</v>
      </c>
      <c r="K57" s="52">
        <v>0.65</v>
      </c>
      <c r="L57" s="52">
        <v>0.65</v>
      </c>
      <c r="M57" s="52">
        <v>0.65</v>
      </c>
      <c r="N57" s="52">
        <v>0.65</v>
      </c>
      <c r="O57" s="52">
        <v>0.65</v>
      </c>
    </row>
    <row r="58" spans="1:15" x14ac:dyDescent="0.25">
      <c r="A58" s="23">
        <f t="shared" si="1"/>
        <v>52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37">
        <f t="shared" si="1"/>
        <v>53</v>
      </c>
      <c r="B59" s="1"/>
      <c r="C59" s="1" t="s">
        <v>147</v>
      </c>
      <c r="D59" s="1"/>
      <c r="E59" s="53">
        <f>+(E23*E55)/E56/E54</f>
        <v>3.9617596299658291</v>
      </c>
      <c r="F59" s="53">
        <f>+($F$23*$F$55)/$F$56/$F$54</f>
        <v>3.4174033198227391</v>
      </c>
      <c r="G59" s="53">
        <f t="shared" ref="G59:O59" si="8">+(G23*G55)/G56/G54</f>
        <v>4.7137068510854201</v>
      </c>
      <c r="H59" s="53">
        <f t="shared" si="8"/>
        <v>27.380927338110148</v>
      </c>
      <c r="I59" s="53">
        <f t="shared" si="8"/>
        <v>71.40329763127032</v>
      </c>
      <c r="J59" s="53">
        <f t="shared" si="8"/>
        <v>138.26733599490711</v>
      </c>
      <c r="K59" s="53">
        <f t="shared" si="8"/>
        <v>101.30765390875492</v>
      </c>
      <c r="L59" s="53">
        <f t="shared" si="8"/>
        <v>115.21089027073469</v>
      </c>
      <c r="M59" s="53">
        <f t="shared" si="8"/>
        <v>305.03902451948392</v>
      </c>
      <c r="N59" s="53">
        <f t="shared" si="8"/>
        <v>18.457597362231155</v>
      </c>
      <c r="O59" s="53">
        <f t="shared" si="8"/>
        <v>183.98405312310956</v>
      </c>
    </row>
    <row r="60" spans="1:15" x14ac:dyDescent="0.25">
      <c r="A60" s="37">
        <f t="shared" si="1"/>
        <v>54</v>
      </c>
      <c r="B60" s="1"/>
      <c r="C60" s="1" t="s">
        <v>148</v>
      </c>
      <c r="D60" s="1"/>
      <c r="E60" s="53">
        <f>+E52*E57/E56/E54</f>
        <v>8.2818909583626699</v>
      </c>
      <c r="F60" s="53">
        <f t="shared" ref="F60:O60" si="9">+F52*F57/F56/F54</f>
        <v>7.8275820748692597</v>
      </c>
      <c r="G60" s="53">
        <f t="shared" si="9"/>
        <v>9.0486195876917357</v>
      </c>
      <c r="H60" s="53">
        <f t="shared" si="9"/>
        <v>25.46524543345555</v>
      </c>
      <c r="I60" s="53">
        <f t="shared" si="9"/>
        <v>64.006329992325448</v>
      </c>
      <c r="J60" s="53">
        <f t="shared" si="9"/>
        <v>156.15507571341905</v>
      </c>
      <c r="K60" s="53">
        <f t="shared" si="9"/>
        <v>134.45349696494557</v>
      </c>
      <c r="L60" s="53">
        <f t="shared" si="9"/>
        <v>282.41716317223262</v>
      </c>
      <c r="M60" s="53">
        <f>+M52*M57/M56/M54</f>
        <v>1860.5267393691863</v>
      </c>
      <c r="N60" s="53">
        <f t="shared" si="9"/>
        <v>12.32783400075321</v>
      </c>
      <c r="O60" s="53">
        <f t="shared" si="9"/>
        <v>192.45180241710125</v>
      </c>
    </row>
    <row r="61" spans="1:15" ht="13.8" thickBot="1" x14ac:dyDescent="0.3">
      <c r="A61" s="25">
        <f t="shared" si="1"/>
        <v>55</v>
      </c>
      <c r="B61" s="8"/>
      <c r="C61" s="8" t="s">
        <v>149</v>
      </c>
      <c r="D61" s="8"/>
      <c r="E61" s="54">
        <f>SUM(E59:E60)</f>
        <v>12.243650588328499</v>
      </c>
      <c r="F61" s="54">
        <f t="shared" ref="F61:O61" si="10">SUM(F59:F60)</f>
        <v>11.244985394691998</v>
      </c>
      <c r="G61" s="54">
        <f t="shared" si="10"/>
        <v>13.762326438777155</v>
      </c>
      <c r="H61" s="54">
        <f t="shared" si="10"/>
        <v>52.846172771565698</v>
      </c>
      <c r="I61" s="54">
        <f t="shared" si="10"/>
        <v>135.40962762359578</v>
      </c>
      <c r="J61" s="54">
        <f t="shared" si="10"/>
        <v>294.42241170832619</v>
      </c>
      <c r="K61" s="54">
        <f t="shared" si="10"/>
        <v>235.7611508737005</v>
      </c>
      <c r="L61" s="54">
        <f t="shared" si="10"/>
        <v>397.62805344296731</v>
      </c>
      <c r="M61" s="54">
        <f t="shared" si="10"/>
        <v>2165.5657638886701</v>
      </c>
      <c r="N61" s="54">
        <f t="shared" si="10"/>
        <v>30.785431362984365</v>
      </c>
      <c r="O61" s="54">
        <f t="shared" si="10"/>
        <v>376.43585554021081</v>
      </c>
    </row>
    <row r="62" spans="1:15" ht="13.8" thickTop="1" x14ac:dyDescent="0.25"/>
  </sheetData>
  <mergeCells count="4">
    <mergeCell ref="A1:O1"/>
    <mergeCell ref="A2:O2"/>
    <mergeCell ref="A3:O3"/>
    <mergeCell ref="A4:O4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3"/>
  <sheetViews>
    <sheetView showGridLines="0" zoomScaleNormal="100" workbookViewId="0">
      <pane xSplit="2" ySplit="6" topLeftCell="C22" activePane="bottomRight" state="frozen"/>
      <selection activeCell="A15" sqref="A15"/>
      <selection pane="topRight" activeCell="A15" sqref="A15"/>
      <selection pane="bottomLeft" activeCell="A15" sqref="A15"/>
      <selection pane="bottomRight" activeCell="I15" sqref="I15"/>
    </sheetView>
  </sheetViews>
  <sheetFormatPr defaultColWidth="5.88671875" defaultRowHeight="13.2" x14ac:dyDescent="0.25"/>
  <cols>
    <col min="1" max="1" width="4.6640625" style="5" bestFit="1" customWidth="1"/>
    <col min="2" max="2" width="34.33203125" style="5" customWidth="1"/>
    <col min="3" max="3" width="15.6640625" style="5" bestFit="1" customWidth="1"/>
    <col min="4" max="4" width="10" style="5" bestFit="1" customWidth="1"/>
    <col min="5" max="5" width="16.109375" style="5" bestFit="1" customWidth="1"/>
    <col min="6" max="6" width="10" style="5" bestFit="1" customWidth="1"/>
    <col min="7" max="7" width="15.109375" style="5" bestFit="1" customWidth="1"/>
    <col min="8" max="8" width="5.88671875" style="5"/>
    <col min="9" max="9" width="15.5546875" style="5" bestFit="1" customWidth="1"/>
    <col min="10" max="10" width="9.88671875" style="5" bestFit="1" customWidth="1"/>
    <col min="11" max="11" width="15" style="5" bestFit="1" customWidth="1"/>
    <col min="12" max="16384" width="5.88671875" style="5"/>
  </cols>
  <sheetData>
    <row r="1" spans="1:11" x14ac:dyDescent="0.25">
      <c r="A1" s="88" t="str">
        <f>+'Ratebase Summary'!A1</f>
        <v>Puget Sound Energy</v>
      </c>
      <c r="B1" s="88"/>
      <c r="C1" s="88"/>
      <c r="D1" s="88"/>
      <c r="E1" s="88"/>
      <c r="F1" s="88"/>
      <c r="G1" s="88"/>
    </row>
    <row r="2" spans="1:11" x14ac:dyDescent="0.25">
      <c r="A2" s="88" t="str">
        <f>+'Ratebase Summary'!A3</f>
        <v>Adjusted Test Year Twelve Months ended September 2016 @ Proforma Rev Requirement</v>
      </c>
      <c r="B2" s="88"/>
      <c r="C2" s="88"/>
      <c r="D2" s="88"/>
      <c r="E2" s="88"/>
      <c r="F2" s="88"/>
      <c r="G2" s="88"/>
    </row>
    <row r="3" spans="1:11" x14ac:dyDescent="0.25">
      <c r="A3" s="88" t="s">
        <v>150</v>
      </c>
      <c r="B3" s="88"/>
      <c r="C3" s="88"/>
      <c r="D3" s="88"/>
      <c r="E3" s="88"/>
      <c r="F3" s="88"/>
      <c r="G3" s="88"/>
    </row>
    <row r="4" spans="1:11" s="42" customFormat="1" x14ac:dyDescent="0.25">
      <c r="A4" s="5"/>
    </row>
    <row r="5" spans="1:11" s="1" customFormat="1" x14ac:dyDescent="0.25">
      <c r="A5" s="47"/>
      <c r="B5" s="47"/>
      <c r="C5" s="46"/>
      <c r="D5" s="91" t="s">
        <v>151</v>
      </c>
      <c r="E5" s="92"/>
      <c r="F5" s="92" t="s">
        <v>152</v>
      </c>
      <c r="G5" s="92"/>
      <c r="J5" s="89"/>
      <c r="K5" s="89"/>
    </row>
    <row r="6" spans="1:11" s="58" customFormat="1" x14ac:dyDescent="0.25">
      <c r="A6" s="55" t="s">
        <v>2</v>
      </c>
      <c r="B6" s="55" t="s">
        <v>95</v>
      </c>
      <c r="C6" s="56" t="s">
        <v>71</v>
      </c>
      <c r="D6" s="56" t="s">
        <v>153</v>
      </c>
      <c r="E6" s="57" t="s">
        <v>154</v>
      </c>
      <c r="F6" s="56" t="s">
        <v>153</v>
      </c>
      <c r="G6" s="56" t="s">
        <v>155</v>
      </c>
      <c r="I6" s="1"/>
      <c r="J6" s="1"/>
      <c r="K6" s="1"/>
    </row>
    <row r="7" spans="1:11" s="1" customFormat="1" x14ac:dyDescent="0.25">
      <c r="B7" s="59" t="s">
        <v>20</v>
      </c>
      <c r="C7" s="37" t="s">
        <v>21</v>
      </c>
      <c r="D7" s="37" t="s">
        <v>22</v>
      </c>
      <c r="E7" s="37" t="s">
        <v>23</v>
      </c>
      <c r="F7" s="37" t="s">
        <v>22</v>
      </c>
      <c r="G7" s="37" t="s">
        <v>23</v>
      </c>
    </row>
    <row r="8" spans="1:11" x14ac:dyDescent="0.25">
      <c r="A8" s="23">
        <v>1</v>
      </c>
      <c r="B8" s="1" t="s">
        <v>156</v>
      </c>
    </row>
    <row r="9" spans="1:11" x14ac:dyDescent="0.25">
      <c r="A9" s="23">
        <f t="shared" ref="A9:A31" si="0">+A8+1</f>
        <v>2</v>
      </c>
      <c r="B9" s="5" t="s">
        <v>157</v>
      </c>
      <c r="C9" s="6">
        <f>SUM('Ratebase Summary'!E50)</f>
        <v>3527157160.6871805</v>
      </c>
      <c r="D9" s="60">
        <f>+E9/$C9</f>
        <v>0.20551090163028882</v>
      </c>
      <c r="E9" s="6">
        <f>SUM('Ratebase Summary'!E36:E38)</f>
        <v>724869248.28455198</v>
      </c>
      <c r="F9" s="60">
        <f>+G9/$C9</f>
        <v>0.42479845279377992</v>
      </c>
      <c r="G9" s="6">
        <f>SUM('Ratebase Summary'!E39:E41)</f>
        <v>1498330904.6204162</v>
      </c>
    </row>
    <row r="10" spans="1:11" x14ac:dyDescent="0.25">
      <c r="A10" s="23">
        <f t="shared" si="0"/>
        <v>3</v>
      </c>
      <c r="B10" s="5" t="s">
        <v>158</v>
      </c>
      <c r="C10" s="6">
        <f>SUM('Ratebase Summary'!E109)</f>
        <v>-1343450531.8212132</v>
      </c>
      <c r="D10" s="60">
        <f>+E10/$C10</f>
        <v>0.19687086484926886</v>
      </c>
      <c r="E10" s="6">
        <f>SUM('Ratebase Summary'!E95:E97)</f>
        <v>-264486268.08185244</v>
      </c>
      <c r="F10" s="60">
        <f>+G10/$C10</f>
        <v>0.44097756457878895</v>
      </c>
      <c r="G10" s="6">
        <f>SUM('Ratebase Summary'!E98:E100)</f>
        <v>-592431543.6545974</v>
      </c>
    </row>
    <row r="11" spans="1:11" x14ac:dyDescent="0.25">
      <c r="A11" s="23">
        <f t="shared" si="0"/>
        <v>4</v>
      </c>
      <c r="B11" s="5" t="s">
        <v>159</v>
      </c>
      <c r="C11" s="6">
        <f>+C12-C9-C10</f>
        <v>-238650692.06043863</v>
      </c>
      <c r="D11" s="60">
        <f>SUM(E9:E10)/SUM(C9:C10)</f>
        <v>0.21082638762780309</v>
      </c>
      <c r="E11" s="6">
        <f>+C11*D11</f>
        <v>-50313863.311977506</v>
      </c>
      <c r="F11" s="60">
        <f>SUM(G9:G10)/SUM(C9:C10)</f>
        <v>0.4148448097335613</v>
      </c>
      <c r="G11" s="6">
        <f>+C11*F11</f>
        <v>-99003000.940595388</v>
      </c>
    </row>
    <row r="12" spans="1:11" x14ac:dyDescent="0.25">
      <c r="A12" s="46">
        <f>+A11+1</f>
        <v>5</v>
      </c>
      <c r="B12" s="61" t="s">
        <v>160</v>
      </c>
      <c r="C12" s="48">
        <f>+'Class Summary'!E84</f>
        <v>1945055936.8055286</v>
      </c>
      <c r="D12" s="62"/>
      <c r="E12" s="48">
        <f>SUM(E9:E11)</f>
        <v>410069116.89072204</v>
      </c>
      <c r="F12" s="62"/>
      <c r="G12" s="48">
        <f>SUM(G9:G11)</f>
        <v>806896360.02522337</v>
      </c>
    </row>
    <row r="13" spans="1:11" x14ac:dyDescent="0.25">
      <c r="A13" s="23">
        <f t="shared" si="0"/>
        <v>6</v>
      </c>
      <c r="C13" s="6"/>
      <c r="D13" s="60"/>
      <c r="E13" s="63"/>
      <c r="F13" s="60"/>
      <c r="G13" s="63"/>
      <c r="J13" s="42"/>
      <c r="K13" s="42"/>
    </row>
    <row r="14" spans="1:11" x14ac:dyDescent="0.25">
      <c r="A14" s="23">
        <f t="shared" si="0"/>
        <v>7</v>
      </c>
      <c r="B14" s="5" t="s">
        <v>161</v>
      </c>
      <c r="C14" s="64">
        <v>7.7399999999999997E-2</v>
      </c>
      <c r="D14" s="64"/>
      <c r="E14" s="64">
        <f>+C14</f>
        <v>7.7399999999999997E-2</v>
      </c>
      <c r="F14" s="64"/>
      <c r="G14" s="64">
        <f>+C14</f>
        <v>7.7399999999999997E-2</v>
      </c>
    </row>
    <row r="15" spans="1:11" x14ac:dyDescent="0.25">
      <c r="A15" s="24">
        <f t="shared" si="0"/>
        <v>8</v>
      </c>
      <c r="B15" s="14" t="s">
        <v>162</v>
      </c>
      <c r="C15" s="15">
        <f>+C14*C12</f>
        <v>150547329.50874791</v>
      </c>
      <c r="D15" s="65"/>
      <c r="E15" s="15">
        <f>+E14*E12</f>
        <v>31739349.647341885</v>
      </c>
      <c r="F15" s="65"/>
      <c r="G15" s="15">
        <f>+G14*G12</f>
        <v>62453778.265952289</v>
      </c>
    </row>
    <row r="16" spans="1:11" x14ac:dyDescent="0.25">
      <c r="A16" s="23">
        <f t="shared" si="0"/>
        <v>9</v>
      </c>
      <c r="C16" s="6"/>
      <c r="D16" s="60"/>
      <c r="E16" s="6"/>
      <c r="F16" s="60"/>
      <c r="G16" s="6"/>
      <c r="I16" s="42"/>
      <c r="J16" s="42"/>
      <c r="K16" s="42"/>
    </row>
    <row r="17" spans="1:11" x14ac:dyDescent="0.25">
      <c r="A17" s="23">
        <f t="shared" si="0"/>
        <v>10</v>
      </c>
      <c r="B17" s="1" t="s">
        <v>163</v>
      </c>
      <c r="C17" s="6"/>
      <c r="D17" s="60"/>
      <c r="E17" s="6"/>
      <c r="F17" s="60"/>
      <c r="G17" s="6"/>
      <c r="I17" s="42"/>
      <c r="J17" s="42"/>
    </row>
    <row r="18" spans="1:11" x14ac:dyDescent="0.25">
      <c r="A18" s="23">
        <f t="shared" si="0"/>
        <v>11</v>
      </c>
      <c r="B18" s="5" t="s">
        <v>164</v>
      </c>
      <c r="C18" s="6">
        <v>410516568.61040485</v>
      </c>
      <c r="D18" s="60"/>
      <c r="E18" s="6"/>
      <c r="F18" s="60"/>
      <c r="G18" s="6"/>
      <c r="J18" s="42"/>
    </row>
    <row r="19" spans="1:11" x14ac:dyDescent="0.25">
      <c r="A19" s="23">
        <f t="shared" si="0"/>
        <v>12</v>
      </c>
      <c r="B19" s="5" t="s">
        <v>165</v>
      </c>
      <c r="C19" s="6"/>
      <c r="D19" s="60"/>
      <c r="E19" s="6"/>
      <c r="F19" s="60"/>
      <c r="G19" s="6"/>
      <c r="J19" s="42"/>
    </row>
    <row r="20" spans="1:11" x14ac:dyDescent="0.25">
      <c r="A20" s="23">
        <f t="shared" si="0"/>
        <v>13</v>
      </c>
      <c r="B20" s="5" t="s">
        <v>166</v>
      </c>
      <c r="C20" s="6">
        <v>-116546832.38730793</v>
      </c>
      <c r="D20" s="60"/>
      <c r="E20" s="6"/>
      <c r="F20" s="60"/>
      <c r="G20" s="6"/>
      <c r="J20" s="42"/>
    </row>
    <row r="21" spans="1:11" x14ac:dyDescent="0.25">
      <c r="A21" s="23">
        <f t="shared" si="0"/>
        <v>14</v>
      </c>
      <c r="B21" s="5" t="s">
        <v>167</v>
      </c>
      <c r="C21" s="6">
        <v>0</v>
      </c>
      <c r="D21" s="60"/>
      <c r="E21" s="6"/>
      <c r="F21" s="60"/>
      <c r="G21" s="6"/>
      <c r="J21" s="42"/>
    </row>
    <row r="22" spans="1:11" x14ac:dyDescent="0.25">
      <c r="A22" s="23">
        <f t="shared" si="0"/>
        <v>15</v>
      </c>
      <c r="B22" s="5" t="s">
        <v>77</v>
      </c>
      <c r="C22" s="6">
        <v>-33777067.72157605</v>
      </c>
      <c r="D22" s="60"/>
      <c r="E22" s="6"/>
      <c r="F22" s="60"/>
      <c r="G22" s="6"/>
      <c r="J22" s="42"/>
    </row>
    <row r="23" spans="1:11" x14ac:dyDescent="0.25">
      <c r="A23" s="66">
        <f t="shared" si="0"/>
        <v>16</v>
      </c>
      <c r="B23" s="67" t="s">
        <v>168</v>
      </c>
      <c r="C23" s="68">
        <f>SUM(C18:C22)</f>
        <v>260192668.50152087</v>
      </c>
      <c r="D23" s="60"/>
      <c r="E23" s="6"/>
      <c r="F23" s="60"/>
      <c r="G23" s="6"/>
      <c r="J23" s="42"/>
    </row>
    <row r="24" spans="1:11" x14ac:dyDescent="0.25">
      <c r="A24" s="23">
        <f t="shared" si="0"/>
        <v>17</v>
      </c>
      <c r="C24" s="6"/>
      <c r="D24" s="60"/>
      <c r="E24" s="6"/>
      <c r="F24" s="60"/>
      <c r="G24" s="6"/>
      <c r="J24" s="42"/>
    </row>
    <row r="25" spans="1:11" x14ac:dyDescent="0.25">
      <c r="A25" s="23">
        <f t="shared" si="0"/>
        <v>18</v>
      </c>
      <c r="B25" s="5" t="s">
        <v>169</v>
      </c>
      <c r="C25" s="6">
        <f>SUM('Expense Summary'!E84:E90,'Expense Summary'!E37:E46)</f>
        <v>83384764.468674436</v>
      </c>
      <c r="D25" s="60">
        <f>+E25/$C25</f>
        <v>0.52720692690428617</v>
      </c>
      <c r="E25" s="6">
        <f>SUM('Expense Summary'!E39,'Expense Summary'!E86)</f>
        <v>43961025.426167563</v>
      </c>
      <c r="F25" s="60">
        <f>+G25/$C25</f>
        <v>0.22495686175017954</v>
      </c>
      <c r="G25" s="6">
        <f>SUM('Expense Summary'!E40,'Expense Summary'!E87)</f>
        <v>18757974.932650879</v>
      </c>
    </row>
    <row r="26" spans="1:11" x14ac:dyDescent="0.25">
      <c r="A26" s="23">
        <f t="shared" si="0"/>
        <v>19</v>
      </c>
      <c r="B26" s="5" t="s">
        <v>170</v>
      </c>
      <c r="C26" s="6">
        <f>+C27-C25</f>
        <v>93423139.564172015</v>
      </c>
      <c r="D26" s="60">
        <f>+D25</f>
        <v>0.52720692690428617</v>
      </c>
      <c r="E26" s="6">
        <f>+C26*D26</f>
        <v>49253326.311377361</v>
      </c>
      <c r="F26" s="60">
        <f>+F25</f>
        <v>0.22495686175017954</v>
      </c>
      <c r="G26" s="6">
        <f>+C26*F26</f>
        <v>21016176.291205171</v>
      </c>
    </row>
    <row r="27" spans="1:11" x14ac:dyDescent="0.25">
      <c r="A27" s="24">
        <f t="shared" si="0"/>
        <v>20</v>
      </c>
      <c r="B27" s="14" t="s">
        <v>164</v>
      </c>
      <c r="C27" s="15">
        <f>+C23-C25</f>
        <v>176807904.03284645</v>
      </c>
      <c r="D27" s="65"/>
      <c r="E27" s="15">
        <f>SUM(E25:E26)</f>
        <v>93214351.737544924</v>
      </c>
      <c r="F27" s="65"/>
      <c r="G27" s="15">
        <f>SUM(G25:G26)</f>
        <v>39774151.223856047</v>
      </c>
      <c r="J27" s="42"/>
    </row>
    <row r="28" spans="1:11" x14ac:dyDescent="0.25">
      <c r="A28" s="23">
        <f t="shared" si="0"/>
        <v>21</v>
      </c>
      <c r="C28" s="6"/>
      <c r="D28" s="60"/>
      <c r="E28" s="6"/>
      <c r="F28" s="60"/>
      <c r="G28" s="6"/>
      <c r="J28" s="42"/>
    </row>
    <row r="29" spans="1:11" x14ac:dyDescent="0.25">
      <c r="A29" s="24">
        <f t="shared" si="0"/>
        <v>22</v>
      </c>
      <c r="B29" s="14" t="s">
        <v>171</v>
      </c>
      <c r="C29" s="15">
        <f>+C27+C15</f>
        <v>327355233.54159439</v>
      </c>
      <c r="D29" s="65"/>
      <c r="E29" s="15">
        <f>+E27+E15</f>
        <v>124953701.3848868</v>
      </c>
      <c r="F29" s="65"/>
      <c r="G29" s="15">
        <f>+G27+G15</f>
        <v>102227929.48980834</v>
      </c>
      <c r="J29" s="42"/>
    </row>
    <row r="30" spans="1:11" x14ac:dyDescent="0.25">
      <c r="A30" s="23">
        <f t="shared" si="0"/>
        <v>23</v>
      </c>
      <c r="C30" s="6"/>
      <c r="D30" s="60"/>
      <c r="E30" s="6"/>
      <c r="F30" s="60"/>
      <c r="G30" s="6"/>
      <c r="I30" s="42"/>
      <c r="J30" s="42"/>
      <c r="K30" s="42"/>
    </row>
    <row r="31" spans="1:11" ht="13.8" thickBot="1" x14ac:dyDescent="0.3">
      <c r="A31" s="25">
        <f t="shared" si="0"/>
        <v>24</v>
      </c>
      <c r="B31" s="8" t="s">
        <v>172</v>
      </c>
      <c r="C31" s="69">
        <f>+C27/SUM(C12)</f>
        <v>9.0901192447569251E-2</v>
      </c>
      <c r="D31" s="69"/>
      <c r="E31" s="69">
        <f>ROUND(+E27/SUM(E12),4)</f>
        <v>0.2273</v>
      </c>
      <c r="F31" s="69"/>
      <c r="G31" s="69">
        <f>ROUND(+G27/SUM(G12),4)</f>
        <v>4.9299999999999997E-2</v>
      </c>
      <c r="J31" s="42"/>
    </row>
    <row r="32" spans="1:11" ht="13.8" thickTop="1" x14ac:dyDescent="0.25">
      <c r="I32" s="42"/>
      <c r="J32" s="42"/>
      <c r="K32" s="42"/>
    </row>
    <row r="33" spans="9:11" x14ac:dyDescent="0.25">
      <c r="I33" s="42"/>
      <c r="J33" s="42"/>
      <c r="K33" s="42"/>
    </row>
  </sheetData>
  <mergeCells count="6">
    <mergeCell ref="J5:K5"/>
    <mergeCell ref="A1:G1"/>
    <mergeCell ref="A2:G2"/>
    <mergeCell ref="A3:G3"/>
    <mergeCell ref="D5:E5"/>
    <mergeCell ref="F5:G5"/>
  </mergeCells>
  <printOptions horizontalCentered="1"/>
  <pageMargins left="0.25" right="0.25" top="0.53" bottom="0.79" header="0.22" footer="0.46"/>
  <pageSetup scale="86" fitToHeight="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2EE5EBD-507A-420B-977D-ED4D28590B02}"/>
</file>

<file path=customXml/itemProps2.xml><?xml version="1.0" encoding="utf-8"?>
<ds:datastoreItem xmlns:ds="http://schemas.openxmlformats.org/officeDocument/2006/customXml" ds:itemID="{FF768333-4E35-4452-B548-05AA9ACC459A}"/>
</file>

<file path=customXml/itemProps3.xml><?xml version="1.0" encoding="utf-8"?>
<ds:datastoreItem xmlns:ds="http://schemas.openxmlformats.org/officeDocument/2006/customXml" ds:itemID="{78851BBA-177D-4779-A9FE-15D5A905CEAB}"/>
</file>

<file path=customXml/itemProps4.xml><?xml version="1.0" encoding="utf-8"?>
<ds:datastoreItem xmlns:ds="http://schemas.openxmlformats.org/officeDocument/2006/customXml" ds:itemID="{70D595B9-5C40-4A4F-8C4C-3F0ECD6CCC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Class Summary</vt:lpstr>
      <vt:lpstr>Energy Summary</vt:lpstr>
      <vt:lpstr>Demand Summary</vt:lpstr>
      <vt:lpstr>Customer Summary</vt:lpstr>
      <vt:lpstr>Revenue Summary</vt:lpstr>
      <vt:lpstr>Expense Summary</vt:lpstr>
      <vt:lpstr>Ratebase Summary</vt:lpstr>
      <vt:lpstr>Basic Charge</vt:lpstr>
      <vt:lpstr>Sch 40 Feeder </vt:lpstr>
      <vt:lpstr>Sch 40 Substation O&amp;M</vt:lpstr>
      <vt:lpstr>Sch 40 Substation A&amp;G</vt:lpstr>
      <vt:lpstr>'Basic Charge'!Print_Area</vt:lpstr>
      <vt:lpstr>'Class Summary'!Print_Area</vt:lpstr>
      <vt:lpstr>'Customer Summary'!Print_Area</vt:lpstr>
      <vt:lpstr>'Demand Summary'!Print_Area</vt:lpstr>
      <vt:lpstr>'Energy Summary'!Print_Area</vt:lpstr>
      <vt:lpstr>'Expense Summary'!Print_Area</vt:lpstr>
      <vt:lpstr>'Ratebase Summary'!Print_Area</vt:lpstr>
      <vt:lpstr>'Revenue Summary'!Print_Area</vt:lpstr>
      <vt:lpstr>'Sch 40 Feeder '!Print_Area</vt:lpstr>
      <vt:lpstr>'Sch 40 Substation A&amp;G'!Print_Area</vt:lpstr>
      <vt:lpstr>'Sch 40 Substation O&amp;M'!Print_Area</vt:lpstr>
      <vt:lpstr>'Basic Charge'!Print_Titles</vt:lpstr>
      <vt:lpstr>'Class Summary'!Print_Titles</vt:lpstr>
      <vt:lpstr>'Customer Summary'!Print_Titles</vt:lpstr>
      <vt:lpstr>'Demand Summary'!Print_Titles</vt:lpstr>
      <vt:lpstr>'Energy Summary'!Print_Titles</vt:lpstr>
      <vt:lpstr>'Expense Summary'!Print_Titles</vt:lpstr>
      <vt:lpstr>'Ratebase Summary'!Print_Titles</vt:lpstr>
      <vt:lpstr>'Revenue Summary'!Print_Titles</vt:lpstr>
      <vt:lpstr>'Sch 40 Feeder '!Print_Titles</vt:lpstr>
      <vt:lpstr>'Sch 40 Substation A&amp;G'!Print_Titles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Ryan Thomas</cp:lastModifiedBy>
  <cp:lastPrinted>2017-01-05T18:22:56Z</cp:lastPrinted>
  <dcterms:created xsi:type="dcterms:W3CDTF">2016-12-23T17:15:19Z</dcterms:created>
  <dcterms:modified xsi:type="dcterms:W3CDTF">2017-01-08T20:10:12Z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