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acadianconsulting.sharepoint.com/sites/ACGFS/Shared Documents/FS_Shared/Current/WA-CNG-RTC/Testimony-ACG/Direct/Drafts-Schedules and Exhibits/"/>
    </mc:Choice>
  </mc:AlternateContent>
  <xr:revisionPtr revIDLastSave="225" documentId="8_{5F868297-851D-4347-A825-7C723019F706}" xr6:coauthVersionLast="47" xr6:coauthVersionMax="47" xr10:uidLastSave="{FCCE3D01-853A-432E-A6B3-3A5B8E8EEF16}"/>
  <bookViews>
    <workbookView xWindow="28680" yWindow="-120" windowWidth="29040" windowHeight="15720" tabRatio="874" xr2:uid="{51D056A3-F255-4E03-BD14-51A105859584}"/>
  </bookViews>
  <sheets>
    <sheet name="Exhibit DED-4" sheetId="24" r:id="rId1"/>
    <sheet name="Exhibit DED-5" sheetId="23" r:id="rId2"/>
    <sheet name="Data &gt;" sheetId="22" r:id="rId3"/>
    <sheet name="RJA-6 (2025 rates)" sheetId="2" r:id="rId4"/>
    <sheet name="RJA-6 (2026 rates)" sheetId="13" r:id="rId5"/>
    <sheet name="RJA-7 Bill Impact (2025)" sheetId="4" r:id="rId6"/>
    <sheet name="RJA-7 Bill Ipact (2026)" sheetId="19" r:id="rId7"/>
    <sheet name="Revenue Spread-Equal" sheetId="25" r:id="rId8"/>
    <sheet name="Revenue Spread-Upper Limit" sheetId="11" r:id="rId9"/>
    <sheet name="Testimony table" sheetId="20" r:id="rId10"/>
    <sheet name="Test year 2023" sheetId="14" r:id="rId11"/>
    <sheet name="Index to External Links" sheetId="21" r:id="rId12"/>
  </sheets>
  <definedNames>
    <definedName name="_Dist_Values" localSheetId="8" hidden="1">#REF!</definedName>
    <definedName name="_Dist_Values" hidden="1">#REF!</definedName>
    <definedName name="_Fill" localSheetId="8" hidden="1">#REF!</definedName>
    <definedName name="_Fill" hidden="1">#REF!</definedName>
    <definedName name="_Order1" hidden="1">0</definedName>
    <definedName name="_Order2" hidden="1">255</definedName>
    <definedName name="_Regression_Int" hidden="1">1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localSheetId="8" hidden="1">#REF!</definedName>
    <definedName name="_Regression_Y" hidden="1">#REF!</definedName>
    <definedName name="fffff" hidden="1">{"ALL",#N/A,FALSE,"A"}</definedName>
    <definedName name="fsdfsad" hidden="1">{"ALL",#N/A,FALSE,"A"}</definedName>
    <definedName name="help" hidden="1">{"ALL",#N/A,FALSE,"A"}</definedName>
    <definedName name="_xlnm.Print_Area" localSheetId="3">'RJA-6 (2025 rates)'!$A$1:$L$70</definedName>
    <definedName name="_xlnm.Print_Area" localSheetId="4">'RJA-6 (2026 rates)'!$A$1:$L$70</definedName>
    <definedName name="_xlnm.Print_Area" localSheetId="5">'RJA-7 Bill Impact (2025)'!$A$1:$H$414</definedName>
    <definedName name="_xlnm.Print_Area" localSheetId="6">'RJA-7 Bill Ipact (2026)'!$A$1:$H$412</definedName>
    <definedName name="_xlnm.Print_Area" localSheetId="10">'Test year 2023'!$A$1:$M$75</definedName>
    <definedName name="trth" hidden="1">{"ALL",#N/A,FALSE,"A"}</definedName>
    <definedName name="wrn.ALL." hidden="1">{"ALL",#N/A,FALSE,"A"}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Pfd." hidden="1">{"Pfd",#N/A,FALSE,"Pfd"}</definedName>
    <definedName name="wrn.SCHED._.BC." hidden="1">{"SCHED_B&amp;C",#N/A,FALSE,"A"}</definedName>
    <definedName name="wrn.SCHED._.DE." hidden="1">{"SCHED_D&amp;E",#N/A,FALSE,"A"}</definedName>
    <definedName name="wrn.SHEDA." hidden="1">{"SCHED_A",#N/A,FALSE,"A"}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" i="23" l="1"/>
  <c r="AA13" i="24"/>
  <c r="AB17" i="24"/>
  <c r="AB16" i="24"/>
  <c r="AB15" i="24"/>
  <c r="AB14" i="24"/>
  <c r="AB13" i="24"/>
  <c r="Z13" i="24"/>
  <c r="P21" i="24"/>
  <c r="Q21" i="24"/>
  <c r="M13" i="24"/>
  <c r="L13" i="24"/>
  <c r="I16" i="24"/>
  <c r="I14" i="24"/>
  <c r="I13" i="24"/>
  <c r="J16" i="24"/>
  <c r="J15" i="24"/>
  <c r="J14" i="24"/>
  <c r="J13" i="24"/>
  <c r="I21" i="24"/>
  <c r="G21" i="24"/>
  <c r="F21" i="24"/>
  <c r="E21" i="24"/>
  <c r="F9" i="25"/>
  <c r="G9" i="25"/>
  <c r="H9" i="25"/>
  <c r="I9" i="25"/>
  <c r="J9" i="25"/>
  <c r="E9" i="25"/>
  <c r="E10" i="25" s="1"/>
  <c r="E19" i="24" l="1"/>
  <c r="Z19" i="24" s="1"/>
  <c r="E18" i="24"/>
  <c r="Z18" i="24" s="1"/>
  <c r="E17" i="24"/>
  <c r="E16" i="24"/>
  <c r="Z16" i="24" s="1"/>
  <c r="E15" i="24"/>
  <c r="Z15" i="24" s="1"/>
  <c r="E14" i="24"/>
  <c r="E13" i="24"/>
  <c r="K7" i="25"/>
  <c r="K10" i="25" s="1"/>
  <c r="G19" i="24" s="1"/>
  <c r="L19" i="24" s="1"/>
  <c r="J7" i="25"/>
  <c r="I7" i="25"/>
  <c r="H7" i="25"/>
  <c r="G7" i="25"/>
  <c r="F7" i="25"/>
  <c r="E7" i="25"/>
  <c r="Z17" i="24"/>
  <c r="K28" i="25" l="1"/>
  <c r="K13" i="25"/>
  <c r="N19" i="24" s="1"/>
  <c r="S19" i="24" s="1"/>
  <c r="J24" i="25"/>
  <c r="J10" i="25"/>
  <c r="G18" i="24" s="1"/>
  <c r="L18" i="24" s="1"/>
  <c r="K24" i="25"/>
  <c r="D7" i="25"/>
  <c r="Z21" i="24"/>
  <c r="Z14" i="24"/>
  <c r="F19" i="24"/>
  <c r="I19" i="24" s="1"/>
  <c r="F18" i="24" l="1"/>
  <c r="I18" i="24" s="1"/>
  <c r="M19" i="24"/>
  <c r="P19" i="24" s="1"/>
  <c r="H24" i="25"/>
  <c r="H10" i="25"/>
  <c r="G16" i="24" s="1"/>
  <c r="K16" i="25"/>
  <c r="U19" i="24" s="1"/>
  <c r="K31" i="25"/>
  <c r="G10" i="25"/>
  <c r="G15" i="24" s="1"/>
  <c r="G24" i="25"/>
  <c r="E24" i="25"/>
  <c r="G13" i="24"/>
  <c r="I24" i="25"/>
  <c r="I10" i="25"/>
  <c r="G17" i="24" s="1"/>
  <c r="L16" i="24" l="1"/>
  <c r="F16" i="24"/>
  <c r="L17" i="24"/>
  <c r="F17" i="24"/>
  <c r="I17" i="24" s="1"/>
  <c r="L15" i="24"/>
  <c r="F15" i="24"/>
  <c r="I15" i="24" s="1"/>
  <c r="AB19" i="24"/>
  <c r="AA19" i="24" s="1"/>
  <c r="AD19" i="24" s="1"/>
  <c r="T19" i="24"/>
  <c r="W19" i="24" s="1"/>
  <c r="F13" i="24"/>
  <c r="H12" i="25"/>
  <c r="F24" i="25"/>
  <c r="F10" i="25"/>
  <c r="D9" i="25"/>
  <c r="G15" i="25"/>
  <c r="G12" i="25"/>
  <c r="D7" i="11"/>
  <c r="K73" i="2"/>
  <c r="J15" i="25" l="1"/>
  <c r="G14" i="24"/>
  <c r="D10" i="25"/>
  <c r="D28" i="25" s="1"/>
  <c r="I15" i="25"/>
  <c r="J12" i="25"/>
  <c r="J28" i="25" s="1"/>
  <c r="E12" i="25"/>
  <c r="E28" i="25" s="1"/>
  <c r="E15" i="25"/>
  <c r="I12" i="25"/>
  <c r="I28" i="25" s="1"/>
  <c r="H28" i="25"/>
  <c r="H13" i="25"/>
  <c r="N16" i="24" s="1"/>
  <c r="G13" i="25"/>
  <c r="G28" i="25"/>
  <c r="D24" i="25"/>
  <c r="F25" i="25" s="1"/>
  <c r="N9" i="25"/>
  <c r="F15" i="25"/>
  <c r="F12" i="25"/>
  <c r="H15" i="25"/>
  <c r="J9" i="11"/>
  <c r="I9" i="11"/>
  <c r="H9" i="11"/>
  <c r="G9" i="11"/>
  <c r="E9" i="11"/>
  <c r="L14" i="24" l="1"/>
  <c r="L21" i="24" s="1"/>
  <c r="F14" i="24"/>
  <c r="J13" i="25"/>
  <c r="I13" i="25"/>
  <c r="I31" i="25" s="1"/>
  <c r="J31" i="25"/>
  <c r="N18" i="24"/>
  <c r="S16" i="24"/>
  <c r="M16" i="24"/>
  <c r="P16" i="24" s="1"/>
  <c r="E13" i="25"/>
  <c r="N13" i="24" s="1"/>
  <c r="I16" i="25"/>
  <c r="U17" i="24" s="1"/>
  <c r="N17" i="24"/>
  <c r="G31" i="25"/>
  <c r="N15" i="24"/>
  <c r="G16" i="25"/>
  <c r="U15" i="24" s="1"/>
  <c r="J16" i="25"/>
  <c r="U18" i="24" s="1"/>
  <c r="H31" i="25"/>
  <c r="H16" i="25"/>
  <c r="U16" i="24" s="1"/>
  <c r="F13" i="25"/>
  <c r="F28" i="25"/>
  <c r="J25" i="25"/>
  <c r="K25" i="25"/>
  <c r="G25" i="25"/>
  <c r="E25" i="25"/>
  <c r="I25" i="25"/>
  <c r="H25" i="25"/>
  <c r="E16" i="25"/>
  <c r="U13" i="24" s="1"/>
  <c r="F9" i="11"/>
  <c r="Z13" i="23"/>
  <c r="E19" i="23"/>
  <c r="Z19" i="23" s="1"/>
  <c r="E18" i="23"/>
  <c r="Z18" i="23" s="1"/>
  <c r="E17" i="23"/>
  <c r="Z17" i="23" s="1"/>
  <c r="E16" i="23"/>
  <c r="E15" i="23"/>
  <c r="E14" i="23"/>
  <c r="E13" i="23"/>
  <c r="G24" i="11"/>
  <c r="H24" i="11"/>
  <c r="I24" i="11"/>
  <c r="J24" i="11"/>
  <c r="E31" i="25" l="1"/>
  <c r="F16" i="25"/>
  <c r="U14" i="24" s="1"/>
  <c r="U21" i="24" s="1"/>
  <c r="N14" i="24"/>
  <c r="S17" i="24"/>
  <c r="T17" i="24" s="1"/>
  <c r="W17" i="24" s="1"/>
  <c r="M17" i="24"/>
  <c r="P17" i="24" s="1"/>
  <c r="AA17" i="24"/>
  <c r="AD17" i="24" s="1"/>
  <c r="S13" i="24"/>
  <c r="T13" i="24" s="1"/>
  <c r="N21" i="24"/>
  <c r="AA16" i="24"/>
  <c r="AD16" i="24" s="1"/>
  <c r="T16" i="24"/>
  <c r="W16" i="24" s="1"/>
  <c r="AA15" i="24"/>
  <c r="AD15" i="24" s="1"/>
  <c r="AB18" i="24"/>
  <c r="AA18" i="24" s="1"/>
  <c r="AD18" i="24" s="1"/>
  <c r="S18" i="24"/>
  <c r="T18" i="24" s="1"/>
  <c r="W18" i="24" s="1"/>
  <c r="M18" i="24"/>
  <c r="P18" i="24" s="1"/>
  <c r="S15" i="24"/>
  <c r="T15" i="24" s="1"/>
  <c r="W15" i="24" s="1"/>
  <c r="M15" i="24"/>
  <c r="P15" i="24" s="1"/>
  <c r="D13" i="25"/>
  <c r="D31" i="25" s="1"/>
  <c r="F31" i="25"/>
  <c r="Z15" i="23"/>
  <c r="E21" i="23"/>
  <c r="Z16" i="23"/>
  <c r="Z14" i="23"/>
  <c r="J18" i="24" l="1"/>
  <c r="J17" i="24"/>
  <c r="J21" i="24"/>
  <c r="J19" i="24"/>
  <c r="D16" i="25"/>
  <c r="P13" i="24"/>
  <c r="W13" i="24"/>
  <c r="S14" i="24"/>
  <c r="S21" i="24" s="1"/>
  <c r="M14" i="24"/>
  <c r="P14" i="24" s="1"/>
  <c r="AA14" i="24"/>
  <c r="AD14" i="24" s="1"/>
  <c r="Z21" i="23"/>
  <c r="T14" i="24" l="1"/>
  <c r="W14" i="24" s="1"/>
  <c r="M21" i="24"/>
  <c r="Q17" i="24" s="1"/>
  <c r="T21" i="24"/>
  <c r="W21" i="24" s="1"/>
  <c r="AB21" i="24"/>
  <c r="AA21" i="24"/>
  <c r="AD21" i="24" s="1"/>
  <c r="AD13" i="24"/>
  <c r="Q14" i="24"/>
  <c r="Q13" i="24"/>
  <c r="Q18" i="24"/>
  <c r="A2" i="19"/>
  <c r="A42" i="19" s="1"/>
  <c r="A1" i="19"/>
  <c r="A41" i="19" s="1"/>
  <c r="A42" i="4"/>
  <c r="A1" i="4"/>
  <c r="A41" i="4" s="1"/>
  <c r="A3" i="13"/>
  <c r="A2" i="13"/>
  <c r="H41" i="19"/>
  <c r="A36" i="19"/>
  <c r="A22" i="19"/>
  <c r="A17" i="19"/>
  <c r="A15" i="19"/>
  <c r="A13" i="19"/>
  <c r="E12" i="19"/>
  <c r="A12" i="19"/>
  <c r="A6" i="19"/>
  <c r="H41" i="4"/>
  <c r="H95" i="4" s="1"/>
  <c r="A38" i="4"/>
  <c r="A36" i="4"/>
  <c r="A22" i="4"/>
  <c r="A17" i="4"/>
  <c r="A15" i="4"/>
  <c r="A13" i="4"/>
  <c r="E12" i="4"/>
  <c r="A12" i="4"/>
  <c r="A6" i="4"/>
  <c r="Q15" i="24" l="1"/>
  <c r="Q19" i="24"/>
  <c r="Q16" i="24"/>
  <c r="AE19" i="24"/>
  <c r="AE21" i="24"/>
  <c r="AE16" i="24"/>
  <c r="AE18" i="24"/>
  <c r="AE15" i="24"/>
  <c r="AE17" i="24"/>
  <c r="AE13" i="24"/>
  <c r="AE14" i="24"/>
  <c r="X21" i="24"/>
  <c r="X19" i="24"/>
  <c r="X15" i="24"/>
  <c r="X16" i="24"/>
  <c r="X18" i="24"/>
  <c r="X17" i="24"/>
  <c r="X13" i="24"/>
  <c r="X14" i="24"/>
  <c r="A14" i="19"/>
  <c r="A16" i="19" s="1"/>
  <c r="A14" i="4"/>
  <c r="A23" i="19" l="1"/>
  <c r="A24" i="19" s="1"/>
  <c r="A16" i="4"/>
  <c r="A23" i="4" s="1"/>
  <c r="A25" i="19" l="1"/>
  <c r="A24" i="4"/>
  <c r="A25" i="4" s="1"/>
  <c r="A26" i="19" l="1"/>
  <c r="A26" i="4"/>
  <c r="A27" i="4" s="1"/>
  <c r="A27" i="19" l="1"/>
  <c r="A28" i="4"/>
  <c r="A28" i="19" l="1"/>
  <c r="A29" i="4"/>
  <c r="A29" i="19" l="1"/>
  <c r="A30" i="19" s="1"/>
  <c r="A30" i="4"/>
  <c r="A31" i="4" s="1"/>
  <c r="A32" i="4" s="1"/>
  <c r="A33" i="4" s="1"/>
  <c r="A34" i="4" s="1"/>
  <c r="A35" i="4" s="1"/>
  <c r="A37" i="4" s="1"/>
  <c r="A31" i="19" l="1"/>
  <c r="A32" i="19" s="1"/>
  <c r="A33" i="19" s="1"/>
  <c r="A34" i="19" s="1"/>
  <c r="A35" i="19" s="1"/>
  <c r="A37" i="19" s="1"/>
  <c r="E38" i="20" l="1"/>
  <c r="E33" i="20"/>
  <c r="E31" i="20"/>
  <c r="E29" i="20"/>
  <c r="E26" i="20"/>
  <c r="E24" i="20"/>
  <c r="E20" i="20"/>
  <c r="E18" i="20"/>
  <c r="E14" i="20"/>
  <c r="E12" i="20"/>
  <c r="E10" i="20"/>
  <c r="E8" i="20"/>
  <c r="E6" i="20"/>
  <c r="D8" i="20"/>
  <c r="D10" i="20"/>
  <c r="D12" i="20"/>
  <c r="D14" i="20"/>
  <c r="D18" i="20"/>
  <c r="D20" i="20"/>
  <c r="D24" i="20"/>
  <c r="D26" i="20"/>
  <c r="D29" i="20"/>
  <c r="D31" i="20"/>
  <c r="D32" i="20"/>
  <c r="D33" i="20"/>
  <c r="D38" i="20"/>
  <c r="B36" i="20" l="1"/>
  <c r="B37" i="20"/>
  <c r="B30" i="20"/>
  <c r="B31" i="20"/>
  <c r="B32" i="20"/>
  <c r="B33" i="20"/>
  <c r="B34" i="20"/>
  <c r="B35" i="20"/>
  <c r="B14" i="20"/>
  <c r="B15" i="20"/>
  <c r="B16" i="20"/>
  <c r="B17" i="20"/>
  <c r="B19" i="20"/>
  <c r="B20" i="20"/>
  <c r="B21" i="20"/>
  <c r="B22" i="20"/>
  <c r="B23" i="20"/>
  <c r="B25" i="20"/>
  <c r="B26" i="20"/>
  <c r="B27" i="20"/>
  <c r="B28" i="20"/>
  <c r="B13" i="20"/>
  <c r="B11" i="20"/>
  <c r="B10" i="20"/>
  <c r="B9" i="20"/>
  <c r="D6" i="20"/>
  <c r="B5" i="20"/>
  <c r="C108" i="19" l="1"/>
  <c r="C176" i="19"/>
  <c r="C247" i="19"/>
  <c r="C317" i="19"/>
  <c r="C393" i="19"/>
  <c r="C395" i="4"/>
  <c r="C319" i="4"/>
  <c r="C248" i="4"/>
  <c r="C176" i="4"/>
  <c r="C108" i="4"/>
  <c r="E384" i="19"/>
  <c r="E403" i="19" s="1"/>
  <c r="E382" i="19"/>
  <c r="B377" i="19"/>
  <c r="B410" i="19"/>
  <c r="B407" i="19"/>
  <c r="B404" i="19"/>
  <c r="B401" i="19"/>
  <c r="B398" i="19"/>
  <c r="B395" i="19"/>
  <c r="B394" i="19"/>
  <c r="B392" i="19"/>
  <c r="K388" i="19"/>
  <c r="K389" i="19" s="1"/>
  <c r="K390" i="19" s="1"/>
  <c r="B387" i="19"/>
  <c r="B385" i="19"/>
  <c r="B383" i="19"/>
  <c r="B382" i="19"/>
  <c r="H375" i="19"/>
  <c r="A375" i="19"/>
  <c r="A374" i="19"/>
  <c r="H373" i="19"/>
  <c r="A373" i="19"/>
  <c r="H304" i="19"/>
  <c r="H302" i="19"/>
  <c r="H233" i="19"/>
  <c r="H231" i="19"/>
  <c r="H162" i="19"/>
  <c r="H160" i="19"/>
  <c r="H97" i="19"/>
  <c r="H95" i="19"/>
  <c r="A377" i="4"/>
  <c r="A376" i="4"/>
  <c r="A375" i="4"/>
  <c r="H377" i="4"/>
  <c r="H375" i="4"/>
  <c r="B412" i="4"/>
  <c r="B403" i="4"/>
  <c r="B406" i="4"/>
  <c r="B409" i="4"/>
  <c r="E393" i="19" l="1"/>
  <c r="B384" i="19"/>
  <c r="B386" i="19" s="1"/>
  <c r="B388" i="19" s="1"/>
  <c r="B389" i="19" l="1"/>
  <c r="B390" i="19" l="1"/>
  <c r="E388" i="4"/>
  <c r="E386" i="4"/>
  <c r="E384" i="4"/>
  <c r="B379" i="4"/>
  <c r="B400" i="4"/>
  <c r="B397" i="4"/>
  <c r="B396" i="4"/>
  <c r="B394" i="4"/>
  <c r="K390" i="4"/>
  <c r="K391" i="4" s="1"/>
  <c r="K392" i="4" s="1"/>
  <c r="B389" i="4"/>
  <c r="B387" i="4"/>
  <c r="B385" i="4"/>
  <c r="B384" i="4"/>
  <c r="B391" i="19" l="1"/>
  <c r="B386" i="4"/>
  <c r="B393" i="19" l="1"/>
  <c r="B388" i="4"/>
  <c r="B399" i="19" l="1"/>
  <c r="B390" i="4"/>
  <c r="B391" i="4" l="1"/>
  <c r="B392" i="4" s="1"/>
  <c r="B393" i="4" l="1"/>
  <c r="B395" i="4" s="1"/>
  <c r="B401" i="4" s="1"/>
  <c r="E311" i="19" l="1"/>
  <c r="B306" i="19"/>
  <c r="E240" i="19"/>
  <c r="B235" i="19"/>
  <c r="B240" i="19" s="1"/>
  <c r="E169" i="19"/>
  <c r="B164" i="19"/>
  <c r="B169" i="19" s="1"/>
  <c r="E104" i="19"/>
  <c r="B99" i="19"/>
  <c r="E50" i="19"/>
  <c r="B45" i="19"/>
  <c r="B365" i="19"/>
  <c r="B359" i="19"/>
  <c r="B353" i="19"/>
  <c r="B347" i="19"/>
  <c r="B341" i="19"/>
  <c r="B335" i="19"/>
  <c r="B329" i="19"/>
  <c r="C325" i="19"/>
  <c r="B323" i="19"/>
  <c r="B319" i="19"/>
  <c r="B318" i="19"/>
  <c r="B316" i="19"/>
  <c r="B312" i="19"/>
  <c r="B311" i="19"/>
  <c r="A304" i="19"/>
  <c r="A303" i="19"/>
  <c r="A302" i="19"/>
  <c r="B295" i="19"/>
  <c r="B289" i="19"/>
  <c r="B283" i="19"/>
  <c r="B277" i="19"/>
  <c r="B271" i="19"/>
  <c r="B265" i="19"/>
  <c r="B259" i="19"/>
  <c r="C255" i="19"/>
  <c r="B253" i="19"/>
  <c r="B249" i="19"/>
  <c r="B248" i="19"/>
  <c r="B246" i="19"/>
  <c r="B241" i="19"/>
  <c r="A233" i="19"/>
  <c r="A232" i="19"/>
  <c r="A231" i="19"/>
  <c r="B224" i="19"/>
  <c r="B218" i="19"/>
  <c r="B212" i="19"/>
  <c r="B206" i="19"/>
  <c r="B200" i="19"/>
  <c r="B194" i="19"/>
  <c r="B188" i="19"/>
  <c r="C184" i="19"/>
  <c r="B182" i="19"/>
  <c r="B178" i="19"/>
  <c r="B177" i="19"/>
  <c r="B175" i="19"/>
  <c r="B170" i="19"/>
  <c r="A162" i="19"/>
  <c r="A161" i="19"/>
  <c r="A160" i="19"/>
  <c r="B151" i="19"/>
  <c r="B146" i="19"/>
  <c r="B140" i="19"/>
  <c r="B134" i="19"/>
  <c r="B128" i="19"/>
  <c r="B122" i="19"/>
  <c r="B116" i="19"/>
  <c r="B114" i="19"/>
  <c r="B109" i="19"/>
  <c r="B107" i="19"/>
  <c r="B105" i="19"/>
  <c r="A97" i="19"/>
  <c r="A96" i="19"/>
  <c r="A95" i="19"/>
  <c r="B93" i="19"/>
  <c r="B92" i="19"/>
  <c r="B86" i="19"/>
  <c r="B80" i="19"/>
  <c r="B74" i="19"/>
  <c r="B68" i="19"/>
  <c r="B62" i="19"/>
  <c r="B60" i="19"/>
  <c r="B56" i="19"/>
  <c r="B55" i="19"/>
  <c r="B53" i="19"/>
  <c r="B51" i="19"/>
  <c r="B50" i="19"/>
  <c r="B242" i="19" l="1"/>
  <c r="B243" i="19" s="1"/>
  <c r="B244" i="19" s="1"/>
  <c r="C185" i="19"/>
  <c r="B171" i="19"/>
  <c r="B172" i="19" s="1"/>
  <c r="C256" i="19"/>
  <c r="B104" i="19"/>
  <c r="B52" i="19"/>
  <c r="B54" i="19" s="1"/>
  <c r="C326" i="19"/>
  <c r="B313" i="19"/>
  <c r="B245" i="19" l="1"/>
  <c r="B247" i="19" s="1"/>
  <c r="B252" i="19" s="1"/>
  <c r="B59" i="19"/>
  <c r="C186" i="19"/>
  <c r="B106" i="19"/>
  <c r="B108" i="19" s="1"/>
  <c r="B314" i="19"/>
  <c r="C327" i="19"/>
  <c r="C257" i="19"/>
  <c r="B173" i="19"/>
  <c r="B254" i="19" l="1"/>
  <c r="B255" i="19" s="1"/>
  <c r="B256" i="19" s="1"/>
  <c r="C258" i="19"/>
  <c r="C187" i="19"/>
  <c r="B113" i="19"/>
  <c r="C328" i="19"/>
  <c r="B61" i="19"/>
  <c r="B174" i="19"/>
  <c r="B176" i="19" s="1"/>
  <c r="B315" i="19"/>
  <c r="B257" i="19" l="1"/>
  <c r="B258" i="19" s="1"/>
  <c r="B115" i="19"/>
  <c r="B117" i="19" s="1"/>
  <c r="B181" i="19"/>
  <c r="B183" i="19" s="1"/>
  <c r="B63" i="19"/>
  <c r="B64" i="19" s="1"/>
  <c r="C260" i="19"/>
  <c r="C330" i="19"/>
  <c r="B317" i="19"/>
  <c r="C189" i="19"/>
  <c r="B65" i="19" l="1"/>
  <c r="B66" i="19" s="1"/>
  <c r="B184" i="19"/>
  <c r="B322" i="19"/>
  <c r="B324" i="19" s="1"/>
  <c r="B118" i="19"/>
  <c r="C190" i="19"/>
  <c r="C331" i="19"/>
  <c r="C261" i="19"/>
  <c r="B260" i="19"/>
  <c r="B67" i="19" l="1"/>
  <c r="B69" i="19" s="1"/>
  <c r="B70" i="19" s="1"/>
  <c r="B71" i="19" s="1"/>
  <c r="B72" i="19" s="1"/>
  <c r="B73" i="19" s="1"/>
  <c r="B75" i="19" s="1"/>
  <c r="B261" i="19"/>
  <c r="C262" i="19"/>
  <c r="B185" i="19"/>
  <c r="B186" i="19" s="1"/>
  <c r="B119" i="19"/>
  <c r="C191" i="19"/>
  <c r="C332" i="19"/>
  <c r="B325" i="19"/>
  <c r="B76" i="19" l="1"/>
  <c r="B77" i="19" s="1"/>
  <c r="B78" i="19" s="1"/>
  <c r="B79" i="19" s="1"/>
  <c r="B81" i="19" s="1"/>
  <c r="B82" i="19" s="1"/>
  <c r="B83" i="19" s="1"/>
  <c r="B84" i="19" s="1"/>
  <c r="B85" i="19" s="1"/>
  <c r="B87" i="19" s="1"/>
  <c r="B88" i="19" s="1"/>
  <c r="B89" i="19" s="1"/>
  <c r="B90" i="19" s="1"/>
  <c r="B91" i="19" s="1"/>
  <c r="B187" i="19"/>
  <c r="B189" i="19" s="1"/>
  <c r="C192" i="19"/>
  <c r="B326" i="19"/>
  <c r="B120" i="19"/>
  <c r="C263" i="19"/>
  <c r="B262" i="19"/>
  <c r="C333" i="19"/>
  <c r="B190" i="19" l="1"/>
  <c r="B191" i="19" s="1"/>
  <c r="B192" i="19" s="1"/>
  <c r="C193" i="19"/>
  <c r="B121" i="19"/>
  <c r="B123" i="19" s="1"/>
  <c r="B124" i="19" s="1"/>
  <c r="B125" i="19" s="1"/>
  <c r="B126" i="19" s="1"/>
  <c r="B127" i="19" s="1"/>
  <c r="B129" i="19" s="1"/>
  <c r="B130" i="19" s="1"/>
  <c r="B131" i="19" s="1"/>
  <c r="B132" i="19" s="1"/>
  <c r="B133" i="19" s="1"/>
  <c r="B135" i="19" s="1"/>
  <c r="B136" i="19" s="1"/>
  <c r="B137" i="19" s="1"/>
  <c r="B138" i="19" s="1"/>
  <c r="B139" i="19" s="1"/>
  <c r="B141" i="19" s="1"/>
  <c r="B142" i="19" s="1"/>
  <c r="B143" i="19" s="1"/>
  <c r="B144" i="19" s="1"/>
  <c r="B145" i="19" s="1"/>
  <c r="B147" i="19" s="1"/>
  <c r="B148" i="19" s="1"/>
  <c r="B149" i="19" s="1"/>
  <c r="B150" i="19" s="1"/>
  <c r="B152" i="19" s="1"/>
  <c r="B153" i="19" s="1"/>
  <c r="B154" i="19" s="1"/>
  <c r="B155" i="19" s="1"/>
  <c r="C334" i="19"/>
  <c r="B263" i="19"/>
  <c r="C264" i="19"/>
  <c r="B327" i="19"/>
  <c r="B328" i="19" s="1"/>
  <c r="C336" i="19" l="1"/>
  <c r="B330" i="19"/>
  <c r="C195" i="19"/>
  <c r="B193" i="19"/>
  <c r="B331" i="19"/>
  <c r="B332" i="19" s="1"/>
  <c r="B264" i="19"/>
  <c r="C266" i="19"/>
  <c r="B266" i="19" l="1"/>
  <c r="C267" i="19"/>
  <c r="C196" i="19"/>
  <c r="B195" i="19"/>
  <c r="B333" i="19"/>
  <c r="B334" i="19" s="1"/>
  <c r="B336" i="19" s="1"/>
  <c r="C337" i="19"/>
  <c r="B196" i="19" l="1"/>
  <c r="C197" i="19"/>
  <c r="B267" i="19"/>
  <c r="C268" i="19"/>
  <c r="B337" i="19"/>
  <c r="C338" i="19"/>
  <c r="B338" i="19" l="1"/>
  <c r="C339" i="19"/>
  <c r="B268" i="19"/>
  <c r="C269" i="19"/>
  <c r="B197" i="19"/>
  <c r="C198" i="19"/>
  <c r="C270" i="19" l="1"/>
  <c r="B269" i="19"/>
  <c r="B198" i="19"/>
  <c r="C199" i="19"/>
  <c r="B339" i="19"/>
  <c r="C340" i="19"/>
  <c r="C272" i="19" l="1"/>
  <c r="B270" i="19"/>
  <c r="C201" i="19"/>
  <c r="B199" i="19"/>
  <c r="C342" i="19"/>
  <c r="B340" i="19"/>
  <c r="B342" i="19" l="1"/>
  <c r="C343" i="19"/>
  <c r="B272" i="19"/>
  <c r="C273" i="19"/>
  <c r="B201" i="19"/>
  <c r="C202" i="19"/>
  <c r="B273" i="19" l="1"/>
  <c r="C274" i="19"/>
  <c r="C203" i="19"/>
  <c r="B202" i="19"/>
  <c r="C344" i="19"/>
  <c r="B343" i="19"/>
  <c r="B274" i="19" l="1"/>
  <c r="C275" i="19"/>
  <c r="B344" i="19"/>
  <c r="C345" i="19"/>
  <c r="B203" i="19"/>
  <c r="C204" i="19"/>
  <c r="C346" i="19" l="1"/>
  <c r="B345" i="19"/>
  <c r="C205" i="19"/>
  <c r="B204" i="19"/>
  <c r="C276" i="19"/>
  <c r="B275" i="19"/>
  <c r="C207" i="19" l="1"/>
  <c r="B205" i="19"/>
  <c r="C348" i="19"/>
  <c r="B346" i="19"/>
  <c r="B276" i="19"/>
  <c r="C278" i="19"/>
  <c r="B207" i="19" l="1"/>
  <c r="C208" i="19"/>
  <c r="C279" i="19"/>
  <c r="B278" i="19"/>
  <c r="B348" i="19"/>
  <c r="C349" i="19"/>
  <c r="B279" i="19" l="1"/>
  <c r="C280" i="19"/>
  <c r="B208" i="19"/>
  <c r="C209" i="19"/>
  <c r="B349" i="19"/>
  <c r="C350" i="19"/>
  <c r="B350" i="19" l="1"/>
  <c r="C351" i="19"/>
  <c r="B209" i="19"/>
  <c r="C210" i="19"/>
  <c r="C281" i="19"/>
  <c r="B280" i="19"/>
  <c r="C352" i="19" l="1"/>
  <c r="B351" i="19"/>
  <c r="C211" i="19"/>
  <c r="B210" i="19"/>
  <c r="B281" i="19"/>
  <c r="C282" i="19"/>
  <c r="C284" i="19" l="1"/>
  <c r="B282" i="19"/>
  <c r="C213" i="19"/>
  <c r="B211" i="19"/>
  <c r="C354" i="19"/>
  <c r="B352" i="19"/>
  <c r="C355" i="19" l="1"/>
  <c r="B354" i="19"/>
  <c r="C214" i="19"/>
  <c r="B213" i="19"/>
  <c r="B284" i="19"/>
  <c r="C285" i="19"/>
  <c r="B214" i="19" l="1"/>
  <c r="C215" i="19"/>
  <c r="B285" i="19"/>
  <c r="C286" i="19"/>
  <c r="B355" i="19"/>
  <c r="C356" i="19"/>
  <c r="C357" i="19" l="1"/>
  <c r="B356" i="19"/>
  <c r="C216" i="19"/>
  <c r="B215" i="19"/>
  <c r="C287" i="19"/>
  <c r="B286" i="19"/>
  <c r="C288" i="19" l="1"/>
  <c r="B287" i="19"/>
  <c r="B357" i="19"/>
  <c r="C358" i="19"/>
  <c r="B216" i="19"/>
  <c r="C217" i="19"/>
  <c r="C360" i="19" l="1"/>
  <c r="B358" i="19"/>
  <c r="C219" i="19"/>
  <c r="B217" i="19"/>
  <c r="C290" i="19"/>
  <c r="B288" i="19"/>
  <c r="B219" i="19" l="1"/>
  <c r="C220" i="19"/>
  <c r="B290" i="19"/>
  <c r="C291" i="19"/>
  <c r="B360" i="19"/>
  <c r="C361" i="19"/>
  <c r="B361" i="19" l="1"/>
  <c r="C362" i="19"/>
  <c r="B220" i="19"/>
  <c r="C221" i="19"/>
  <c r="C292" i="19"/>
  <c r="B291" i="19"/>
  <c r="C222" i="19" l="1"/>
  <c r="B221" i="19"/>
  <c r="C363" i="19"/>
  <c r="B362" i="19"/>
  <c r="B292" i="19"/>
  <c r="C293" i="19"/>
  <c r="B363" i="19" l="1"/>
  <c r="C364" i="19"/>
  <c r="C294" i="19"/>
  <c r="B293" i="19"/>
  <c r="B222" i="19"/>
  <c r="C223" i="19"/>
  <c r="C296" i="19" l="1"/>
  <c r="B294" i="19"/>
  <c r="C225" i="19"/>
  <c r="B223" i="19"/>
  <c r="C366" i="19"/>
  <c r="B364" i="19"/>
  <c r="B225" i="19" l="1"/>
  <c r="C226" i="19"/>
  <c r="B366" i="19"/>
  <c r="C367" i="19"/>
  <c r="B296" i="19"/>
  <c r="C297" i="19"/>
  <c r="C368" i="19" l="1"/>
  <c r="B367" i="19"/>
  <c r="C298" i="19"/>
  <c r="B297" i="19"/>
  <c r="C227" i="19"/>
  <c r="B226" i="19"/>
  <c r="B298" i="19" l="1"/>
  <c r="C299" i="19"/>
  <c r="B227" i="19"/>
  <c r="C228" i="19"/>
  <c r="B368" i="19"/>
  <c r="C369" i="19"/>
  <c r="C229" i="19" l="1"/>
  <c r="B228" i="19"/>
  <c r="C370" i="19"/>
  <c r="B369" i="19"/>
  <c r="B299" i="19"/>
  <c r="C300" i="19"/>
  <c r="B370" i="19" l="1"/>
  <c r="C371" i="19"/>
  <c r="B300" i="19"/>
  <c r="C301" i="19"/>
  <c r="B229" i="19"/>
  <c r="C230" i="19"/>
  <c r="B301" i="19" l="1"/>
  <c r="B230" i="19"/>
  <c r="B371" i="19"/>
  <c r="B178" i="4" l="1"/>
  <c r="B69" i="13"/>
  <c r="B69" i="14"/>
  <c r="B69" i="2"/>
  <c r="C20" i="20"/>
  <c r="C21" i="20"/>
  <c r="C22" i="20"/>
  <c r="C23" i="20"/>
  <c r="C14" i="20"/>
  <c r="C15" i="20"/>
  <c r="C16" i="20"/>
  <c r="C17" i="20"/>
  <c r="E28" i="2"/>
  <c r="E29" i="2" l="1"/>
  <c r="C18" i="20" s="1"/>
  <c r="G12" i="14" l="1"/>
  <c r="J19" i="14"/>
  <c r="J26" i="14"/>
  <c r="E29" i="14"/>
  <c r="E37" i="14"/>
  <c r="E46" i="14"/>
  <c r="E59" i="14"/>
  <c r="K7" i="11"/>
  <c r="J68" i="14"/>
  <c r="K68" i="14" s="1"/>
  <c r="L68" i="14" s="1"/>
  <c r="J67" i="14"/>
  <c r="K67" i="14" s="1"/>
  <c r="L67" i="14" s="1"/>
  <c r="J66" i="14"/>
  <c r="K66" i="14" s="1"/>
  <c r="L66" i="14" s="1"/>
  <c r="J7" i="11"/>
  <c r="B61" i="14"/>
  <c r="I7" i="11"/>
  <c r="B48" i="14"/>
  <c r="H7" i="11"/>
  <c r="B40" i="14"/>
  <c r="G7" i="11"/>
  <c r="B31" i="14"/>
  <c r="F7" i="11"/>
  <c r="B22" i="14"/>
  <c r="B15" i="14"/>
  <c r="O5" i="14"/>
  <c r="D55" i="13"/>
  <c r="D384" i="19" s="1"/>
  <c r="D403" i="19" s="1"/>
  <c r="F403" i="19" s="1"/>
  <c r="G403" i="19" s="1"/>
  <c r="D54" i="13"/>
  <c r="D386" i="19" s="1"/>
  <c r="D53" i="13"/>
  <c r="D382" i="19" s="1"/>
  <c r="E56" i="13"/>
  <c r="E45" i="13"/>
  <c r="D44" i="13"/>
  <c r="D311" i="19" s="1"/>
  <c r="E36" i="13"/>
  <c r="D35" i="13"/>
  <c r="D240" i="19" s="1"/>
  <c r="K23" i="4" l="1"/>
  <c r="K23" i="19"/>
  <c r="E57" i="14"/>
  <c r="G54" i="14"/>
  <c r="G19" i="14"/>
  <c r="K19" i="14" s="1"/>
  <c r="L19" i="14" s="1"/>
  <c r="J44" i="14"/>
  <c r="G55" i="14"/>
  <c r="J12" i="14"/>
  <c r="K12" i="14" s="1"/>
  <c r="J53" i="14"/>
  <c r="G35" i="14"/>
  <c r="J35" i="14"/>
  <c r="E58" i="14"/>
  <c r="E7" i="11"/>
  <c r="F75" i="14"/>
  <c r="F79" i="14" s="1"/>
  <c r="G69" i="14"/>
  <c r="G13" i="14"/>
  <c r="J55" i="14"/>
  <c r="E28" i="14"/>
  <c r="E38" i="14"/>
  <c r="G44" i="14"/>
  <c r="G26" i="14"/>
  <c r="K26" i="14" s="1"/>
  <c r="J54" i="14"/>
  <c r="J65" i="14"/>
  <c r="G53" i="14"/>
  <c r="E28" i="13"/>
  <c r="E29" i="13"/>
  <c r="E27" i="13"/>
  <c r="D26" i="13"/>
  <c r="D169" i="19" s="1"/>
  <c r="E20" i="13"/>
  <c r="D19" i="13"/>
  <c r="D104" i="19" s="1"/>
  <c r="E13" i="13"/>
  <c r="D12" i="13"/>
  <c r="B61" i="13"/>
  <c r="G54" i="13"/>
  <c r="B48" i="13"/>
  <c r="E46" i="13"/>
  <c r="B40" i="13"/>
  <c r="E38" i="13"/>
  <c r="B31" i="13"/>
  <c r="B22" i="13"/>
  <c r="B15" i="13"/>
  <c r="N5" i="13"/>
  <c r="E50" i="4"/>
  <c r="D12" i="19" l="1"/>
  <c r="D50" i="19"/>
  <c r="E32" i="20"/>
  <c r="E386" i="19"/>
  <c r="C32" i="19"/>
  <c r="C27" i="19"/>
  <c r="J36" i="19"/>
  <c r="C25" i="19"/>
  <c r="C31" i="19"/>
  <c r="C34" i="19"/>
  <c r="C29" i="19"/>
  <c r="C28" i="19"/>
  <c r="C33" i="19"/>
  <c r="C26" i="19"/>
  <c r="C30" i="19"/>
  <c r="C24" i="19"/>
  <c r="C23" i="19"/>
  <c r="C31" i="4"/>
  <c r="C26" i="4"/>
  <c r="J36" i="4"/>
  <c r="C23" i="4"/>
  <c r="C27" i="4"/>
  <c r="C24" i="4"/>
  <c r="C30" i="4"/>
  <c r="C28" i="4"/>
  <c r="C25" i="4"/>
  <c r="C34" i="4"/>
  <c r="C29" i="4"/>
  <c r="C33" i="4"/>
  <c r="C32" i="4"/>
  <c r="C405" i="4"/>
  <c r="E405" i="4" s="1"/>
  <c r="C402" i="4"/>
  <c r="C408" i="4"/>
  <c r="C411" i="4" s="1"/>
  <c r="K35" i="14"/>
  <c r="L35" i="14" s="1"/>
  <c r="K55" i="14"/>
  <c r="L55" i="14" s="1"/>
  <c r="K53" i="14"/>
  <c r="L53" i="14" s="1"/>
  <c r="J73" i="14"/>
  <c r="F65" i="13"/>
  <c r="I65" i="13" s="1"/>
  <c r="J65" i="13" s="1"/>
  <c r="K65" i="13" s="1"/>
  <c r="F67" i="13"/>
  <c r="I67" i="13" s="1"/>
  <c r="J67" i="13" s="1"/>
  <c r="K67" i="13" s="1"/>
  <c r="K54" i="14"/>
  <c r="L54" i="14" s="1"/>
  <c r="K44" i="14"/>
  <c r="L44" i="14" s="1"/>
  <c r="J69" i="14"/>
  <c r="K69" i="14" s="1"/>
  <c r="L69" i="14" s="1"/>
  <c r="K65" i="14"/>
  <c r="L65" i="14" s="1"/>
  <c r="G73" i="14"/>
  <c r="E37" i="13"/>
  <c r="E57" i="13"/>
  <c r="E58" i="13"/>
  <c r="E59" i="13"/>
  <c r="C35" i="19" l="1"/>
  <c r="J35" i="19" s="1"/>
  <c r="K73" i="14"/>
  <c r="L73" i="14" s="1"/>
  <c r="C35" i="4"/>
  <c r="J35" i="4" s="1"/>
  <c r="E408" i="4"/>
  <c r="E402" i="4"/>
  <c r="B402" i="4"/>
  <c r="L12" i="14"/>
  <c r="L26" i="14"/>
  <c r="B404" i="4" l="1"/>
  <c r="B405" i="4" s="1"/>
  <c r="B407" i="4" s="1"/>
  <c r="I67" i="2"/>
  <c r="J67" i="2" s="1"/>
  <c r="I65" i="2"/>
  <c r="J65" i="2" s="1"/>
  <c r="B408" i="4" l="1"/>
  <c r="B410" i="4" s="1"/>
  <c r="B411" i="4" s="1"/>
  <c r="I66" i="2"/>
  <c r="J66" i="2" s="1"/>
  <c r="F66" i="13"/>
  <c r="I68" i="2"/>
  <c r="J68" i="2" s="1"/>
  <c r="F68" i="13"/>
  <c r="I68" i="13" s="1"/>
  <c r="C54" i="13"/>
  <c r="C53" i="13"/>
  <c r="C57" i="13"/>
  <c r="C58" i="13"/>
  <c r="C59" i="13"/>
  <c r="C56" i="13"/>
  <c r="C55" i="13"/>
  <c r="C35" i="20"/>
  <c r="C36" i="20"/>
  <c r="C37" i="20"/>
  <c r="C34" i="20"/>
  <c r="C45" i="13"/>
  <c r="C46" i="13"/>
  <c r="C44" i="13"/>
  <c r="C27" i="20"/>
  <c r="C28" i="20"/>
  <c r="C26" i="20"/>
  <c r="C36" i="13"/>
  <c r="C37" i="13"/>
  <c r="C38" i="13"/>
  <c r="C35" i="13"/>
  <c r="C12" i="20"/>
  <c r="C11" i="20"/>
  <c r="C10" i="20"/>
  <c r="C8" i="20"/>
  <c r="C7" i="20" l="1"/>
  <c r="D14" i="4"/>
  <c r="D54" i="4" s="1"/>
  <c r="C6" i="20"/>
  <c r="D12" i="4"/>
  <c r="D384" i="4"/>
  <c r="D402" i="4" s="1"/>
  <c r="F402" i="4" s="1"/>
  <c r="G402" i="4" s="1"/>
  <c r="C31" i="20"/>
  <c r="D388" i="4"/>
  <c r="D408" i="4" s="1"/>
  <c r="F408" i="4" s="1"/>
  <c r="G408" i="4" s="1"/>
  <c r="C32" i="20"/>
  <c r="D386" i="4"/>
  <c r="D405" i="4" s="1"/>
  <c r="F405" i="4" s="1"/>
  <c r="G405" i="4" s="1"/>
  <c r="C33" i="20"/>
  <c r="C406" i="19"/>
  <c r="C409" i="19" s="1"/>
  <c r="C400" i="19"/>
  <c r="D390" i="4"/>
  <c r="F56" i="2"/>
  <c r="D106" i="4"/>
  <c r="D108" i="19" s="1"/>
  <c r="F44" i="13"/>
  <c r="I44" i="13"/>
  <c r="I53" i="13"/>
  <c r="F53" i="13"/>
  <c r="I19" i="13"/>
  <c r="F19" i="13"/>
  <c r="I26" i="13"/>
  <c r="F26" i="13"/>
  <c r="J68" i="13"/>
  <c r="K68" i="13" s="1"/>
  <c r="F54" i="13"/>
  <c r="I54" i="13"/>
  <c r="I55" i="13"/>
  <c r="F55" i="13"/>
  <c r="I66" i="13"/>
  <c r="F69" i="13"/>
  <c r="I35" i="13"/>
  <c r="F35" i="13"/>
  <c r="F13" i="2"/>
  <c r="F12" i="2"/>
  <c r="D52" i="4"/>
  <c r="D31" i="4" l="1"/>
  <c r="D34" i="4"/>
  <c r="D24" i="4"/>
  <c r="D23" i="4"/>
  <c r="D29" i="4"/>
  <c r="D26" i="4"/>
  <c r="D32" i="4"/>
  <c r="D27" i="4"/>
  <c r="D30" i="4"/>
  <c r="D25" i="4"/>
  <c r="D28" i="4"/>
  <c r="D33" i="4"/>
  <c r="E16" i="4"/>
  <c r="D16" i="19"/>
  <c r="D406" i="19"/>
  <c r="E406" i="19"/>
  <c r="B413" i="4"/>
  <c r="E400" i="19"/>
  <c r="D400" i="19"/>
  <c r="B400" i="19"/>
  <c r="J44" i="13"/>
  <c r="K44" i="13" s="1"/>
  <c r="J55" i="13"/>
  <c r="K55" i="13" s="1"/>
  <c r="J35" i="13"/>
  <c r="K35" i="13" s="1"/>
  <c r="J54" i="13"/>
  <c r="K54" i="13" s="1"/>
  <c r="J19" i="13"/>
  <c r="K19" i="13" s="1"/>
  <c r="J53" i="13"/>
  <c r="K53" i="13" s="1"/>
  <c r="J66" i="13"/>
  <c r="K66" i="13" s="1"/>
  <c r="I69" i="13"/>
  <c r="J69" i="13" s="1"/>
  <c r="K69" i="13" s="1"/>
  <c r="I12" i="13"/>
  <c r="F12" i="13"/>
  <c r="F73" i="13" s="1"/>
  <c r="J26" i="13"/>
  <c r="K26" i="13" s="1"/>
  <c r="F15" i="2"/>
  <c r="B367" i="4"/>
  <c r="E16" i="19" l="1"/>
  <c r="D54" i="19"/>
  <c r="E54" i="19" s="1"/>
  <c r="D35" i="4"/>
  <c r="D37" i="4" s="1"/>
  <c r="F406" i="19"/>
  <c r="G406" i="19" s="1"/>
  <c r="B402" i="19"/>
  <c r="B403" i="19" s="1"/>
  <c r="B405" i="19" s="1"/>
  <c r="B406" i="19" s="1"/>
  <c r="B408" i="19" s="1"/>
  <c r="B409" i="19" s="1"/>
  <c r="B411" i="19" s="1"/>
  <c r="F400" i="19"/>
  <c r="G400" i="19" s="1"/>
  <c r="J12" i="13"/>
  <c r="K12" i="13" s="1"/>
  <c r="I73" i="13"/>
  <c r="J73" i="13" l="1"/>
  <c r="K73" i="13" s="1"/>
  <c r="E59" i="2" l="1"/>
  <c r="E46" i="2"/>
  <c r="C29" i="20" s="1"/>
  <c r="E37" i="2"/>
  <c r="F54" i="2"/>
  <c r="D393" i="4" l="1"/>
  <c r="C38" i="20"/>
  <c r="E395" i="4"/>
  <c r="E57" i="2"/>
  <c r="D391" i="4" s="1"/>
  <c r="E58" i="2"/>
  <c r="D392" i="4" s="1"/>
  <c r="E38" i="2"/>
  <c r="C24" i="20" s="1"/>
  <c r="D411" i="4" l="1"/>
  <c r="D413" i="4" s="1"/>
  <c r="B53" i="4"/>
  <c r="D316" i="4" l="1"/>
  <c r="D317" i="4"/>
  <c r="D246" i="4"/>
  <c r="D247" i="19" s="1"/>
  <c r="D317" i="19" l="1"/>
  <c r="B242" i="4"/>
  <c r="B247" i="4"/>
  <c r="B249" i="4"/>
  <c r="B250" i="4"/>
  <c r="B254" i="4"/>
  <c r="B260" i="4"/>
  <c r="B266" i="4"/>
  <c r="B272" i="4"/>
  <c r="B278" i="4"/>
  <c r="B284" i="4"/>
  <c r="B290" i="4"/>
  <c r="B296" i="4"/>
  <c r="C256" i="4"/>
  <c r="C257" i="4" s="1"/>
  <c r="C258" i="4" s="1"/>
  <c r="C259" i="4" s="1"/>
  <c r="C261" i="4" s="1"/>
  <c r="C262" i="4" s="1"/>
  <c r="C263" i="4" s="1"/>
  <c r="C264" i="4" s="1"/>
  <c r="C265" i="4" s="1"/>
  <c r="C267" i="4" s="1"/>
  <c r="C268" i="4" s="1"/>
  <c r="E241" i="4"/>
  <c r="D241" i="4"/>
  <c r="B235" i="4"/>
  <c r="E248" i="4"/>
  <c r="H233" i="4"/>
  <c r="A233" i="4"/>
  <c r="H231" i="4"/>
  <c r="C327" i="4"/>
  <c r="C328" i="4" s="1"/>
  <c r="C329" i="4" s="1"/>
  <c r="C330" i="4" s="1"/>
  <c r="C332" i="4" s="1"/>
  <c r="C333" i="4" s="1"/>
  <c r="C334" i="4" s="1"/>
  <c r="C335" i="4" s="1"/>
  <c r="C336" i="4" s="1"/>
  <c r="C338" i="4" s="1"/>
  <c r="C339" i="4" s="1"/>
  <c r="C340" i="4" s="1"/>
  <c r="C341" i="4" s="1"/>
  <c r="C342" i="4" s="1"/>
  <c r="E313" i="4"/>
  <c r="D313" i="4"/>
  <c r="B307" i="4"/>
  <c r="B314" i="4"/>
  <c r="B318" i="4"/>
  <c r="B320" i="4"/>
  <c r="B321" i="4"/>
  <c r="B325" i="4"/>
  <c r="B331" i="4"/>
  <c r="B337" i="4"/>
  <c r="B343" i="4"/>
  <c r="B349" i="4"/>
  <c r="B355" i="4"/>
  <c r="B361" i="4"/>
  <c r="B313" i="4"/>
  <c r="E319" i="4"/>
  <c r="B175" i="4"/>
  <c r="E104" i="4"/>
  <c r="D104" i="4"/>
  <c r="F58" i="2"/>
  <c r="F59" i="2"/>
  <c r="F57" i="2"/>
  <c r="I55" i="2"/>
  <c r="F46" i="2"/>
  <c r="F45" i="2"/>
  <c r="F38" i="2"/>
  <c r="F20" i="2"/>
  <c r="C344" i="4" l="1"/>
  <c r="C345" i="4" s="1"/>
  <c r="C269" i="4"/>
  <c r="C270" i="4" s="1"/>
  <c r="C271" i="4" s="1"/>
  <c r="C273" i="4" s="1"/>
  <c r="C274" i="4" s="1"/>
  <c r="C275" i="4" s="1"/>
  <c r="C276" i="4" s="1"/>
  <c r="C277" i="4" s="1"/>
  <c r="C279" i="4" s="1"/>
  <c r="C280" i="4" s="1"/>
  <c r="C281" i="4" s="1"/>
  <c r="C282" i="4" s="1"/>
  <c r="C283" i="4" s="1"/>
  <c r="C285" i="4" s="1"/>
  <c r="C286" i="4" s="1"/>
  <c r="C287" i="4" s="1"/>
  <c r="C288" i="4" s="1"/>
  <c r="C289" i="4" s="1"/>
  <c r="B241" i="4"/>
  <c r="B243" i="4" s="1"/>
  <c r="B244" i="4" s="1"/>
  <c r="B245" i="4" s="1"/>
  <c r="B246" i="4" s="1"/>
  <c r="N56" i="2"/>
  <c r="D338" i="4"/>
  <c r="D328" i="4"/>
  <c r="D327" i="4"/>
  <c r="D340" i="4"/>
  <c r="D333" i="4"/>
  <c r="D342" i="4"/>
  <c r="D326" i="4"/>
  <c r="D335" i="4"/>
  <c r="D330" i="4"/>
  <c r="D324" i="4"/>
  <c r="D329" i="4"/>
  <c r="D332" i="4"/>
  <c r="D334" i="4"/>
  <c r="D336" i="4"/>
  <c r="D339" i="4"/>
  <c r="D341" i="4"/>
  <c r="D344" i="4"/>
  <c r="B315" i="4"/>
  <c r="B316" i="4" s="1"/>
  <c r="C346" i="4" l="1"/>
  <c r="D345" i="4"/>
  <c r="C291" i="4"/>
  <c r="B248" i="4"/>
  <c r="B317" i="4"/>
  <c r="C347" i="4" l="1"/>
  <c r="D346" i="4"/>
  <c r="C292" i="4"/>
  <c r="B319" i="4"/>
  <c r="C348" i="4" l="1"/>
  <c r="D347" i="4"/>
  <c r="C293" i="4"/>
  <c r="K66" i="2"/>
  <c r="B253" i="4"/>
  <c r="C350" i="4" l="1"/>
  <c r="D348" i="4"/>
  <c r="C294" i="4"/>
  <c r="B255" i="4"/>
  <c r="B256" i="4" s="1"/>
  <c r="B324" i="4"/>
  <c r="F55" i="2"/>
  <c r="J55" i="2" s="1"/>
  <c r="C351" i="4" l="1"/>
  <c r="D350" i="4"/>
  <c r="C295" i="4"/>
  <c r="K55" i="2"/>
  <c r="B257" i="4"/>
  <c r="B326" i="4"/>
  <c r="C352" i="4" l="1"/>
  <c r="D351" i="4"/>
  <c r="B327" i="4"/>
  <c r="B328" i="4" s="1"/>
  <c r="C297" i="4"/>
  <c r="B258" i="4"/>
  <c r="B259" i="4" s="1"/>
  <c r="B261" i="4" s="1"/>
  <c r="B262" i="4" s="1"/>
  <c r="B263" i="4" s="1"/>
  <c r="B264" i="4" s="1"/>
  <c r="B265" i="4" s="1"/>
  <c r="B267" i="4" s="1"/>
  <c r="C353" i="4" l="1"/>
  <c r="D352" i="4"/>
  <c r="B268" i="4"/>
  <c r="B269" i="4" s="1"/>
  <c r="B329" i="4"/>
  <c r="C298" i="4"/>
  <c r="C354" i="4" l="1"/>
  <c r="D353" i="4"/>
  <c r="B270" i="4"/>
  <c r="B271" i="4" s="1"/>
  <c r="B273" i="4" s="1"/>
  <c r="B274" i="4" s="1"/>
  <c r="B275" i="4" s="1"/>
  <c r="B276" i="4" s="1"/>
  <c r="B277" i="4" s="1"/>
  <c r="B279" i="4" s="1"/>
  <c r="B280" i="4" s="1"/>
  <c r="B281" i="4" s="1"/>
  <c r="B282" i="4" s="1"/>
  <c r="B283" i="4" s="1"/>
  <c r="B285" i="4" s="1"/>
  <c r="B286" i="4" s="1"/>
  <c r="B287" i="4" s="1"/>
  <c r="B288" i="4" s="1"/>
  <c r="B289" i="4" s="1"/>
  <c r="B291" i="4" s="1"/>
  <c r="B330" i="4"/>
  <c r="C299" i="4"/>
  <c r="C356" i="4" l="1"/>
  <c r="C357" i="4" s="1"/>
  <c r="C358" i="4" s="1"/>
  <c r="C359" i="4" s="1"/>
  <c r="C360" i="4" s="1"/>
  <c r="C362" i="4" s="1"/>
  <c r="C363" i="4" s="1"/>
  <c r="C364" i="4" s="1"/>
  <c r="C365" i="4" s="1"/>
  <c r="C366" i="4" s="1"/>
  <c r="D354" i="4"/>
  <c r="B292" i="4"/>
  <c r="B293" i="4" s="1"/>
  <c r="B332" i="4"/>
  <c r="B333" i="4" s="1"/>
  <c r="B334" i="4" s="1"/>
  <c r="B335" i="4" s="1"/>
  <c r="C300" i="4"/>
  <c r="C368" i="4" l="1"/>
  <c r="C369" i="4" s="1"/>
  <c r="C370" i="4" s="1"/>
  <c r="C371" i="4" s="1"/>
  <c r="C372" i="4" s="1"/>
  <c r="C373" i="4" s="1"/>
  <c r="D366" i="4"/>
  <c r="B294" i="4"/>
  <c r="B295" i="4" s="1"/>
  <c r="B297" i="4" s="1"/>
  <c r="B336" i="4"/>
  <c r="B338" i="4" s="1"/>
  <c r="C301" i="4"/>
  <c r="B48" i="2"/>
  <c r="I44" i="2"/>
  <c r="B339" i="4" l="1"/>
  <c r="B340" i="4" s="1"/>
  <c r="B341" i="4" s="1"/>
  <c r="B298" i="4"/>
  <c r="B299" i="4" s="1"/>
  <c r="B300" i="4" s="1"/>
  <c r="B301" i="4" s="1"/>
  <c r="B302" i="4" s="1"/>
  <c r="C302" i="4"/>
  <c r="K68" i="2"/>
  <c r="F44" i="2"/>
  <c r="J44" i="2" s="1"/>
  <c r="K67" i="2" l="1"/>
  <c r="F69" i="2"/>
  <c r="K44" i="2"/>
  <c r="I69" i="2"/>
  <c r="N46" i="2"/>
  <c r="N45" i="2"/>
  <c r="B342" i="4"/>
  <c r="K65" i="2"/>
  <c r="F48" i="2"/>
  <c r="H305" i="4"/>
  <c r="A305" i="4"/>
  <c r="H303" i="4"/>
  <c r="B224" i="4"/>
  <c r="B218" i="4"/>
  <c r="B212" i="4"/>
  <c r="B206" i="4"/>
  <c r="B200" i="4"/>
  <c r="B194" i="4"/>
  <c r="B188" i="4"/>
  <c r="C184" i="4"/>
  <c r="B182" i="4"/>
  <c r="B177" i="4"/>
  <c r="B170" i="4"/>
  <c r="E169" i="4"/>
  <c r="H162" i="4"/>
  <c r="A162" i="4"/>
  <c r="H160" i="4"/>
  <c r="B151" i="4"/>
  <c r="B146" i="4"/>
  <c r="B140" i="4"/>
  <c r="B134" i="4"/>
  <c r="B128" i="4"/>
  <c r="B122" i="4"/>
  <c r="B116" i="4"/>
  <c r="B114" i="4"/>
  <c r="B109" i="4"/>
  <c r="E108" i="4"/>
  <c r="B107" i="4"/>
  <c r="B105" i="4"/>
  <c r="H97" i="4"/>
  <c r="A97" i="4"/>
  <c r="B93" i="4"/>
  <c r="B92" i="4"/>
  <c r="B86" i="4"/>
  <c r="B80" i="4"/>
  <c r="B74" i="4"/>
  <c r="B68" i="4"/>
  <c r="B62" i="4"/>
  <c r="B60" i="4"/>
  <c r="B56" i="4"/>
  <c r="B55" i="4"/>
  <c r="E54" i="4"/>
  <c r="B51" i="4"/>
  <c r="D50" i="4"/>
  <c r="D76" i="4" s="1"/>
  <c r="B50" i="4"/>
  <c r="I53" i="2"/>
  <c r="F35" i="2"/>
  <c r="D169" i="4"/>
  <c r="F26" i="2"/>
  <c r="B99" i="4"/>
  <c r="N5" i="2"/>
  <c r="J69" i="2" l="1"/>
  <c r="A95" i="4"/>
  <c r="A231" i="4"/>
  <c r="A96" i="4"/>
  <c r="A232" i="4"/>
  <c r="B344" i="4"/>
  <c r="D136" i="4"/>
  <c r="I19" i="2"/>
  <c r="I35" i="2"/>
  <c r="J35" i="2" s="1"/>
  <c r="F19" i="2"/>
  <c r="D66" i="4"/>
  <c r="D90" i="4"/>
  <c r="D82" i="4"/>
  <c r="D91" i="4"/>
  <c r="D79" i="4"/>
  <c r="D75" i="4"/>
  <c r="D71" i="4"/>
  <c r="D67" i="4"/>
  <c r="D63" i="4"/>
  <c r="D59" i="4"/>
  <c r="D81" i="4"/>
  <c r="D77" i="4"/>
  <c r="D73" i="4"/>
  <c r="D69" i="4"/>
  <c r="D65" i="4"/>
  <c r="D61" i="4"/>
  <c r="D70" i="4"/>
  <c r="D89" i="4"/>
  <c r="D155" i="4"/>
  <c r="D147" i="4"/>
  <c r="D143" i="4"/>
  <c r="D139" i="4"/>
  <c r="D135" i="4"/>
  <c r="D131" i="4"/>
  <c r="D127" i="4"/>
  <c r="D123" i="4"/>
  <c r="D120" i="4"/>
  <c r="D153" i="4"/>
  <c r="D148" i="4"/>
  <c r="D126" i="4"/>
  <c r="D115" i="4"/>
  <c r="D113" i="4"/>
  <c r="D154" i="4"/>
  <c r="D150" i="4"/>
  <c r="D145" i="4"/>
  <c r="D142" i="4"/>
  <c r="D137" i="4"/>
  <c r="D132" i="4"/>
  <c r="D129" i="4"/>
  <c r="D124" i="4"/>
  <c r="D121" i="4"/>
  <c r="D118" i="4"/>
  <c r="D125" i="4"/>
  <c r="D138" i="4"/>
  <c r="D141" i="4"/>
  <c r="D144" i="4"/>
  <c r="C185" i="4"/>
  <c r="A303" i="4"/>
  <c r="A160" i="4"/>
  <c r="I26" i="2"/>
  <c r="J26" i="2" s="1"/>
  <c r="D78" i="4"/>
  <c r="D84" i="4"/>
  <c r="B104" i="4"/>
  <c r="B106" i="4" s="1"/>
  <c r="B108" i="4" s="1"/>
  <c r="D87" i="4"/>
  <c r="D117" i="4"/>
  <c r="I12" i="2"/>
  <c r="J12" i="2" s="1"/>
  <c r="B22" i="2"/>
  <c r="B61" i="2"/>
  <c r="B45" i="4"/>
  <c r="D72" i="4"/>
  <c r="D83" i="4"/>
  <c r="D85" i="4"/>
  <c r="D119" i="4"/>
  <c r="D149" i="4"/>
  <c r="D152" i="4"/>
  <c r="B15" i="2"/>
  <c r="B31" i="2"/>
  <c r="B164" i="4"/>
  <c r="F53" i="2"/>
  <c r="F61" i="2" s="1"/>
  <c r="D64" i="4"/>
  <c r="D88" i="4"/>
  <c r="D130" i="4"/>
  <c r="D133" i="4"/>
  <c r="B52" i="4"/>
  <c r="A304" i="4"/>
  <c r="A161" i="4"/>
  <c r="J19" i="2" l="1"/>
  <c r="K19" i="2" s="1"/>
  <c r="J53" i="2"/>
  <c r="K53" i="2" s="1"/>
  <c r="F73" i="2"/>
  <c r="I73" i="2"/>
  <c r="K35" i="2"/>
  <c r="K69" i="2"/>
  <c r="K12" i="2"/>
  <c r="N59" i="2"/>
  <c r="N57" i="2"/>
  <c r="N58" i="2"/>
  <c r="B345" i="4"/>
  <c r="F22" i="2"/>
  <c r="B169" i="4"/>
  <c r="B171" i="4" s="1"/>
  <c r="C186" i="4"/>
  <c r="B54" i="4"/>
  <c r="B59" i="4" s="1"/>
  <c r="B61" i="4" s="1"/>
  <c r="B63" i="4" s="1"/>
  <c r="B113" i="4"/>
  <c r="J73" i="2" l="1"/>
  <c r="B172" i="4"/>
  <c r="B173" i="4" s="1"/>
  <c r="B174" i="4" s="1"/>
  <c r="K26" i="2"/>
  <c r="B346" i="4"/>
  <c r="B64" i="4"/>
  <c r="C187" i="4"/>
  <c r="B115" i="4"/>
  <c r="B347" i="4" l="1"/>
  <c r="B176" i="4"/>
  <c r="B181" i="4" s="1"/>
  <c r="B117" i="4"/>
  <c r="C189" i="4"/>
  <c r="B65" i="4"/>
  <c r="B66" i="4" s="1"/>
  <c r="B348" i="4" l="1"/>
  <c r="I54" i="2"/>
  <c r="J54" i="2" s="1"/>
  <c r="B67" i="4"/>
  <c r="B118" i="4"/>
  <c r="C190" i="4"/>
  <c r="K54" i="2" l="1"/>
  <c r="B183" i="4"/>
  <c r="B350" i="4"/>
  <c r="B119" i="4"/>
  <c r="B120" i="4" s="1"/>
  <c r="B121" i="4" s="1"/>
  <c r="B123" i="4" s="1"/>
  <c r="B124" i="4" s="1"/>
  <c r="B125" i="4" s="1"/>
  <c r="C191" i="4"/>
  <c r="B69" i="4"/>
  <c r="B184" i="4" l="1"/>
  <c r="B185" i="4" s="1"/>
  <c r="B186" i="4" s="1"/>
  <c r="B351" i="4"/>
  <c r="B70" i="4"/>
  <c r="C192" i="4"/>
  <c r="B126" i="4"/>
  <c r="B127" i="4" s="1"/>
  <c r="B129" i="4" s="1"/>
  <c r="B130" i="4" s="1"/>
  <c r="B131" i="4" s="1"/>
  <c r="B132" i="4" s="1"/>
  <c r="B133" i="4" s="1"/>
  <c r="B135" i="4" s="1"/>
  <c r="B136" i="4" s="1"/>
  <c r="B137" i="4" s="1"/>
  <c r="B138" i="4" s="1"/>
  <c r="B139" i="4" s="1"/>
  <c r="B141" i="4" s="1"/>
  <c r="B142" i="4" s="1"/>
  <c r="B143" i="4" s="1"/>
  <c r="B144" i="4" s="1"/>
  <c r="B145" i="4" s="1"/>
  <c r="B147" i="4" s="1"/>
  <c r="B187" i="4" l="1"/>
  <c r="B352" i="4"/>
  <c r="B71" i="4"/>
  <c r="B148" i="4"/>
  <c r="B149" i="4" s="1"/>
  <c r="B150" i="4" s="1"/>
  <c r="B152" i="4" s="1"/>
  <c r="B153" i="4" s="1"/>
  <c r="B154" i="4" s="1"/>
  <c r="B155" i="4" s="1"/>
  <c r="C193" i="4"/>
  <c r="B189" i="4" l="1"/>
  <c r="B353" i="4"/>
  <c r="B72" i="4"/>
  <c r="B73" i="4" s="1"/>
  <c r="B75" i="4" s="1"/>
  <c r="C195" i="4"/>
  <c r="B76" i="4" l="1"/>
  <c r="B77" i="4" s="1"/>
  <c r="B190" i="4"/>
  <c r="B354" i="4"/>
  <c r="D356" i="4"/>
  <c r="C196" i="4"/>
  <c r="B78" i="4" l="1"/>
  <c r="B191" i="4"/>
  <c r="B356" i="4"/>
  <c r="D357" i="4"/>
  <c r="C197" i="4"/>
  <c r="B79" i="4" l="1"/>
  <c r="B81" i="4" s="1"/>
  <c r="B82" i="4" s="1"/>
  <c r="B83" i="4" s="1"/>
  <c r="B84" i="4" s="1"/>
  <c r="B85" i="4" s="1"/>
  <c r="B87" i="4" s="1"/>
  <c r="B88" i="4" s="1"/>
  <c r="B89" i="4" s="1"/>
  <c r="B90" i="4" s="1"/>
  <c r="B91" i="4" s="1"/>
  <c r="B192" i="4"/>
  <c r="B357" i="4"/>
  <c r="D358" i="4"/>
  <c r="C198" i="4"/>
  <c r="B193" i="4" l="1"/>
  <c r="B358" i="4"/>
  <c r="D359" i="4"/>
  <c r="C199" i="4"/>
  <c r="B195" i="4" l="1"/>
  <c r="B359" i="4"/>
  <c r="D360" i="4"/>
  <c r="C201" i="4"/>
  <c r="B196" i="4" l="1"/>
  <c r="B360" i="4"/>
  <c r="D362" i="4"/>
  <c r="C202" i="4"/>
  <c r="B362" i="4" l="1"/>
  <c r="B197" i="4"/>
  <c r="B198" i="4" s="1"/>
  <c r="D363" i="4"/>
  <c r="C203" i="4"/>
  <c r="B199" i="4" l="1"/>
  <c r="B201" i="4" s="1"/>
  <c r="B363" i="4"/>
  <c r="D364" i="4"/>
  <c r="C204" i="4"/>
  <c r="B202" i="4" l="1"/>
  <c r="B203" i="4" s="1"/>
  <c r="B364" i="4"/>
  <c r="D365" i="4"/>
  <c r="C205" i="4"/>
  <c r="B204" i="4" l="1"/>
  <c r="B205" i="4" s="1"/>
  <c r="B365" i="4"/>
  <c r="B366" i="4" s="1"/>
  <c r="C207" i="4"/>
  <c r="D368" i="4" l="1"/>
  <c r="C208" i="4"/>
  <c r="B207" i="4"/>
  <c r="B368" i="4" l="1"/>
  <c r="D369" i="4"/>
  <c r="B208" i="4"/>
  <c r="C209" i="4"/>
  <c r="B369" i="4" l="1"/>
  <c r="D370" i="4"/>
  <c r="C210" i="4"/>
  <c r="B209" i="4"/>
  <c r="B370" i="4" l="1"/>
  <c r="D371" i="4"/>
  <c r="C211" i="4"/>
  <c r="B210" i="4"/>
  <c r="B371" i="4" l="1"/>
  <c r="D372" i="4"/>
  <c r="B211" i="4"/>
  <c r="C213" i="4"/>
  <c r="B372" i="4" l="1"/>
  <c r="D373" i="4"/>
  <c r="B213" i="4"/>
  <c r="C214" i="4"/>
  <c r="B373" i="4" l="1"/>
  <c r="C215" i="4"/>
  <c r="B214" i="4"/>
  <c r="B215" i="4" l="1"/>
  <c r="C216" i="4"/>
  <c r="B216" i="4" l="1"/>
  <c r="C217" i="4"/>
  <c r="C219" i="4" l="1"/>
  <c r="B217" i="4"/>
  <c r="C220" i="4" l="1"/>
  <c r="B219" i="4"/>
  <c r="C221" i="4" l="1"/>
  <c r="B220" i="4"/>
  <c r="C222" i="4" l="1"/>
  <c r="B221" i="4"/>
  <c r="C223" i="4" l="1"/>
  <c r="B222" i="4"/>
  <c r="B223" i="4" l="1"/>
  <c r="C225" i="4"/>
  <c r="C226" i="4" l="1"/>
  <c r="B225" i="4"/>
  <c r="B226" i="4" l="1"/>
  <c r="C227" i="4"/>
  <c r="B227" i="4" l="1"/>
  <c r="C228" i="4"/>
  <c r="B228" i="4" l="1"/>
  <c r="C229" i="4"/>
  <c r="C230" i="4" l="1"/>
  <c r="B229" i="4"/>
  <c r="B230" i="4" l="1"/>
  <c r="B40" i="2" l="1"/>
  <c r="G20" i="14" l="1"/>
  <c r="G22" i="14" s="1"/>
  <c r="F23" i="14" s="1"/>
  <c r="F20" i="14"/>
  <c r="F13" i="14"/>
  <c r="F28" i="14" l="1"/>
  <c r="G28" i="14"/>
  <c r="G29" i="14"/>
  <c r="F29" i="14"/>
  <c r="G15" i="14"/>
  <c r="F16" i="14" s="1"/>
  <c r="G27" i="14"/>
  <c r="F27" i="14"/>
  <c r="O28" i="14" l="1"/>
  <c r="O27" i="14"/>
  <c r="G31" i="14"/>
  <c r="F32" i="14" s="1"/>
  <c r="O29" i="14"/>
  <c r="F46" i="14"/>
  <c r="G46" i="14"/>
  <c r="G59" i="14"/>
  <c r="F59" i="14"/>
  <c r="F56" i="14"/>
  <c r="G56" i="14"/>
  <c r="F38" i="14"/>
  <c r="G38" i="14"/>
  <c r="G57" i="14"/>
  <c r="F57" i="14"/>
  <c r="F58" i="14"/>
  <c r="G58" i="14"/>
  <c r="G36" i="14"/>
  <c r="F36" i="14"/>
  <c r="G37" i="14"/>
  <c r="F37" i="14"/>
  <c r="F45" i="14"/>
  <c r="G45" i="14"/>
  <c r="G74" i="14" l="1"/>
  <c r="G75" i="14" s="1"/>
  <c r="O58" i="14"/>
  <c r="O37" i="14"/>
  <c r="O59" i="14"/>
  <c r="O57" i="14"/>
  <c r="O46" i="14"/>
  <c r="O36" i="14"/>
  <c r="G40" i="14"/>
  <c r="F41" i="14" s="1"/>
  <c r="O38" i="14"/>
  <c r="O45" i="14"/>
  <c r="G48" i="14"/>
  <c r="F49" i="14" s="1"/>
  <c r="G61" i="14"/>
  <c r="F62" i="14" s="1"/>
  <c r="O56" i="14"/>
  <c r="E73" i="14" l="1"/>
  <c r="E74" i="14"/>
  <c r="F36" i="2" l="1"/>
  <c r="D244" i="4"/>
  <c r="D262" i="4" s="1"/>
  <c r="F37" i="2"/>
  <c r="D245" i="4"/>
  <c r="D277" i="4" l="1"/>
  <c r="D253" i="4"/>
  <c r="D263" i="4"/>
  <c r="D270" i="4"/>
  <c r="N36" i="2"/>
  <c r="D275" i="4"/>
  <c r="D293" i="4"/>
  <c r="N37" i="2"/>
  <c r="N38" i="2"/>
  <c r="D256" i="4"/>
  <c r="D291" i="4"/>
  <c r="D265" i="4"/>
  <c r="D257" i="4"/>
  <c r="D280" i="4"/>
  <c r="D255" i="4"/>
  <c r="D274" i="4"/>
  <c r="D264" i="4"/>
  <c r="D259" i="4"/>
  <c r="D276" i="4"/>
  <c r="D268" i="4"/>
  <c r="D258" i="4"/>
  <c r="D287" i="4"/>
  <c r="D261" i="4"/>
  <c r="D299" i="4"/>
  <c r="D286" i="4"/>
  <c r="D288" i="4"/>
  <c r="F40" i="2"/>
  <c r="D273" i="4"/>
  <c r="D292" i="4"/>
  <c r="D283" i="4"/>
  <c r="D269" i="4"/>
  <c r="D271" i="4"/>
  <c r="D279" i="4"/>
  <c r="D294" i="4"/>
  <c r="D298" i="4"/>
  <c r="D281" i="4"/>
  <c r="D297" i="4"/>
  <c r="D285" i="4"/>
  <c r="D301" i="4"/>
  <c r="D289" i="4"/>
  <c r="D295" i="4"/>
  <c r="D300" i="4"/>
  <c r="D302" i="4"/>
  <c r="D282" i="4"/>
  <c r="D267" i="4"/>
  <c r="D174" i="4" l="1"/>
  <c r="F29" i="2"/>
  <c r="D172" i="4"/>
  <c r="F27" i="2"/>
  <c r="D173" i="4"/>
  <c r="F28" i="2"/>
  <c r="E176" i="4" l="1"/>
  <c r="D176" i="19"/>
  <c r="N27" i="2"/>
  <c r="F31" i="2"/>
  <c r="F74" i="2"/>
  <c r="D184" i="4"/>
  <c r="D183" i="4"/>
  <c r="D181" i="4"/>
  <c r="D185" i="4"/>
  <c r="D186" i="4"/>
  <c r="D187" i="4"/>
  <c r="N28" i="2"/>
  <c r="N29" i="2"/>
  <c r="D189" i="4"/>
  <c r="D190" i="4"/>
  <c r="D191" i="4"/>
  <c r="D192" i="4"/>
  <c r="D193" i="4"/>
  <c r="D195" i="4"/>
  <c r="D196" i="4"/>
  <c r="D197" i="4"/>
  <c r="D198" i="4"/>
  <c r="D199" i="4"/>
  <c r="D201" i="4"/>
  <c r="D202" i="4"/>
  <c r="D203" i="4"/>
  <c r="D204" i="4"/>
  <c r="D205" i="4"/>
  <c r="D207" i="4"/>
  <c r="D208" i="4"/>
  <c r="D209" i="4"/>
  <c r="D210" i="4"/>
  <c r="D211" i="4"/>
  <c r="D213" i="4"/>
  <c r="D214" i="4"/>
  <c r="D215" i="4"/>
  <c r="D216" i="4"/>
  <c r="D217" i="4"/>
  <c r="D219" i="4"/>
  <c r="D220" i="4"/>
  <c r="D221" i="4"/>
  <c r="D222" i="4"/>
  <c r="D223" i="4"/>
  <c r="D225" i="4"/>
  <c r="D226" i="4"/>
  <c r="D227" i="4"/>
  <c r="D228" i="4"/>
  <c r="D229" i="4"/>
  <c r="D230" i="4"/>
  <c r="F75" i="2" l="1"/>
  <c r="E73" i="2" l="1"/>
  <c r="E74" i="2"/>
  <c r="E108" i="19" l="1"/>
  <c r="E247" i="19" l="1"/>
  <c r="E176" i="19"/>
  <c r="E317" i="19"/>
  <c r="K10" i="11" l="1"/>
  <c r="K13" i="11" s="1"/>
  <c r="K24" i="11"/>
  <c r="K16" i="11" l="1"/>
  <c r="U19" i="23" s="1"/>
  <c r="K31" i="11"/>
  <c r="N19" i="23"/>
  <c r="K28" i="11"/>
  <c r="G19" i="23"/>
  <c r="J79" i="14"/>
  <c r="L19" i="23" l="1"/>
  <c r="F19" i="23"/>
  <c r="I19" i="23" s="1"/>
  <c r="M19" i="23"/>
  <c r="P19" i="23" s="1"/>
  <c r="S19" i="23"/>
  <c r="AB19" i="23"/>
  <c r="AA19" i="23" s="1"/>
  <c r="AD19" i="23" s="1"/>
  <c r="T19" i="23"/>
  <c r="W19" i="23" s="1"/>
  <c r="G10" i="11"/>
  <c r="G15" i="23" s="1"/>
  <c r="J10" i="11"/>
  <c r="G18" i="23" s="1"/>
  <c r="L18" i="23" l="1"/>
  <c r="F18" i="23"/>
  <c r="I18" i="23" s="1"/>
  <c r="L15" i="23"/>
  <c r="F15" i="23"/>
  <c r="I15" i="23" s="1"/>
  <c r="N61" i="14"/>
  <c r="N31" i="14"/>
  <c r="H10" i="11"/>
  <c r="G16" i="23" s="1"/>
  <c r="I10" i="11"/>
  <c r="G17" i="23" s="1"/>
  <c r="L17" i="23" l="1"/>
  <c r="F17" i="23"/>
  <c r="I17" i="23" s="1"/>
  <c r="L16" i="23"/>
  <c r="F16" i="23"/>
  <c r="I16" i="23" s="1"/>
  <c r="N48" i="14"/>
  <c r="H27" i="14"/>
  <c r="H28" i="14"/>
  <c r="H29" i="14"/>
  <c r="H57" i="14"/>
  <c r="J57" i="14" s="1"/>
  <c r="K57" i="14" s="1"/>
  <c r="L57" i="14" s="1"/>
  <c r="H58" i="14"/>
  <c r="J58" i="14" s="1"/>
  <c r="K58" i="14" s="1"/>
  <c r="L58" i="14" s="1"/>
  <c r="H59" i="14"/>
  <c r="J59" i="14" s="1"/>
  <c r="K59" i="14" s="1"/>
  <c r="L59" i="14" s="1"/>
  <c r="H56" i="14"/>
  <c r="J56" i="14" s="1"/>
  <c r="N40" i="14"/>
  <c r="N60" i="14" l="1"/>
  <c r="N62" i="14" s="1"/>
  <c r="J60" i="14" s="1"/>
  <c r="K60" i="14" s="1"/>
  <c r="K56" i="14"/>
  <c r="L56" i="14" s="1"/>
  <c r="N29" i="14"/>
  <c r="J29" i="14"/>
  <c r="K29" i="14" s="1"/>
  <c r="L29" i="14" s="1"/>
  <c r="N28" i="14"/>
  <c r="J28" i="14"/>
  <c r="K28" i="14" s="1"/>
  <c r="L28" i="14" s="1"/>
  <c r="J27" i="14"/>
  <c r="N27" i="14"/>
  <c r="H46" i="14"/>
  <c r="J46" i="14" s="1"/>
  <c r="K46" i="14" s="1"/>
  <c r="L46" i="14" s="1"/>
  <c r="H45" i="14"/>
  <c r="J45" i="14" s="1"/>
  <c r="H38" i="14"/>
  <c r="J38" i="14" s="1"/>
  <c r="K38" i="14" s="1"/>
  <c r="L38" i="14" s="1"/>
  <c r="H36" i="14"/>
  <c r="J36" i="14" s="1"/>
  <c r="H37" i="14"/>
  <c r="J37" i="14" s="1"/>
  <c r="K37" i="14" s="1"/>
  <c r="L37" i="14" s="1"/>
  <c r="J61" i="14" l="1"/>
  <c r="K61" i="14" s="1"/>
  <c r="L61" i="14" s="1"/>
  <c r="K45" i="14"/>
  <c r="L45" i="14" s="1"/>
  <c r="N47" i="14"/>
  <c r="N49" i="14" s="1"/>
  <c r="J47" i="14" s="1"/>
  <c r="K47" i="14" s="1"/>
  <c r="K27" i="14"/>
  <c r="L27" i="14" s="1"/>
  <c r="N30" i="14"/>
  <c r="N32" i="14" s="1"/>
  <c r="J30" i="14" s="1"/>
  <c r="K30" i="14" s="1"/>
  <c r="N39" i="14"/>
  <c r="N41" i="14" s="1"/>
  <c r="J39" i="14" s="1"/>
  <c r="K39" i="14" s="1"/>
  <c r="K36" i="14"/>
  <c r="L36" i="14" s="1"/>
  <c r="K31" i="14" l="1"/>
  <c r="L31" i="14" s="1"/>
  <c r="J31" i="14"/>
  <c r="J48" i="14"/>
  <c r="K48" i="14" s="1"/>
  <c r="L48" i="14" s="1"/>
  <c r="J40" i="14"/>
  <c r="K40" i="14" s="1"/>
  <c r="L40" i="14" s="1"/>
  <c r="E24" i="11" l="1"/>
  <c r="E10" i="11"/>
  <c r="N15" i="14" l="1"/>
  <c r="H13" i="14" s="1"/>
  <c r="J13" i="14" s="1"/>
  <c r="N14" i="14" s="1"/>
  <c r="N16" i="14" s="1"/>
  <c r="J14" i="14" s="1"/>
  <c r="K14" i="14" s="1"/>
  <c r="G13" i="23"/>
  <c r="K13" i="14" l="1"/>
  <c r="K15" i="14" s="1"/>
  <c r="L15" i="14" s="1"/>
  <c r="J15" i="14"/>
  <c r="L13" i="23"/>
  <c r="F13" i="23"/>
  <c r="L13" i="14" l="1"/>
  <c r="I13" i="23"/>
  <c r="F24" i="11"/>
  <c r="F10" i="11"/>
  <c r="G12" i="11" s="1"/>
  <c r="D9" i="11"/>
  <c r="D24" i="11" l="1"/>
  <c r="E25" i="11" s="1"/>
  <c r="G14" i="23"/>
  <c r="L14" i="23" s="1"/>
  <c r="L21" i="23" s="1"/>
  <c r="H25" i="11"/>
  <c r="G25" i="11"/>
  <c r="K78" i="14"/>
  <c r="N9" i="11"/>
  <c r="G13" i="11"/>
  <c r="G28" i="11"/>
  <c r="F14" i="23"/>
  <c r="F15" i="11"/>
  <c r="E12" i="11"/>
  <c r="G21" i="23"/>
  <c r="H12" i="11"/>
  <c r="F25" i="11"/>
  <c r="I25" i="11"/>
  <c r="J25" i="11"/>
  <c r="F12" i="11"/>
  <c r="E15" i="11"/>
  <c r="J15" i="11"/>
  <c r="N22" i="14"/>
  <c r="J12" i="11"/>
  <c r="D10" i="11"/>
  <c r="D28" i="11" s="1"/>
  <c r="H15" i="11"/>
  <c r="I15" i="11"/>
  <c r="G15" i="11"/>
  <c r="I12" i="11"/>
  <c r="K25" i="11"/>
  <c r="F13" i="11" l="1"/>
  <c r="F28" i="11"/>
  <c r="G16" i="11"/>
  <c r="G31" i="11"/>
  <c r="F31" i="11"/>
  <c r="F16" i="11"/>
  <c r="I28" i="11"/>
  <c r="I13" i="11"/>
  <c r="J13" i="11"/>
  <c r="J31" i="11" s="1"/>
  <c r="J28" i="11"/>
  <c r="I14" i="23"/>
  <c r="F21" i="23"/>
  <c r="I21" i="23" s="1"/>
  <c r="H28" i="11"/>
  <c r="H13" i="11"/>
  <c r="H16" i="11" s="1"/>
  <c r="H20" i="14"/>
  <c r="J20" i="14" s="1"/>
  <c r="E28" i="11"/>
  <c r="E13" i="11"/>
  <c r="M31" i="2"/>
  <c r="N15" i="23"/>
  <c r="J16" i="11" l="1"/>
  <c r="U18" i="23" s="1"/>
  <c r="M40" i="13"/>
  <c r="U16" i="23"/>
  <c r="M48" i="2"/>
  <c r="N17" i="23"/>
  <c r="U14" i="23"/>
  <c r="M22" i="13"/>
  <c r="M31" i="13"/>
  <c r="U15" i="23"/>
  <c r="N21" i="14"/>
  <c r="N23" i="14" s="1"/>
  <c r="J21" i="14" s="1"/>
  <c r="J22" i="14" s="1"/>
  <c r="K22" i="14" s="1"/>
  <c r="L22" i="14" s="1"/>
  <c r="J74" i="14"/>
  <c r="K20" i="14"/>
  <c r="L20" i="14" s="1"/>
  <c r="H31" i="11"/>
  <c r="M61" i="13"/>
  <c r="J21" i="23"/>
  <c r="J17" i="23"/>
  <c r="J18" i="23"/>
  <c r="J16" i="23"/>
  <c r="J19" i="23"/>
  <c r="J15" i="23"/>
  <c r="J13" i="23"/>
  <c r="I31" i="11"/>
  <c r="N13" i="23"/>
  <c r="D13" i="11"/>
  <c r="D31" i="11" s="1"/>
  <c r="M15" i="2"/>
  <c r="G28" i="2"/>
  <c r="G29" i="2"/>
  <c r="G27" i="2"/>
  <c r="I16" i="11"/>
  <c r="M40" i="2"/>
  <c r="N16" i="23"/>
  <c r="J14" i="23"/>
  <c r="E16" i="11"/>
  <c r="M15" i="23"/>
  <c r="P15" i="23" s="1"/>
  <c r="S15" i="23"/>
  <c r="E31" i="11"/>
  <c r="N18" i="23"/>
  <c r="M61" i="2"/>
  <c r="N14" i="23"/>
  <c r="M22" i="2"/>
  <c r="S13" i="23" l="1"/>
  <c r="N21" i="23"/>
  <c r="M13" i="23"/>
  <c r="K74" i="14"/>
  <c r="L74" i="14" s="1"/>
  <c r="J75" i="14"/>
  <c r="M15" i="13"/>
  <c r="U13" i="23"/>
  <c r="D16" i="11"/>
  <c r="M16" i="23"/>
  <c r="P16" i="23" s="1"/>
  <c r="S16" i="23"/>
  <c r="T16" i="23" s="1"/>
  <c r="W16" i="23" s="1"/>
  <c r="K21" i="14"/>
  <c r="K76" i="14" s="1"/>
  <c r="J76" i="14"/>
  <c r="G38" i="2"/>
  <c r="G37" i="2"/>
  <c r="G36" i="2"/>
  <c r="T15" i="23"/>
  <c r="W15" i="23" s="1"/>
  <c r="AB15" i="23"/>
  <c r="AA15" i="23" s="1"/>
  <c r="AD15" i="23" s="1"/>
  <c r="G20" i="13"/>
  <c r="D29" i="13"/>
  <c r="M29" i="2"/>
  <c r="I29" i="2"/>
  <c r="J29" i="2" s="1"/>
  <c r="K29" i="2" s="1"/>
  <c r="E174" i="4"/>
  <c r="D17" i="20"/>
  <c r="AB14" i="23"/>
  <c r="AA14" i="23" s="1"/>
  <c r="AD14" i="23" s="1"/>
  <c r="M48" i="13"/>
  <c r="U17" i="23"/>
  <c r="M27" i="2"/>
  <c r="E172" i="4"/>
  <c r="D27" i="13"/>
  <c r="I27" i="2"/>
  <c r="D15" i="20"/>
  <c r="M14" i="23"/>
  <c r="P14" i="23" s="1"/>
  <c r="S14" i="23"/>
  <c r="T14" i="23" s="1"/>
  <c r="W14" i="23" s="1"/>
  <c r="E173" i="4"/>
  <c r="M28" i="2"/>
  <c r="I28" i="2"/>
  <c r="J28" i="2" s="1"/>
  <c r="K28" i="2" s="1"/>
  <c r="D16" i="20"/>
  <c r="D28" i="13"/>
  <c r="S17" i="23"/>
  <c r="M17" i="23"/>
  <c r="P17" i="23" s="1"/>
  <c r="G45" i="2"/>
  <c r="G46" i="2"/>
  <c r="M18" i="23"/>
  <c r="P18" i="23" s="1"/>
  <c r="S18" i="23"/>
  <c r="T18" i="23" s="1"/>
  <c r="W18" i="23" s="1"/>
  <c r="G13" i="2"/>
  <c r="AB18" i="23"/>
  <c r="AA18" i="23" s="1"/>
  <c r="AD18" i="23" s="1"/>
  <c r="AB16" i="23"/>
  <c r="AA16" i="23" s="1"/>
  <c r="AD16" i="23" s="1"/>
  <c r="G20" i="2"/>
  <c r="G58" i="2"/>
  <c r="G59" i="2"/>
  <c r="G56" i="2"/>
  <c r="G57" i="2"/>
  <c r="F28" i="13" l="1"/>
  <c r="D173" i="19"/>
  <c r="T17" i="23"/>
  <c r="W17" i="23" s="1"/>
  <c r="AB17" i="23"/>
  <c r="AA17" i="23" s="1"/>
  <c r="AD17" i="23" s="1"/>
  <c r="D56" i="13"/>
  <c r="E390" i="4"/>
  <c r="I56" i="2"/>
  <c r="D34" i="20"/>
  <c r="I58" i="2"/>
  <c r="J58" i="2" s="1"/>
  <c r="K58" i="2" s="1"/>
  <c r="D36" i="20"/>
  <c r="E392" i="4"/>
  <c r="D58" i="13"/>
  <c r="D46" i="13"/>
  <c r="D28" i="20"/>
  <c r="I46" i="2"/>
  <c r="J46" i="2" s="1"/>
  <c r="K46" i="2" s="1"/>
  <c r="E317" i="4"/>
  <c r="D59" i="13"/>
  <c r="E393" i="4"/>
  <c r="I59" i="2"/>
  <c r="J59" i="2" s="1"/>
  <c r="K59" i="2" s="1"/>
  <c r="D37" i="20"/>
  <c r="E316" i="4"/>
  <c r="D45" i="13"/>
  <c r="I45" i="2"/>
  <c r="D27" i="20"/>
  <c r="T13" i="23"/>
  <c r="AB13" i="23"/>
  <c r="U21" i="23"/>
  <c r="G13" i="13"/>
  <c r="E225" i="4"/>
  <c r="F225" i="4" s="1"/>
  <c r="G225" i="4" s="1"/>
  <c r="E230" i="4"/>
  <c r="F230" i="4" s="1"/>
  <c r="G230" i="4" s="1"/>
  <c r="E213" i="4"/>
  <c r="F213" i="4" s="1"/>
  <c r="G213" i="4" s="1"/>
  <c r="E221" i="4"/>
  <c r="F221" i="4" s="1"/>
  <c r="G221" i="4" s="1"/>
  <c r="E223" i="4"/>
  <c r="F223" i="4" s="1"/>
  <c r="G223" i="4" s="1"/>
  <c r="E222" i="4"/>
  <c r="F222" i="4" s="1"/>
  <c r="G222" i="4" s="1"/>
  <c r="E209" i="4"/>
  <c r="F209" i="4" s="1"/>
  <c r="G209" i="4" s="1"/>
  <c r="E228" i="4"/>
  <c r="F228" i="4" s="1"/>
  <c r="G228" i="4" s="1"/>
  <c r="E220" i="4"/>
  <c r="F220" i="4" s="1"/>
  <c r="G220" i="4" s="1"/>
  <c r="E229" i="4"/>
  <c r="F229" i="4" s="1"/>
  <c r="G229" i="4" s="1"/>
  <c r="E210" i="4"/>
  <c r="F210" i="4" s="1"/>
  <c r="G210" i="4" s="1"/>
  <c r="E216" i="4"/>
  <c r="F216" i="4" s="1"/>
  <c r="G216" i="4" s="1"/>
  <c r="E219" i="4"/>
  <c r="F219" i="4" s="1"/>
  <c r="G219" i="4" s="1"/>
  <c r="E211" i="4"/>
  <c r="F211" i="4" s="1"/>
  <c r="G211" i="4" s="1"/>
  <c r="E215" i="4"/>
  <c r="F215" i="4" s="1"/>
  <c r="G215" i="4" s="1"/>
  <c r="E226" i="4"/>
  <c r="F226" i="4" s="1"/>
  <c r="G226" i="4" s="1"/>
  <c r="E208" i="4"/>
  <c r="F208" i="4" s="1"/>
  <c r="G208" i="4" s="1"/>
  <c r="E214" i="4"/>
  <c r="F214" i="4" s="1"/>
  <c r="G214" i="4" s="1"/>
  <c r="E217" i="4"/>
  <c r="F217" i="4" s="1"/>
  <c r="G217" i="4" s="1"/>
  <c r="E207" i="4"/>
  <c r="F207" i="4" s="1"/>
  <c r="G207" i="4" s="1"/>
  <c r="E227" i="4"/>
  <c r="F227" i="4" s="1"/>
  <c r="G227" i="4" s="1"/>
  <c r="D36" i="13"/>
  <c r="I36" i="2"/>
  <c r="D21" i="20"/>
  <c r="E244" i="4"/>
  <c r="K75" i="14"/>
  <c r="I73" i="14"/>
  <c r="D37" i="13"/>
  <c r="E245" i="4"/>
  <c r="D22" i="20"/>
  <c r="I37" i="2"/>
  <c r="J37" i="2" s="1"/>
  <c r="K37" i="2" s="1"/>
  <c r="E201" i="4"/>
  <c r="F201" i="4" s="1"/>
  <c r="G201" i="4" s="1"/>
  <c r="E192" i="4"/>
  <c r="F192" i="4" s="1"/>
  <c r="G192" i="4" s="1"/>
  <c r="E204" i="4"/>
  <c r="F204" i="4" s="1"/>
  <c r="G204" i="4" s="1"/>
  <c r="E195" i="4"/>
  <c r="F195" i="4" s="1"/>
  <c r="G195" i="4" s="1"/>
  <c r="E189" i="4"/>
  <c r="F189" i="4" s="1"/>
  <c r="G189" i="4" s="1"/>
  <c r="E191" i="4"/>
  <c r="F191" i="4" s="1"/>
  <c r="G191" i="4" s="1"/>
  <c r="E202" i="4"/>
  <c r="F202" i="4" s="1"/>
  <c r="G202" i="4" s="1"/>
  <c r="E193" i="4"/>
  <c r="F193" i="4" s="1"/>
  <c r="G193" i="4" s="1"/>
  <c r="E203" i="4"/>
  <c r="F203" i="4" s="1"/>
  <c r="G203" i="4" s="1"/>
  <c r="E190" i="4"/>
  <c r="F190" i="4" s="1"/>
  <c r="G190" i="4" s="1"/>
  <c r="E205" i="4"/>
  <c r="F205" i="4" s="1"/>
  <c r="G205" i="4" s="1"/>
  <c r="E196" i="4"/>
  <c r="F196" i="4" s="1"/>
  <c r="G196" i="4" s="1"/>
  <c r="E198" i="4"/>
  <c r="F198" i="4" s="1"/>
  <c r="G198" i="4" s="1"/>
  <c r="E199" i="4"/>
  <c r="F199" i="4" s="1"/>
  <c r="G199" i="4" s="1"/>
  <c r="E197" i="4"/>
  <c r="F197" i="4" s="1"/>
  <c r="G197" i="4" s="1"/>
  <c r="I38" i="2"/>
  <c r="J38" i="2" s="1"/>
  <c r="K38" i="2" s="1"/>
  <c r="E246" i="4"/>
  <c r="D38" i="13"/>
  <c r="D23" i="20"/>
  <c r="I74" i="14"/>
  <c r="M30" i="2"/>
  <c r="M32" i="2" s="1"/>
  <c r="I30" i="2" s="1"/>
  <c r="J30" i="2" s="1"/>
  <c r="J27" i="2"/>
  <c r="F29" i="13"/>
  <c r="D174" i="19"/>
  <c r="M21" i="23"/>
  <c r="P21" i="23" s="1"/>
  <c r="Q18" i="23" s="1"/>
  <c r="P13" i="23"/>
  <c r="E391" i="4"/>
  <c r="D57" i="13"/>
  <c r="D35" i="20"/>
  <c r="I57" i="2"/>
  <c r="J57" i="2" s="1"/>
  <c r="K57" i="2" s="1"/>
  <c r="D20" i="13"/>
  <c r="E106" i="4"/>
  <c r="I20" i="2"/>
  <c r="D11" i="20"/>
  <c r="F27" i="13"/>
  <c r="D172" i="19"/>
  <c r="I20" i="13"/>
  <c r="E106" i="19"/>
  <c r="E11" i="20"/>
  <c r="I13" i="2"/>
  <c r="D7" i="20"/>
  <c r="E14" i="4"/>
  <c r="D13" i="13"/>
  <c r="E52" i="4"/>
  <c r="E181" i="4"/>
  <c r="F181" i="4" s="1"/>
  <c r="G181" i="4" s="1"/>
  <c r="E184" i="4"/>
  <c r="F184" i="4" s="1"/>
  <c r="G184" i="4" s="1"/>
  <c r="E186" i="4"/>
  <c r="F186" i="4" s="1"/>
  <c r="G186" i="4" s="1"/>
  <c r="E187" i="4"/>
  <c r="F187" i="4" s="1"/>
  <c r="G187" i="4" s="1"/>
  <c r="E183" i="4"/>
  <c r="F183" i="4" s="1"/>
  <c r="G183" i="4" s="1"/>
  <c r="E185" i="4"/>
  <c r="F185" i="4" s="1"/>
  <c r="G185" i="4" s="1"/>
  <c r="S21" i="23"/>
  <c r="E117" i="4" l="1"/>
  <c r="F117" i="4" s="1"/>
  <c r="G117" i="4" s="1"/>
  <c r="E145" i="4"/>
  <c r="F145" i="4" s="1"/>
  <c r="G145" i="4" s="1"/>
  <c r="E139" i="4"/>
  <c r="F139" i="4" s="1"/>
  <c r="G139" i="4" s="1"/>
  <c r="E143" i="4"/>
  <c r="F143" i="4" s="1"/>
  <c r="G143" i="4" s="1"/>
  <c r="E137" i="4"/>
  <c r="F137" i="4" s="1"/>
  <c r="G137" i="4" s="1"/>
  <c r="E123" i="4"/>
  <c r="F123" i="4" s="1"/>
  <c r="G123" i="4" s="1"/>
  <c r="E126" i="4"/>
  <c r="F126" i="4" s="1"/>
  <c r="G126" i="4" s="1"/>
  <c r="E154" i="4"/>
  <c r="F154" i="4" s="1"/>
  <c r="G154" i="4" s="1"/>
  <c r="E136" i="4"/>
  <c r="F136" i="4" s="1"/>
  <c r="G136" i="4" s="1"/>
  <c r="E130" i="4"/>
  <c r="F130" i="4" s="1"/>
  <c r="G130" i="4" s="1"/>
  <c r="E118" i="4"/>
  <c r="F118" i="4" s="1"/>
  <c r="G118" i="4" s="1"/>
  <c r="E119" i="4"/>
  <c r="F119" i="4" s="1"/>
  <c r="G119" i="4" s="1"/>
  <c r="E129" i="4"/>
  <c r="F129" i="4" s="1"/>
  <c r="G129" i="4" s="1"/>
  <c r="E132" i="4"/>
  <c r="F132" i="4" s="1"/>
  <c r="G132" i="4" s="1"/>
  <c r="E142" i="4"/>
  <c r="F142" i="4" s="1"/>
  <c r="G142" i="4" s="1"/>
  <c r="E113" i="4"/>
  <c r="F113" i="4" s="1"/>
  <c r="G113" i="4" s="1"/>
  <c r="E131" i="4"/>
  <c r="F131" i="4" s="1"/>
  <c r="G131" i="4" s="1"/>
  <c r="E144" i="4"/>
  <c r="F144" i="4" s="1"/>
  <c r="G144" i="4" s="1"/>
  <c r="E133" i="4"/>
  <c r="F133" i="4" s="1"/>
  <c r="G133" i="4" s="1"/>
  <c r="E135" i="4"/>
  <c r="F135" i="4" s="1"/>
  <c r="G135" i="4" s="1"/>
  <c r="E150" i="4"/>
  <c r="F150" i="4" s="1"/>
  <c r="G150" i="4" s="1"/>
  <c r="E153" i="4"/>
  <c r="F153" i="4" s="1"/>
  <c r="G153" i="4" s="1"/>
  <c r="E120" i="4"/>
  <c r="F120" i="4" s="1"/>
  <c r="G120" i="4" s="1"/>
  <c r="E121" i="4"/>
  <c r="F121" i="4" s="1"/>
  <c r="G121" i="4" s="1"/>
  <c r="E149" i="4"/>
  <c r="F149" i="4" s="1"/>
  <c r="G149" i="4" s="1"/>
  <c r="E125" i="4"/>
  <c r="F125" i="4" s="1"/>
  <c r="G125" i="4" s="1"/>
  <c r="E155" i="4"/>
  <c r="F155" i="4" s="1"/>
  <c r="G155" i="4" s="1"/>
  <c r="E127" i="4"/>
  <c r="F127" i="4" s="1"/>
  <c r="G127" i="4" s="1"/>
  <c r="E147" i="4"/>
  <c r="F147" i="4" s="1"/>
  <c r="G147" i="4" s="1"/>
  <c r="E141" i="4"/>
  <c r="F141" i="4" s="1"/>
  <c r="G141" i="4" s="1"/>
  <c r="E138" i="4"/>
  <c r="F138" i="4" s="1"/>
  <c r="G138" i="4" s="1"/>
  <c r="E124" i="4"/>
  <c r="F124" i="4" s="1"/>
  <c r="G124" i="4" s="1"/>
  <c r="E152" i="4"/>
  <c r="F152" i="4" s="1"/>
  <c r="G152" i="4" s="1"/>
  <c r="E148" i="4"/>
  <c r="F148" i="4" s="1"/>
  <c r="G148" i="4" s="1"/>
  <c r="E115" i="4"/>
  <c r="F115" i="4" s="1"/>
  <c r="G115" i="4" s="1"/>
  <c r="T21" i="23"/>
  <c r="W21" i="23" s="1"/>
  <c r="W13" i="23"/>
  <c r="Q14" i="23"/>
  <c r="M60" i="2"/>
  <c r="M62" i="2" s="1"/>
  <c r="I60" i="2" s="1"/>
  <c r="J60" i="2" s="1"/>
  <c r="J56" i="2"/>
  <c r="K56" i="2" s="1"/>
  <c r="E280" i="4"/>
  <c r="F280" i="4" s="1"/>
  <c r="G280" i="4" s="1"/>
  <c r="E275" i="4"/>
  <c r="F275" i="4" s="1"/>
  <c r="G275" i="4" s="1"/>
  <c r="E276" i="4"/>
  <c r="F276" i="4" s="1"/>
  <c r="G276" i="4" s="1"/>
  <c r="E277" i="4"/>
  <c r="F277" i="4" s="1"/>
  <c r="G277" i="4" s="1"/>
  <c r="E281" i="4"/>
  <c r="F281" i="4" s="1"/>
  <c r="G281" i="4" s="1"/>
  <c r="E270" i="4"/>
  <c r="F270" i="4" s="1"/>
  <c r="G270" i="4" s="1"/>
  <c r="E273" i="4"/>
  <c r="F273" i="4" s="1"/>
  <c r="G273" i="4" s="1"/>
  <c r="E282" i="4"/>
  <c r="F282" i="4" s="1"/>
  <c r="G282" i="4" s="1"/>
  <c r="E283" i="4"/>
  <c r="F283" i="4" s="1"/>
  <c r="G283" i="4" s="1"/>
  <c r="E271" i="4"/>
  <c r="F271" i="4" s="1"/>
  <c r="G271" i="4" s="1"/>
  <c r="E269" i="4"/>
  <c r="F269" i="4" s="1"/>
  <c r="G269" i="4" s="1"/>
  <c r="E267" i="4"/>
  <c r="F267" i="4" s="1"/>
  <c r="G267" i="4" s="1"/>
  <c r="E268" i="4"/>
  <c r="F268" i="4" s="1"/>
  <c r="G268" i="4" s="1"/>
  <c r="E274" i="4"/>
  <c r="F274" i="4" s="1"/>
  <c r="G274" i="4" s="1"/>
  <c r="E279" i="4"/>
  <c r="F279" i="4" s="1"/>
  <c r="G279" i="4" s="1"/>
  <c r="F46" i="13"/>
  <c r="D315" i="19"/>
  <c r="E411" i="4"/>
  <c r="E142" i="19"/>
  <c r="E129" i="19"/>
  <c r="E124" i="19"/>
  <c r="E133" i="19"/>
  <c r="E139" i="19"/>
  <c r="E154" i="19"/>
  <c r="E113" i="19"/>
  <c r="E150" i="19"/>
  <c r="E118" i="19"/>
  <c r="E137" i="19"/>
  <c r="E126" i="19"/>
  <c r="E115" i="19"/>
  <c r="E148" i="19"/>
  <c r="E120" i="19"/>
  <c r="E136" i="19"/>
  <c r="E141" i="19"/>
  <c r="E135" i="19"/>
  <c r="E132" i="19"/>
  <c r="E117" i="19"/>
  <c r="E119" i="19"/>
  <c r="E138" i="19"/>
  <c r="E143" i="19"/>
  <c r="E153" i="19"/>
  <c r="E145" i="19"/>
  <c r="E121" i="19"/>
  <c r="E130" i="19"/>
  <c r="E131" i="19"/>
  <c r="E155" i="19"/>
  <c r="E123" i="19"/>
  <c r="E147" i="19"/>
  <c r="E149" i="19"/>
  <c r="E144" i="19"/>
  <c r="E127" i="19"/>
  <c r="E152" i="19"/>
  <c r="E125" i="19"/>
  <c r="D389" i="19"/>
  <c r="F57" i="13"/>
  <c r="D244" i="19"/>
  <c r="F37" i="13"/>
  <c r="D390" i="19"/>
  <c r="F58" i="13"/>
  <c r="D388" i="19"/>
  <c r="F56" i="13"/>
  <c r="E23" i="4"/>
  <c r="E26" i="4"/>
  <c r="F26" i="4" s="1"/>
  <c r="G26" i="4" s="1"/>
  <c r="E34" i="4"/>
  <c r="F34" i="4" s="1"/>
  <c r="G34" i="4" s="1"/>
  <c r="E30" i="4"/>
  <c r="F30" i="4" s="1"/>
  <c r="G30" i="4" s="1"/>
  <c r="E31" i="4"/>
  <c r="F31" i="4" s="1"/>
  <c r="G31" i="4" s="1"/>
  <c r="E29" i="4"/>
  <c r="F29" i="4" s="1"/>
  <c r="G29" i="4" s="1"/>
  <c r="E28" i="4"/>
  <c r="F28" i="4" s="1"/>
  <c r="G28" i="4" s="1"/>
  <c r="E27" i="4"/>
  <c r="F27" i="4" s="1"/>
  <c r="G27" i="4" s="1"/>
  <c r="E24" i="4"/>
  <c r="F24" i="4" s="1"/>
  <c r="G24" i="4" s="1"/>
  <c r="E33" i="4"/>
  <c r="F33" i="4" s="1"/>
  <c r="G33" i="4" s="1"/>
  <c r="E25" i="4"/>
  <c r="F25" i="4" s="1"/>
  <c r="G25" i="4" s="1"/>
  <c r="E32" i="4"/>
  <c r="F32" i="4" s="1"/>
  <c r="G32" i="4" s="1"/>
  <c r="AA13" i="23"/>
  <c r="AB21" i="23"/>
  <c r="M47" i="2"/>
  <c r="M49" i="2" s="1"/>
  <c r="I47" i="2" s="1"/>
  <c r="J47" i="2" s="1"/>
  <c r="J45" i="2"/>
  <c r="K45" i="2" s="1"/>
  <c r="D106" i="19"/>
  <c r="F20" i="13"/>
  <c r="F22" i="13" s="1"/>
  <c r="I74" i="2"/>
  <c r="J13" i="2"/>
  <c r="M14" i="2"/>
  <c r="M16" i="2" s="1"/>
  <c r="I14" i="2" s="1"/>
  <c r="M21" i="13"/>
  <c r="M23" i="13" s="1"/>
  <c r="I21" i="13" s="1"/>
  <c r="J21" i="13" s="1"/>
  <c r="Q13" i="23"/>
  <c r="F38" i="13"/>
  <c r="D245" i="19"/>
  <c r="L75" i="14"/>
  <c r="K77" i="14"/>
  <c r="D314" i="19"/>
  <c r="F45" i="13"/>
  <c r="I13" i="13"/>
  <c r="E52" i="19"/>
  <c r="E14" i="19"/>
  <c r="E7" i="20"/>
  <c r="D189" i="19"/>
  <c r="D205" i="19"/>
  <c r="D197" i="19"/>
  <c r="D191" i="19"/>
  <c r="D203" i="19"/>
  <c r="D204" i="19"/>
  <c r="D201" i="19"/>
  <c r="D196" i="19"/>
  <c r="D202" i="19"/>
  <c r="D198" i="19"/>
  <c r="D195" i="19"/>
  <c r="D199" i="19"/>
  <c r="D190" i="19"/>
  <c r="D193" i="19"/>
  <c r="D192" i="19"/>
  <c r="D181" i="19"/>
  <c r="D186" i="19"/>
  <c r="D185" i="19"/>
  <c r="D184" i="19"/>
  <c r="D187" i="19"/>
  <c r="D183" i="19"/>
  <c r="Q21" i="23"/>
  <c r="Q19" i="23"/>
  <c r="Q15" i="23"/>
  <c r="E291" i="4"/>
  <c r="F291" i="4" s="1"/>
  <c r="G291" i="4" s="1"/>
  <c r="E289" i="4"/>
  <c r="F289" i="4" s="1"/>
  <c r="G289" i="4" s="1"/>
  <c r="E297" i="4"/>
  <c r="F297" i="4" s="1"/>
  <c r="G297" i="4" s="1"/>
  <c r="E292" i="4"/>
  <c r="F292" i="4" s="1"/>
  <c r="G292" i="4" s="1"/>
  <c r="E293" i="4"/>
  <c r="F293" i="4" s="1"/>
  <c r="G293" i="4" s="1"/>
  <c r="E288" i="4"/>
  <c r="F288" i="4" s="1"/>
  <c r="G288" i="4" s="1"/>
  <c r="E302" i="4"/>
  <c r="F302" i="4" s="1"/>
  <c r="G302" i="4" s="1"/>
  <c r="E300" i="4"/>
  <c r="F300" i="4" s="1"/>
  <c r="G300" i="4" s="1"/>
  <c r="E298" i="4"/>
  <c r="F298" i="4" s="1"/>
  <c r="G298" i="4" s="1"/>
  <c r="E287" i="4"/>
  <c r="F287" i="4" s="1"/>
  <c r="G287" i="4" s="1"/>
  <c r="E285" i="4"/>
  <c r="F285" i="4" s="1"/>
  <c r="G285" i="4" s="1"/>
  <c r="E294" i="4"/>
  <c r="F294" i="4" s="1"/>
  <c r="G294" i="4" s="1"/>
  <c r="E286" i="4"/>
  <c r="F286" i="4" s="1"/>
  <c r="G286" i="4" s="1"/>
  <c r="E301" i="4"/>
  <c r="F301" i="4" s="1"/>
  <c r="G301" i="4" s="1"/>
  <c r="E299" i="4"/>
  <c r="F299" i="4" s="1"/>
  <c r="G299" i="4" s="1"/>
  <c r="E295" i="4"/>
  <c r="F295" i="4" s="1"/>
  <c r="G295" i="4" s="1"/>
  <c r="E264" i="4"/>
  <c r="F264" i="4" s="1"/>
  <c r="G264" i="4" s="1"/>
  <c r="E262" i="4"/>
  <c r="F262" i="4" s="1"/>
  <c r="G262" i="4" s="1"/>
  <c r="E257" i="4"/>
  <c r="F257" i="4" s="1"/>
  <c r="G257" i="4" s="1"/>
  <c r="E261" i="4"/>
  <c r="F261" i="4" s="1"/>
  <c r="G261" i="4" s="1"/>
  <c r="E263" i="4"/>
  <c r="F263" i="4" s="1"/>
  <c r="G263" i="4" s="1"/>
  <c r="E253" i="4"/>
  <c r="F253" i="4" s="1"/>
  <c r="G253" i="4" s="1"/>
  <c r="E265" i="4"/>
  <c r="F265" i="4" s="1"/>
  <c r="G265" i="4" s="1"/>
  <c r="E259" i="4"/>
  <c r="F259" i="4" s="1"/>
  <c r="G259" i="4" s="1"/>
  <c r="E255" i="4"/>
  <c r="F255" i="4" s="1"/>
  <c r="G255" i="4" s="1"/>
  <c r="E256" i="4"/>
  <c r="F256" i="4" s="1"/>
  <c r="G256" i="4" s="1"/>
  <c r="E258" i="4"/>
  <c r="F258" i="4" s="1"/>
  <c r="G258" i="4" s="1"/>
  <c r="M39" i="2"/>
  <c r="M41" i="2" s="1"/>
  <c r="I39" i="2" s="1"/>
  <c r="J39" i="2" s="1"/>
  <c r="J36" i="2"/>
  <c r="K36" i="2" s="1"/>
  <c r="Q16" i="23"/>
  <c r="N28" i="13"/>
  <c r="G28" i="13" s="1"/>
  <c r="J31" i="2"/>
  <c r="K31" i="2" s="1"/>
  <c r="K27" i="2"/>
  <c r="E362" i="4"/>
  <c r="F362" i="4" s="1"/>
  <c r="G362" i="4" s="1"/>
  <c r="E356" i="4"/>
  <c r="F356" i="4" s="1"/>
  <c r="G356" i="4" s="1"/>
  <c r="E366" i="4"/>
  <c r="F366" i="4" s="1"/>
  <c r="G366" i="4" s="1"/>
  <c r="E363" i="4"/>
  <c r="F363" i="4" s="1"/>
  <c r="G363" i="4" s="1"/>
  <c r="E372" i="4"/>
  <c r="F372" i="4" s="1"/>
  <c r="G372" i="4" s="1"/>
  <c r="E357" i="4"/>
  <c r="F357" i="4" s="1"/>
  <c r="G357" i="4" s="1"/>
  <c r="E365" i="4"/>
  <c r="F365" i="4" s="1"/>
  <c r="G365" i="4" s="1"/>
  <c r="E358" i="4"/>
  <c r="F358" i="4" s="1"/>
  <c r="G358" i="4" s="1"/>
  <c r="E360" i="4"/>
  <c r="F360" i="4" s="1"/>
  <c r="G360" i="4" s="1"/>
  <c r="E373" i="4"/>
  <c r="F373" i="4" s="1"/>
  <c r="G373" i="4" s="1"/>
  <c r="E369" i="4"/>
  <c r="F369" i="4" s="1"/>
  <c r="G369" i="4" s="1"/>
  <c r="E370" i="4"/>
  <c r="F370" i="4" s="1"/>
  <c r="G370" i="4" s="1"/>
  <c r="E368" i="4"/>
  <c r="F368" i="4" s="1"/>
  <c r="G368" i="4" s="1"/>
  <c r="E364" i="4"/>
  <c r="F364" i="4" s="1"/>
  <c r="G364" i="4" s="1"/>
  <c r="E371" i="4"/>
  <c r="F371" i="4" s="1"/>
  <c r="G371" i="4" s="1"/>
  <c r="E359" i="4"/>
  <c r="F359" i="4" s="1"/>
  <c r="G359" i="4" s="1"/>
  <c r="E347" i="4"/>
  <c r="F347" i="4" s="1"/>
  <c r="G347" i="4" s="1"/>
  <c r="E324" i="4"/>
  <c r="F324" i="4" s="1"/>
  <c r="G324" i="4" s="1"/>
  <c r="E341" i="4"/>
  <c r="F341" i="4" s="1"/>
  <c r="G341" i="4" s="1"/>
  <c r="E344" i="4"/>
  <c r="F344" i="4" s="1"/>
  <c r="G344" i="4" s="1"/>
  <c r="E354" i="4"/>
  <c r="F354" i="4" s="1"/>
  <c r="G354" i="4" s="1"/>
  <c r="E335" i="4"/>
  <c r="F335" i="4" s="1"/>
  <c r="G335" i="4" s="1"/>
  <c r="E340" i="4"/>
  <c r="F340" i="4" s="1"/>
  <c r="G340" i="4" s="1"/>
  <c r="E330" i="4"/>
  <c r="F330" i="4" s="1"/>
  <c r="G330" i="4" s="1"/>
  <c r="E336" i="4"/>
  <c r="F336" i="4" s="1"/>
  <c r="G336" i="4" s="1"/>
  <c r="E328" i="4"/>
  <c r="F328" i="4" s="1"/>
  <c r="G328" i="4" s="1"/>
  <c r="E342" i="4"/>
  <c r="F342" i="4" s="1"/>
  <c r="G342" i="4" s="1"/>
  <c r="E353" i="4"/>
  <c r="F353" i="4" s="1"/>
  <c r="G353" i="4" s="1"/>
  <c r="E345" i="4"/>
  <c r="F345" i="4" s="1"/>
  <c r="G345" i="4" s="1"/>
  <c r="E352" i="4"/>
  <c r="F352" i="4" s="1"/>
  <c r="G352" i="4" s="1"/>
  <c r="E334" i="4"/>
  <c r="F334" i="4" s="1"/>
  <c r="G334" i="4" s="1"/>
  <c r="E346" i="4"/>
  <c r="F346" i="4" s="1"/>
  <c r="G346" i="4" s="1"/>
  <c r="E351" i="4"/>
  <c r="F351" i="4" s="1"/>
  <c r="G351" i="4" s="1"/>
  <c r="E326" i="4"/>
  <c r="F326" i="4" s="1"/>
  <c r="G326" i="4" s="1"/>
  <c r="E339" i="4"/>
  <c r="F339" i="4" s="1"/>
  <c r="G339" i="4" s="1"/>
  <c r="E332" i="4"/>
  <c r="F332" i="4" s="1"/>
  <c r="G332" i="4" s="1"/>
  <c r="E329" i="4"/>
  <c r="F329" i="4" s="1"/>
  <c r="G329" i="4" s="1"/>
  <c r="E350" i="4"/>
  <c r="F350" i="4" s="1"/>
  <c r="G350" i="4" s="1"/>
  <c r="E327" i="4"/>
  <c r="F327" i="4" s="1"/>
  <c r="G327" i="4" s="1"/>
  <c r="E338" i="4"/>
  <c r="F338" i="4" s="1"/>
  <c r="G338" i="4" s="1"/>
  <c r="E333" i="4"/>
  <c r="F333" i="4" s="1"/>
  <c r="G333" i="4" s="1"/>
  <c r="E348" i="4"/>
  <c r="F348" i="4" s="1"/>
  <c r="G348" i="4" s="1"/>
  <c r="N27" i="13"/>
  <c r="G27" i="13" s="1"/>
  <c r="F31" i="13"/>
  <c r="E91" i="4"/>
  <c r="F91" i="4" s="1"/>
  <c r="G91" i="4" s="1"/>
  <c r="E82" i="4"/>
  <c r="F82" i="4" s="1"/>
  <c r="G82" i="4" s="1"/>
  <c r="E78" i="4"/>
  <c r="F78" i="4" s="1"/>
  <c r="G78" i="4" s="1"/>
  <c r="E70" i="4"/>
  <c r="F70" i="4" s="1"/>
  <c r="G70" i="4" s="1"/>
  <c r="E73" i="4"/>
  <c r="F73" i="4" s="1"/>
  <c r="G73" i="4" s="1"/>
  <c r="E76" i="4"/>
  <c r="F76" i="4" s="1"/>
  <c r="G76" i="4" s="1"/>
  <c r="E83" i="4"/>
  <c r="F83" i="4" s="1"/>
  <c r="G83" i="4" s="1"/>
  <c r="E63" i="4"/>
  <c r="F63" i="4" s="1"/>
  <c r="G63" i="4" s="1"/>
  <c r="E71" i="4"/>
  <c r="F71" i="4" s="1"/>
  <c r="G71" i="4" s="1"/>
  <c r="E79" i="4"/>
  <c r="F79" i="4" s="1"/>
  <c r="G79" i="4" s="1"/>
  <c r="E85" i="4"/>
  <c r="F85" i="4" s="1"/>
  <c r="G85" i="4" s="1"/>
  <c r="E59" i="4"/>
  <c r="F59" i="4" s="1"/>
  <c r="G59" i="4" s="1"/>
  <c r="E90" i="4"/>
  <c r="F90" i="4" s="1"/>
  <c r="G90" i="4" s="1"/>
  <c r="E81" i="4"/>
  <c r="F81" i="4" s="1"/>
  <c r="G81" i="4" s="1"/>
  <c r="E77" i="4"/>
  <c r="F77" i="4" s="1"/>
  <c r="G77" i="4" s="1"/>
  <c r="E88" i="4"/>
  <c r="F88" i="4" s="1"/>
  <c r="G88" i="4" s="1"/>
  <c r="E69" i="4"/>
  <c r="F69" i="4" s="1"/>
  <c r="G69" i="4" s="1"/>
  <c r="E61" i="4"/>
  <c r="F61" i="4" s="1"/>
  <c r="G61" i="4" s="1"/>
  <c r="E75" i="4"/>
  <c r="F75" i="4" s="1"/>
  <c r="G75" i="4" s="1"/>
  <c r="E66" i="4"/>
  <c r="F66" i="4" s="1"/>
  <c r="G66" i="4" s="1"/>
  <c r="E87" i="4"/>
  <c r="F87" i="4" s="1"/>
  <c r="G87" i="4" s="1"/>
  <c r="E89" i="4"/>
  <c r="F89" i="4" s="1"/>
  <c r="G89" i="4" s="1"/>
  <c r="E65" i="4"/>
  <c r="F65" i="4" s="1"/>
  <c r="G65" i="4" s="1"/>
  <c r="E64" i="4"/>
  <c r="F64" i="4" s="1"/>
  <c r="G64" i="4" s="1"/>
  <c r="E72" i="4"/>
  <c r="F72" i="4" s="1"/>
  <c r="G72" i="4" s="1"/>
  <c r="E84" i="4"/>
  <c r="F84" i="4" s="1"/>
  <c r="G84" i="4" s="1"/>
  <c r="E67" i="4"/>
  <c r="F67" i="4" s="1"/>
  <c r="G67" i="4" s="1"/>
  <c r="N29" i="13"/>
  <c r="G29" i="13" s="1"/>
  <c r="D243" i="19"/>
  <c r="F36" i="13"/>
  <c r="D213" i="19"/>
  <c r="D221" i="19"/>
  <c r="D227" i="19"/>
  <c r="D215" i="19"/>
  <c r="D228" i="19"/>
  <c r="D229" i="19"/>
  <c r="D220" i="19"/>
  <c r="D208" i="19"/>
  <c r="D225" i="19"/>
  <c r="D217" i="19"/>
  <c r="D223" i="19"/>
  <c r="D230" i="19"/>
  <c r="D214" i="19"/>
  <c r="D226" i="19"/>
  <c r="D219" i="19"/>
  <c r="D211" i="19"/>
  <c r="D207" i="19"/>
  <c r="D222" i="19"/>
  <c r="D209" i="19"/>
  <c r="D210" i="19"/>
  <c r="D216" i="19"/>
  <c r="Q17" i="23"/>
  <c r="D14" i="19"/>
  <c r="D52" i="19"/>
  <c r="F13" i="13"/>
  <c r="J20" i="2"/>
  <c r="K20" i="2" s="1"/>
  <c r="M21" i="2"/>
  <c r="M23" i="2" s="1"/>
  <c r="I21" i="2" s="1"/>
  <c r="J21" i="2" s="1"/>
  <c r="I31" i="2"/>
  <c r="F59" i="13"/>
  <c r="D391" i="19"/>
  <c r="N57" i="13" l="1"/>
  <c r="G57" i="13" s="1"/>
  <c r="N38" i="13"/>
  <c r="G38" i="13" s="1"/>
  <c r="I22" i="2"/>
  <c r="J22" i="2" s="1"/>
  <c r="K22" i="2" s="1"/>
  <c r="I22" i="13"/>
  <c r="J22" i="13" s="1"/>
  <c r="K22" i="13" s="1"/>
  <c r="J20" i="13"/>
  <c r="K20" i="13" s="1"/>
  <c r="D360" i="19"/>
  <c r="D356" i="19"/>
  <c r="D369" i="19"/>
  <c r="D362" i="19"/>
  <c r="D366" i="19"/>
  <c r="D354" i="19"/>
  <c r="D363" i="19"/>
  <c r="D371" i="19"/>
  <c r="D364" i="19"/>
  <c r="D358" i="19"/>
  <c r="D368" i="19"/>
  <c r="D367" i="19"/>
  <c r="D370" i="19"/>
  <c r="D355" i="19"/>
  <c r="D361" i="19"/>
  <c r="D357" i="19"/>
  <c r="F40" i="13"/>
  <c r="N36" i="13"/>
  <c r="G36" i="13" s="1"/>
  <c r="I48" i="2"/>
  <c r="J48" i="2" s="1"/>
  <c r="K48" i="2" s="1"/>
  <c r="N46" i="13"/>
  <c r="G46" i="13" s="1"/>
  <c r="D301" i="19"/>
  <c r="D288" i="19"/>
  <c r="D284" i="19"/>
  <c r="D290" i="19"/>
  <c r="D291" i="19"/>
  <c r="D299" i="19"/>
  <c r="D297" i="19"/>
  <c r="D292" i="19"/>
  <c r="D296" i="19"/>
  <c r="D298" i="19"/>
  <c r="D287" i="19"/>
  <c r="D293" i="19"/>
  <c r="D285" i="19"/>
  <c r="D294" i="19"/>
  <c r="D286" i="19"/>
  <c r="D300" i="19"/>
  <c r="E23" i="20"/>
  <c r="I38" i="13"/>
  <c r="J38" i="13" s="1"/>
  <c r="K38" i="13" s="1"/>
  <c r="E245" i="19"/>
  <c r="F411" i="4"/>
  <c r="G411" i="4" s="1"/>
  <c r="E413" i="4"/>
  <c r="F413" i="4" s="1"/>
  <c r="G413" i="4" s="1"/>
  <c r="D73" i="19"/>
  <c r="D85" i="19"/>
  <c r="D67" i="19"/>
  <c r="D65" i="19"/>
  <c r="D88" i="19"/>
  <c r="D79" i="19"/>
  <c r="D91" i="19"/>
  <c r="D84" i="19"/>
  <c r="D72" i="19"/>
  <c r="D75" i="19"/>
  <c r="D90" i="19"/>
  <c r="D87" i="19"/>
  <c r="D71" i="19"/>
  <c r="D69" i="19"/>
  <c r="D82" i="19"/>
  <c r="D61" i="19"/>
  <c r="D66" i="19"/>
  <c r="D77" i="19"/>
  <c r="D64" i="19"/>
  <c r="D89" i="19"/>
  <c r="D76" i="19"/>
  <c r="D83" i="19"/>
  <c r="D59" i="19"/>
  <c r="D63" i="19"/>
  <c r="D81" i="19"/>
  <c r="D70" i="19"/>
  <c r="D78" i="19"/>
  <c r="D23" i="19"/>
  <c r="D33" i="19"/>
  <c r="D27" i="19"/>
  <c r="D25" i="19"/>
  <c r="D30" i="19"/>
  <c r="D29" i="19"/>
  <c r="D28" i="19"/>
  <c r="D32" i="19"/>
  <c r="D24" i="19"/>
  <c r="D34" i="19"/>
  <c r="D31" i="19"/>
  <c r="D26" i="19"/>
  <c r="D255" i="19"/>
  <c r="D252" i="19"/>
  <c r="D260" i="19"/>
  <c r="D254" i="19"/>
  <c r="D256" i="19"/>
  <c r="D261" i="19"/>
  <c r="D263" i="19"/>
  <c r="D258" i="19"/>
  <c r="D257" i="19"/>
  <c r="D264" i="19"/>
  <c r="D262" i="19"/>
  <c r="E25" i="19"/>
  <c r="E33" i="19"/>
  <c r="E24" i="19"/>
  <c r="E23" i="19"/>
  <c r="E28" i="19"/>
  <c r="E30" i="19"/>
  <c r="E32" i="19"/>
  <c r="E29" i="19"/>
  <c r="E27" i="19"/>
  <c r="E34" i="19"/>
  <c r="E31" i="19"/>
  <c r="E26" i="19"/>
  <c r="X19" i="23"/>
  <c r="X21" i="23"/>
  <c r="X14" i="23"/>
  <c r="X16" i="23"/>
  <c r="X18" i="23"/>
  <c r="X15" i="23"/>
  <c r="F74" i="13"/>
  <c r="F15" i="13"/>
  <c r="E17" i="20"/>
  <c r="E174" i="19"/>
  <c r="I29" i="13"/>
  <c r="J29" i="13" s="1"/>
  <c r="K29" i="13" s="1"/>
  <c r="M29" i="13"/>
  <c r="E77" i="19"/>
  <c r="E70" i="19"/>
  <c r="E69" i="19"/>
  <c r="E66" i="19"/>
  <c r="F66" i="19" s="1"/>
  <c r="G66" i="19" s="1"/>
  <c r="E82" i="19"/>
  <c r="F82" i="19" s="1"/>
  <c r="G82" i="19" s="1"/>
  <c r="E91" i="19"/>
  <c r="E90" i="19"/>
  <c r="F90" i="19" s="1"/>
  <c r="G90" i="19" s="1"/>
  <c r="E73" i="19"/>
  <c r="E63" i="19"/>
  <c r="E61" i="19"/>
  <c r="F61" i="19" s="1"/>
  <c r="G61" i="19" s="1"/>
  <c r="E83" i="19"/>
  <c r="E67" i="19"/>
  <c r="F67" i="19" s="1"/>
  <c r="G67" i="19" s="1"/>
  <c r="E79" i="19"/>
  <c r="E85" i="19"/>
  <c r="E78" i="19"/>
  <c r="F78" i="19" s="1"/>
  <c r="G78" i="19" s="1"/>
  <c r="E64" i="19"/>
  <c r="F64" i="19" s="1"/>
  <c r="G64" i="19" s="1"/>
  <c r="E72" i="19"/>
  <c r="E75" i="19"/>
  <c r="E65" i="19"/>
  <c r="F65" i="19" s="1"/>
  <c r="G65" i="19" s="1"/>
  <c r="E76" i="19"/>
  <c r="E81" i="19"/>
  <c r="E88" i="19"/>
  <c r="F88" i="19" s="1"/>
  <c r="G88" i="19" s="1"/>
  <c r="E87" i="19"/>
  <c r="E84" i="19"/>
  <c r="E59" i="19"/>
  <c r="E89" i="19"/>
  <c r="E71" i="19"/>
  <c r="AD13" i="23"/>
  <c r="AA21" i="23"/>
  <c r="E35" i="4"/>
  <c r="E37" i="4" s="1"/>
  <c r="F23" i="4"/>
  <c r="J13" i="13"/>
  <c r="M14" i="13"/>
  <c r="M16" i="13" s="1"/>
  <c r="I14" i="13" s="1"/>
  <c r="I15" i="13" s="1"/>
  <c r="J14" i="2"/>
  <c r="J76" i="2" s="1"/>
  <c r="I76" i="2"/>
  <c r="F61" i="13"/>
  <c r="N56" i="13"/>
  <c r="G56" i="13" s="1"/>
  <c r="E16" i="20"/>
  <c r="E173" i="19"/>
  <c r="I28" i="13"/>
  <c r="J28" i="13" s="1"/>
  <c r="K28" i="13" s="1"/>
  <c r="M28" i="13"/>
  <c r="X17" i="23"/>
  <c r="I15" i="2"/>
  <c r="D409" i="19"/>
  <c r="D411" i="19" s="1"/>
  <c r="N45" i="13"/>
  <c r="G45" i="13" s="1"/>
  <c r="F48" i="13"/>
  <c r="K13" i="2"/>
  <c r="N58" i="13"/>
  <c r="G58" i="13" s="1"/>
  <c r="I57" i="13"/>
  <c r="J57" i="13" s="1"/>
  <c r="K57" i="13" s="1"/>
  <c r="E35" i="20"/>
  <c r="E389" i="19"/>
  <c r="N59" i="13"/>
  <c r="G59" i="13" s="1"/>
  <c r="I61" i="2"/>
  <c r="J61" i="2" s="1"/>
  <c r="K61" i="2" s="1"/>
  <c r="D322" i="19"/>
  <c r="D349" i="19"/>
  <c r="D340" i="19"/>
  <c r="D326" i="19"/>
  <c r="D324" i="19"/>
  <c r="D337" i="19"/>
  <c r="D342" i="19"/>
  <c r="D338" i="19"/>
  <c r="D330" i="19"/>
  <c r="D346" i="19"/>
  <c r="D331" i="19"/>
  <c r="D351" i="19"/>
  <c r="D348" i="19"/>
  <c r="D344" i="19"/>
  <c r="D352" i="19"/>
  <c r="D328" i="19"/>
  <c r="D343" i="19"/>
  <c r="D334" i="19"/>
  <c r="D339" i="19"/>
  <c r="D327" i="19"/>
  <c r="D332" i="19"/>
  <c r="D350" i="19"/>
  <c r="D325" i="19"/>
  <c r="D345" i="19"/>
  <c r="D333" i="19"/>
  <c r="D336" i="19"/>
  <c r="E172" i="19"/>
  <c r="I27" i="13"/>
  <c r="E15" i="20"/>
  <c r="M27" i="13"/>
  <c r="N37" i="13"/>
  <c r="G37" i="13" s="1"/>
  <c r="I75" i="2"/>
  <c r="H74" i="2" s="1"/>
  <c r="J74" i="2"/>
  <c r="K74" i="2" s="1"/>
  <c r="I40" i="2"/>
  <c r="J40" i="2" s="1"/>
  <c r="K40" i="2" s="1"/>
  <c r="D121" i="19"/>
  <c r="F121" i="19" s="1"/>
  <c r="G121" i="19" s="1"/>
  <c r="D132" i="19"/>
  <c r="F132" i="19" s="1"/>
  <c r="G132" i="19" s="1"/>
  <c r="D136" i="19"/>
  <c r="F136" i="19" s="1"/>
  <c r="G136" i="19" s="1"/>
  <c r="D126" i="19"/>
  <c r="F126" i="19" s="1"/>
  <c r="G126" i="19" s="1"/>
  <c r="D153" i="19"/>
  <c r="F153" i="19" s="1"/>
  <c r="G153" i="19" s="1"/>
  <c r="D138" i="19"/>
  <c r="F138" i="19" s="1"/>
  <c r="G138" i="19" s="1"/>
  <c r="D143" i="19"/>
  <c r="F143" i="19" s="1"/>
  <c r="G143" i="19" s="1"/>
  <c r="D115" i="19"/>
  <c r="F115" i="19" s="1"/>
  <c r="G115" i="19" s="1"/>
  <c r="D135" i="19"/>
  <c r="F135" i="19" s="1"/>
  <c r="G135" i="19" s="1"/>
  <c r="D117" i="19"/>
  <c r="F117" i="19" s="1"/>
  <c r="G117" i="19" s="1"/>
  <c r="D149" i="19"/>
  <c r="F149" i="19" s="1"/>
  <c r="G149" i="19" s="1"/>
  <c r="D133" i="19"/>
  <c r="F133" i="19" s="1"/>
  <c r="G133" i="19" s="1"/>
  <c r="D154" i="19"/>
  <c r="F154" i="19" s="1"/>
  <c r="G154" i="19" s="1"/>
  <c r="D150" i="19"/>
  <c r="F150" i="19" s="1"/>
  <c r="G150" i="19" s="1"/>
  <c r="D152" i="19"/>
  <c r="F152" i="19" s="1"/>
  <c r="G152" i="19" s="1"/>
  <c r="D129" i="19"/>
  <c r="F129" i="19" s="1"/>
  <c r="G129" i="19" s="1"/>
  <c r="D141" i="19"/>
  <c r="F141" i="19" s="1"/>
  <c r="G141" i="19" s="1"/>
  <c r="D127" i="19"/>
  <c r="F127" i="19" s="1"/>
  <c r="G127" i="19" s="1"/>
  <c r="D124" i="19"/>
  <c r="F124" i="19" s="1"/>
  <c r="G124" i="19" s="1"/>
  <c r="D119" i="19"/>
  <c r="F119" i="19" s="1"/>
  <c r="G119" i="19" s="1"/>
  <c r="D139" i="19"/>
  <c r="F139" i="19" s="1"/>
  <c r="G139" i="19" s="1"/>
  <c r="D137" i="19"/>
  <c r="F137" i="19" s="1"/>
  <c r="G137" i="19" s="1"/>
  <c r="D155" i="19"/>
  <c r="F155" i="19" s="1"/>
  <c r="G155" i="19" s="1"/>
  <c r="D113" i="19"/>
  <c r="F113" i="19" s="1"/>
  <c r="G113" i="19" s="1"/>
  <c r="D147" i="19"/>
  <c r="F147" i="19" s="1"/>
  <c r="G147" i="19" s="1"/>
  <c r="D148" i="19"/>
  <c r="F148" i="19" s="1"/>
  <c r="G148" i="19" s="1"/>
  <c r="D125" i="19"/>
  <c r="F125" i="19" s="1"/>
  <c r="G125" i="19" s="1"/>
  <c r="D145" i="19"/>
  <c r="F145" i="19" s="1"/>
  <c r="G145" i="19" s="1"/>
  <c r="D118" i="19"/>
  <c r="F118" i="19" s="1"/>
  <c r="G118" i="19" s="1"/>
  <c r="D130" i="19"/>
  <c r="F130" i="19" s="1"/>
  <c r="G130" i="19" s="1"/>
  <c r="D123" i="19"/>
  <c r="F123" i="19" s="1"/>
  <c r="G123" i="19" s="1"/>
  <c r="D144" i="19"/>
  <c r="F144" i="19" s="1"/>
  <c r="G144" i="19" s="1"/>
  <c r="D142" i="19"/>
  <c r="F142" i="19" s="1"/>
  <c r="G142" i="19" s="1"/>
  <c r="D120" i="19"/>
  <c r="F120" i="19" s="1"/>
  <c r="G120" i="19" s="1"/>
  <c r="D131" i="19"/>
  <c r="F131" i="19" s="1"/>
  <c r="G131" i="19" s="1"/>
  <c r="D276" i="19"/>
  <c r="D268" i="19"/>
  <c r="D280" i="19"/>
  <c r="D270" i="19"/>
  <c r="D273" i="19"/>
  <c r="D274" i="19"/>
  <c r="D281" i="19"/>
  <c r="D278" i="19"/>
  <c r="D266" i="19"/>
  <c r="D279" i="19"/>
  <c r="D269" i="19"/>
  <c r="D282" i="19"/>
  <c r="D267" i="19"/>
  <c r="D275" i="19"/>
  <c r="D272" i="19"/>
  <c r="X13" i="23"/>
  <c r="F59" i="19" l="1"/>
  <c r="G59" i="19" s="1"/>
  <c r="F79" i="19"/>
  <c r="G79" i="19" s="1"/>
  <c r="F77" i="19"/>
  <c r="G77" i="19" s="1"/>
  <c r="F87" i="19"/>
  <c r="G87" i="19" s="1"/>
  <c r="F31" i="19"/>
  <c r="G31" i="19" s="1"/>
  <c r="F69" i="19"/>
  <c r="G69" i="19" s="1"/>
  <c r="F85" i="19"/>
  <c r="G85" i="19" s="1"/>
  <c r="F70" i="19"/>
  <c r="G70" i="19" s="1"/>
  <c r="F29" i="19"/>
  <c r="G29" i="19" s="1"/>
  <c r="F72" i="19"/>
  <c r="G72" i="19" s="1"/>
  <c r="F81" i="19"/>
  <c r="G81" i="19" s="1"/>
  <c r="F63" i="19"/>
  <c r="G63" i="19" s="1"/>
  <c r="F73" i="19"/>
  <c r="G73" i="19" s="1"/>
  <c r="F32" i="19"/>
  <c r="G32" i="19" s="1"/>
  <c r="F71" i="19"/>
  <c r="G71" i="19" s="1"/>
  <c r="F24" i="19"/>
  <c r="G24" i="19" s="1"/>
  <c r="F28" i="19"/>
  <c r="G28" i="19" s="1"/>
  <c r="M30" i="13"/>
  <c r="M32" i="13" s="1"/>
  <c r="I30" i="13" s="1"/>
  <c r="J30" i="13" s="1"/>
  <c r="J27" i="13"/>
  <c r="AE13" i="23"/>
  <c r="F30" i="19"/>
  <c r="G30" i="19" s="1"/>
  <c r="K13" i="13"/>
  <c r="J15" i="2"/>
  <c r="K15" i="2" s="1"/>
  <c r="E196" i="19"/>
  <c r="F196" i="19" s="1"/>
  <c r="G196" i="19" s="1"/>
  <c r="E192" i="19"/>
  <c r="F192" i="19" s="1"/>
  <c r="G192" i="19" s="1"/>
  <c r="E197" i="19"/>
  <c r="F197" i="19" s="1"/>
  <c r="G197" i="19" s="1"/>
  <c r="E202" i="19"/>
  <c r="F202" i="19" s="1"/>
  <c r="G202" i="19" s="1"/>
  <c r="E205" i="19"/>
  <c r="F205" i="19" s="1"/>
  <c r="G205" i="19" s="1"/>
  <c r="E198" i="19"/>
  <c r="F198" i="19" s="1"/>
  <c r="G198" i="19" s="1"/>
  <c r="E191" i="19"/>
  <c r="F191" i="19" s="1"/>
  <c r="G191" i="19" s="1"/>
  <c r="E204" i="19"/>
  <c r="F204" i="19" s="1"/>
  <c r="G204" i="19" s="1"/>
  <c r="E201" i="19"/>
  <c r="F201" i="19" s="1"/>
  <c r="G201" i="19" s="1"/>
  <c r="E195" i="19"/>
  <c r="F195" i="19" s="1"/>
  <c r="G195" i="19" s="1"/>
  <c r="E189" i="19"/>
  <c r="F189" i="19" s="1"/>
  <c r="G189" i="19" s="1"/>
  <c r="E199" i="19"/>
  <c r="F199" i="19" s="1"/>
  <c r="G199" i="19" s="1"/>
  <c r="E203" i="19"/>
  <c r="F203" i="19" s="1"/>
  <c r="G203" i="19" s="1"/>
  <c r="E190" i="19"/>
  <c r="F190" i="19" s="1"/>
  <c r="G190" i="19" s="1"/>
  <c r="E193" i="19"/>
  <c r="F193" i="19" s="1"/>
  <c r="G193" i="19" s="1"/>
  <c r="F23" i="19"/>
  <c r="E35" i="19"/>
  <c r="E37" i="19" s="1"/>
  <c r="H73" i="2"/>
  <c r="J75" i="2"/>
  <c r="K75" i="2" s="1"/>
  <c r="F84" i="19"/>
  <c r="G84" i="19" s="1"/>
  <c r="E390" i="19"/>
  <c r="I58" i="13"/>
  <c r="J58" i="13" s="1"/>
  <c r="K58" i="13" s="1"/>
  <c r="E36" i="20"/>
  <c r="F89" i="19"/>
  <c r="G89" i="19" s="1"/>
  <c r="F83" i="19"/>
  <c r="G83" i="19" s="1"/>
  <c r="F33" i="19"/>
  <c r="G33" i="19" s="1"/>
  <c r="D35" i="19"/>
  <c r="D37" i="19" s="1"/>
  <c r="I45" i="13"/>
  <c r="E314" i="19"/>
  <c r="E27" i="20"/>
  <c r="E207" i="19"/>
  <c r="F207" i="19" s="1"/>
  <c r="G207" i="19" s="1"/>
  <c r="E221" i="19"/>
  <c r="F221" i="19" s="1"/>
  <c r="G221" i="19" s="1"/>
  <c r="E214" i="19"/>
  <c r="F214" i="19" s="1"/>
  <c r="G214" i="19" s="1"/>
  <c r="E222" i="19"/>
  <c r="F222" i="19" s="1"/>
  <c r="G222" i="19" s="1"/>
  <c r="E229" i="19"/>
  <c r="F229" i="19" s="1"/>
  <c r="G229" i="19" s="1"/>
  <c r="E210" i="19"/>
  <c r="F210" i="19" s="1"/>
  <c r="G210" i="19" s="1"/>
  <c r="E219" i="19"/>
  <c r="F219" i="19" s="1"/>
  <c r="G219" i="19" s="1"/>
  <c r="E226" i="19"/>
  <c r="F226" i="19" s="1"/>
  <c r="G226" i="19" s="1"/>
  <c r="E223" i="19"/>
  <c r="F223" i="19" s="1"/>
  <c r="G223" i="19" s="1"/>
  <c r="E217" i="19"/>
  <c r="F217" i="19" s="1"/>
  <c r="G217" i="19" s="1"/>
  <c r="E211" i="19"/>
  <c r="F211" i="19" s="1"/>
  <c r="G211" i="19" s="1"/>
  <c r="E216" i="19"/>
  <c r="F216" i="19" s="1"/>
  <c r="G216" i="19" s="1"/>
  <c r="E227" i="19"/>
  <c r="F227" i="19" s="1"/>
  <c r="G227" i="19" s="1"/>
  <c r="E228" i="19"/>
  <c r="F228" i="19" s="1"/>
  <c r="G228" i="19" s="1"/>
  <c r="E225" i="19"/>
  <c r="F225" i="19" s="1"/>
  <c r="G225" i="19" s="1"/>
  <c r="E220" i="19"/>
  <c r="F220" i="19" s="1"/>
  <c r="G220" i="19" s="1"/>
  <c r="E230" i="19"/>
  <c r="F230" i="19" s="1"/>
  <c r="G230" i="19" s="1"/>
  <c r="E208" i="19"/>
  <c r="F208" i="19" s="1"/>
  <c r="G208" i="19" s="1"/>
  <c r="E209" i="19"/>
  <c r="F209" i="19" s="1"/>
  <c r="G209" i="19" s="1"/>
  <c r="E215" i="19"/>
  <c r="F215" i="19" s="1"/>
  <c r="G215" i="19" s="1"/>
  <c r="E213" i="19"/>
  <c r="F213" i="19" s="1"/>
  <c r="G213" i="19" s="1"/>
  <c r="F25" i="19"/>
  <c r="G25" i="19" s="1"/>
  <c r="E37" i="20"/>
  <c r="E391" i="19"/>
  <c r="I59" i="13"/>
  <c r="J59" i="13" s="1"/>
  <c r="K59" i="13" s="1"/>
  <c r="F26" i="19"/>
  <c r="G26" i="19" s="1"/>
  <c r="J14" i="13"/>
  <c r="J15" i="13" s="1"/>
  <c r="K15" i="13" s="1"/>
  <c r="E244" i="19"/>
  <c r="I37" i="13"/>
  <c r="J37" i="13" s="1"/>
  <c r="K37" i="13" s="1"/>
  <c r="E22" i="20"/>
  <c r="I56" i="13"/>
  <c r="E388" i="19"/>
  <c r="E34" i="20"/>
  <c r="F76" i="19"/>
  <c r="G76" i="19" s="1"/>
  <c r="E315" i="19"/>
  <c r="E28" i="20"/>
  <c r="I46" i="13"/>
  <c r="J46" i="13" s="1"/>
  <c r="K46" i="13" s="1"/>
  <c r="AE21" i="23"/>
  <c r="AE19" i="23"/>
  <c r="AE18" i="23"/>
  <c r="AE14" i="23"/>
  <c r="AE16" i="23"/>
  <c r="AE15" i="23"/>
  <c r="AE17" i="23"/>
  <c r="E184" i="19"/>
  <c r="F184" i="19" s="1"/>
  <c r="G184" i="19" s="1"/>
  <c r="E187" i="19"/>
  <c r="F187" i="19" s="1"/>
  <c r="G187" i="19" s="1"/>
  <c r="E183" i="19"/>
  <c r="F183" i="19" s="1"/>
  <c r="G183" i="19" s="1"/>
  <c r="E181" i="19"/>
  <c r="F181" i="19" s="1"/>
  <c r="G181" i="19" s="1"/>
  <c r="E185" i="19"/>
  <c r="F185" i="19" s="1"/>
  <c r="G185" i="19" s="1"/>
  <c r="E186" i="19"/>
  <c r="F186" i="19" s="1"/>
  <c r="G186" i="19" s="1"/>
  <c r="F76" i="13"/>
  <c r="G23" i="4"/>
  <c r="F35" i="4"/>
  <c r="F37" i="4" s="1"/>
  <c r="G37" i="4" s="1"/>
  <c r="F75" i="13"/>
  <c r="E73" i="13" s="1"/>
  <c r="F34" i="19"/>
  <c r="G34" i="19" s="1"/>
  <c r="E243" i="19"/>
  <c r="I36" i="13"/>
  <c r="E21" i="20"/>
  <c r="F75" i="19"/>
  <c r="G75" i="19" s="1"/>
  <c r="F91" i="19"/>
  <c r="G91" i="19" s="1"/>
  <c r="F27" i="19"/>
  <c r="G27" i="19" s="1"/>
  <c r="E291" i="19" l="1"/>
  <c r="F291" i="19" s="1"/>
  <c r="G291" i="19" s="1"/>
  <c r="E287" i="19"/>
  <c r="F287" i="19" s="1"/>
  <c r="G287" i="19" s="1"/>
  <c r="I74" i="13"/>
  <c r="E292" i="19"/>
  <c r="F292" i="19" s="1"/>
  <c r="G292" i="19" s="1"/>
  <c r="E301" i="19"/>
  <c r="F301" i="19" s="1"/>
  <c r="G301" i="19" s="1"/>
  <c r="E290" i="19"/>
  <c r="F290" i="19" s="1"/>
  <c r="G290" i="19" s="1"/>
  <c r="I75" i="13"/>
  <c r="H74" i="13" s="1"/>
  <c r="J74" i="13"/>
  <c r="K74" i="13" s="1"/>
  <c r="E297" i="19"/>
  <c r="F297" i="19" s="1"/>
  <c r="G297" i="19" s="1"/>
  <c r="E355" i="19"/>
  <c r="F355" i="19" s="1"/>
  <c r="G355" i="19" s="1"/>
  <c r="E362" i="19"/>
  <c r="F362" i="19" s="1"/>
  <c r="G362" i="19" s="1"/>
  <c r="E361" i="19"/>
  <c r="F361" i="19" s="1"/>
  <c r="G361" i="19" s="1"/>
  <c r="E370" i="19"/>
  <c r="F370" i="19" s="1"/>
  <c r="G370" i="19" s="1"/>
  <c r="E371" i="19"/>
  <c r="F371" i="19" s="1"/>
  <c r="G371" i="19" s="1"/>
  <c r="E369" i="19"/>
  <c r="F369" i="19" s="1"/>
  <c r="G369" i="19" s="1"/>
  <c r="E358" i="19"/>
  <c r="F358" i="19" s="1"/>
  <c r="G358" i="19" s="1"/>
  <c r="E363" i="19"/>
  <c r="F363" i="19" s="1"/>
  <c r="G363" i="19" s="1"/>
  <c r="E368" i="19"/>
  <c r="F368" i="19" s="1"/>
  <c r="G368" i="19" s="1"/>
  <c r="E367" i="19"/>
  <c r="F367" i="19" s="1"/>
  <c r="G367" i="19" s="1"/>
  <c r="E360" i="19"/>
  <c r="F360" i="19" s="1"/>
  <c r="G360" i="19" s="1"/>
  <c r="E357" i="19"/>
  <c r="F357" i="19" s="1"/>
  <c r="G357" i="19" s="1"/>
  <c r="E356" i="19"/>
  <c r="F356" i="19" s="1"/>
  <c r="G356" i="19" s="1"/>
  <c r="E354" i="19"/>
  <c r="F354" i="19" s="1"/>
  <c r="G354" i="19" s="1"/>
  <c r="E366" i="19"/>
  <c r="F366" i="19" s="1"/>
  <c r="G366" i="19" s="1"/>
  <c r="E364" i="19"/>
  <c r="F364" i="19" s="1"/>
  <c r="G364" i="19" s="1"/>
  <c r="J31" i="13"/>
  <c r="K31" i="13" s="1"/>
  <c r="K27" i="13"/>
  <c r="E294" i="19"/>
  <c r="F294" i="19" s="1"/>
  <c r="G294" i="19" s="1"/>
  <c r="E351" i="19"/>
  <c r="F351" i="19" s="1"/>
  <c r="G351" i="19" s="1"/>
  <c r="E322" i="19"/>
  <c r="F322" i="19" s="1"/>
  <c r="G322" i="19" s="1"/>
  <c r="E337" i="19"/>
  <c r="F337" i="19" s="1"/>
  <c r="G337" i="19" s="1"/>
  <c r="E328" i="19"/>
  <c r="F328" i="19" s="1"/>
  <c r="G328" i="19" s="1"/>
  <c r="E326" i="19"/>
  <c r="F326" i="19" s="1"/>
  <c r="G326" i="19" s="1"/>
  <c r="E336" i="19"/>
  <c r="F336" i="19" s="1"/>
  <c r="G336" i="19" s="1"/>
  <c r="E349" i="19"/>
  <c r="F349" i="19" s="1"/>
  <c r="G349" i="19" s="1"/>
  <c r="E327" i="19"/>
  <c r="F327" i="19" s="1"/>
  <c r="G327" i="19" s="1"/>
  <c r="E338" i="19"/>
  <c r="F338" i="19" s="1"/>
  <c r="G338" i="19" s="1"/>
  <c r="E332" i="19"/>
  <c r="F332" i="19" s="1"/>
  <c r="G332" i="19" s="1"/>
  <c r="E346" i="19"/>
  <c r="F346" i="19" s="1"/>
  <c r="G346" i="19" s="1"/>
  <c r="E334" i="19"/>
  <c r="F334" i="19" s="1"/>
  <c r="G334" i="19" s="1"/>
  <c r="E339" i="19"/>
  <c r="F339" i="19" s="1"/>
  <c r="G339" i="19" s="1"/>
  <c r="E345" i="19"/>
  <c r="F345" i="19" s="1"/>
  <c r="G345" i="19" s="1"/>
  <c r="E342" i="19"/>
  <c r="F342" i="19" s="1"/>
  <c r="G342" i="19" s="1"/>
  <c r="E350" i="19"/>
  <c r="F350" i="19" s="1"/>
  <c r="G350" i="19" s="1"/>
  <c r="E352" i="19"/>
  <c r="F352" i="19" s="1"/>
  <c r="G352" i="19" s="1"/>
  <c r="E324" i="19"/>
  <c r="F324" i="19" s="1"/>
  <c r="G324" i="19" s="1"/>
  <c r="E333" i="19"/>
  <c r="F333" i="19" s="1"/>
  <c r="G333" i="19" s="1"/>
  <c r="E343" i="19"/>
  <c r="F343" i="19" s="1"/>
  <c r="G343" i="19" s="1"/>
  <c r="E348" i="19"/>
  <c r="F348" i="19" s="1"/>
  <c r="G348" i="19" s="1"/>
  <c r="E331" i="19"/>
  <c r="F331" i="19" s="1"/>
  <c r="G331" i="19" s="1"/>
  <c r="E325" i="19"/>
  <c r="F325" i="19" s="1"/>
  <c r="G325" i="19" s="1"/>
  <c r="E330" i="19"/>
  <c r="F330" i="19" s="1"/>
  <c r="G330" i="19" s="1"/>
  <c r="E344" i="19"/>
  <c r="F344" i="19" s="1"/>
  <c r="G344" i="19" s="1"/>
  <c r="E340" i="19"/>
  <c r="F340" i="19" s="1"/>
  <c r="G340" i="19" s="1"/>
  <c r="I31" i="13"/>
  <c r="E298" i="19"/>
  <c r="F298" i="19" s="1"/>
  <c r="G298" i="19" s="1"/>
  <c r="E409" i="19"/>
  <c r="M47" i="13"/>
  <c r="M49" i="13" s="1"/>
  <c r="I47" i="13" s="1"/>
  <c r="J47" i="13" s="1"/>
  <c r="J45" i="13"/>
  <c r="K45" i="13" s="1"/>
  <c r="F35" i="19"/>
  <c r="F37" i="19" s="1"/>
  <c r="G37" i="19" s="1"/>
  <c r="G23" i="19"/>
  <c r="E284" i="19"/>
  <c r="F284" i="19" s="1"/>
  <c r="G284" i="19" s="1"/>
  <c r="M60" i="13"/>
  <c r="M62" i="13" s="1"/>
  <c r="I60" i="13" s="1"/>
  <c r="J60" i="13" s="1"/>
  <c r="J56" i="13"/>
  <c r="K56" i="13" s="1"/>
  <c r="E299" i="19"/>
  <c r="F299" i="19" s="1"/>
  <c r="G299" i="19" s="1"/>
  <c r="E296" i="19"/>
  <c r="F296" i="19" s="1"/>
  <c r="G296" i="19" s="1"/>
  <c r="E288" i="19"/>
  <c r="F288" i="19" s="1"/>
  <c r="G288" i="19" s="1"/>
  <c r="E260" i="19"/>
  <c r="F260" i="19" s="1"/>
  <c r="G260" i="19" s="1"/>
  <c r="E255" i="19"/>
  <c r="F255" i="19" s="1"/>
  <c r="G255" i="19" s="1"/>
  <c r="E252" i="19"/>
  <c r="F252" i="19" s="1"/>
  <c r="G252" i="19" s="1"/>
  <c r="E257" i="19"/>
  <c r="F257" i="19" s="1"/>
  <c r="G257" i="19" s="1"/>
  <c r="E258" i="19"/>
  <c r="F258" i="19" s="1"/>
  <c r="G258" i="19" s="1"/>
  <c r="E262" i="19"/>
  <c r="F262" i="19" s="1"/>
  <c r="G262" i="19" s="1"/>
  <c r="E264" i="19"/>
  <c r="F264" i="19" s="1"/>
  <c r="G264" i="19" s="1"/>
  <c r="E263" i="19"/>
  <c r="F263" i="19" s="1"/>
  <c r="G263" i="19" s="1"/>
  <c r="E254" i="19"/>
  <c r="F254" i="19" s="1"/>
  <c r="G254" i="19" s="1"/>
  <c r="E261" i="19"/>
  <c r="F261" i="19" s="1"/>
  <c r="G261" i="19" s="1"/>
  <c r="E256" i="19"/>
  <c r="F256" i="19" s="1"/>
  <c r="G256" i="19" s="1"/>
  <c r="E286" i="19"/>
  <c r="F286" i="19" s="1"/>
  <c r="G286" i="19" s="1"/>
  <c r="E285" i="19"/>
  <c r="F285" i="19" s="1"/>
  <c r="G285" i="19" s="1"/>
  <c r="J36" i="13"/>
  <c r="K36" i="13" s="1"/>
  <c r="M39" i="13"/>
  <c r="M41" i="13" s="1"/>
  <c r="I39" i="13" s="1"/>
  <c r="I40" i="13" s="1"/>
  <c r="J40" i="13" s="1"/>
  <c r="K40" i="13" s="1"/>
  <c r="E74" i="13"/>
  <c r="E281" i="19"/>
  <c r="F281" i="19" s="1"/>
  <c r="G281" i="19" s="1"/>
  <c r="E274" i="19"/>
  <c r="F274" i="19" s="1"/>
  <c r="G274" i="19" s="1"/>
  <c r="E275" i="19"/>
  <c r="F275" i="19" s="1"/>
  <c r="G275" i="19" s="1"/>
  <c r="E267" i="19"/>
  <c r="F267" i="19" s="1"/>
  <c r="G267" i="19" s="1"/>
  <c r="E269" i="19"/>
  <c r="F269" i="19" s="1"/>
  <c r="G269" i="19" s="1"/>
  <c r="E279" i="19"/>
  <c r="F279" i="19" s="1"/>
  <c r="G279" i="19" s="1"/>
  <c r="E280" i="19"/>
  <c r="F280" i="19" s="1"/>
  <c r="G280" i="19" s="1"/>
  <c r="E282" i="19"/>
  <c r="F282" i="19" s="1"/>
  <c r="G282" i="19" s="1"/>
  <c r="E266" i="19"/>
  <c r="F266" i="19" s="1"/>
  <c r="G266" i="19" s="1"/>
  <c r="E272" i="19"/>
  <c r="F272" i="19" s="1"/>
  <c r="G272" i="19" s="1"/>
  <c r="E270" i="19"/>
  <c r="F270" i="19" s="1"/>
  <c r="G270" i="19" s="1"/>
  <c r="E268" i="19"/>
  <c r="F268" i="19" s="1"/>
  <c r="G268" i="19" s="1"/>
  <c r="E278" i="19"/>
  <c r="F278" i="19" s="1"/>
  <c r="G278" i="19" s="1"/>
  <c r="E273" i="19"/>
  <c r="F273" i="19" s="1"/>
  <c r="G273" i="19" s="1"/>
  <c r="E276" i="19"/>
  <c r="F276" i="19" s="1"/>
  <c r="G276" i="19" s="1"/>
  <c r="E293" i="19"/>
  <c r="F293" i="19" s="1"/>
  <c r="G293" i="19" s="1"/>
  <c r="E300" i="19"/>
  <c r="F300" i="19" s="1"/>
  <c r="G300" i="19" s="1"/>
  <c r="I61" i="13" l="1"/>
  <c r="J61" i="13" s="1"/>
  <c r="K61" i="13" s="1"/>
  <c r="I48" i="13"/>
  <c r="J48" i="13" s="1"/>
  <c r="K48" i="13" s="1"/>
  <c r="J39" i="13"/>
  <c r="J76" i="13" s="1"/>
  <c r="I76" i="13"/>
  <c r="F409" i="19"/>
  <c r="G409" i="19" s="1"/>
  <c r="E411" i="19"/>
  <c r="F411" i="19" s="1"/>
  <c r="G411" i="19" s="1"/>
  <c r="H73" i="13"/>
  <c r="J75" i="13"/>
  <c r="K75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tc={D8166F8B-F8AE-4673-AE4F-16332DDBDBE3}</author>
    <author>tc={3097E59B-D0D2-4D1D-B136-D62128BA59C4}</author>
  </authors>
  <commentList>
    <comment ref="B14" authorId="0" shapeId="0" xr:uid="{D8166F8B-F8AE-4673-AE4F-16332DDBDBE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includes CRM for Present rates</t>
      </text>
    </comment>
    <comment ref="J23" authorId="1" shapeId="0" xr:uid="{3097E59B-D0D2-4D1D-B136-D62128BA59C4}">
      <text>
        <t>[Threaded comment]
Your version of Excel allows you to read this threaded comment; however, any edits to it will get removed if the file is opened in a newer version of Excel. Learn more: https://go.microsoft.com/fwlink/?linkid=870924
Comment:
    Residential Test Year Normalized Therms.xlsx</t>
      </text>
    </comment>
  </commentList>
</comments>
</file>

<file path=xl/sharedStrings.xml><?xml version="1.0" encoding="utf-8"?>
<sst xmlns="http://schemas.openxmlformats.org/spreadsheetml/2006/main" count="845" uniqueCount="197">
  <si>
    <t>Cascade Natural Gas Corp.</t>
  </si>
  <si>
    <t>Washington Jurisdiction</t>
  </si>
  <si>
    <t>Proposed Rates Effective March 1, 2025</t>
  </si>
  <si>
    <t>Analysis of Revenue by Detailed Tariff Schedule</t>
  </si>
  <si>
    <t>Model for Scenario Number</t>
  </si>
  <si>
    <t>Pro Forma Test Year Revenues</t>
  </si>
  <si>
    <t>Proposed Revenues</t>
  </si>
  <si>
    <t>Difference</t>
  </si>
  <si>
    <t>Present Rates</t>
  </si>
  <si>
    <t>Proposed Rates</t>
  </si>
  <si>
    <t>Customer Class</t>
  </si>
  <si>
    <t>Billing Units</t>
  </si>
  <si>
    <t>Margin</t>
  </si>
  <si>
    <t>CRM</t>
  </si>
  <si>
    <t>Revenue</t>
  </si>
  <si>
    <t>$ Amount</t>
  </si>
  <si>
    <t>% Amount</t>
  </si>
  <si>
    <t>Residential - 503</t>
  </si>
  <si>
    <t>Basic Service Charge</t>
  </si>
  <si>
    <t>Delivery Charge</t>
  </si>
  <si>
    <t>Rounding Difference</t>
  </si>
  <si>
    <t>Proposed Revenue Needed</t>
  </si>
  <si>
    <t>Commercial - 504</t>
  </si>
  <si>
    <t>Industrial - 505</t>
  </si>
  <si>
    <t>Delivery Charge - first 500 therms</t>
  </si>
  <si>
    <t>Delivery Charge - next 3,500 therms</t>
  </si>
  <si>
    <t>Delivery Charge - over 4,000 therms</t>
  </si>
  <si>
    <t>Large Volume - 511</t>
  </si>
  <si>
    <t>Delivery Charge - first 20,000 therms</t>
  </si>
  <si>
    <t>Delivery Charge - next 80,000 therms</t>
  </si>
  <si>
    <t>Delivery Charge - over 100,000 therms</t>
  </si>
  <si>
    <t>Interruptible - 570</t>
  </si>
  <si>
    <t>Delivery Charge - first 30,000 therms</t>
  </si>
  <si>
    <t>Delivery Charge - over 30,000 therms</t>
  </si>
  <si>
    <t>Transport - 663</t>
  </si>
  <si>
    <t>Contract Demand</t>
  </si>
  <si>
    <t>System Balancing Charge</t>
  </si>
  <si>
    <t>Delivery Charge - first 100,000 therms</t>
  </si>
  <si>
    <t>Delivery Charge - next 200,000 therms</t>
  </si>
  <si>
    <t>Delivery Charge - over 500,000 therms</t>
  </si>
  <si>
    <t>Special Contracts - Total</t>
  </si>
  <si>
    <t>Contract Demand Charge</t>
  </si>
  <si>
    <t>Dispatch Delivery/ Sys Balancing Charge</t>
  </si>
  <si>
    <t>Fixed Charge Recovery</t>
  </si>
  <si>
    <t>Volumectric Charge Recovery</t>
  </si>
  <si>
    <t>Total</t>
  </si>
  <si>
    <t>rounding difference</t>
  </si>
  <si>
    <t>Proposed Rates Effective March 1, 2026</t>
  </si>
  <si>
    <t>Estimated Average Monthly Bill Comparison Under Proposed Rates March 1, 2025</t>
  </si>
  <si>
    <t>Residential Impact by Month</t>
  </si>
  <si>
    <t>Line</t>
  </si>
  <si>
    <t>No.</t>
  </si>
  <si>
    <t>(a)</t>
  </si>
  <si>
    <t>(b)</t>
  </si>
  <si>
    <t>(c)</t>
  </si>
  <si>
    <t>(d)</t>
  </si>
  <si>
    <t>(e)</t>
  </si>
  <si>
    <t>(f)</t>
  </si>
  <si>
    <t>Present</t>
  </si>
  <si>
    <t>March 1, 2025</t>
  </si>
  <si>
    <t>Rates</t>
  </si>
  <si>
    <t>Pass-Through Rates</t>
  </si>
  <si>
    <t>Average</t>
  </si>
  <si>
    <t>Revenue at</t>
  </si>
  <si>
    <t>Monthly Bill Change</t>
  </si>
  <si>
    <t>therms per</t>
  </si>
  <si>
    <t>Proposed</t>
  </si>
  <si>
    <t>Month</t>
  </si>
  <si>
    <t>Customer</t>
  </si>
  <si>
    <t>Amount</t>
  </si>
  <si>
    <t>Percent</t>
  </si>
  <si>
    <t>customers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</si>
  <si>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</si>
  <si>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</si>
  <si>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</si>
  <si>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</si>
  <si>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</si>
  <si>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</si>
  <si>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</si>
  <si>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</si>
  <si>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</si>
  <si>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</si>
  <si>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</si>
  <si>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</si>
  <si>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Average</t>
  </si>
  <si>
    <t>Estimated Monthly Bill Impacts March 1, 2025</t>
  </si>
  <si>
    <t>Impact of Recommended Rate Changes</t>
  </si>
  <si>
    <t>Line No.</t>
  </si>
  <si>
    <t>Delivery Charge w/ CRM</t>
  </si>
  <si>
    <t>Monthly Consumption</t>
  </si>
  <si>
    <t>Revenue Change</t>
  </si>
  <si>
    <t>(therms)</t>
  </si>
  <si>
    <t>blocks</t>
  </si>
  <si>
    <t>First 500 therms</t>
  </si>
  <si>
    <t>Next 3,500 therms</t>
  </si>
  <si>
    <t>Over 4,000 therms</t>
  </si>
  <si>
    <t>First 20,000 therms</t>
  </si>
  <si>
    <t>Next 80,000 therms</t>
  </si>
  <si>
    <t>Over 100,000 therms</t>
  </si>
  <si>
    <t>First 30,000 therms</t>
  </si>
  <si>
    <t>Over 30,000 therms</t>
  </si>
  <si>
    <t>First 100,000 therms</t>
  </si>
  <si>
    <t>Next 200,000 therms</t>
  </si>
  <si>
    <t>Over 500,000 therms</t>
  </si>
  <si>
    <t>(therms or customers)</t>
  </si>
  <si>
    <t>Average Contract Demand</t>
  </si>
  <si>
    <t>Average Basic Service</t>
  </si>
  <si>
    <t>Average Balancing</t>
  </si>
  <si>
    <t>Average Volume</t>
  </si>
  <si>
    <t>Total Average Monthly Bill</t>
  </si>
  <si>
    <t>Estimated Average Monthly Bill Comparison Under Proposed Rates March 1, 2026</t>
  </si>
  <si>
    <t>March 1, 2026</t>
  </si>
  <si>
    <t>Estimated Monthly Bill Impacts March 1, 2026</t>
  </si>
  <si>
    <t>Cascade Natural Gas Corporation</t>
  </si>
  <si>
    <t>Revenue Spread</t>
  </si>
  <si>
    <t>Scenario</t>
  </si>
  <si>
    <t>Total Cascade</t>
  </si>
  <si>
    <t>Special Contracts - 9xx</t>
  </si>
  <si>
    <t>Revenue at Current Rates</t>
  </si>
  <si>
    <t>Test Year</t>
  </si>
  <si>
    <t>Rate Schedule Revenue as Proposed</t>
  </si>
  <si>
    <t>MYRP 1</t>
  </si>
  <si>
    <t>Rates Effective March 1, 2025</t>
  </si>
  <si>
    <t>MYRP 2</t>
  </si>
  <si>
    <t>Rates Effective March 1, 2026</t>
  </si>
  <si>
    <t>Current Rate</t>
  </si>
  <si>
    <t>Rate Effective
March 1, 20205</t>
  </si>
  <si>
    <t>Rate Effective
March 1, 2026</t>
  </si>
  <si>
    <t>Cost Recovery Mechanism</t>
  </si>
  <si>
    <t>Page 1 of 2</t>
  </si>
  <si>
    <t>Test Year Ended December 31, 2023</t>
  </si>
  <si>
    <t>Total rate</t>
  </si>
  <si>
    <t>Cascade WA COSA 2024_workpaper.xlsx</t>
  </si>
  <si>
    <t>Data file_Atirum-COS Transfer &amp; Other Info.xlsx</t>
  </si>
  <si>
    <t>Data file_Cascade Current Rates.xlsx</t>
  </si>
  <si>
    <t>Data file_Rev Req Therms and Customers.xlsx</t>
  </si>
  <si>
    <t>Data file_WA Rev Req.xlsx</t>
  </si>
  <si>
    <t>Name of Supporting Workpaper Files</t>
  </si>
  <si>
    <t>Exh. RJA-6</t>
  </si>
  <si>
    <t>Exh. RJA-7</t>
  </si>
  <si>
    <t>Page 8 of 14</t>
  </si>
  <si>
    <t>Page 9 of 14</t>
  </si>
  <si>
    <t>Page 14 of 14</t>
  </si>
  <si>
    <t>Page 13 of 14</t>
  </si>
  <si>
    <t>Page 12 of 14</t>
  </si>
  <si>
    <t>Page 11 of 14</t>
  </si>
  <si>
    <t>Page 10 of 14</t>
  </si>
  <si>
    <t>Page 1 of 14</t>
  </si>
  <si>
    <t>Page 2 of 14</t>
  </si>
  <si>
    <t>Page 3 of 14</t>
  </si>
  <si>
    <t>Page 4 of 14</t>
  </si>
  <si>
    <t>Page 5 of 14</t>
  </si>
  <si>
    <t>Page 6 of 14</t>
  </si>
  <si>
    <t>Page 7 of 14</t>
  </si>
  <si>
    <t>Page 2 of 2</t>
  </si>
  <si>
    <t>Witness: Dismukes</t>
  </si>
  <si>
    <t>Rate Year 1 - 2025</t>
  </si>
  <si>
    <t>Rate Year 2 - 2026</t>
  </si>
  <si>
    <t>Cumulative</t>
  </si>
  <si>
    <t>Current</t>
  </si>
  <si>
    <t xml:space="preserve">Proposed </t>
  </si>
  <si>
    <t>Relative</t>
  </si>
  <si>
    <t>RY1</t>
  </si>
  <si>
    <t>Customer Rate Class</t>
  </si>
  <si>
    <t>Revenues</t>
  </si>
  <si>
    <t>Increase</t>
  </si>
  <si>
    <t>ROR</t>
  </si>
  <si>
    <t>Total Revenues</t>
  </si>
  <si>
    <t>Test Year Increase</t>
  </si>
  <si>
    <t>125% of total</t>
  </si>
  <si>
    <t>increases that would bring them to parity</t>
  </si>
  <si>
    <t>140% of total</t>
  </si>
  <si>
    <t>Remaining</t>
  </si>
  <si>
    <t>MYRP 1 Increase</t>
  </si>
  <si>
    <t>Even</t>
  </si>
  <si>
    <t>MYRP 2 Increase</t>
  </si>
  <si>
    <t>Residential Service (Schedule 503)</t>
  </si>
  <si>
    <t>General Commercial (Schedule 504)</t>
  </si>
  <si>
    <t>General Industrial (Schedule 505)</t>
  </si>
  <si>
    <t>Large Volume General (Schedule 511)</t>
  </si>
  <si>
    <t>Interruptible (Schedule 570)</t>
  </si>
  <si>
    <t>Distribution System Transportation (Schedule 663)</t>
  </si>
  <si>
    <t>Special Contracts (Schedule 900)</t>
  </si>
  <si>
    <t>TY</t>
  </si>
  <si>
    <t>Notes:</t>
  </si>
  <si>
    <t>(1) The rate revenues in the revenue distribution exhibit differ from rate revenues in the CCOSS because the CCOSS revenues included "non-margin revenues" while the revenue distribution exhibit does not.  See "Exhibit JAD-2, TY Revenues" for more details.</t>
  </si>
  <si>
    <t>Exhibit DED-4</t>
  </si>
  <si>
    <t>Docket UG-240008</t>
  </si>
  <si>
    <t>Prepared by: BML 8/5/2024</t>
  </si>
  <si>
    <t>Source: "240008-CNGC-WP-RJA-Cascade WA Rate Design 2024", tab "Revenue Spread".</t>
  </si>
  <si>
    <t>Prepared by: BML 9/6/2024</t>
  </si>
  <si>
    <t>Exhibit DED-5</t>
  </si>
  <si>
    <t>Exhibit DED-4: Alternative Equal Revenue Distribution</t>
  </si>
  <si>
    <t>Exhibit DED-5: Alternative Upper Limit Revenue Distribution</t>
  </si>
  <si>
    <t>Company Method-</t>
  </si>
  <si>
    <t>Modified</t>
  </si>
  <si>
    <t>Checked by: TJD 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</si>
</sst>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&quot;$&quot;#,##0.00000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Helv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0"/>
      <color indexed="8"/>
      <name val="Arial"/>
      <family val="2"/>
    </font>
    <font>
      <b/>
      <u val="singleAccounting"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rgb="FF000000"/>
      <name val="Arial"/>
      <family val="2"/>
    </font>
    <font>
      <u val="doubleAccounting"/>
      <sz val="11"/>
      <name val="Calibri"/>
      <family val="2"/>
      <scheme val="minor"/>
    </font>
    <font>
      <sz val="10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b/>
      <sz val="10"/>
      <color rgb="FFFFFF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C2300"/>
        <bgColor indexed="64"/>
      </patternFill>
    </fill>
    <fill>
      <patternFill patternType="solid">
        <fgColor rgb="FF1C230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4D79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0" fontId="6" fillId="0" borderId="0">
      <alignment vertical="top"/>
    </xf>
    <xf numFmtId="0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Protection="0">
      <alignment horizontal="right"/>
    </xf>
    <xf numFmtId="43" fontId="9" fillId="0" borderId="0" applyFont="0" applyFill="0" applyBorder="0" applyAlignment="0" applyProtection="0"/>
    <xf numFmtId="0" fontId="1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2" fontId="8" fillId="2" borderId="31">
      <alignment horizontal="left"/>
    </xf>
    <xf numFmtId="42" fontId="8" fillId="2" borderId="41">
      <alignment vertical="center"/>
    </xf>
    <xf numFmtId="0" fontId="1" fillId="0" borderId="0"/>
    <xf numFmtId="0" fontId="9" fillId="0" borderId="0"/>
    <xf numFmtId="0" fontId="19" fillId="0" borderId="0"/>
    <xf numFmtId="43" fontId="1" fillId="0" borderId="0" applyFont="0" applyFill="0" applyBorder="0" applyAlignment="0" applyProtection="0"/>
    <xf numFmtId="0" fontId="1" fillId="0" borderId="0"/>
  </cellStyleXfs>
  <cellXfs count="236">
    <xf numFmtId="0" fontId="0" fillId="0" borderId="0" xfId="0"/>
    <xf numFmtId="166" fontId="2" fillId="0" borderId="0" xfId="2" applyNumberFormat="1" applyFont="1" applyFill="1" applyAlignment="1">
      <alignment horizontal="center"/>
    </xf>
    <xf numFmtId="166" fontId="2" fillId="0" borderId="0" xfId="2" applyNumberFormat="1" applyFont="1" applyFill="1"/>
    <xf numFmtId="164" fontId="2" fillId="0" borderId="0" xfId="2" applyNumberFormat="1" applyFont="1" applyFill="1" applyBorder="1"/>
    <xf numFmtId="167" fontId="2" fillId="0" borderId="0" xfId="1" applyNumberFormat="1" applyFont="1" applyFill="1" applyBorder="1"/>
    <xf numFmtId="9" fontId="2" fillId="0" borderId="10" xfId="3" applyFont="1" applyFill="1" applyBorder="1" applyAlignment="1">
      <alignment horizontal="center"/>
    </xf>
    <xf numFmtId="167" fontId="2" fillId="0" borderId="0" xfId="2" applyNumberFormat="1" applyFont="1" applyFill="1" applyBorder="1"/>
    <xf numFmtId="164" fontId="2" fillId="0" borderId="18" xfId="2" applyNumberFormat="1" applyFont="1" applyFill="1" applyBorder="1"/>
    <xf numFmtId="164" fontId="2" fillId="0" borderId="17" xfId="2" applyNumberFormat="1" applyFont="1" applyFill="1" applyBorder="1"/>
    <xf numFmtId="164" fontId="4" fillId="0" borderId="26" xfId="2" applyNumberFormat="1" applyFont="1" applyFill="1" applyBorder="1"/>
    <xf numFmtId="167" fontId="2" fillId="0" borderId="17" xfId="1" applyNumberFormat="1" applyFont="1" applyFill="1" applyBorder="1"/>
    <xf numFmtId="166" fontId="2" fillId="0" borderId="0" xfId="1" applyNumberFormat="1" applyFont="1" applyFill="1" applyBorder="1"/>
    <xf numFmtId="165" fontId="2" fillId="0" borderId="0" xfId="1" applyNumberFormat="1" applyFont="1" applyFill="1" applyBorder="1"/>
    <xf numFmtId="165" fontId="2" fillId="0" borderId="10" xfId="1" applyNumberFormat="1" applyFont="1" applyFill="1" applyBorder="1"/>
    <xf numFmtId="165" fontId="13" fillId="0" borderId="0" xfId="6" applyNumberFormat="1" applyFont="1" applyFill="1" applyBorder="1"/>
    <xf numFmtId="165" fontId="13" fillId="0" borderId="10" xfId="6" applyNumberFormat="1" applyFont="1" applyFill="1" applyBorder="1"/>
    <xf numFmtId="44" fontId="2" fillId="0" borderId="0" xfId="2" applyFont="1" applyFill="1"/>
    <xf numFmtId="44" fontId="5" fillId="0" borderId="0" xfId="2" applyFont="1" applyFill="1" applyAlignment="1">
      <alignment horizontal="center"/>
    </xf>
    <xf numFmtId="44" fontId="12" fillId="0" borderId="0" xfId="2" applyFont="1" applyFill="1"/>
    <xf numFmtId="166" fontId="2" fillId="0" borderId="17" xfId="1" applyNumberFormat="1" applyFont="1" applyFill="1" applyBorder="1"/>
    <xf numFmtId="168" fontId="10" fillId="0" borderId="0" xfId="2" applyNumberFormat="1" applyFont="1" applyFill="1" applyBorder="1"/>
    <xf numFmtId="169" fontId="2" fillId="0" borderId="17" xfId="1" applyNumberFormat="1" applyFont="1" applyFill="1" applyBorder="1"/>
    <xf numFmtId="169" fontId="2" fillId="0" borderId="0" xfId="1" applyNumberFormat="1" applyFont="1" applyFill="1" applyBorder="1"/>
    <xf numFmtId="164" fontId="14" fillId="0" borderId="0" xfId="2" applyNumberFormat="1" applyFont="1" applyFill="1" applyBorder="1"/>
    <xf numFmtId="164" fontId="4" fillId="0" borderId="17" xfId="2" applyNumberFormat="1" applyFont="1" applyFill="1" applyBorder="1"/>
    <xf numFmtId="164" fontId="4" fillId="0" borderId="0" xfId="2" applyNumberFormat="1" applyFont="1" applyFill="1" applyBorder="1"/>
    <xf numFmtId="164" fontId="12" fillId="0" borderId="0" xfId="2" applyNumberFormat="1" applyFont="1" applyFill="1" applyBorder="1"/>
    <xf numFmtId="164" fontId="12" fillId="0" borderId="29" xfId="2" applyNumberFormat="1" applyFont="1" applyFill="1" applyBorder="1"/>
    <xf numFmtId="164" fontId="12" fillId="0" borderId="11" xfId="2" applyNumberFormat="1" applyFont="1" applyFill="1" applyBorder="1"/>
    <xf numFmtId="43" fontId="2" fillId="0" borderId="0" xfId="1" applyFont="1" applyFill="1" applyBorder="1"/>
    <xf numFmtId="166" fontId="2" fillId="0" borderId="0" xfId="2" applyNumberFormat="1" applyFont="1" applyFill="1" applyBorder="1"/>
    <xf numFmtId="165" fontId="2" fillId="0" borderId="11" xfId="1" applyNumberFormat="1" applyFont="1" applyFill="1" applyBorder="1"/>
    <xf numFmtId="164" fontId="12" fillId="0" borderId="30" xfId="2" applyNumberFormat="1" applyFont="1" applyFill="1" applyBorder="1"/>
    <xf numFmtId="9" fontId="2" fillId="0" borderId="12" xfId="3" applyFont="1" applyFill="1" applyBorder="1" applyAlignment="1">
      <alignment horizontal="center"/>
    </xf>
    <xf numFmtId="166" fontId="2" fillId="0" borderId="34" xfId="1" applyNumberFormat="1" applyFont="1" applyFill="1" applyBorder="1" applyAlignment="1">
      <alignment horizontal="center"/>
    </xf>
    <xf numFmtId="167" fontId="2" fillId="0" borderId="34" xfId="1" applyNumberFormat="1" applyFont="1" applyFill="1" applyBorder="1" applyAlignment="1">
      <alignment horizontal="center"/>
    </xf>
    <xf numFmtId="167" fontId="2" fillId="0" borderId="35" xfId="1" applyNumberFormat="1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33" xfId="1" applyNumberFormat="1" applyFont="1" applyFill="1" applyBorder="1" applyAlignment="1">
      <alignment horizontal="center"/>
    </xf>
    <xf numFmtId="164" fontId="10" fillId="0" borderId="0" xfId="2" applyNumberFormat="1" applyFont="1" applyFill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15" xfId="0" applyFont="1" applyBorder="1"/>
    <xf numFmtId="0" fontId="4" fillId="0" borderId="16" xfId="0" applyFont="1" applyBorder="1"/>
    <xf numFmtId="165" fontId="2" fillId="0" borderId="19" xfId="1" applyNumberFormat="1" applyFont="1" applyFill="1" applyBorder="1"/>
    <xf numFmtId="0" fontId="2" fillId="0" borderId="19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/>
    </xf>
    <xf numFmtId="0" fontId="4" fillId="0" borderId="43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9" xfId="0" applyFont="1" applyBorder="1"/>
    <xf numFmtId="0" fontId="4" fillId="0" borderId="44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31" xfId="0" applyFont="1" applyBorder="1" applyAlignment="1">
      <alignment horizontal="centerContinuous"/>
    </xf>
    <xf numFmtId="0" fontId="4" fillId="0" borderId="31" xfId="0" applyFont="1" applyBorder="1" applyAlignment="1">
      <alignment horizontal="center"/>
    </xf>
    <xf numFmtId="0" fontId="4" fillId="0" borderId="49" xfId="0" applyFont="1" applyBorder="1" applyAlignment="1">
      <alignment horizontal="centerContinuous"/>
    </xf>
    <xf numFmtId="0" fontId="4" fillId="0" borderId="46" xfId="0" applyFont="1" applyBorder="1" applyAlignment="1">
      <alignment horizontal="center"/>
    </xf>
    <xf numFmtId="0" fontId="4" fillId="0" borderId="46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4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8" xfId="0" applyFont="1" applyBorder="1" applyAlignment="1">
      <alignment horizontal="center"/>
    </xf>
    <xf numFmtId="0" fontId="7" fillId="0" borderId="9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left" indent="1"/>
    </xf>
    <xf numFmtId="9" fontId="5" fillId="0" borderId="10" xfId="3" applyFont="1" applyFill="1" applyBorder="1" applyAlignment="1">
      <alignment horizontal="center"/>
    </xf>
    <xf numFmtId="164" fontId="2" fillId="0" borderId="0" xfId="0" applyNumberFormat="1" applyFont="1"/>
    <xf numFmtId="0" fontId="4" fillId="0" borderId="9" xfId="0" applyFont="1" applyBorder="1" applyAlignment="1">
      <alignment horizontal="left" indent="2"/>
    </xf>
    <xf numFmtId="164" fontId="4" fillId="0" borderId="27" xfId="2" applyNumberFormat="1" applyFont="1" applyFill="1" applyBorder="1"/>
    <xf numFmtId="164" fontId="2" fillId="0" borderId="28" xfId="2" applyNumberFormat="1" applyFont="1" applyFill="1" applyBorder="1"/>
    <xf numFmtId="0" fontId="2" fillId="0" borderId="23" xfId="0" applyFont="1" applyBorder="1"/>
    <xf numFmtId="164" fontId="2" fillId="0" borderId="4" xfId="2" applyNumberFormat="1" applyFont="1" applyFill="1" applyBorder="1"/>
    <xf numFmtId="0" fontId="2" fillId="0" borderId="12" xfId="0" applyFont="1" applyBorder="1"/>
    <xf numFmtId="9" fontId="2" fillId="0" borderId="0" xfId="3" applyFont="1" applyFill="1"/>
    <xf numFmtId="10" fontId="2" fillId="0" borderId="0" xfId="3" applyNumberFormat="1" applyFont="1" applyFill="1"/>
    <xf numFmtId="0" fontId="4" fillId="0" borderId="4" xfId="0" applyFont="1" applyBorder="1" applyAlignment="1">
      <alignment horizontal="left" indent="2"/>
    </xf>
    <xf numFmtId="0" fontId="4" fillId="0" borderId="0" xfId="0" applyFont="1" applyAlignment="1">
      <alignment horizontal="left" indent="2"/>
    </xf>
    <xf numFmtId="43" fontId="2" fillId="0" borderId="0" xfId="1" applyFont="1" applyFill="1"/>
    <xf numFmtId="167" fontId="2" fillId="0" borderId="0" xfId="0" applyNumberFormat="1" applyFont="1"/>
    <xf numFmtId="0" fontId="2" fillId="0" borderId="4" xfId="0" applyFont="1" applyBorder="1" applyAlignment="1">
      <alignment horizontal="left" indent="2"/>
    </xf>
    <xf numFmtId="9" fontId="10" fillId="0" borderId="0" xfId="3" applyFont="1" applyFill="1" applyBorder="1"/>
    <xf numFmtId="9" fontId="2" fillId="0" borderId="0" xfId="3" applyFont="1" applyFill="1" applyBorder="1" applyAlignment="1">
      <alignment horizontal="center"/>
    </xf>
    <xf numFmtId="164" fontId="2" fillId="0" borderId="32" xfId="0" applyNumberFormat="1" applyFont="1" applyBorder="1"/>
    <xf numFmtId="164" fontId="2" fillId="0" borderId="32" xfId="2" applyNumberFormat="1" applyFont="1" applyFill="1" applyBorder="1"/>
    <xf numFmtId="0" fontId="10" fillId="0" borderId="0" xfId="0" applyFont="1" applyAlignment="1">
      <alignment horizontal="right"/>
    </xf>
    <xf numFmtId="170" fontId="2" fillId="0" borderId="0" xfId="3" applyNumberFormat="1" applyFont="1" applyFill="1"/>
    <xf numFmtId="0" fontId="4" fillId="0" borderId="19" xfId="0" applyFont="1" applyBorder="1"/>
    <xf numFmtId="0" fontId="4" fillId="0" borderId="19" xfId="0" applyFont="1" applyBorder="1" applyAlignment="1">
      <alignment horizontal="centerContinuous"/>
    </xf>
    <xf numFmtId="0" fontId="4" fillId="0" borderId="19" xfId="0" applyFont="1" applyBorder="1" applyAlignment="1">
      <alignment horizontal="center" wrapText="1"/>
    </xf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4" fillId="0" borderId="34" xfId="0" applyFont="1" applyBorder="1"/>
    <xf numFmtId="0" fontId="2" fillId="0" borderId="0" xfId="0" applyFont="1" applyAlignment="1">
      <alignment horizontal="right"/>
    </xf>
    <xf numFmtId="0" fontId="4" fillId="0" borderId="36" xfId="0" applyFont="1" applyBorder="1" applyAlignment="1">
      <alignment horizontal="centerContinuous"/>
    </xf>
    <xf numFmtId="0" fontId="4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/>
    <xf numFmtId="0" fontId="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9" xfId="0" applyFont="1" applyBorder="1"/>
    <xf numFmtId="165" fontId="2" fillId="0" borderId="0" xfId="0" applyNumberFormat="1" applyFont="1"/>
    <xf numFmtId="165" fontId="2" fillId="0" borderId="0" xfId="1" applyNumberFormat="1" applyFont="1" applyFill="1"/>
    <xf numFmtId="0" fontId="2" fillId="0" borderId="4" xfId="0" applyFont="1" applyBorder="1"/>
    <xf numFmtId="0" fontId="2" fillId="0" borderId="11" xfId="0" applyFont="1" applyBorder="1"/>
    <xf numFmtId="0" fontId="4" fillId="0" borderId="0" xfId="4" applyFont="1"/>
    <xf numFmtId="0" fontId="1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/>
    <xf numFmtId="0" fontId="2" fillId="0" borderId="31" xfId="0" applyFont="1" applyBorder="1"/>
    <xf numFmtId="15" fontId="2" fillId="0" borderId="31" xfId="0" quotePrefix="1" applyNumberFormat="1" applyFont="1" applyBorder="1" applyAlignment="1">
      <alignment horizontal="center"/>
    </xf>
    <xf numFmtId="15" fontId="2" fillId="0" borderId="14" xfId="0" quotePrefix="1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6" fontId="2" fillId="0" borderId="0" xfId="0" applyNumberFormat="1" applyFont="1"/>
    <xf numFmtId="166" fontId="2" fillId="0" borderId="18" xfId="0" applyNumberFormat="1" applyFont="1" applyBorder="1"/>
    <xf numFmtId="167" fontId="2" fillId="0" borderId="18" xfId="0" applyNumberFormat="1" applyFont="1" applyBorder="1"/>
    <xf numFmtId="0" fontId="2" fillId="0" borderId="20" xfId="0" applyFont="1" applyBorder="1"/>
    <xf numFmtId="0" fontId="2" fillId="0" borderId="32" xfId="0" applyFont="1" applyBorder="1"/>
    <xf numFmtId="167" fontId="2" fillId="0" borderId="32" xfId="0" applyNumberFormat="1" applyFont="1" applyBorder="1"/>
    <xf numFmtId="167" fontId="2" fillId="0" borderId="21" xfId="0" applyNumberFormat="1" applyFont="1" applyBorder="1"/>
    <xf numFmtId="0" fontId="5" fillId="0" borderId="0" xfId="0" applyFont="1" applyAlignment="1">
      <alignment horizontal="centerContinuous"/>
    </xf>
    <xf numFmtId="0" fontId="10" fillId="0" borderId="33" xfId="0" applyFont="1" applyBorder="1"/>
    <xf numFmtId="165" fontId="2" fillId="0" borderId="0" xfId="1" applyNumberFormat="1" applyFont="1" applyFill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7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2" fillId="0" borderId="20" xfId="1" applyNumberFormat="1" applyFont="1" applyFill="1" applyBorder="1" applyAlignment="1">
      <alignment horizontal="center"/>
    </xf>
    <xf numFmtId="0" fontId="2" fillId="0" borderId="21" xfId="0" applyFont="1" applyBorder="1"/>
    <xf numFmtId="165" fontId="12" fillId="0" borderId="0" xfId="0" applyNumberFormat="1" applyFont="1"/>
    <xf numFmtId="43" fontId="2" fillId="0" borderId="0" xfId="0" applyNumberFormat="1" applyFont="1"/>
    <xf numFmtId="1" fontId="2" fillId="0" borderId="0" xfId="0" applyNumberFormat="1" applyFont="1"/>
    <xf numFmtId="44" fontId="2" fillId="0" borderId="0" xfId="0" applyNumberFormat="1" applyFont="1"/>
    <xf numFmtId="0" fontId="2" fillId="0" borderId="3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0" fontId="2" fillId="0" borderId="0" xfId="3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10" fillId="0" borderId="0" xfId="0" applyFont="1"/>
    <xf numFmtId="0" fontId="2" fillId="0" borderId="17" xfId="0" applyFont="1" applyBorder="1" applyAlignment="1">
      <alignment horizontal="left" indent="1"/>
    </xf>
    <xf numFmtId="165" fontId="2" fillId="0" borderId="33" xfId="1" applyNumberFormat="1" applyFont="1" applyFill="1" applyBorder="1"/>
    <xf numFmtId="165" fontId="2" fillId="0" borderId="34" xfId="1" applyNumberFormat="1" applyFont="1" applyFill="1" applyBorder="1"/>
    <xf numFmtId="165" fontId="2" fillId="0" borderId="35" xfId="1" applyNumberFormat="1" applyFont="1" applyFill="1" applyBorder="1"/>
    <xf numFmtId="3" fontId="2" fillId="0" borderId="0" xfId="0" applyNumberFormat="1" applyFont="1" applyAlignment="1">
      <alignment horizontal="left"/>
    </xf>
    <xf numFmtId="164" fontId="10" fillId="0" borderId="0" xfId="0" applyNumberFormat="1" applyFont="1"/>
    <xf numFmtId="0" fontId="16" fillId="0" borderId="0" xfId="0" applyFont="1"/>
    <xf numFmtId="0" fontId="17" fillId="0" borderId="0" xfId="19" applyFont="1"/>
    <xf numFmtId="0" fontId="9" fillId="0" borderId="0" xfId="19" applyFont="1"/>
    <xf numFmtId="0" fontId="9" fillId="0" borderId="0" xfId="19" applyFont="1" applyAlignment="1">
      <alignment horizontal="center"/>
    </xf>
    <xf numFmtId="0" fontId="9" fillId="0" borderId="0" xfId="19" applyFont="1" applyAlignment="1">
      <alignment horizontal="right"/>
    </xf>
    <xf numFmtId="0" fontId="8" fillId="0" borderId="0" xfId="20" applyFont="1" applyAlignment="1">
      <alignment horizontal="center"/>
    </xf>
    <xf numFmtId="0" fontId="8" fillId="0" borderId="0" xfId="20" applyFont="1" applyAlignment="1">
      <alignment horizontal="right"/>
    </xf>
    <xf numFmtId="0" fontId="9" fillId="3" borderId="50" xfId="20" applyFill="1" applyBorder="1"/>
    <xf numFmtId="0" fontId="9" fillId="3" borderId="51" xfId="20" applyFill="1" applyBorder="1"/>
    <xf numFmtId="0" fontId="8" fillId="3" borderId="51" xfId="20" applyFont="1" applyFill="1" applyBorder="1" applyAlignment="1">
      <alignment horizontal="center"/>
    </xf>
    <xf numFmtId="0" fontId="8" fillId="3" borderId="52" xfId="20" applyFont="1" applyFill="1" applyBorder="1"/>
    <xf numFmtId="0" fontId="9" fillId="0" borderId="0" xfId="20"/>
    <xf numFmtId="0" fontId="18" fillId="4" borderId="17" xfId="20" applyFont="1" applyFill="1" applyBorder="1"/>
    <xf numFmtId="0" fontId="18" fillId="4" borderId="0" xfId="20" applyFont="1" applyFill="1"/>
    <xf numFmtId="0" fontId="18" fillId="4" borderId="0" xfId="20" applyFont="1" applyFill="1" applyAlignment="1">
      <alignment horizontal="center"/>
    </xf>
    <xf numFmtId="0" fontId="18" fillId="4" borderId="18" xfId="20" applyFont="1" applyFill="1" applyBorder="1"/>
    <xf numFmtId="0" fontId="18" fillId="4" borderId="17" xfId="19" applyFont="1" applyFill="1" applyBorder="1"/>
    <xf numFmtId="0" fontId="18" fillId="4" borderId="0" xfId="19" applyFont="1" applyFill="1"/>
    <xf numFmtId="0" fontId="18" fillId="4" borderId="0" xfId="19" applyFont="1" applyFill="1" applyAlignment="1">
      <alignment horizontal="center"/>
    </xf>
    <xf numFmtId="0" fontId="18" fillId="4" borderId="18" xfId="19" applyFont="1" applyFill="1" applyBorder="1"/>
    <xf numFmtId="0" fontId="18" fillId="4" borderId="0" xfId="19" applyFont="1" applyFill="1" applyAlignment="1">
      <alignment horizontal="right"/>
    </xf>
    <xf numFmtId="0" fontId="9" fillId="0" borderId="0" xfId="21" applyFont="1"/>
    <xf numFmtId="0" fontId="20" fillId="5" borderId="17" xfId="21" applyFont="1" applyFill="1" applyBorder="1" applyAlignment="1">
      <alignment horizontal="center"/>
    </xf>
    <xf numFmtId="0" fontId="20" fillId="5" borderId="0" xfId="21" applyFont="1" applyFill="1" applyAlignment="1">
      <alignment horizontal="center"/>
    </xf>
    <xf numFmtId="0" fontId="20" fillId="5" borderId="18" xfId="21" applyFont="1" applyFill="1" applyBorder="1" applyAlignment="1">
      <alignment horizontal="center"/>
    </xf>
    <xf numFmtId="0" fontId="11" fillId="3" borderId="50" xfId="21" applyFont="1" applyFill="1" applyBorder="1"/>
    <xf numFmtId="0" fontId="20" fillId="6" borderId="51" xfId="21" applyFont="1" applyFill="1" applyBorder="1" applyAlignment="1">
      <alignment horizontal="center"/>
    </xf>
    <xf numFmtId="0" fontId="11" fillId="3" borderId="52" xfId="21" applyFont="1" applyFill="1" applyBorder="1"/>
    <xf numFmtId="0" fontId="9" fillId="3" borderId="17" xfId="19" applyFont="1" applyFill="1" applyBorder="1"/>
    <xf numFmtId="0" fontId="9" fillId="3" borderId="0" xfId="19" applyFont="1" applyFill="1"/>
    <xf numFmtId="42" fontId="9" fillId="3" borderId="0" xfId="22" applyNumberFormat="1" applyFont="1" applyFill="1" applyBorder="1" applyAlignment="1">
      <alignment horizontal="center"/>
    </xf>
    <xf numFmtId="0" fontId="9" fillId="3" borderId="0" xfId="19" applyFont="1" applyFill="1" applyAlignment="1">
      <alignment horizontal="center"/>
    </xf>
    <xf numFmtId="170" fontId="9" fillId="3" borderId="0" xfId="19" applyNumberFormat="1" applyFont="1" applyFill="1" applyAlignment="1">
      <alignment horizontal="right"/>
    </xf>
    <xf numFmtId="2" fontId="9" fillId="3" borderId="0" xfId="1" applyNumberFormat="1" applyFont="1" applyFill="1" applyAlignment="1">
      <alignment horizontal="right"/>
    </xf>
    <xf numFmtId="39" fontId="9" fillId="3" borderId="0" xfId="1" applyNumberFormat="1" applyFont="1" applyFill="1" applyAlignment="1">
      <alignment horizontal="right"/>
    </xf>
    <xf numFmtId="0" fontId="9" fillId="3" borderId="18" xfId="19" applyFont="1" applyFill="1" applyBorder="1"/>
    <xf numFmtId="42" fontId="9" fillId="3" borderId="0" xfId="19" applyNumberFormat="1" applyFont="1" applyFill="1" applyAlignment="1">
      <alignment horizontal="center"/>
    </xf>
    <xf numFmtId="170" fontId="9" fillId="3" borderId="0" xfId="19" applyNumberFormat="1" applyFont="1" applyFill="1" applyAlignment="1">
      <alignment horizontal="center"/>
    </xf>
    <xf numFmtId="0" fontId="17" fillId="7" borderId="41" xfId="23" applyFont="1" applyFill="1" applyBorder="1"/>
    <xf numFmtId="42" fontId="17" fillId="7" borderId="41" xfId="23" applyNumberFormat="1" applyFont="1" applyFill="1" applyBorder="1"/>
    <xf numFmtId="170" fontId="17" fillId="7" borderId="41" xfId="16" applyNumberFormat="1" applyFont="1" applyFill="1" applyBorder="1"/>
    <xf numFmtId="43" fontId="17" fillId="7" borderId="41" xfId="1" applyFont="1" applyFill="1" applyBorder="1"/>
    <xf numFmtId="0" fontId="9" fillId="3" borderId="20" xfId="19" applyFont="1" applyFill="1" applyBorder="1"/>
    <xf numFmtId="0" fontId="9" fillId="3" borderId="32" xfId="19" applyFont="1" applyFill="1" applyBorder="1"/>
    <xf numFmtId="0" fontId="9" fillId="3" borderId="32" xfId="19" applyFont="1" applyFill="1" applyBorder="1" applyAlignment="1">
      <alignment horizontal="center"/>
    </xf>
    <xf numFmtId="0" fontId="9" fillId="3" borderId="21" xfId="19" applyFont="1" applyFill="1" applyBorder="1"/>
    <xf numFmtId="0" fontId="9" fillId="3" borderId="15" xfId="19" applyFont="1" applyFill="1" applyBorder="1"/>
    <xf numFmtId="0" fontId="9" fillId="3" borderId="54" xfId="19" applyFont="1" applyFill="1" applyBorder="1"/>
    <xf numFmtId="0" fontId="9" fillId="3" borderId="54" xfId="19" applyFont="1" applyFill="1" applyBorder="1" applyAlignment="1">
      <alignment horizontal="center"/>
    </xf>
    <xf numFmtId="0" fontId="9" fillId="3" borderId="16" xfId="19" applyFont="1" applyFill="1" applyBorder="1"/>
    <xf numFmtId="42" fontId="9" fillId="0" borderId="0" xfId="19" applyNumberFormat="1" applyFont="1" applyAlignment="1">
      <alignment horizontal="center"/>
    </xf>
    <xf numFmtId="170" fontId="2" fillId="0" borderId="0" xfId="3" applyNumberFormat="1" applyFont="1"/>
    <xf numFmtId="43" fontId="2" fillId="0" borderId="0" xfId="1" applyFont="1"/>
    <xf numFmtId="0" fontId="2" fillId="8" borderId="0" xfId="0" applyFont="1" applyFill="1"/>
    <xf numFmtId="0" fontId="2" fillId="9" borderId="0" xfId="0" applyFont="1" applyFill="1"/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  <xf numFmtId="165" fontId="2" fillId="13" borderId="0" xfId="1" applyNumberFormat="1" applyFont="1" applyFill="1" applyBorder="1"/>
    <xf numFmtId="164" fontId="2" fillId="0" borderId="0" xfId="2" applyNumberFormat="1" applyFont="1"/>
    <xf numFmtId="10" fontId="2" fillId="0" borderId="0" xfId="3" applyNumberFormat="1" applyFont="1"/>
    <xf numFmtId="2" fontId="9" fillId="0" borderId="0" xfId="19" applyNumberFormat="1" applyFont="1" applyAlignment="1">
      <alignment horizontal="center"/>
    </xf>
    <xf numFmtId="9" fontId="9" fillId="0" borderId="0" xfId="3" applyFont="1" applyAlignment="1">
      <alignment horizontal="center"/>
    </xf>
    <xf numFmtId="0" fontId="2" fillId="13" borderId="0" xfId="0" applyFont="1" applyFill="1"/>
    <xf numFmtId="0" fontId="18" fillId="4" borderId="53" xfId="19" applyFont="1" applyFill="1" applyBorder="1" applyAlignment="1">
      <alignment horizontal="center"/>
    </xf>
    <xf numFmtId="0" fontId="9" fillId="0" borderId="0" xfId="19" applyFont="1" applyBorder="1"/>
    <xf numFmtId="0" fontId="9" fillId="0" borderId="0" xfId="19" applyFont="1" applyBorder="1" applyAlignment="1">
      <alignment horizontal="center"/>
    </xf>
    <xf numFmtId="0" fontId="9" fillId="0" borderId="0" xfId="19" applyFont="1" applyBorder="1" applyAlignment="1">
      <alignment horizontal="right"/>
    </xf>
    <xf numFmtId="44" fontId="9" fillId="0" borderId="0" xfId="2" applyFont="1" applyBorder="1" applyAlignment="1">
      <alignment horizontal="center"/>
    </xf>
    <xf numFmtId="9" fontId="9" fillId="0" borderId="0" xfId="3" applyFont="1" applyBorder="1" applyAlignment="1">
      <alignment horizontal="right"/>
    </xf>
    <xf numFmtId="44" fontId="9" fillId="0" borderId="0" xfId="19" applyNumberFormat="1" applyFont="1" applyBorder="1" applyAlignment="1">
      <alignment horizontal="center"/>
    </xf>
  </cellXfs>
  <cellStyles count="24">
    <cellStyle name="Comma" xfId="1" builtinId="3"/>
    <cellStyle name="Comma 10" xfId="13" xr:uid="{00000000-0005-0000-0000-000001000000}"/>
    <cellStyle name="Comma 119" xfId="22" xr:uid="{D166AD06-B22E-4E09-951D-C15139074FA3}"/>
    <cellStyle name="Comma 2" xfId="6" xr:uid="{00000000-0005-0000-0000-000002000000}"/>
    <cellStyle name="Comma 49" xfId="11" xr:uid="{00000000-0005-0000-0000-000003000000}"/>
    <cellStyle name="Currency" xfId="2" builtinId="4"/>
    <cellStyle name="Currency 12" xfId="12" xr:uid="{00000000-0005-0000-0000-000005000000}"/>
    <cellStyle name="Currency 2" xfId="15" xr:uid="{00000000-0005-0000-0000-000006000000}"/>
    <cellStyle name="Normal" xfId="0" builtinId="0"/>
    <cellStyle name="Normal 10" xfId="14" xr:uid="{00000000-0005-0000-0000-000008000000}"/>
    <cellStyle name="Normal 10 2 2" xfId="9" xr:uid="{00000000-0005-0000-0000-000009000000}"/>
    <cellStyle name="Normal 15 2" xfId="19" xr:uid="{A02994F2-701E-4742-B53C-FE089245D128}"/>
    <cellStyle name="Normal 2" xfId="7" xr:uid="{00000000-0005-0000-0000-00000A000000}"/>
    <cellStyle name="Normal 2 16" xfId="5" xr:uid="{00000000-0005-0000-0000-00000B000000}"/>
    <cellStyle name="Normal 2 2" xfId="21" xr:uid="{06668281-A909-4EDB-BE07-751A5CE08528}"/>
    <cellStyle name="Normal 2 3 3" xfId="8" xr:uid="{00000000-0005-0000-0000-00000C000000}"/>
    <cellStyle name="Normal 28" xfId="23" xr:uid="{B382B756-D44A-4C9F-8298-E06C85CD5DF3}"/>
    <cellStyle name="Normal 31 5" xfId="20" xr:uid="{56957E00-529C-4136-9154-D24F3FC3E543}"/>
    <cellStyle name="Normal 92" xfId="10" xr:uid="{00000000-0005-0000-0000-00000D000000}"/>
    <cellStyle name="Normal_RD2001" xfId="4" xr:uid="{00000000-0005-0000-0000-00000E000000}"/>
    <cellStyle name="Percent" xfId="3" builtinId="5"/>
    <cellStyle name="Percent 2" xfId="16" xr:uid="{00000000-0005-0000-0000-000010000000}"/>
    <cellStyle name="Report Bar" xfId="18" xr:uid="{00000000-0005-0000-0000-000011000000}"/>
    <cellStyle name="Reports Total" xfId="17" xr:uid="{00000000-0005-0000-0000-00001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eg Macias" id="{091AF2DB-310F-4CFF-AB5F-8284F60266C3}" userId="S::gmacias@atriumecon.com::01643016-5933-4f07-9214-6e599a63986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4-03-23T15:10:02.87" personId="{091AF2DB-310F-4CFF-AB5F-8284F60266C3}" id="{D8166F8B-F8AE-4673-AE4F-16332DDBDBE3}">
    <text>This includes CRM for Present rates</text>
  </threadedComment>
  <threadedComment ref="J23" dT="2024-03-24T17:23:52.53" personId="{091AF2DB-310F-4CFF-AB5F-8284F60266C3}" id="{3097E59B-D0D2-4D1D-B136-D62128BA59C4}">
    <text>Residential Test Year Normalized Therms.xlsx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ADE94-A0E4-49C7-9082-33BE0E4608E7}">
  <dimension ref="A1:AJ31"/>
  <sheetViews>
    <sheetView tabSelected="1" workbookViewId="0"/>
  </sheetViews>
  <sheetFormatPr defaultColWidth="8.453125" defaultRowHeight="12.5" x14ac:dyDescent="0.25"/>
  <cols>
    <col min="1" max="2" width="8.453125" style="167"/>
    <col min="3" max="3" width="0.7265625" style="167" customWidth="1"/>
    <col min="4" max="4" width="42.1796875" style="167" customWidth="1"/>
    <col min="5" max="7" width="14.81640625" style="168" customWidth="1"/>
    <col min="8" max="8" width="1.453125" style="168" customWidth="1"/>
    <col min="9" max="10" width="7.81640625" style="168" customWidth="1"/>
    <col min="11" max="11" width="3.453125" style="168" customWidth="1"/>
    <col min="12" max="14" width="14.81640625" style="168" customWidth="1"/>
    <col min="15" max="15" width="1.453125" style="168" customWidth="1"/>
    <col min="16" max="17" width="7.81640625" style="168" customWidth="1"/>
    <col min="18" max="18" width="3.453125" style="168" customWidth="1"/>
    <col min="19" max="21" width="14.81640625" style="168" customWidth="1"/>
    <col min="22" max="22" width="1.453125" style="168" customWidth="1"/>
    <col min="23" max="24" width="7.81640625" style="168" customWidth="1"/>
    <col min="25" max="25" width="3.453125" style="168" customWidth="1"/>
    <col min="26" max="28" width="14.81640625" style="168" customWidth="1"/>
    <col min="29" max="29" width="1.453125" style="168" customWidth="1"/>
    <col min="30" max="31" width="7.81640625" style="168" customWidth="1"/>
    <col min="32" max="32" width="0.7265625" style="167" customWidth="1"/>
    <col min="33" max="16384" width="8.453125" style="167"/>
  </cols>
  <sheetData>
    <row r="1" spans="1:36" ht="13" x14ac:dyDescent="0.3">
      <c r="A1" s="166" t="s">
        <v>192</v>
      </c>
      <c r="AF1" s="169" t="s">
        <v>155</v>
      </c>
      <c r="AJ1" s="169"/>
    </row>
    <row r="2" spans="1:36" x14ac:dyDescent="0.25">
      <c r="P2" s="170"/>
      <c r="W2" s="170"/>
      <c r="AD2" s="170"/>
      <c r="AF2" s="171" t="s">
        <v>187</v>
      </c>
      <c r="AJ2" s="169"/>
    </row>
    <row r="3" spans="1:36" x14ac:dyDescent="0.25">
      <c r="P3" s="170"/>
      <c r="W3" s="170"/>
      <c r="AD3" s="170"/>
      <c r="AF3" s="171" t="s">
        <v>186</v>
      </c>
      <c r="AJ3" s="169"/>
    </row>
    <row r="4" spans="1:36" x14ac:dyDescent="0.25">
      <c r="P4" s="170"/>
      <c r="W4" s="170"/>
      <c r="AD4" s="170"/>
      <c r="AF4" s="171"/>
      <c r="AJ4" s="169"/>
    </row>
    <row r="5" spans="1:36" ht="13" thickBot="1" x14ac:dyDescent="0.3">
      <c r="P5" s="169"/>
      <c r="W5" s="169"/>
      <c r="AD5" s="169"/>
      <c r="AF5" s="169"/>
      <c r="AJ5" s="169"/>
    </row>
    <row r="6" spans="1:36" s="176" customFormat="1" ht="2.15" customHeight="1" thickTop="1" x14ac:dyDescent="0.25">
      <c r="A6" s="167"/>
      <c r="B6" s="167"/>
      <c r="C6" s="172"/>
      <c r="D6" s="173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5"/>
    </row>
    <row r="7" spans="1:36" s="176" customFormat="1" ht="6" customHeight="1" x14ac:dyDescent="0.3">
      <c r="A7" s="167"/>
      <c r="B7" s="167"/>
      <c r="C7" s="177"/>
      <c r="D7" s="178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80"/>
    </row>
    <row r="8" spans="1:36" ht="13" x14ac:dyDescent="0.3">
      <c r="C8" s="181"/>
      <c r="D8" s="182"/>
      <c r="E8" s="229" t="s">
        <v>119</v>
      </c>
      <c r="F8" s="229"/>
      <c r="G8" s="229"/>
      <c r="H8" s="229"/>
      <c r="I8" s="229"/>
      <c r="J8" s="229"/>
      <c r="K8" s="183"/>
      <c r="L8" s="229" t="s">
        <v>156</v>
      </c>
      <c r="M8" s="229"/>
      <c r="N8" s="229"/>
      <c r="O8" s="229"/>
      <c r="P8" s="229"/>
      <c r="Q8" s="229"/>
      <c r="R8" s="183"/>
      <c r="S8" s="229" t="s">
        <v>157</v>
      </c>
      <c r="T8" s="229"/>
      <c r="U8" s="229"/>
      <c r="V8" s="229"/>
      <c r="W8" s="229"/>
      <c r="X8" s="229"/>
      <c r="Y8" s="183"/>
      <c r="Z8" s="229" t="s">
        <v>158</v>
      </c>
      <c r="AA8" s="229"/>
      <c r="AB8" s="229"/>
      <c r="AC8" s="229"/>
      <c r="AD8" s="229"/>
      <c r="AE8" s="229"/>
      <c r="AF8" s="184"/>
    </row>
    <row r="9" spans="1:36" ht="13" x14ac:dyDescent="0.3">
      <c r="C9" s="181"/>
      <c r="D9" s="182"/>
      <c r="E9" s="185" t="s">
        <v>159</v>
      </c>
      <c r="F9" s="185" t="s">
        <v>160</v>
      </c>
      <c r="G9" s="185" t="s">
        <v>66</v>
      </c>
      <c r="H9" s="185"/>
      <c r="I9" s="185" t="s">
        <v>70</v>
      </c>
      <c r="J9" s="185" t="s">
        <v>161</v>
      </c>
      <c r="K9" s="183"/>
      <c r="L9" s="185" t="s">
        <v>183</v>
      </c>
      <c r="M9" s="185" t="s">
        <v>160</v>
      </c>
      <c r="N9" s="185" t="s">
        <v>66</v>
      </c>
      <c r="O9" s="185"/>
      <c r="P9" s="185" t="s">
        <v>70</v>
      </c>
      <c r="Q9" s="185" t="s">
        <v>161</v>
      </c>
      <c r="R9" s="183"/>
      <c r="S9" s="185" t="s">
        <v>162</v>
      </c>
      <c r="T9" s="185" t="s">
        <v>160</v>
      </c>
      <c r="U9" s="185" t="s">
        <v>66</v>
      </c>
      <c r="V9" s="185"/>
      <c r="W9" s="185" t="s">
        <v>70</v>
      </c>
      <c r="X9" s="185" t="s">
        <v>161</v>
      </c>
      <c r="Y9" s="185"/>
      <c r="Z9" s="185" t="s">
        <v>159</v>
      </c>
      <c r="AA9" s="185" t="s">
        <v>160</v>
      </c>
      <c r="AB9" s="185" t="s">
        <v>66</v>
      </c>
      <c r="AC9" s="185"/>
      <c r="AD9" s="185" t="s">
        <v>70</v>
      </c>
      <c r="AE9" s="185" t="s">
        <v>161</v>
      </c>
      <c r="AF9" s="184"/>
    </row>
    <row r="10" spans="1:36" ht="13" x14ac:dyDescent="0.3">
      <c r="C10" s="181"/>
      <c r="D10" s="182" t="s">
        <v>163</v>
      </c>
      <c r="E10" s="185" t="s">
        <v>164</v>
      </c>
      <c r="F10" s="185" t="s">
        <v>165</v>
      </c>
      <c r="G10" s="185" t="s">
        <v>164</v>
      </c>
      <c r="H10" s="185"/>
      <c r="I10" s="185" t="s">
        <v>165</v>
      </c>
      <c r="J10" s="185" t="s">
        <v>166</v>
      </c>
      <c r="K10" s="183"/>
      <c r="L10" s="185" t="s">
        <v>164</v>
      </c>
      <c r="M10" s="185" t="s">
        <v>165</v>
      </c>
      <c r="N10" s="185" t="s">
        <v>164</v>
      </c>
      <c r="O10" s="185"/>
      <c r="P10" s="185" t="s">
        <v>165</v>
      </c>
      <c r="Q10" s="185" t="s">
        <v>166</v>
      </c>
      <c r="R10" s="183"/>
      <c r="S10" s="185" t="s">
        <v>164</v>
      </c>
      <c r="T10" s="185" t="s">
        <v>165</v>
      </c>
      <c r="U10" s="185" t="s">
        <v>164</v>
      </c>
      <c r="V10" s="185"/>
      <c r="W10" s="185" t="s">
        <v>165</v>
      </c>
      <c r="X10" s="185" t="s">
        <v>166</v>
      </c>
      <c r="Y10" s="185"/>
      <c r="Z10" s="185" t="s">
        <v>164</v>
      </c>
      <c r="AA10" s="185" t="s">
        <v>165</v>
      </c>
      <c r="AB10" s="185" t="s">
        <v>164</v>
      </c>
      <c r="AC10" s="185"/>
      <c r="AD10" s="185" t="s">
        <v>165</v>
      </c>
      <c r="AE10" s="185" t="s">
        <v>166</v>
      </c>
      <c r="AF10" s="184"/>
    </row>
    <row r="11" spans="1:36" ht="6" customHeight="1" thickBot="1" x14ac:dyDescent="0.35">
      <c r="B11" s="18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  <c r="AG11" s="186"/>
    </row>
    <row r="12" spans="1:36" ht="6" customHeight="1" thickTop="1" x14ac:dyDescent="0.3">
      <c r="B12" s="186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2"/>
      <c r="AG12" s="186"/>
    </row>
    <row r="13" spans="1:36" x14ac:dyDescent="0.25">
      <c r="C13" s="193"/>
      <c r="D13" s="194" t="s">
        <v>176</v>
      </c>
      <c r="E13" s="195">
        <f>'Revenue Spread-Equal'!E7</f>
        <v>58676042.966684461</v>
      </c>
      <c r="F13" s="195">
        <f>G13-E13</f>
        <v>14622800.328588545</v>
      </c>
      <c r="G13" s="195">
        <f>'Revenue Spread-Equal'!E10</f>
        <v>73298843.295273006</v>
      </c>
      <c r="H13" s="196"/>
      <c r="I13" s="197">
        <f>F13/E13</f>
        <v>0.24921244837337092</v>
      </c>
      <c r="J13" s="198">
        <f>I13/$I$21</f>
        <v>1.025757185605376</v>
      </c>
      <c r="K13" s="196"/>
      <c r="L13" s="195">
        <f>G13</f>
        <v>73298843.295273006</v>
      </c>
      <c r="M13" s="195">
        <f>N13-L13</f>
        <v>6419460.8907235861</v>
      </c>
      <c r="N13" s="195">
        <f>'Revenue Spread-Equal'!E13</f>
        <v>79718304.185996592</v>
      </c>
      <c r="O13" s="196"/>
      <c r="P13" s="197">
        <f>M13/L13</f>
        <v>8.7579293234734748E-2</v>
      </c>
      <c r="Q13" s="198">
        <f>P13/$P$21</f>
        <v>1.0206187391415411</v>
      </c>
      <c r="R13" s="196"/>
      <c r="S13" s="195">
        <f>N13</f>
        <v>79718304.185996592</v>
      </c>
      <c r="T13" s="195">
        <f>U13-S13</f>
        <v>5602305.9680324197</v>
      </c>
      <c r="U13" s="195">
        <f>'Revenue Spread-Equal'!E16</f>
        <v>85320610.154029012</v>
      </c>
      <c r="V13" s="196"/>
      <c r="W13" s="197">
        <f>T13/S13</f>
        <v>7.027628127865429E-2</v>
      </c>
      <c r="X13" s="198">
        <f t="shared" ref="X13:X19" si="0">W13/$W$21</f>
        <v>1.0189583778118987</v>
      </c>
      <c r="Y13" s="196"/>
      <c r="Z13" s="195">
        <f>E13</f>
        <v>58676042.966684461</v>
      </c>
      <c r="AA13" s="195">
        <f>AB13-Z13</f>
        <v>26644567.187344551</v>
      </c>
      <c r="AB13" s="195">
        <f>U13</f>
        <v>85320610.154029012</v>
      </c>
      <c r="AC13" s="196"/>
      <c r="AD13" s="197">
        <f>AA13/Z13</f>
        <v>0.454096183726517</v>
      </c>
      <c r="AE13" s="199">
        <f t="shared" ref="AE13:AE19" si="1">AD13/$AD$21</f>
        <v>1.0257571856053762</v>
      </c>
      <c r="AF13" s="200"/>
    </row>
    <row r="14" spans="1:36" x14ac:dyDescent="0.25">
      <c r="C14" s="193"/>
      <c r="D14" s="194" t="s">
        <v>177</v>
      </c>
      <c r="E14" s="195">
        <f>'Revenue Spread-Equal'!F7</f>
        <v>31458385.280462097</v>
      </c>
      <c r="F14" s="195">
        <f t="shared" ref="F14:F19" si="2">G14-E14</f>
        <v>7839821.2176167704</v>
      </c>
      <c r="G14" s="195">
        <f>'Revenue Spread-Equal'!F10</f>
        <v>39298206.498078868</v>
      </c>
      <c r="H14" s="196"/>
      <c r="I14" s="197">
        <f>F14/E14</f>
        <v>0.24921244837337087</v>
      </c>
      <c r="J14" s="198">
        <f>I14/$I$21</f>
        <v>1.0257571856053758</v>
      </c>
      <c r="K14" s="196"/>
      <c r="L14" s="195">
        <f t="shared" ref="L14:L19" si="3">G14</f>
        <v>39298206.498078868</v>
      </c>
      <c r="M14" s="195">
        <f t="shared" ref="M14:M19" si="4">N14-L14</f>
        <v>3441709.1504944041</v>
      </c>
      <c r="N14" s="195">
        <f>'Revenue Spread-Equal'!F13</f>
        <v>42739915.648573272</v>
      </c>
      <c r="O14" s="196"/>
      <c r="P14" s="197">
        <f t="shared" ref="P14:P19" si="5">M14/L14</f>
        <v>8.7579293234734651E-2</v>
      </c>
      <c r="Q14" s="198">
        <f t="shared" ref="Q14:Q19" si="6">P14/$P$21</f>
        <v>1.0206187391415398</v>
      </c>
      <c r="R14" s="196"/>
      <c r="S14" s="195">
        <f t="shared" ref="S14:S19" si="7">N14</f>
        <v>42739915.648573272</v>
      </c>
      <c r="T14" s="195">
        <f t="shared" ref="T14:T19" si="8">U14-S14</f>
        <v>3003602.3339450881</v>
      </c>
      <c r="U14" s="195">
        <f>'Revenue Spread-Equal'!F16</f>
        <v>45743517.98251836</v>
      </c>
      <c r="V14" s="196"/>
      <c r="W14" s="197">
        <f t="shared" ref="W14:W19" si="9">T14/S14</f>
        <v>7.0276281278654165E-2</v>
      </c>
      <c r="X14" s="198">
        <f t="shared" si="0"/>
        <v>1.0189583778118969</v>
      </c>
      <c r="Y14" s="196"/>
      <c r="Z14" s="195">
        <f t="shared" ref="Z14:Z19" si="10">E14</f>
        <v>31458385.280462097</v>
      </c>
      <c r="AA14" s="195">
        <f t="shared" ref="AA14:AA19" si="11">AB14-Z14</f>
        <v>14285132.702056263</v>
      </c>
      <c r="AB14" s="195">
        <f>U14</f>
        <v>45743517.98251836</v>
      </c>
      <c r="AC14" s="196"/>
      <c r="AD14" s="197">
        <f t="shared" ref="AD14:AD19" si="12">AA14/Z14</f>
        <v>0.45409618372651661</v>
      </c>
      <c r="AE14" s="199">
        <f t="shared" si="1"/>
        <v>1.0257571856053753</v>
      </c>
      <c r="AF14" s="200"/>
    </row>
    <row r="15" spans="1:36" x14ac:dyDescent="0.25">
      <c r="C15" s="193"/>
      <c r="D15" s="194" t="s">
        <v>178</v>
      </c>
      <c r="E15" s="195">
        <f>'Revenue Spread-Equal'!G7</f>
        <v>2700980.2054416006</v>
      </c>
      <c r="F15" s="195">
        <f t="shared" si="2"/>
        <v>673117.89000611147</v>
      </c>
      <c r="G15" s="195">
        <f>'Revenue Spread-Equal'!G10</f>
        <v>3374098.0954477121</v>
      </c>
      <c r="H15" s="196"/>
      <c r="I15" s="197">
        <f t="shared" ref="I15:I19" si="13">F15/E15</f>
        <v>0.24921244837337084</v>
      </c>
      <c r="J15" s="198">
        <f>I15/$I$21</f>
        <v>1.0257571856053758</v>
      </c>
      <c r="K15" s="196"/>
      <c r="L15" s="195">
        <f t="shared" si="3"/>
        <v>3374098.0954477121</v>
      </c>
      <c r="M15" s="195">
        <f t="shared" si="4"/>
        <v>295501.12650397513</v>
      </c>
      <c r="N15" s="195">
        <f>'Revenue Spread-Equal'!G13</f>
        <v>3669599.2219516872</v>
      </c>
      <c r="O15" s="196"/>
      <c r="P15" s="197">
        <f t="shared" si="5"/>
        <v>8.757929323473472E-2</v>
      </c>
      <c r="Q15" s="198">
        <f t="shared" si="6"/>
        <v>1.0206187391415407</v>
      </c>
      <c r="R15" s="196"/>
      <c r="S15" s="195">
        <f t="shared" si="7"/>
        <v>3669599.2219516872</v>
      </c>
      <c r="T15" s="195">
        <f t="shared" si="8"/>
        <v>257885.78710180754</v>
      </c>
      <c r="U15" s="195">
        <f>'Revenue Spread-Equal'!G16</f>
        <v>3927485.0090534948</v>
      </c>
      <c r="V15" s="196"/>
      <c r="W15" s="197">
        <f t="shared" si="9"/>
        <v>7.0276281278654248E-2</v>
      </c>
      <c r="X15" s="198">
        <f t="shared" si="0"/>
        <v>1.018958377811898</v>
      </c>
      <c r="Y15" s="196"/>
      <c r="Z15" s="195">
        <f t="shared" si="10"/>
        <v>2700980.2054416006</v>
      </c>
      <c r="AA15" s="195">
        <f t="shared" si="11"/>
        <v>1226504.8036118941</v>
      </c>
      <c r="AB15" s="195">
        <f>U15</f>
        <v>3927485.0090534948</v>
      </c>
      <c r="AC15" s="196"/>
      <c r="AD15" s="197">
        <f t="shared" si="12"/>
        <v>0.45409618372651678</v>
      </c>
      <c r="AE15" s="199">
        <f t="shared" si="1"/>
        <v>1.0257571856053758</v>
      </c>
      <c r="AF15" s="200"/>
    </row>
    <row r="16" spans="1:36" x14ac:dyDescent="0.25">
      <c r="C16" s="193"/>
      <c r="D16" s="194" t="s">
        <v>179</v>
      </c>
      <c r="E16" s="195">
        <f>'Revenue Spread-Equal'!H7</f>
        <v>2740306.8195457892</v>
      </c>
      <c r="F16" s="195">
        <f t="shared" si="2"/>
        <v>682918.57179325121</v>
      </c>
      <c r="G16" s="195">
        <f>'Revenue Spread-Equal'!H10</f>
        <v>3423225.3913390404</v>
      </c>
      <c r="H16" s="196"/>
      <c r="I16" s="197">
        <f>F16/E16</f>
        <v>0.24921244837337089</v>
      </c>
      <c r="J16" s="198">
        <f>I16/$I$21</f>
        <v>1.025757185605376</v>
      </c>
      <c r="K16" s="196"/>
      <c r="L16" s="195">
        <f t="shared" si="3"/>
        <v>3423225.3913390404</v>
      </c>
      <c r="M16" s="195">
        <f t="shared" si="4"/>
        <v>299803.66035667155</v>
      </c>
      <c r="N16" s="195">
        <f>'Revenue Spread-Equal'!H13</f>
        <v>3723029.0516957119</v>
      </c>
      <c r="O16" s="196"/>
      <c r="P16" s="197">
        <f t="shared" si="5"/>
        <v>8.757929323473479E-2</v>
      </c>
      <c r="Q16" s="198">
        <f t="shared" si="6"/>
        <v>1.0206187391415416</v>
      </c>
      <c r="R16" s="196"/>
      <c r="S16" s="195">
        <f t="shared" si="7"/>
        <v>3723029.0516957119</v>
      </c>
      <c r="T16" s="195">
        <f t="shared" si="8"/>
        <v>261640.63684556913</v>
      </c>
      <c r="U16" s="195">
        <f>'Revenue Spread-Equal'!H16</f>
        <v>3984669.688541281</v>
      </c>
      <c r="V16" s="196"/>
      <c r="W16" s="197">
        <f t="shared" si="9"/>
        <v>7.0276281278654221E-2</v>
      </c>
      <c r="X16" s="198">
        <f t="shared" si="0"/>
        <v>1.0189583778118976</v>
      </c>
      <c r="Y16" s="196"/>
      <c r="Z16" s="195">
        <f t="shared" si="10"/>
        <v>2740306.8195457892</v>
      </c>
      <c r="AA16" s="195">
        <f t="shared" si="11"/>
        <v>1244362.8689954919</v>
      </c>
      <c r="AB16" s="195">
        <f>U16</f>
        <v>3984669.688541281</v>
      </c>
      <c r="AC16" s="196"/>
      <c r="AD16" s="197">
        <f t="shared" si="12"/>
        <v>0.45409618372651689</v>
      </c>
      <c r="AE16" s="199">
        <f t="shared" si="1"/>
        <v>1.025757185605376</v>
      </c>
      <c r="AF16" s="200"/>
    </row>
    <row r="17" spans="3:32" x14ac:dyDescent="0.25">
      <c r="C17" s="193"/>
      <c r="D17" s="194" t="s">
        <v>180</v>
      </c>
      <c r="E17" s="195">
        <f>'Revenue Spread-Equal'!I7</f>
        <v>166822.89697999999</v>
      </c>
      <c r="F17" s="195">
        <f t="shared" si="2"/>
        <v>41574.34260112443</v>
      </c>
      <c r="G17" s="195">
        <f>'Revenue Spread-Equal'!I10</f>
        <v>208397.23958112442</v>
      </c>
      <c r="H17" s="196"/>
      <c r="I17" s="197">
        <f t="shared" si="13"/>
        <v>0.24921244837337095</v>
      </c>
      <c r="J17" s="198">
        <f t="shared" ref="J17:J19" si="14">I17/$I$21</f>
        <v>1.0257571856053762</v>
      </c>
      <c r="K17" s="196"/>
      <c r="L17" s="195">
        <f t="shared" si="3"/>
        <v>208397.23958112442</v>
      </c>
      <c r="M17" s="195">
        <f t="shared" si="4"/>
        <v>18251.282954584574</v>
      </c>
      <c r="N17" s="195">
        <f>'Revenue Spread-Equal'!I13</f>
        <v>226648.52253570899</v>
      </c>
      <c r="O17" s="196"/>
      <c r="P17" s="197">
        <f t="shared" si="5"/>
        <v>8.757929323473479E-2</v>
      </c>
      <c r="Q17" s="198">
        <f t="shared" si="6"/>
        <v>1.0206187391415416</v>
      </c>
      <c r="R17" s="196"/>
      <c r="S17" s="195">
        <f t="shared" si="7"/>
        <v>226648.52253570899</v>
      </c>
      <c r="T17" s="195">
        <f t="shared" si="8"/>
        <v>15928.01532111087</v>
      </c>
      <c r="U17" s="195">
        <f>'Revenue Spread-Equal'!I16</f>
        <v>242576.53785681986</v>
      </c>
      <c r="V17" s="196"/>
      <c r="W17" s="197">
        <f t="shared" si="9"/>
        <v>7.0276281278654151E-2</v>
      </c>
      <c r="X17" s="198">
        <f t="shared" si="0"/>
        <v>1.0189583778118967</v>
      </c>
      <c r="Y17" s="196"/>
      <c r="Z17" s="195">
        <f t="shared" si="10"/>
        <v>166822.89697999999</v>
      </c>
      <c r="AA17" s="195">
        <f t="shared" si="11"/>
        <v>75753.640876819874</v>
      </c>
      <c r="AB17" s="195">
        <f>U17</f>
        <v>242576.53785681986</v>
      </c>
      <c r="AC17" s="196"/>
      <c r="AD17" s="197">
        <f t="shared" si="12"/>
        <v>0.45409618372651689</v>
      </c>
      <c r="AE17" s="199">
        <f t="shared" si="1"/>
        <v>1.025757185605376</v>
      </c>
      <c r="AF17" s="200"/>
    </row>
    <row r="18" spans="3:32" x14ac:dyDescent="0.25">
      <c r="C18" s="193"/>
      <c r="D18" s="194" t="s">
        <v>181</v>
      </c>
      <c r="E18" s="195">
        <f>'Revenue Spread-Equal'!J7</f>
        <v>26475874.907156188</v>
      </c>
      <c r="F18" s="195">
        <f t="shared" si="2"/>
        <v>6598117.6084394865</v>
      </c>
      <c r="G18" s="195">
        <f>'Revenue Spread-Equal'!J10</f>
        <v>33073992.515595675</v>
      </c>
      <c r="H18" s="196"/>
      <c r="I18" s="197">
        <f t="shared" si="13"/>
        <v>0.24921244837337087</v>
      </c>
      <c r="J18" s="198">
        <f t="shared" si="14"/>
        <v>1.0257571856053758</v>
      </c>
      <c r="K18" s="196"/>
      <c r="L18" s="195">
        <f t="shared" si="3"/>
        <v>33073992.515595675</v>
      </c>
      <c r="M18" s="195">
        <f t="shared" si="4"/>
        <v>2896596.8889667764</v>
      </c>
      <c r="N18" s="195">
        <f>'Revenue Spread-Equal'!J13</f>
        <v>35970589.404562451</v>
      </c>
      <c r="O18" s="196"/>
      <c r="P18" s="197">
        <f t="shared" si="5"/>
        <v>8.7579293234734762E-2</v>
      </c>
      <c r="Q18" s="198">
        <f t="shared" si="6"/>
        <v>1.0206187391415411</v>
      </c>
      <c r="R18" s="196"/>
      <c r="S18" s="195">
        <f t="shared" si="7"/>
        <v>35970589.404562451</v>
      </c>
      <c r="T18" s="195">
        <f t="shared" si="8"/>
        <v>2527879.2587540075</v>
      </c>
      <c r="U18" s="195">
        <f>'Revenue Spread-Equal'!J16</f>
        <v>38498468.663316458</v>
      </c>
      <c r="V18" s="196"/>
      <c r="W18" s="197">
        <f t="shared" si="9"/>
        <v>7.0276281278654151E-2</v>
      </c>
      <c r="X18" s="198">
        <f t="shared" si="0"/>
        <v>1.0189583778118967</v>
      </c>
      <c r="Y18" s="196"/>
      <c r="Z18" s="195">
        <f t="shared" si="10"/>
        <v>26475874.907156188</v>
      </c>
      <c r="AA18" s="195">
        <f t="shared" si="11"/>
        <v>12022593.75616027</v>
      </c>
      <c r="AB18" s="195">
        <f t="shared" ref="AB18:AB19" si="15">U18</f>
        <v>38498468.663316458</v>
      </c>
      <c r="AC18" s="196"/>
      <c r="AD18" s="197">
        <f t="shared" si="12"/>
        <v>0.45409618372651672</v>
      </c>
      <c r="AE18" s="199">
        <f t="shared" si="1"/>
        <v>1.0257571856053755</v>
      </c>
      <c r="AF18" s="200"/>
    </row>
    <row r="19" spans="3:32" x14ac:dyDescent="0.25">
      <c r="C19" s="193"/>
      <c r="D19" s="194" t="s">
        <v>182</v>
      </c>
      <c r="E19" s="195">
        <f>'Revenue Spread-Equal'!K7</f>
        <v>3148002.3499999996</v>
      </c>
      <c r="F19" s="195">
        <f t="shared" si="2"/>
        <v>0</v>
      </c>
      <c r="G19" s="195">
        <f>'Revenue Spread-Equal'!K10</f>
        <v>3148002.3499999996</v>
      </c>
      <c r="H19" s="196"/>
      <c r="I19" s="197">
        <f t="shared" si="13"/>
        <v>0</v>
      </c>
      <c r="J19" s="198">
        <f t="shared" si="14"/>
        <v>0</v>
      </c>
      <c r="K19" s="196"/>
      <c r="L19" s="195">
        <f t="shared" si="3"/>
        <v>3148002.3499999996</v>
      </c>
      <c r="M19" s="195">
        <f t="shared" si="4"/>
        <v>0</v>
      </c>
      <c r="N19" s="195">
        <f>'Revenue Spread-Equal'!K13</f>
        <v>3148002.3499999996</v>
      </c>
      <c r="O19" s="196"/>
      <c r="P19" s="197">
        <f t="shared" si="5"/>
        <v>0</v>
      </c>
      <c r="Q19" s="198">
        <f t="shared" si="6"/>
        <v>0</v>
      </c>
      <c r="R19" s="196"/>
      <c r="S19" s="195">
        <f t="shared" si="7"/>
        <v>3148002.3499999996</v>
      </c>
      <c r="T19" s="195">
        <f t="shared" si="8"/>
        <v>0</v>
      </c>
      <c r="U19" s="195">
        <f>'Revenue Spread-Equal'!K16</f>
        <v>3148002.3499999996</v>
      </c>
      <c r="V19" s="196"/>
      <c r="W19" s="197">
        <f t="shared" si="9"/>
        <v>0</v>
      </c>
      <c r="X19" s="198">
        <f t="shared" si="0"/>
        <v>0</v>
      </c>
      <c r="Y19" s="196"/>
      <c r="Z19" s="195">
        <f t="shared" si="10"/>
        <v>3148002.3499999996</v>
      </c>
      <c r="AA19" s="195">
        <f t="shared" si="11"/>
        <v>0</v>
      </c>
      <c r="AB19" s="195">
        <f t="shared" si="15"/>
        <v>3148002.3499999996</v>
      </c>
      <c r="AC19" s="196"/>
      <c r="AD19" s="197">
        <f t="shared" si="12"/>
        <v>0</v>
      </c>
      <c r="AE19" s="199">
        <f t="shared" si="1"/>
        <v>0</v>
      </c>
      <c r="AF19" s="200"/>
    </row>
    <row r="20" spans="3:32" ht="6" customHeight="1" x14ac:dyDescent="0.25">
      <c r="C20" s="193"/>
      <c r="D20" s="194"/>
      <c r="E20" s="201"/>
      <c r="F20" s="201"/>
      <c r="G20" s="201"/>
      <c r="H20" s="196"/>
      <c r="I20" s="202"/>
      <c r="J20" s="202"/>
      <c r="K20" s="196"/>
      <c r="L20" s="201"/>
      <c r="M20" s="201"/>
      <c r="N20" s="201"/>
      <c r="O20" s="196"/>
      <c r="P20" s="202"/>
      <c r="Q20" s="202"/>
      <c r="R20" s="196"/>
      <c r="S20" s="201"/>
      <c r="T20" s="201"/>
      <c r="U20" s="201"/>
      <c r="V20" s="196"/>
      <c r="W20" s="202"/>
      <c r="X20" s="202"/>
      <c r="Y20" s="196"/>
      <c r="Z20" s="201"/>
      <c r="AA20" s="201"/>
      <c r="AB20" s="201"/>
      <c r="AC20" s="196"/>
      <c r="AD20" s="202"/>
      <c r="AE20" s="202"/>
      <c r="AF20" s="200"/>
    </row>
    <row r="21" spans="3:32" ht="13.5" thickBot="1" x14ac:dyDescent="0.35">
      <c r="C21" s="193"/>
      <c r="D21" s="203" t="s">
        <v>167</v>
      </c>
      <c r="E21" s="204">
        <f>SUM(E13:E19)</f>
        <v>125366415.42627013</v>
      </c>
      <c r="F21" s="204">
        <f>SUM(F13:F19)</f>
        <v>30458349.959045287</v>
      </c>
      <c r="G21" s="204">
        <f>SUM(G13:G19)</f>
        <v>155824765.38531542</v>
      </c>
      <c r="H21" s="203"/>
      <c r="I21" s="205">
        <f>F21/E21</f>
        <v>0.24295462110391361</v>
      </c>
      <c r="J21" s="206">
        <f>I21/$I$21</f>
        <v>1</v>
      </c>
      <c r="K21" s="203"/>
      <c r="L21" s="204">
        <f>SUM(L13:L19)</f>
        <v>155824765.38531542</v>
      </c>
      <c r="M21" s="204">
        <f>SUM(M13:M19)</f>
        <v>13371322.999999996</v>
      </c>
      <c r="N21" s="204">
        <f>SUM(N13:N19)</f>
        <v>169196088.38531542</v>
      </c>
      <c r="O21" s="203"/>
      <c r="P21" s="205">
        <f>M21/L21</f>
        <v>8.5809999244575025E-2</v>
      </c>
      <c r="Q21" s="206">
        <f>P21/$P$21</f>
        <v>1</v>
      </c>
      <c r="R21" s="203"/>
      <c r="S21" s="204">
        <f>SUM(S13:S19)</f>
        <v>169196088.38531542</v>
      </c>
      <c r="T21" s="204">
        <f>SUM(T13:T19)</f>
        <v>11669242.000000002</v>
      </c>
      <c r="U21" s="204">
        <f>SUM(U13:U19)</f>
        <v>180865330.38531542</v>
      </c>
      <c r="V21" s="203"/>
      <c r="W21" s="205">
        <f>T21/S21</f>
        <v>6.8968745739708126E-2</v>
      </c>
      <c r="X21" s="206">
        <f>W21/$W$21</f>
        <v>1</v>
      </c>
      <c r="Y21" s="203"/>
      <c r="Z21" s="204">
        <f>SUM(Z13:Z19)</f>
        <v>125366415.42627013</v>
      </c>
      <c r="AA21" s="204">
        <f>SUM(AA13:AA19)</f>
        <v>55498914.959045291</v>
      </c>
      <c r="AB21" s="204">
        <f>SUM(AB13:AB19)</f>
        <v>180865330.38531542</v>
      </c>
      <c r="AC21" s="203"/>
      <c r="AD21" s="205">
        <f>AA21/Z21</f>
        <v>0.44269364143768664</v>
      </c>
      <c r="AE21" s="206">
        <f>AD21/$AD$21</f>
        <v>1</v>
      </c>
      <c r="AF21" s="200"/>
    </row>
    <row r="22" spans="3:32" ht="6" customHeight="1" thickTop="1" x14ac:dyDescent="0.25">
      <c r="C22" s="207"/>
      <c r="D22" s="208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10"/>
    </row>
    <row r="23" spans="3:32" ht="2.15" customHeight="1" x14ac:dyDescent="0.25">
      <c r="C23" s="211"/>
      <c r="D23" s="212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4"/>
    </row>
    <row r="26" spans="3:32" x14ac:dyDescent="0.25">
      <c r="D26" s="167" t="s">
        <v>189</v>
      </c>
      <c r="G26" s="215"/>
    </row>
    <row r="27" spans="3:32" x14ac:dyDescent="0.25">
      <c r="D27" s="167" t="s">
        <v>184</v>
      </c>
      <c r="G27" s="215"/>
    </row>
    <row r="28" spans="3:32" x14ac:dyDescent="0.25">
      <c r="D28" s="167" t="s">
        <v>185</v>
      </c>
    </row>
    <row r="30" spans="3:32" x14ac:dyDescent="0.25">
      <c r="D30" s="176" t="s">
        <v>190</v>
      </c>
    </row>
    <row r="31" spans="3:32" x14ac:dyDescent="0.25">
      <c r="D31" s="167" t="s">
        <v>196</v>
      </c>
      <c r="I31" s="168">
        <v>5</v>
      </c>
    </row>
  </sheetData>
  <mergeCells count="4">
    <mergeCell ref="E8:J8"/>
    <mergeCell ref="L8:Q8"/>
    <mergeCell ref="S8:X8"/>
    <mergeCell ref="Z8:AE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3C23-6DE9-4F09-91E1-16051A580FFF}">
  <sheetPr codeName="Sheet8"/>
  <dimension ref="B4:G38"/>
  <sheetViews>
    <sheetView workbookViewId="0"/>
  </sheetViews>
  <sheetFormatPr defaultColWidth="9.26953125" defaultRowHeight="14.5" x14ac:dyDescent="0.35"/>
  <cols>
    <col min="1" max="1" width="4.26953125" style="40" bestFit="1" customWidth="1"/>
    <col min="2" max="2" width="32.54296875" style="40" bestFit="1" customWidth="1"/>
    <col min="3" max="3" width="11.26953125" style="40" bestFit="1" customWidth="1"/>
    <col min="4" max="4" width="13.7265625" style="40" bestFit="1" customWidth="1"/>
    <col min="5" max="5" width="14.1796875" style="40" customWidth="1"/>
    <col min="6" max="16384" width="9.26953125" style="40"/>
  </cols>
  <sheetData>
    <row r="4" spans="2:7" ht="43.5" x14ac:dyDescent="0.35">
      <c r="B4" s="101" t="s">
        <v>10</v>
      </c>
      <c r="C4" s="102" t="s">
        <v>125</v>
      </c>
      <c r="D4" s="103" t="s">
        <v>126</v>
      </c>
      <c r="E4" s="103" t="s">
        <v>127</v>
      </c>
    </row>
    <row r="5" spans="2:7" x14ac:dyDescent="0.35">
      <c r="B5" s="104" t="str">
        <f>'RJA-6 (2025 rates)'!B11</f>
        <v>Residential - 503</v>
      </c>
      <c r="C5" s="105"/>
      <c r="D5" s="105"/>
      <c r="E5" s="105"/>
    </row>
    <row r="6" spans="2:7" x14ac:dyDescent="0.35">
      <c r="B6" s="106" t="s">
        <v>18</v>
      </c>
      <c r="C6" s="34">
        <f>'RJA-6 (2025 rates)'!D12</f>
        <v>5</v>
      </c>
      <c r="D6" s="34">
        <f>'RJA-6 (2025 rates)'!G12</f>
        <v>10</v>
      </c>
      <c r="E6" s="34">
        <f>'RJA-6 (2026 rates)'!G12</f>
        <v>11.5</v>
      </c>
    </row>
    <row r="7" spans="2:7" x14ac:dyDescent="0.35">
      <c r="B7" s="106" t="s">
        <v>19</v>
      </c>
      <c r="C7" s="35">
        <f>'RJA-6 (2025 rates)'!D13</f>
        <v>0.33950999999999998</v>
      </c>
      <c r="D7" s="35">
        <f>'RJA-6 (2025 rates)'!G13</f>
        <v>0.42874000000000001</v>
      </c>
      <c r="E7" s="35">
        <f>'RJA-6 (2026 rates)'!G13</f>
        <v>0.43267</v>
      </c>
    </row>
    <row r="8" spans="2:7" x14ac:dyDescent="0.35">
      <c r="B8" s="107" t="s">
        <v>128</v>
      </c>
      <c r="C8" s="36">
        <f>'RJA-6 (2025 rates)'!E13</f>
        <v>1.7690000000000001E-2</v>
      </c>
      <c r="D8" s="36">
        <f>'RJA-6 (2025 rates)'!H13</f>
        <v>0</v>
      </c>
      <c r="E8" s="36">
        <f>'RJA-6 (2026 rates)'!H13</f>
        <v>0</v>
      </c>
      <c r="G8" s="37"/>
    </row>
    <row r="9" spans="2:7" x14ac:dyDescent="0.35">
      <c r="B9" s="104" t="str">
        <f>'RJA-6 (2025 rates)'!B18</f>
        <v>Commercial - 504</v>
      </c>
      <c r="C9" s="105"/>
      <c r="D9" s="105"/>
      <c r="E9" s="105"/>
    </row>
    <row r="10" spans="2:7" x14ac:dyDescent="0.35">
      <c r="B10" s="106" t="str">
        <f>'RJA-6 (2025 rates)'!B19</f>
        <v>Basic Service Charge</v>
      </c>
      <c r="C10" s="34">
        <f>'RJA-6 (2025 rates)'!D19</f>
        <v>13</v>
      </c>
      <c r="D10" s="34">
        <f>'RJA-6 (2025 rates)'!G19</f>
        <v>20</v>
      </c>
      <c r="E10" s="34">
        <f>'RJA-6 (2026 rates)'!G19</f>
        <v>25.5</v>
      </c>
    </row>
    <row r="11" spans="2:7" x14ac:dyDescent="0.35">
      <c r="B11" s="106" t="str">
        <f>'RJA-6 (2025 rates)'!B20</f>
        <v>Delivery Charge</v>
      </c>
      <c r="C11" s="35">
        <f>'RJA-6 (2025 rates)'!D20</f>
        <v>0.28432000000000002</v>
      </c>
      <c r="D11" s="35">
        <f>'RJA-6 (2025 rates)'!G20</f>
        <v>0.35576000000000002</v>
      </c>
      <c r="E11" s="35">
        <f>'RJA-6 (2026 rates)'!G20</f>
        <v>0.35894999999999999</v>
      </c>
    </row>
    <row r="12" spans="2:7" x14ac:dyDescent="0.35">
      <c r="B12" s="107" t="s">
        <v>128</v>
      </c>
      <c r="C12" s="36">
        <f>'RJA-6 (2025 rates)'!E20</f>
        <v>1.0959999999999999E-2</v>
      </c>
      <c r="D12" s="36">
        <f>'RJA-6 (2025 rates)'!H20</f>
        <v>0</v>
      </c>
      <c r="E12" s="36">
        <f>'RJA-6 (2026 rates)'!H20</f>
        <v>0</v>
      </c>
    </row>
    <row r="13" spans="2:7" x14ac:dyDescent="0.35">
      <c r="B13" s="104" t="str">
        <f>'RJA-6 (2025 rates)'!B25</f>
        <v>Industrial - 505</v>
      </c>
      <c r="C13" s="105"/>
      <c r="D13" s="105"/>
      <c r="E13" s="105"/>
    </row>
    <row r="14" spans="2:7" x14ac:dyDescent="0.35">
      <c r="B14" s="106" t="str">
        <f>'RJA-6 (2025 rates)'!B26</f>
        <v>Basic Service Charge</v>
      </c>
      <c r="C14" s="34">
        <f>'RJA-6 (2025 rates)'!D26</f>
        <v>60</v>
      </c>
      <c r="D14" s="34">
        <f>'RJA-6 (2025 rates)'!G26</f>
        <v>100</v>
      </c>
      <c r="E14" s="34">
        <f>'RJA-6 (2026 rates)'!G26</f>
        <v>130</v>
      </c>
    </row>
    <row r="15" spans="2:7" x14ac:dyDescent="0.35">
      <c r="B15" s="106" t="str">
        <f>'RJA-6 (2025 rates)'!B27</f>
        <v>Delivery Charge - first 500 therms</v>
      </c>
      <c r="C15" s="35">
        <f>'RJA-6 (2025 rates)'!D27</f>
        <v>0.21929000000000001</v>
      </c>
      <c r="D15" s="35">
        <f>'RJA-6 (2025 rates)'!G27</f>
        <v>0.29291</v>
      </c>
      <c r="E15" s="35">
        <f>'RJA-6 (2026 rates)'!G27</f>
        <v>0.29576999999999998</v>
      </c>
    </row>
    <row r="16" spans="2:7" x14ac:dyDescent="0.35">
      <c r="B16" s="106" t="str">
        <f>'RJA-6 (2025 rates)'!B28</f>
        <v>Delivery Charge - next 3,500 therms</v>
      </c>
      <c r="C16" s="35">
        <f>'RJA-6 (2025 rates)'!D28</f>
        <v>0.17998</v>
      </c>
      <c r="D16" s="35">
        <f>'RJA-6 (2025 rates)'!G28</f>
        <v>0.24251</v>
      </c>
      <c r="E16" s="35">
        <f>'RJA-6 (2026 rates)'!G28</f>
        <v>0.24487999999999999</v>
      </c>
    </row>
    <row r="17" spans="2:5" x14ac:dyDescent="0.35">
      <c r="B17" s="106" t="str">
        <f>'RJA-6 (2025 rates)'!B29</f>
        <v>Delivery Charge - over 4,000 therms</v>
      </c>
      <c r="C17" s="35">
        <f>'RJA-6 (2025 rates)'!D29</f>
        <v>0.17404</v>
      </c>
      <c r="D17" s="35">
        <f>'RJA-6 (2025 rates)'!G29</f>
        <v>0.23488999999999999</v>
      </c>
      <c r="E17" s="35">
        <f>'RJA-6 (2026 rates)'!G29</f>
        <v>0.23718</v>
      </c>
    </row>
    <row r="18" spans="2:5" x14ac:dyDescent="0.35">
      <c r="B18" s="107" t="s">
        <v>128</v>
      </c>
      <c r="C18" s="36">
        <f>'RJA-6 (2025 rates)'!E29</f>
        <v>9.1500000000000001E-3</v>
      </c>
      <c r="D18" s="36">
        <f>'RJA-6 (2025 rates)'!H29</f>
        <v>0</v>
      </c>
      <c r="E18" s="36">
        <f>'RJA-6 (2026 rates)'!H29</f>
        <v>0</v>
      </c>
    </row>
    <row r="19" spans="2:5" x14ac:dyDescent="0.35">
      <c r="B19" s="108" t="str">
        <f>'RJA-6 (2025 rates)'!B34</f>
        <v>Large Volume - 511</v>
      </c>
      <c r="C19" s="108"/>
      <c r="D19" s="108"/>
      <c r="E19" s="108"/>
    </row>
    <row r="20" spans="2:5" x14ac:dyDescent="0.35">
      <c r="B20" s="106" t="str">
        <f>'RJA-6 (2025 rates)'!B35</f>
        <v>Basic Service Charge</v>
      </c>
      <c r="C20" s="34">
        <f>'RJA-6 (2025 rates)'!D35</f>
        <v>125</v>
      </c>
      <c r="D20" s="34">
        <f>'RJA-6 (2025 rates)'!G35</f>
        <v>250</v>
      </c>
      <c r="E20" s="34">
        <f>'RJA-6 (2026 rates)'!G35</f>
        <v>350</v>
      </c>
    </row>
    <row r="21" spans="2:5" x14ac:dyDescent="0.35">
      <c r="B21" s="106" t="str">
        <f>'RJA-6 (2025 rates)'!B36</f>
        <v>Delivery Charge - first 20,000 therms</v>
      </c>
      <c r="C21" s="35">
        <f>'RJA-6 (2025 rates)'!D36</f>
        <v>0.17424000000000001</v>
      </c>
      <c r="D21" s="35">
        <f>'RJA-6 (2025 rates)'!G36</f>
        <v>0.23618</v>
      </c>
      <c r="E21" s="35">
        <f>'RJA-6 (2026 rates)'!G36</f>
        <v>0.24598999999999999</v>
      </c>
    </row>
    <row r="22" spans="2:5" x14ac:dyDescent="0.35">
      <c r="B22" s="106" t="str">
        <f>'RJA-6 (2025 rates)'!B37</f>
        <v>Delivery Charge - next 80,000 therms</v>
      </c>
      <c r="C22" s="35">
        <f>'RJA-6 (2025 rates)'!D37</f>
        <v>0.13550999999999999</v>
      </c>
      <c r="D22" s="35">
        <f>'RJA-6 (2025 rates)'!G37</f>
        <v>0.18526000000000001</v>
      </c>
      <c r="E22" s="35">
        <f>'RJA-6 (2026 rates)'!G37</f>
        <v>0.19295999999999999</v>
      </c>
    </row>
    <row r="23" spans="2:5" x14ac:dyDescent="0.35">
      <c r="B23" s="106" t="str">
        <f>'RJA-6 (2025 rates)'!B38</f>
        <v>Delivery Charge - over 100,000 therms</v>
      </c>
      <c r="C23" s="35">
        <f>'RJA-6 (2025 rates)'!D38</f>
        <v>3.9699999999999999E-2</v>
      </c>
      <c r="D23" s="35">
        <f>'RJA-6 (2025 rates)'!G38</f>
        <v>5.9299999999999999E-2</v>
      </c>
      <c r="E23" s="35">
        <f>'RJA-6 (2026 rates)'!G38</f>
        <v>6.1760000000000002E-2</v>
      </c>
    </row>
    <row r="24" spans="2:5" x14ac:dyDescent="0.35">
      <c r="B24" s="106" t="s">
        <v>128</v>
      </c>
      <c r="C24" s="35">
        <f>'RJA-6 (2025 rates)'!E38</f>
        <v>5.4099999999999999E-3</v>
      </c>
      <c r="D24" s="35">
        <f>'RJA-6 (2025 rates)'!H38</f>
        <v>0</v>
      </c>
      <c r="E24" s="35">
        <f>'RJA-6 (2026 rates)'!H38</f>
        <v>0</v>
      </c>
    </row>
    <row r="25" spans="2:5" x14ac:dyDescent="0.35">
      <c r="B25" s="104" t="str">
        <f>'RJA-6 (2025 rates)'!B43</f>
        <v>Interruptible - 570</v>
      </c>
      <c r="C25" s="104"/>
      <c r="D25" s="104"/>
      <c r="E25" s="104"/>
    </row>
    <row r="26" spans="2:5" x14ac:dyDescent="0.35">
      <c r="B26" s="106" t="str">
        <f>'RJA-6 (2025 rates)'!B44</f>
        <v>Basic Service Charge</v>
      </c>
      <c r="C26" s="34">
        <f>'RJA-6 (2025 rates)'!D44</f>
        <v>163</v>
      </c>
      <c r="D26" s="34">
        <f>'RJA-6 (2025 rates)'!G44</f>
        <v>300</v>
      </c>
      <c r="E26" s="34">
        <f>'RJA-6 (2026 rates)'!G44</f>
        <v>400</v>
      </c>
    </row>
    <row r="27" spans="2:5" x14ac:dyDescent="0.35">
      <c r="B27" s="106" t="str">
        <f>'RJA-6 (2025 rates)'!B45</f>
        <v>Delivery Charge - first 30,000 therms</v>
      </c>
      <c r="C27" s="35">
        <f>'RJA-6 (2025 rates)'!D45</f>
        <v>9.8379999999999995E-2</v>
      </c>
      <c r="D27" s="35">
        <f>'RJA-6 (2025 rates)'!G45</f>
        <v>0.14122000000000001</v>
      </c>
      <c r="E27" s="35">
        <f>'RJA-6 (2026 rates)'!G45</f>
        <v>0.14662</v>
      </c>
    </row>
    <row r="28" spans="2:5" x14ac:dyDescent="0.35">
      <c r="B28" s="106" t="str">
        <f>'RJA-6 (2025 rates)'!B46</f>
        <v>Delivery Charge - over 30,000 therms</v>
      </c>
      <c r="C28" s="35">
        <f>'RJA-6 (2025 rates)'!D46</f>
        <v>3.3009999999999998E-2</v>
      </c>
      <c r="D28" s="35">
        <f>'RJA-6 (2025 rates)'!G46</f>
        <v>5.289E-2</v>
      </c>
      <c r="E28" s="35">
        <f>'RJA-6 (2026 rates)'!G46</f>
        <v>5.491E-2</v>
      </c>
    </row>
    <row r="29" spans="2:5" x14ac:dyDescent="0.35">
      <c r="B29" s="107" t="s">
        <v>128</v>
      </c>
      <c r="C29" s="36">
        <f>'RJA-6 (2025 rates)'!E46</f>
        <v>6.13E-3</v>
      </c>
      <c r="D29" s="36">
        <f>'RJA-6 (2025 rates)'!H46</f>
        <v>0</v>
      </c>
      <c r="E29" s="36">
        <f>'RJA-6 (2026 rates)'!H46</f>
        <v>0</v>
      </c>
    </row>
    <row r="30" spans="2:5" x14ac:dyDescent="0.35">
      <c r="B30" s="104" t="str">
        <f>'RJA-6 (2025 rates)'!B52</f>
        <v>Transport - 663</v>
      </c>
      <c r="C30" s="38"/>
      <c r="D30" s="38"/>
      <c r="E30" s="38"/>
    </row>
    <row r="31" spans="2:5" x14ac:dyDescent="0.35">
      <c r="B31" s="106" t="str">
        <f>'RJA-6 (2025 rates)'!B53</f>
        <v>Contract Demand</v>
      </c>
      <c r="C31" s="34">
        <f>'RJA-6 (2025 rates)'!D53</f>
        <v>0.2</v>
      </c>
      <c r="D31" s="34">
        <f>'RJA-6 (2025 rates)'!G53</f>
        <v>0.4</v>
      </c>
      <c r="E31" s="34">
        <f>'RJA-6 (2026 rates)'!G53</f>
        <v>0.45</v>
      </c>
    </row>
    <row r="32" spans="2:5" x14ac:dyDescent="0.35">
      <c r="B32" s="106" t="str">
        <f>'RJA-6 (2025 rates)'!B54</f>
        <v>System Balancing Charge</v>
      </c>
      <c r="C32" s="35">
        <f>'RJA-6 (2025 rates)'!D54</f>
        <v>4.0000000000000002E-4</v>
      </c>
      <c r="D32" s="35">
        <f>'RJA-6 (2025 rates)'!G54</f>
        <v>1.1000000000000001E-3</v>
      </c>
      <c r="E32" s="35">
        <f>'RJA-6 (2026 rates)'!G54</f>
        <v>1.1000000000000001E-3</v>
      </c>
    </row>
    <row r="33" spans="2:5" x14ac:dyDescent="0.35">
      <c r="B33" s="106" t="str">
        <f>'RJA-6 (2025 rates)'!B55</f>
        <v>Basic Service Charge</v>
      </c>
      <c r="C33" s="34">
        <f>'RJA-6 (2025 rates)'!D55</f>
        <v>625</v>
      </c>
      <c r="D33" s="34">
        <f>'RJA-6 (2025 rates)'!G55</f>
        <v>1000</v>
      </c>
      <c r="E33" s="34">
        <f>'RJA-6 (2026 rates)'!G55</f>
        <v>1200</v>
      </c>
    </row>
    <row r="34" spans="2:5" x14ac:dyDescent="0.35">
      <c r="B34" s="106" t="str">
        <f>'RJA-6 (2025 rates)'!B56</f>
        <v>Delivery Charge - first 100,000 therms</v>
      </c>
      <c r="C34" s="35">
        <f>'RJA-6 (2025 rates)'!D56</f>
        <v>6.4630000000000007E-2</v>
      </c>
      <c r="D34" s="35">
        <f>'RJA-6 (2025 rates)'!G56</f>
        <v>6.7739999999999995E-2</v>
      </c>
      <c r="E34" s="35">
        <f>'RJA-6 (2026 rates)'!G56</f>
        <v>6.7780000000000007E-2</v>
      </c>
    </row>
    <row r="35" spans="2:5" x14ac:dyDescent="0.35">
      <c r="B35" s="106" t="str">
        <f>'RJA-6 (2025 rates)'!B57</f>
        <v>Delivery Charge - next 200,000 therms</v>
      </c>
      <c r="C35" s="35">
        <f>'RJA-6 (2025 rates)'!D57</f>
        <v>2.5420000000000002E-2</v>
      </c>
      <c r="D35" s="35">
        <f>'RJA-6 (2025 rates)'!G57</f>
        <v>2.751E-2</v>
      </c>
      <c r="E35" s="35">
        <f>'RJA-6 (2026 rates)'!G57</f>
        <v>2.7529999999999999E-2</v>
      </c>
    </row>
    <row r="36" spans="2:5" x14ac:dyDescent="0.35">
      <c r="B36" s="106" t="str">
        <f>'RJA-6 (2025 rates)'!B58</f>
        <v>Delivery Charge - next 200,000 therms</v>
      </c>
      <c r="C36" s="35">
        <f>'RJA-6 (2025 rates)'!D58</f>
        <v>1.6590000000000001E-2</v>
      </c>
      <c r="D36" s="35">
        <f>'RJA-6 (2025 rates)'!G58</f>
        <v>1.8450000000000001E-2</v>
      </c>
      <c r="E36" s="35">
        <f>'RJA-6 (2026 rates)'!G58</f>
        <v>1.8460000000000001E-2</v>
      </c>
    </row>
    <row r="37" spans="2:5" x14ac:dyDescent="0.35">
      <c r="B37" s="106" t="str">
        <f>'RJA-6 (2025 rates)'!B59</f>
        <v>Delivery Charge - over 500,000 therms</v>
      </c>
      <c r="C37" s="35">
        <f>'RJA-6 (2025 rates)'!D59</f>
        <v>9.41E-3</v>
      </c>
      <c r="D37" s="35">
        <f>'RJA-6 (2025 rates)'!G59</f>
        <v>1.108E-2</v>
      </c>
      <c r="E37" s="35">
        <f>'RJA-6 (2026 rates)'!G59</f>
        <v>1.1089999999999999E-2</v>
      </c>
    </row>
    <row r="38" spans="2:5" x14ac:dyDescent="0.35">
      <c r="B38" s="107" t="s">
        <v>128</v>
      </c>
      <c r="C38" s="36">
        <f>'RJA-6 (2025 rates)'!E59</f>
        <v>1.39E-3</v>
      </c>
      <c r="D38" s="36">
        <f>'RJA-6 (2025 rates)'!H59</f>
        <v>0</v>
      </c>
      <c r="E38" s="36">
        <f>'RJA-6 (2026 rates)'!H59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E919-FB2B-4E08-A76B-BD285E1612FF}">
  <sheetPr codeName="Sheet7">
    <tabColor rgb="FFFFFFCC"/>
  </sheetPr>
  <dimension ref="A1:O79"/>
  <sheetViews>
    <sheetView workbookViewId="0"/>
  </sheetViews>
  <sheetFormatPr defaultColWidth="9.1796875" defaultRowHeight="14.9" customHeight="1" outlineLevelCol="1" x14ac:dyDescent="0.35"/>
  <cols>
    <col min="1" max="1" width="2.26953125" style="40" customWidth="1"/>
    <col min="2" max="2" width="34.453125" style="40" customWidth="1"/>
    <col min="3" max="3" width="15.453125" style="40" customWidth="1"/>
    <col min="4" max="5" width="10.54296875" style="40" customWidth="1"/>
    <col min="6" max="6" width="15.54296875" style="40" hidden="1" customWidth="1" outlineLevel="1"/>
    <col min="7" max="7" width="19.1796875" style="40" customWidth="1" collapsed="1"/>
    <col min="8" max="8" width="11.54296875" style="40" customWidth="1"/>
    <col min="9" max="9" width="10.54296875" style="40" customWidth="1"/>
    <col min="10" max="10" width="19.26953125" style="40" customWidth="1"/>
    <col min="11" max="11" width="17.7265625" style="40" customWidth="1"/>
    <col min="12" max="12" width="9.54296875" style="40" bestFit="1" customWidth="1"/>
    <col min="13" max="13" width="0.81640625" style="40" customWidth="1"/>
    <col min="14" max="14" width="16.26953125" style="40" customWidth="1"/>
    <col min="15" max="15" width="30" style="40" customWidth="1"/>
    <col min="16" max="16" width="10.1796875" style="40" bestFit="1" customWidth="1"/>
    <col min="17" max="17" width="9.1796875" style="40" customWidth="1"/>
    <col min="18" max="16384" width="9.1796875" style="40"/>
  </cols>
  <sheetData>
    <row r="1" spans="1:15" ht="14.5" x14ac:dyDescent="0.35">
      <c r="M1" s="41"/>
    </row>
    <row r="2" spans="1:15" ht="14.5" x14ac:dyDescent="0.35">
      <c r="A2" s="42" t="s">
        <v>113</v>
      </c>
      <c r="M2" s="41"/>
    </row>
    <row r="3" spans="1:15" ht="14.5" x14ac:dyDescent="0.35">
      <c r="A3" s="42" t="s">
        <v>1</v>
      </c>
      <c r="M3" s="41"/>
    </row>
    <row r="4" spans="1:15" ht="14.5" x14ac:dyDescent="0.35">
      <c r="A4" s="42" t="s">
        <v>130</v>
      </c>
      <c r="M4" s="41" t="s">
        <v>3</v>
      </c>
      <c r="N4" s="43" t="s">
        <v>4</v>
      </c>
      <c r="O4" s="44"/>
    </row>
    <row r="5" spans="1:15" ht="14.5" x14ac:dyDescent="0.35">
      <c r="A5" s="42"/>
      <c r="N5" s="45">
        <v>2</v>
      </c>
      <c r="O5" s="46" t="str">
        <f>VLOOKUP(N5,'Revenue Spread-Upper Limit'!B7:C21,2,FALSE)</f>
        <v>Rate Schedule Revenue as Proposed</v>
      </c>
    </row>
    <row r="6" spans="1:15" ht="15" thickBot="1" x14ac:dyDescent="0.4"/>
    <row r="7" spans="1:15" ht="14.5" x14ac:dyDescent="0.35">
      <c r="B7" s="47"/>
      <c r="C7" s="48" t="s">
        <v>5</v>
      </c>
      <c r="D7" s="49"/>
      <c r="E7" s="50"/>
      <c r="F7" s="50"/>
      <c r="G7" s="50"/>
      <c r="H7" s="48" t="s">
        <v>6</v>
      </c>
      <c r="I7" s="50"/>
      <c r="J7" s="51"/>
      <c r="K7" s="49" t="s">
        <v>7</v>
      </c>
      <c r="L7" s="51"/>
    </row>
    <row r="8" spans="1:15" ht="14.5" x14ac:dyDescent="0.35">
      <c r="B8" s="52"/>
      <c r="C8" s="53"/>
      <c r="D8" s="54" t="s">
        <v>8</v>
      </c>
      <c r="E8" s="55"/>
      <c r="F8" s="56"/>
      <c r="G8" s="57"/>
      <c r="H8" s="58" t="s">
        <v>9</v>
      </c>
      <c r="I8" s="55"/>
      <c r="J8" s="59"/>
      <c r="K8" s="53"/>
      <c r="L8" s="60"/>
    </row>
    <row r="9" spans="1:15" ht="15" thickBot="1" x14ac:dyDescent="0.4">
      <c r="B9" s="61" t="s">
        <v>10</v>
      </c>
      <c r="C9" s="62" t="s">
        <v>11</v>
      </c>
      <c r="D9" s="63" t="s">
        <v>12</v>
      </c>
      <c r="E9" s="64" t="s">
        <v>13</v>
      </c>
      <c r="F9" s="65" t="s">
        <v>131</v>
      </c>
      <c r="G9" s="66" t="s">
        <v>14</v>
      </c>
      <c r="H9" s="67" t="s">
        <v>12</v>
      </c>
      <c r="I9" s="65" t="s">
        <v>13</v>
      </c>
      <c r="J9" s="68" t="s">
        <v>14</v>
      </c>
      <c r="K9" s="69" t="s">
        <v>15</v>
      </c>
      <c r="L9" s="68" t="s">
        <v>16</v>
      </c>
    </row>
    <row r="10" spans="1:15" ht="14.5" x14ac:dyDescent="0.35">
      <c r="B10" s="70"/>
      <c r="C10" s="71"/>
      <c r="D10" s="71"/>
      <c r="E10" s="71"/>
      <c r="F10" s="71"/>
      <c r="G10" s="71"/>
      <c r="H10" s="72"/>
      <c r="I10" s="71"/>
      <c r="J10" s="73"/>
      <c r="K10" s="71"/>
      <c r="L10" s="74"/>
    </row>
    <row r="11" spans="1:15" ht="16" x14ac:dyDescent="0.5">
      <c r="B11" s="75" t="s">
        <v>17</v>
      </c>
      <c r="H11" s="76"/>
      <c r="J11" s="77"/>
      <c r="L11" s="78"/>
    </row>
    <row r="12" spans="1:15" ht="14.5" x14ac:dyDescent="0.35">
      <c r="B12" s="79" t="s">
        <v>18</v>
      </c>
      <c r="C12" s="12">
        <v>2454192</v>
      </c>
      <c r="D12" s="11">
        <v>5</v>
      </c>
      <c r="E12" s="11"/>
      <c r="F12" s="11"/>
      <c r="G12" s="3">
        <f>C12*D12</f>
        <v>12270960</v>
      </c>
      <c r="H12" s="19">
        <v>10</v>
      </c>
      <c r="I12" s="11"/>
      <c r="J12" s="7">
        <f>ROUND(C12*H12,2)</f>
        <v>24541920</v>
      </c>
      <c r="K12" s="3">
        <f>ROUND(J12-G12,2)</f>
        <v>12270960</v>
      </c>
      <c r="L12" s="5">
        <f>K12/G12</f>
        <v>1</v>
      </c>
    </row>
    <row r="13" spans="1:15" ht="14.5" x14ac:dyDescent="0.35">
      <c r="B13" s="79" t="s">
        <v>19</v>
      </c>
      <c r="C13" s="12">
        <v>129913446.15533167</v>
      </c>
      <c r="D13" s="4">
        <v>0.33950999999999998</v>
      </c>
      <c r="E13" s="4">
        <v>1.7690000000000001E-2</v>
      </c>
      <c r="F13" s="4">
        <f>SUM(D13:E13)</f>
        <v>0.35719999999999996</v>
      </c>
      <c r="G13" s="3">
        <f>C13*(D13+E13)</f>
        <v>46405082.966684468</v>
      </c>
      <c r="H13" s="10">
        <f>ROUNDDOWN((N15-J12)/C13,5)</f>
        <v>0.38893</v>
      </c>
      <c r="I13" s="4">
        <v>0</v>
      </c>
      <c r="J13" s="7">
        <f>ROUND(C13*H13,2)</f>
        <v>50527236.609999999</v>
      </c>
      <c r="K13" s="3">
        <f>ROUND(J13-G13,2)</f>
        <v>4122153.64</v>
      </c>
      <c r="L13" s="5">
        <f>K13/G13</f>
        <v>8.8829787093784779E-2</v>
      </c>
    </row>
    <row r="14" spans="1:15" ht="16.5" thickBot="1" x14ac:dyDescent="0.55000000000000004">
      <c r="B14" s="79" t="s">
        <v>20</v>
      </c>
      <c r="C14" s="12"/>
      <c r="D14" s="20"/>
      <c r="E14" s="20"/>
      <c r="F14" s="20"/>
      <c r="G14" s="39"/>
      <c r="H14" s="21"/>
      <c r="I14" s="22"/>
      <c r="J14" s="7">
        <f>N16</f>
        <v>844.51155941188335</v>
      </c>
      <c r="K14" s="3">
        <f>ROUND(J14-G14,2)</f>
        <v>844.51</v>
      </c>
      <c r="L14" s="80"/>
      <c r="N14" s="81">
        <f>SUM(J12:J13)</f>
        <v>75069156.609999999</v>
      </c>
    </row>
    <row r="15" spans="1:15" ht="16.5" thickBot="1" x14ac:dyDescent="0.55000000000000004">
      <c r="B15" s="82" t="str">
        <f>"Total "&amp;RIGHT(B11,3)&amp;" Revenue"</f>
        <v>Total 503 Revenue</v>
      </c>
      <c r="C15" s="23"/>
      <c r="D15" s="23"/>
      <c r="E15" s="23"/>
      <c r="F15" s="25">
        <v>58676042.966684461</v>
      </c>
      <c r="G15" s="9">
        <f>SUM(G12:G14)</f>
        <v>58676042.966684468</v>
      </c>
      <c r="H15" s="24"/>
      <c r="I15" s="25"/>
      <c r="J15" s="9">
        <f>SUM(J12:J14)</f>
        <v>75070001.121559411</v>
      </c>
      <c r="K15" s="83">
        <f>SUM(K12:K14)</f>
        <v>16393958.15</v>
      </c>
      <c r="L15" s="5">
        <f>K15/G15</f>
        <v>0.27939781418641824</v>
      </c>
      <c r="N15" s="84">
        <f>CHOOSE($N$5,'Revenue Spread-Upper Limit'!$E$7,'Revenue Spread-Upper Limit'!$E$10,'Revenue Spread-Upper Limit'!$E$13,'Revenue Spread-Upper Limit'!$E$16,'Revenue Spread-Upper Limit'!$E$21)</f>
        <v>75070001.121559411</v>
      </c>
      <c r="O15" s="85" t="s">
        <v>21</v>
      </c>
    </row>
    <row r="16" spans="1:15" ht="17" thickTop="1" thickBot="1" x14ac:dyDescent="0.55000000000000004">
      <c r="B16" s="82"/>
      <c r="C16" s="26"/>
      <c r="D16" s="26"/>
      <c r="E16" s="26"/>
      <c r="F16" s="31" t="b">
        <f>F15=G15</f>
        <v>1</v>
      </c>
      <c r="G16" s="26"/>
      <c r="H16" s="27"/>
      <c r="I16" s="28"/>
      <c r="J16" s="32"/>
      <c r="K16" s="26"/>
      <c r="L16" s="5"/>
      <c r="N16" s="86">
        <f>N15-N14</f>
        <v>844.51155941188335</v>
      </c>
      <c r="O16" s="87" t="s">
        <v>20</v>
      </c>
    </row>
    <row r="17" spans="2:15" ht="14.5" x14ac:dyDescent="0.35">
      <c r="B17" s="70"/>
      <c r="C17" s="71"/>
      <c r="D17" s="71"/>
      <c r="E17" s="71"/>
      <c r="F17" s="71"/>
      <c r="G17" s="71"/>
      <c r="H17" s="72"/>
      <c r="I17" s="71"/>
      <c r="J17" s="73"/>
      <c r="K17" s="71"/>
      <c r="L17" s="74"/>
    </row>
    <row r="18" spans="2:15" ht="16" x14ac:dyDescent="0.5">
      <c r="B18" s="75" t="s">
        <v>22</v>
      </c>
      <c r="H18" s="76"/>
      <c r="J18" s="77"/>
      <c r="L18" s="78"/>
    </row>
    <row r="19" spans="2:15" ht="14.5" x14ac:dyDescent="0.35">
      <c r="B19" s="79" t="s">
        <v>18</v>
      </c>
      <c r="C19" s="12">
        <v>331872</v>
      </c>
      <c r="D19" s="11">
        <v>13</v>
      </c>
      <c r="E19" s="11"/>
      <c r="F19" s="11"/>
      <c r="G19" s="3">
        <f>C19*D19</f>
        <v>4314336</v>
      </c>
      <c r="H19" s="19">
        <v>20</v>
      </c>
      <c r="I19" s="11"/>
      <c r="J19" s="7">
        <f>ROUND(C19*H19,2)</f>
        <v>6637440</v>
      </c>
      <c r="K19" s="3">
        <f>ROUND(J19-G19,2)</f>
        <v>2323104</v>
      </c>
      <c r="L19" s="5">
        <f>K19/G19</f>
        <v>0.53846153846153844</v>
      </c>
    </row>
    <row r="20" spans="2:15" ht="14.5" x14ac:dyDescent="0.35">
      <c r="B20" s="79" t="s">
        <v>19</v>
      </c>
      <c r="C20" s="12">
        <v>91926474.127817988</v>
      </c>
      <c r="D20" s="4">
        <v>0.28432000000000002</v>
      </c>
      <c r="E20" s="4">
        <v>1.0959999999999999E-2</v>
      </c>
      <c r="F20" s="4">
        <f>SUM(D20:E20)</f>
        <v>0.29528000000000004</v>
      </c>
      <c r="G20" s="3">
        <f>C20*(D20+E20)</f>
        <v>27144049.280462101</v>
      </c>
      <c r="H20" s="10">
        <f>ROUND((N22-J19)/C20,5)</f>
        <v>0.32765</v>
      </c>
      <c r="I20" s="4">
        <v>0</v>
      </c>
      <c r="J20" s="7">
        <f>ROUND(C20*H20,2)</f>
        <v>30119709.25</v>
      </c>
      <c r="K20" s="3">
        <f>ROUND(J20-G20,2)</f>
        <v>2975659.97</v>
      </c>
      <c r="L20" s="5">
        <f>K20/G20</f>
        <v>0.10962476302833114</v>
      </c>
    </row>
    <row r="21" spans="2:15" ht="16.5" thickBot="1" x14ac:dyDescent="0.55000000000000004">
      <c r="B21" s="79" t="s">
        <v>20</v>
      </c>
      <c r="C21" s="12"/>
      <c r="D21" s="20"/>
      <c r="E21" s="20"/>
      <c r="F21" s="20"/>
      <c r="G21" s="39"/>
      <c r="H21" s="21"/>
      <c r="I21" s="22"/>
      <c r="J21" s="7">
        <f>N23</f>
        <v>-269.52555948495865</v>
      </c>
      <c r="K21" s="3">
        <f>ROUND(J21-G21,2)</f>
        <v>-269.52999999999997</v>
      </c>
      <c r="L21" s="80"/>
      <c r="N21" s="81">
        <f>SUM(J19:J20)</f>
        <v>36757149.25</v>
      </c>
    </row>
    <row r="22" spans="2:15" ht="16.5" thickBot="1" x14ac:dyDescent="0.55000000000000004">
      <c r="B22" s="82" t="str">
        <f>"Total "&amp;RIGHT(B18,3)&amp;" Revenue"</f>
        <v>Total 504 Revenue</v>
      </c>
      <c r="C22" s="23"/>
      <c r="D22" s="23"/>
      <c r="E22" s="23"/>
      <c r="F22" s="25">
        <v>31458385.280462097</v>
      </c>
      <c r="G22" s="9">
        <f t="shared" ref="G22" si="0">SUM(G19:G21)</f>
        <v>31458385.280462101</v>
      </c>
      <c r="H22" s="24"/>
      <c r="I22" s="25"/>
      <c r="J22" s="9">
        <f>SUM(J19:J21)</f>
        <v>36756879.724440515</v>
      </c>
      <c r="K22" s="83">
        <f>ROUND(J22-G22,2)</f>
        <v>5298494.4400000004</v>
      </c>
      <c r="L22" s="5">
        <f>K22/G22</f>
        <v>0.16842868420493098</v>
      </c>
      <c r="N22" s="84">
        <f>CHOOSE($N$5,'Revenue Spread-Upper Limit'!$F$7,'Revenue Spread-Upper Limit'!$F$10,'Revenue Spread-Upper Limit'!$F$13,'Revenue Spread-Upper Limit'!$F$16,'Revenue Spread-Upper Limit'!$F$21)</f>
        <v>36756879.724440515</v>
      </c>
      <c r="O22" s="85" t="s">
        <v>21</v>
      </c>
    </row>
    <row r="23" spans="2:15" ht="17" thickTop="1" thickBot="1" x14ac:dyDescent="0.55000000000000004">
      <c r="B23" s="82"/>
      <c r="C23" s="26"/>
      <c r="D23" s="26"/>
      <c r="E23" s="26"/>
      <c r="F23" s="31" t="b">
        <f>F22=G22</f>
        <v>1</v>
      </c>
      <c r="G23" s="26"/>
      <c r="H23" s="27"/>
      <c r="I23" s="28"/>
      <c r="J23" s="32"/>
      <c r="K23" s="26"/>
      <c r="L23" s="5"/>
      <c r="N23" s="86">
        <f>N22-N21</f>
        <v>-269.52555948495865</v>
      </c>
      <c r="O23" s="87" t="s">
        <v>20</v>
      </c>
    </row>
    <row r="24" spans="2:15" ht="14.5" x14ac:dyDescent="0.35">
      <c r="B24" s="70"/>
      <c r="C24" s="71"/>
      <c r="D24" s="71"/>
      <c r="E24" s="71"/>
      <c r="F24" s="71"/>
      <c r="G24" s="71"/>
      <c r="H24" s="72"/>
      <c r="I24" s="71"/>
      <c r="J24" s="73"/>
      <c r="K24" s="71"/>
      <c r="L24" s="74"/>
    </row>
    <row r="25" spans="2:15" ht="16" x14ac:dyDescent="0.5">
      <c r="B25" s="75" t="s">
        <v>23</v>
      </c>
      <c r="H25" s="76"/>
      <c r="J25" s="77"/>
      <c r="L25" s="78"/>
    </row>
    <row r="26" spans="2:15" ht="14.5" x14ac:dyDescent="0.35">
      <c r="B26" s="79" t="s">
        <v>18</v>
      </c>
      <c r="C26" s="12">
        <v>5940</v>
      </c>
      <c r="D26" s="11">
        <v>60</v>
      </c>
      <c r="E26" s="11"/>
      <c r="F26" s="11"/>
      <c r="G26" s="3">
        <f>C26*D26</f>
        <v>356400</v>
      </c>
      <c r="H26" s="19">
        <v>100</v>
      </c>
      <c r="I26" s="11"/>
      <c r="J26" s="7">
        <f>ROUND(C26*H26,2)</f>
        <v>594000</v>
      </c>
      <c r="K26" s="3">
        <f>ROUND(J26-G26,2)</f>
        <v>237600</v>
      </c>
      <c r="L26" s="5">
        <f>K26/G26</f>
        <v>0.66666666666666663</v>
      </c>
    </row>
    <row r="27" spans="2:15" ht="14.5" x14ac:dyDescent="0.35">
      <c r="B27" s="79" t="s">
        <v>24</v>
      </c>
      <c r="C27" s="12">
        <v>1786592.8920551969</v>
      </c>
      <c r="D27" s="4">
        <v>0.21929000000000001</v>
      </c>
      <c r="E27" s="4">
        <v>9.1500000000000001E-3</v>
      </c>
      <c r="F27" s="4">
        <f>SUM(D27:E27)</f>
        <v>0.22844</v>
      </c>
      <c r="G27" s="3">
        <f>C27*(D27+E27)</f>
        <v>408129.28026108921</v>
      </c>
      <c r="H27" s="10">
        <f>ROUND((N31-J26)*O27/C27,5)</f>
        <v>0.26923000000000002</v>
      </c>
      <c r="I27" s="4">
        <v>0</v>
      </c>
      <c r="J27" s="7">
        <f>ROUND(C27*H27,2)</f>
        <v>481004.4</v>
      </c>
      <c r="K27" s="3">
        <f>ROUND(J27-G27,2)</f>
        <v>72875.12</v>
      </c>
      <c r="L27" s="5">
        <f>K27/G27</f>
        <v>0.17855891141498154</v>
      </c>
      <c r="N27" s="88">
        <f>(D27+E27)/H27</f>
        <v>0.84849385283957945</v>
      </c>
      <c r="O27" s="89">
        <f>G27/SUM($G$27:$G$29)</f>
        <v>0.17407349909115963</v>
      </c>
    </row>
    <row r="28" spans="2:15" ht="14.5" x14ac:dyDescent="0.35">
      <c r="B28" s="79" t="s">
        <v>25</v>
      </c>
      <c r="C28" s="12">
        <v>5648913.6805633102</v>
      </c>
      <c r="D28" s="4">
        <v>0.17998</v>
      </c>
      <c r="E28" s="4">
        <f>E27</f>
        <v>9.1500000000000001E-3</v>
      </c>
      <c r="F28" s="4">
        <f t="shared" ref="F28:F29" si="1">SUM(D28:E28)</f>
        <v>0.18912999999999999</v>
      </c>
      <c r="G28" s="3">
        <f>C28*(D28+E28)</f>
        <v>1068379.0444049388</v>
      </c>
      <c r="H28" s="10">
        <f>ROUND((N31-J26)*O28/C28,5)</f>
        <v>0.22289999999999999</v>
      </c>
      <c r="I28" s="4">
        <v>0</v>
      </c>
      <c r="J28" s="7">
        <f>ROUND(C28*H28,2)</f>
        <v>1259142.8600000001</v>
      </c>
      <c r="K28" s="3">
        <f>ROUND(J28-G28,2)</f>
        <v>190763.82</v>
      </c>
      <c r="L28" s="5">
        <f>K28/G28</f>
        <v>0.17855443814535957</v>
      </c>
      <c r="N28" s="88">
        <f>(D28+E28)/H28</f>
        <v>0.84849708389412293</v>
      </c>
      <c r="O28" s="89">
        <f>G28/SUM($G$27:$G$29)</f>
        <v>0.45568031408151821</v>
      </c>
    </row>
    <row r="29" spans="2:15" ht="14.5" x14ac:dyDescent="0.35">
      <c r="B29" s="79" t="s">
        <v>26</v>
      </c>
      <c r="C29" s="12">
        <v>4738642.2882011691</v>
      </c>
      <c r="D29" s="4">
        <v>0.17404</v>
      </c>
      <c r="E29" s="4">
        <f>E27</f>
        <v>9.1500000000000001E-3</v>
      </c>
      <c r="F29" s="4">
        <f t="shared" si="1"/>
        <v>0.18318999999999999</v>
      </c>
      <c r="G29" s="3">
        <f>C29*(D29+E29)</f>
        <v>868071.88077557215</v>
      </c>
      <c r="H29" s="10">
        <f>ROUND((N31-J26)*O29/C29,5)</f>
        <v>0.21590000000000001</v>
      </c>
      <c r="I29" s="4">
        <v>0</v>
      </c>
      <c r="J29" s="7">
        <f>ROUND(C29*H29,2)</f>
        <v>1023072.87</v>
      </c>
      <c r="K29" s="3">
        <f>ROUND(J29-G29,2)</f>
        <v>155000.99</v>
      </c>
      <c r="L29" s="5">
        <f>K29/G29</f>
        <v>0.17855778240566386</v>
      </c>
      <c r="N29" s="88">
        <f>(D29+E29)/H29</f>
        <v>0.84849467345993512</v>
      </c>
      <c r="O29" s="89">
        <f>G29/SUM($G$27:$G$29)</f>
        <v>0.37024618682732219</v>
      </c>
    </row>
    <row r="30" spans="2:15" ht="16.5" thickBot="1" x14ac:dyDescent="0.55000000000000004">
      <c r="B30" s="79" t="s">
        <v>20</v>
      </c>
      <c r="C30" s="12"/>
      <c r="D30" s="20"/>
      <c r="E30" s="20"/>
      <c r="F30" s="20"/>
      <c r="G30" s="39"/>
      <c r="H30" s="21"/>
      <c r="I30" s="22"/>
      <c r="J30" s="7">
        <f>N32</f>
        <v>-24.302136164158583</v>
      </c>
      <c r="K30" s="3">
        <f>ROUND(J30-G30,2)</f>
        <v>-24.3</v>
      </c>
      <c r="L30" s="80"/>
      <c r="N30" s="81">
        <f>SUM(J26:J29)</f>
        <v>3357220.13</v>
      </c>
    </row>
    <row r="31" spans="2:15" ht="16.5" thickBot="1" x14ac:dyDescent="0.55000000000000004">
      <c r="B31" s="82" t="str">
        <f>"Total "&amp;RIGHT(B25,3)&amp;" Revenue"</f>
        <v>Total 505 Revenue</v>
      </c>
      <c r="C31" s="29"/>
      <c r="D31" s="26"/>
      <c r="E31" s="23"/>
      <c r="F31" s="25">
        <v>2700980.2054416006</v>
      </c>
      <c r="G31" s="9">
        <f>SUM(G26:G30)</f>
        <v>2700980.2054416002</v>
      </c>
      <c r="H31" s="24"/>
      <c r="I31" s="25"/>
      <c r="J31" s="9">
        <f>SUM(J26:J30)</f>
        <v>3357195.8278638357</v>
      </c>
      <c r="K31" s="83">
        <f>SUM(K26:K30)</f>
        <v>656215.62999999989</v>
      </c>
      <c r="L31" s="5">
        <f>K31/G31</f>
        <v>0.24295462390947478</v>
      </c>
      <c r="N31" s="84">
        <f>CHOOSE($N$5,'Revenue Spread-Upper Limit'!$G$7,'Revenue Spread-Upper Limit'!$G$10,'Revenue Spread-Upper Limit'!$G$13,'Revenue Spread-Upper Limit'!$G$16,'Revenue Spread-Upper Limit'!$G$21)</f>
        <v>3357195.8278638357</v>
      </c>
      <c r="O31" s="85" t="s">
        <v>21</v>
      </c>
    </row>
    <row r="32" spans="2:15" ht="17" thickTop="1" thickBot="1" x14ac:dyDescent="0.55000000000000004">
      <c r="B32" s="82"/>
      <c r="C32" s="26"/>
      <c r="D32" s="26"/>
      <c r="E32" s="26"/>
      <c r="F32" s="31" t="b">
        <f>F31=G31</f>
        <v>1</v>
      </c>
      <c r="G32" s="26"/>
      <c r="H32" s="27"/>
      <c r="I32" s="28"/>
      <c r="J32" s="32"/>
      <c r="K32" s="26"/>
      <c r="L32" s="5"/>
      <c r="N32" s="86">
        <f>N31-N30</f>
        <v>-24.302136164158583</v>
      </c>
      <c r="O32" s="87" t="s">
        <v>20</v>
      </c>
    </row>
    <row r="33" spans="2:15" ht="14.5" x14ac:dyDescent="0.35">
      <c r="B33" s="70"/>
      <c r="C33" s="71"/>
      <c r="D33" s="71"/>
      <c r="E33" s="71"/>
      <c r="F33" s="71"/>
      <c r="G33" s="71"/>
      <c r="H33" s="72"/>
      <c r="I33" s="71"/>
      <c r="J33" s="73"/>
      <c r="K33" s="71"/>
      <c r="L33" s="74"/>
    </row>
    <row r="34" spans="2:15" ht="16" x14ac:dyDescent="0.5">
      <c r="B34" s="75" t="s">
        <v>27</v>
      </c>
      <c r="H34" s="76"/>
      <c r="J34" s="77"/>
      <c r="L34" s="78"/>
    </row>
    <row r="35" spans="2:15" ht="14.5" x14ac:dyDescent="0.35">
      <c r="B35" s="79" t="s">
        <v>18</v>
      </c>
      <c r="C35" s="12">
        <v>1188</v>
      </c>
      <c r="D35" s="11">
        <v>125</v>
      </c>
      <c r="E35" s="11"/>
      <c r="F35" s="11"/>
      <c r="G35" s="3">
        <f>C35*D35</f>
        <v>148500</v>
      </c>
      <c r="H35" s="19">
        <v>250</v>
      </c>
      <c r="I35" s="11"/>
      <c r="J35" s="7">
        <f>ROUND(C35*H35,2)</f>
        <v>297000</v>
      </c>
      <c r="K35" s="3">
        <f t="shared" ref="K35:K40" si="2">ROUND(J35-G35,2)</f>
        <v>148500</v>
      </c>
      <c r="L35" s="5">
        <f>IFERROR(K35/G35,"")</f>
        <v>1</v>
      </c>
    </row>
    <row r="36" spans="2:15" ht="14.5" x14ac:dyDescent="0.35">
      <c r="B36" s="79" t="s">
        <v>28</v>
      </c>
      <c r="C36" s="12">
        <v>9861038.8412244879</v>
      </c>
      <c r="D36" s="4">
        <v>0.17424000000000001</v>
      </c>
      <c r="E36" s="4">
        <v>5.4099999999999999E-3</v>
      </c>
      <c r="F36" s="4">
        <f t="shared" ref="F36:F38" si="3">SUM(D36:E36)</f>
        <v>0.17965</v>
      </c>
      <c r="G36" s="3">
        <f>C36*(D36+E36)</f>
        <v>1771535.6278259794</v>
      </c>
      <c r="H36" s="10">
        <f>ROUND((N40-J35)*O36/C36,5)</f>
        <v>0.2155</v>
      </c>
      <c r="I36" s="4">
        <v>0</v>
      </c>
      <c r="J36" s="7">
        <f>ROUND(C36*H36,2)</f>
        <v>2125053.87</v>
      </c>
      <c r="K36" s="3">
        <f t="shared" si="2"/>
        <v>353518.24</v>
      </c>
      <c r="L36" s="5">
        <f>K36/G36</f>
        <v>0.19955468828692766</v>
      </c>
      <c r="O36" s="89">
        <f>G36/SUM($G$36:$G$38)</f>
        <v>0.68351376131359931</v>
      </c>
    </row>
    <row r="37" spans="2:15" ht="14.5" x14ac:dyDescent="0.35">
      <c r="B37" s="79" t="s">
        <v>29</v>
      </c>
      <c r="C37" s="12">
        <v>5346794.8493877547</v>
      </c>
      <c r="D37" s="4">
        <v>0.13550999999999999</v>
      </c>
      <c r="E37" s="4">
        <f>E36</f>
        <v>5.4099999999999999E-3</v>
      </c>
      <c r="F37" s="4">
        <f t="shared" si="3"/>
        <v>0.14091999999999999</v>
      </c>
      <c r="G37" s="3">
        <f>C37*(D37+E37)</f>
        <v>753470.33017572237</v>
      </c>
      <c r="H37" s="10">
        <f>ROUND((N40-J35)*O37/C37,5)</f>
        <v>0.16904</v>
      </c>
      <c r="I37" s="4">
        <v>0</v>
      </c>
      <c r="J37" s="7">
        <f>ROUND(C37*H37,2)</f>
        <v>903822.2</v>
      </c>
      <c r="K37" s="3">
        <f t="shared" si="2"/>
        <v>150351.87</v>
      </c>
      <c r="L37" s="5">
        <f>K37/G37</f>
        <v>0.19954584006637041</v>
      </c>
      <c r="O37" s="89">
        <f>G37/SUM($G$36:$G$38)</f>
        <v>0.29071238044962283</v>
      </c>
    </row>
    <row r="38" spans="2:15" ht="14.5" x14ac:dyDescent="0.35">
      <c r="B38" s="79" t="s">
        <v>30</v>
      </c>
      <c r="C38" s="12">
        <v>1480843.7495918367</v>
      </c>
      <c r="D38" s="4">
        <v>3.9699999999999999E-2</v>
      </c>
      <c r="E38" s="4">
        <f>E36</f>
        <v>5.4099999999999999E-3</v>
      </c>
      <c r="F38" s="4">
        <f t="shared" si="3"/>
        <v>4.5109999999999997E-2</v>
      </c>
      <c r="G38" s="3">
        <f>C38*(D38+E38)</f>
        <v>66800.861544087747</v>
      </c>
      <c r="H38" s="10">
        <f>ROUND((N40-J35)*O38/C38,5)</f>
        <v>5.4109999999999998E-2</v>
      </c>
      <c r="I38" s="4">
        <v>0</v>
      </c>
      <c r="J38" s="7">
        <f>ROUND(C38*H38,2)</f>
        <v>80128.460000000006</v>
      </c>
      <c r="K38" s="3">
        <f t="shared" si="2"/>
        <v>13327.6</v>
      </c>
      <c r="L38" s="5">
        <f>K38/G38</f>
        <v>0.19951239687535988</v>
      </c>
      <c r="O38" s="89">
        <f>G38/SUM($G$36:$G$38)</f>
        <v>2.5773858236778045E-2</v>
      </c>
    </row>
    <row r="39" spans="2:15" ht="16.5" thickBot="1" x14ac:dyDescent="0.55000000000000004">
      <c r="B39" s="79" t="s">
        <v>20</v>
      </c>
      <c r="C39" s="12"/>
      <c r="D39" s="20"/>
      <c r="E39" s="20"/>
      <c r="F39" s="20"/>
      <c r="G39" s="39"/>
      <c r="H39" s="21"/>
      <c r="I39" s="22"/>
      <c r="J39" s="7">
        <f>N41</f>
        <v>72.494597006589174</v>
      </c>
      <c r="K39" s="3">
        <f t="shared" si="2"/>
        <v>72.489999999999995</v>
      </c>
      <c r="L39" s="80"/>
      <c r="N39" s="81">
        <f>SUM(J35:J38)</f>
        <v>3406004.5300000003</v>
      </c>
    </row>
    <row r="40" spans="2:15" ht="16.5" thickBot="1" x14ac:dyDescent="0.55000000000000004">
      <c r="B40" s="82" t="str">
        <f>"Total "&amp;RIGHT(B34,3)&amp;" Revenue"</f>
        <v>Total 511 Revenue</v>
      </c>
      <c r="C40" s="29"/>
      <c r="D40" s="23"/>
      <c r="E40" s="23"/>
      <c r="F40" s="25">
        <v>2740306.8195457892</v>
      </c>
      <c r="G40" s="9">
        <f t="shared" ref="G40" si="4">SUM(G35:G39)</f>
        <v>2740306.8195457892</v>
      </c>
      <c r="H40" s="24"/>
      <c r="I40" s="25"/>
      <c r="J40" s="9">
        <f>SUM(J35:J39)</f>
        <v>3406077.0245970068</v>
      </c>
      <c r="K40" s="83">
        <f t="shared" si="2"/>
        <v>665770.21</v>
      </c>
      <c r="L40" s="5">
        <f>K40/G40</f>
        <v>0.24295462290983627</v>
      </c>
      <c r="N40" s="84">
        <f>CHOOSE($N$5,'Revenue Spread-Upper Limit'!$H$7,'Revenue Spread-Upper Limit'!$H$10,'Revenue Spread-Upper Limit'!$H$13,'Revenue Spread-Upper Limit'!$H$16,'Revenue Spread-Upper Limit'!$H$21)</f>
        <v>3406077.0245970068</v>
      </c>
      <c r="O40" s="85" t="s">
        <v>21</v>
      </c>
    </row>
    <row r="41" spans="2:15" ht="17" thickTop="1" thickBot="1" x14ac:dyDescent="0.55000000000000004">
      <c r="B41" s="82"/>
      <c r="C41" s="26"/>
      <c r="D41" s="26"/>
      <c r="E41" s="26"/>
      <c r="F41" s="31" t="b">
        <f>F40=G40</f>
        <v>1</v>
      </c>
      <c r="G41" s="26"/>
      <c r="H41" s="27"/>
      <c r="I41" s="28"/>
      <c r="J41" s="32"/>
      <c r="K41" s="26"/>
      <c r="L41" s="5"/>
      <c r="N41" s="86">
        <f>N40-N39</f>
        <v>72.494597006589174</v>
      </c>
      <c r="O41" s="87" t="s">
        <v>20</v>
      </c>
    </row>
    <row r="42" spans="2:15" ht="14.5" x14ac:dyDescent="0.35">
      <c r="B42" s="70"/>
      <c r="C42" s="71"/>
      <c r="D42" s="71"/>
      <c r="E42" s="71"/>
      <c r="F42" s="71"/>
      <c r="G42" s="71"/>
      <c r="H42" s="72"/>
      <c r="I42" s="71"/>
      <c r="J42" s="73"/>
      <c r="K42" s="71"/>
      <c r="L42" s="74"/>
    </row>
    <row r="43" spans="2:15" ht="16" x14ac:dyDescent="0.5">
      <c r="B43" s="75" t="s">
        <v>31</v>
      </c>
      <c r="H43" s="76"/>
      <c r="J43" s="77"/>
      <c r="L43" s="78"/>
    </row>
    <row r="44" spans="2:15" ht="14.5" x14ac:dyDescent="0.35">
      <c r="B44" s="79" t="s">
        <v>18</v>
      </c>
      <c r="C44" s="12">
        <v>84</v>
      </c>
      <c r="D44" s="11">
        <v>163</v>
      </c>
      <c r="E44" s="11"/>
      <c r="F44" s="11"/>
      <c r="G44" s="3">
        <f>C44*D44</f>
        <v>13692</v>
      </c>
      <c r="H44" s="19">
        <v>300</v>
      </c>
      <c r="I44" s="11"/>
      <c r="J44" s="7">
        <f>ROUND(C44*H44,2)</f>
        <v>25200</v>
      </c>
      <c r="K44" s="3">
        <f>ROUND(J44-G44,2)</f>
        <v>11508</v>
      </c>
      <c r="L44" s="5">
        <f>IFERROR(K44/G44,"")</f>
        <v>0.8404907975460123</v>
      </c>
    </row>
    <row r="45" spans="2:15" ht="14.5" x14ac:dyDescent="0.35">
      <c r="B45" s="79" t="s">
        <v>32</v>
      </c>
      <c r="C45" s="12">
        <v>1086598</v>
      </c>
      <c r="D45" s="4">
        <v>9.8379999999999995E-2</v>
      </c>
      <c r="E45" s="4">
        <v>6.13E-3</v>
      </c>
      <c r="F45" s="4">
        <f t="shared" ref="F45:F46" si="5">SUM(D45:E45)</f>
        <v>0.10450999999999999</v>
      </c>
      <c r="G45" s="3">
        <f>C45*(D45+E45)</f>
        <v>113560.35698</v>
      </c>
      <c r="H45" s="10">
        <f>ROUND((N48-J44)*O45/C45,5)</f>
        <v>0.12847</v>
      </c>
      <c r="I45" s="4">
        <v>0</v>
      </c>
      <c r="J45" s="7">
        <f>ROUND(C45*H45,2)</f>
        <v>139595.25</v>
      </c>
      <c r="K45" s="3">
        <f>ROUND(J45-G45,2)</f>
        <v>26034.89</v>
      </c>
      <c r="L45" s="5">
        <f>K45/G45</f>
        <v>0.22926037476780042</v>
      </c>
      <c r="O45" s="89">
        <f>G45/SUM($G$45:$G$46)</f>
        <v>0.74159009853401303</v>
      </c>
    </row>
    <row r="46" spans="2:15" ht="14.5" x14ac:dyDescent="0.35">
      <c r="B46" s="79" t="s">
        <v>33</v>
      </c>
      <c r="C46" s="12">
        <v>1011000</v>
      </c>
      <c r="D46" s="4">
        <v>3.3009999999999998E-2</v>
      </c>
      <c r="E46" s="4">
        <f>E45</f>
        <v>6.13E-3</v>
      </c>
      <c r="F46" s="4">
        <f t="shared" si="5"/>
        <v>3.9139999999999994E-2</v>
      </c>
      <c r="G46" s="3">
        <f>C46*(D46+E46)</f>
        <v>39570.539999999994</v>
      </c>
      <c r="H46" s="10">
        <f>ROUND((N48-J44)*O46/C46,5)</f>
        <v>4.811E-2</v>
      </c>
      <c r="I46" s="4">
        <v>0</v>
      </c>
      <c r="J46" s="7">
        <f>ROUND(C46*H46,2)</f>
        <v>48639.21</v>
      </c>
      <c r="K46" s="3">
        <f>ROUND(J46-G46,2)</f>
        <v>9068.67</v>
      </c>
      <c r="L46" s="5">
        <f>K46/G46</f>
        <v>0.22917731221257029</v>
      </c>
      <c r="O46" s="89">
        <f>G46/SUM($G$45:$G$46)</f>
        <v>0.25840990146598691</v>
      </c>
    </row>
    <row r="47" spans="2:15" ht="16.5" thickBot="1" x14ac:dyDescent="0.55000000000000004">
      <c r="B47" s="79" t="s">
        <v>20</v>
      </c>
      <c r="C47" s="12"/>
      <c r="D47" s="20"/>
      <c r="E47" s="20"/>
      <c r="F47" s="20"/>
      <c r="G47" s="39"/>
      <c r="H47" s="21"/>
      <c r="I47" s="22"/>
      <c r="J47" s="7">
        <f>N49</f>
        <v>-1.6102336819167249</v>
      </c>
      <c r="K47" s="3">
        <f>ROUND(J47-G47,2)</f>
        <v>-1.61</v>
      </c>
      <c r="L47" s="80"/>
      <c r="N47" s="81">
        <f>SUM(J43:J46)</f>
        <v>213434.46</v>
      </c>
    </row>
    <row r="48" spans="2:15" ht="16.5" thickBot="1" x14ac:dyDescent="0.55000000000000004">
      <c r="B48" s="82" t="str">
        <f>"Total "&amp;RIGHT(B43,3)&amp;" Revenue"</f>
        <v>Total 570 Revenue</v>
      </c>
      <c r="C48" s="29"/>
      <c r="D48" s="23"/>
      <c r="E48" s="23"/>
      <c r="F48" s="25">
        <v>166822.89697999999</v>
      </c>
      <c r="G48" s="9">
        <f t="shared" ref="G48" si="6">SUM(G44:G47)</f>
        <v>166822.89697999999</v>
      </c>
      <c r="H48" s="24"/>
      <c r="I48" s="25"/>
      <c r="J48" s="9">
        <f>SUM(J44:J47)</f>
        <v>213432.84976631808</v>
      </c>
      <c r="K48" s="83">
        <f>ROUND(J48-G48,2)</f>
        <v>46609.95</v>
      </c>
      <c r="L48" s="5">
        <f>K48/G48</f>
        <v>0.27939779756724853</v>
      </c>
      <c r="N48" s="84">
        <f>CHOOSE($N$5,'Revenue Spread-Upper Limit'!$I$7,'Revenue Spread-Upper Limit'!$I$10,'Revenue Spread-Upper Limit'!$I$13,'Revenue Spread-Upper Limit'!$I$16,'Revenue Spread-Upper Limit'!$I$21)</f>
        <v>213432.84976631808</v>
      </c>
      <c r="O48" s="85" t="s">
        <v>21</v>
      </c>
    </row>
    <row r="49" spans="2:15" ht="17" thickTop="1" thickBot="1" x14ac:dyDescent="0.55000000000000004">
      <c r="B49" s="90"/>
      <c r="C49" s="28"/>
      <c r="D49" s="28"/>
      <c r="E49" s="28"/>
      <c r="F49" s="31" t="b">
        <f>F48=G48</f>
        <v>1</v>
      </c>
      <c r="G49" s="28"/>
      <c r="H49" s="27"/>
      <c r="I49" s="28"/>
      <c r="J49" s="32"/>
      <c r="K49" s="28"/>
      <c r="L49" s="33"/>
      <c r="N49" s="86">
        <f>N48-N47</f>
        <v>-1.6102336819167249</v>
      </c>
      <c r="O49" s="87" t="s">
        <v>20</v>
      </c>
    </row>
    <row r="50" spans="2:15" ht="16.5" thickBot="1" x14ac:dyDescent="0.55000000000000004">
      <c r="B50" s="91"/>
      <c r="C50" s="26"/>
      <c r="D50" s="26"/>
      <c r="E50" s="26"/>
      <c r="F50" s="26"/>
      <c r="G50" s="26"/>
      <c r="H50" s="26"/>
      <c r="I50" s="26"/>
      <c r="J50" s="26"/>
      <c r="K50" s="26"/>
      <c r="L50" s="26"/>
      <c r="N50" s="3"/>
    </row>
    <row r="51" spans="2:15" ht="14.5" x14ac:dyDescent="0.35">
      <c r="B51" s="70"/>
      <c r="C51" s="71"/>
      <c r="D51" s="71"/>
      <c r="E51" s="71"/>
      <c r="F51" s="71"/>
      <c r="G51" s="71"/>
      <c r="H51" s="72"/>
      <c r="I51" s="71"/>
      <c r="J51" s="73"/>
      <c r="K51" s="71"/>
      <c r="L51" s="74"/>
    </row>
    <row r="52" spans="2:15" ht="16" x14ac:dyDescent="0.5">
      <c r="B52" s="75" t="s">
        <v>34</v>
      </c>
      <c r="H52" s="76"/>
      <c r="J52" s="77"/>
      <c r="L52" s="78"/>
    </row>
    <row r="53" spans="2:15" ht="14.5" x14ac:dyDescent="0.35">
      <c r="B53" s="79" t="s">
        <v>35</v>
      </c>
      <c r="C53" s="12">
        <v>42366960</v>
      </c>
      <c r="D53" s="30">
        <v>0.2</v>
      </c>
      <c r="E53" s="30"/>
      <c r="F53" s="30"/>
      <c r="G53" s="3">
        <f>C53*D53</f>
        <v>8473392</v>
      </c>
      <c r="H53" s="19">
        <v>0.4</v>
      </c>
      <c r="I53" s="11"/>
      <c r="J53" s="7">
        <f t="shared" ref="J53:J59" si="7">ROUND(C53*H53,2)</f>
        <v>16946784</v>
      </c>
      <c r="K53" s="3">
        <f>ROUND(J53-G53,2)</f>
        <v>8473392</v>
      </c>
      <c r="L53" s="5">
        <f t="shared" ref="L53:L59" si="8">K53/G53</f>
        <v>1</v>
      </c>
      <c r="N53" s="89"/>
    </row>
    <row r="54" spans="2:15" ht="14.5" x14ac:dyDescent="0.35">
      <c r="B54" s="79" t="s">
        <v>36</v>
      </c>
      <c r="C54" s="12">
        <v>854941070.21112633</v>
      </c>
      <c r="D54" s="6">
        <v>4.0000000000000002E-4</v>
      </c>
      <c r="E54" s="6"/>
      <c r="F54" s="6"/>
      <c r="G54" s="3">
        <f>C54*D54</f>
        <v>341976.42808445054</v>
      </c>
      <c r="H54" s="10">
        <v>1.1000000000000001E-3</v>
      </c>
      <c r="I54" s="4"/>
      <c r="J54" s="7">
        <f t="shared" si="7"/>
        <v>940435.18</v>
      </c>
      <c r="K54" s="3">
        <f t="shared" ref="K54:K60" si="9">ROUND(J54-G54,2)</f>
        <v>598458.75</v>
      </c>
      <c r="L54" s="5">
        <f t="shared" si="8"/>
        <v>1.7500000024920184</v>
      </c>
      <c r="N54" s="89"/>
    </row>
    <row r="55" spans="2:15" ht="14.5" x14ac:dyDescent="0.35">
      <c r="B55" s="79" t="s">
        <v>18</v>
      </c>
      <c r="C55" s="12">
        <v>2316</v>
      </c>
      <c r="D55" s="30">
        <v>625</v>
      </c>
      <c r="E55" s="30"/>
      <c r="F55" s="30"/>
      <c r="G55" s="3">
        <f>C55*D55</f>
        <v>1447500</v>
      </c>
      <c r="H55" s="19">
        <v>1000</v>
      </c>
      <c r="I55" s="11"/>
      <c r="J55" s="7">
        <f t="shared" si="7"/>
        <v>2316000</v>
      </c>
      <c r="K55" s="3">
        <f t="shared" si="9"/>
        <v>868500</v>
      </c>
      <c r="L55" s="5">
        <f t="shared" si="8"/>
        <v>0.6</v>
      </c>
      <c r="N55" s="92"/>
    </row>
    <row r="56" spans="2:15" ht="14.5" x14ac:dyDescent="0.35">
      <c r="B56" s="79" t="s">
        <v>37</v>
      </c>
      <c r="C56" s="12">
        <v>100667737.22113912</v>
      </c>
      <c r="D56" s="6">
        <v>6.4630000000000007E-2</v>
      </c>
      <c r="E56" s="6">
        <v>1.39E-3</v>
      </c>
      <c r="F56" s="4">
        <f t="shared" ref="F56:F59" si="10">SUM(D56:E56)</f>
        <v>6.6020000000000009E-2</v>
      </c>
      <c r="G56" s="3">
        <f>C56*(D56+E56)</f>
        <v>6646084.0113396058</v>
      </c>
      <c r="H56" s="10">
        <f>ROUNDUP(($N$61-SUM($J$53:$J$55))*O56/C56,5)</f>
        <v>5.5670000000000004E-2</v>
      </c>
      <c r="I56" s="4">
        <v>0</v>
      </c>
      <c r="J56" s="7">
        <f>ROUND(C56*H56,2)</f>
        <v>5604172.9299999997</v>
      </c>
      <c r="K56" s="3">
        <f t="shared" si="9"/>
        <v>-1041911.08</v>
      </c>
      <c r="L56" s="5">
        <f t="shared" si="8"/>
        <v>-0.15677067551693333</v>
      </c>
      <c r="N56" s="93"/>
      <c r="O56" s="89">
        <f>G56/SUM($G$56:$G$59)</f>
        <v>0.40992298497620294</v>
      </c>
    </row>
    <row r="57" spans="2:15" ht="14.5" x14ac:dyDescent="0.35">
      <c r="B57" s="79" t="s">
        <v>38</v>
      </c>
      <c r="C57" s="12">
        <v>72067729.44475241</v>
      </c>
      <c r="D57" s="6">
        <v>2.5420000000000002E-2</v>
      </c>
      <c r="E57" s="6">
        <f>E56</f>
        <v>1.39E-3</v>
      </c>
      <c r="F57" s="4">
        <f t="shared" si="10"/>
        <v>2.681E-2</v>
      </c>
      <c r="G57" s="3">
        <f>C57*(D57+E57)</f>
        <v>1932135.8264138121</v>
      </c>
      <c r="H57" s="10">
        <f>ROUNDUP(($N$61-SUM($J$53:$J$55))*O57/C57,5)</f>
        <v>2.2609999999999998E-2</v>
      </c>
      <c r="I57" s="4">
        <v>0</v>
      </c>
      <c r="J57" s="7">
        <f t="shared" si="7"/>
        <v>1629451.36</v>
      </c>
      <c r="K57" s="3">
        <f t="shared" si="9"/>
        <v>-302684.46999999997</v>
      </c>
      <c r="L57" s="5">
        <f t="shared" si="8"/>
        <v>-0.15665796672369814</v>
      </c>
      <c r="N57" s="93"/>
      <c r="O57" s="89">
        <f>G57/SUM($G$56:$G$59)</f>
        <v>0.1191719641207739</v>
      </c>
    </row>
    <row r="58" spans="2:15" ht="14.5" x14ac:dyDescent="0.35">
      <c r="B58" s="79" t="s">
        <v>38</v>
      </c>
      <c r="C58" s="12">
        <v>37181911.28548535</v>
      </c>
      <c r="D58" s="6">
        <v>1.6590000000000001E-2</v>
      </c>
      <c r="E58" s="6">
        <f>E56</f>
        <v>1.39E-3</v>
      </c>
      <c r="F58" s="4">
        <f t="shared" si="10"/>
        <v>1.7979999999999999E-2</v>
      </c>
      <c r="G58" s="3">
        <f>C58*(D58+E58)</f>
        <v>668530.76491302659</v>
      </c>
      <c r="H58" s="10">
        <f>ROUNDUP(($N$61-SUM($J$53:$J$55))*O58/C58,5)</f>
        <v>1.516E-2</v>
      </c>
      <c r="I58" s="4">
        <v>0</v>
      </c>
      <c r="J58" s="7">
        <f t="shared" si="7"/>
        <v>563677.78</v>
      </c>
      <c r="K58" s="3">
        <f t="shared" si="9"/>
        <v>-104852.98</v>
      </c>
      <c r="L58" s="5">
        <f t="shared" si="8"/>
        <v>-0.15684091967501448</v>
      </c>
      <c r="N58" s="93"/>
      <c r="O58" s="89">
        <f>G58/SUM($G$56:$G$59)</f>
        <v>4.1234225482854596E-2</v>
      </c>
    </row>
    <row r="59" spans="2:15" ht="14.5" x14ac:dyDescent="0.35">
      <c r="B59" s="79" t="s">
        <v>39</v>
      </c>
      <c r="C59" s="12">
        <v>645023692.25974941</v>
      </c>
      <c r="D59" s="6">
        <v>9.41E-3</v>
      </c>
      <c r="E59" s="6">
        <f>E56</f>
        <v>1.39E-3</v>
      </c>
      <c r="F59" s="4">
        <f t="shared" si="10"/>
        <v>1.0800000000000001E-2</v>
      </c>
      <c r="G59" s="3">
        <f>C59*(D59+E59)</f>
        <v>6966255.8764052941</v>
      </c>
      <c r="H59" s="10">
        <f>ROUND(($N$61-SUM($J$53:$J$55))*O59/C59,5)</f>
        <v>9.11E-3</v>
      </c>
      <c r="I59" s="4">
        <v>0</v>
      </c>
      <c r="J59" s="7">
        <f t="shared" si="7"/>
        <v>5876165.8399999999</v>
      </c>
      <c r="K59" s="3">
        <f t="shared" si="9"/>
        <v>-1090090.04</v>
      </c>
      <c r="L59" s="5">
        <f t="shared" si="8"/>
        <v>-0.15648148149311233</v>
      </c>
      <c r="N59" s="93"/>
      <c r="O59" s="89">
        <f>G59/SUM($G$56:$G$59)</f>
        <v>0.42967082542016849</v>
      </c>
    </row>
    <row r="60" spans="2:15" ht="16.5" thickBot="1" x14ac:dyDescent="0.55000000000000004">
      <c r="B60" s="79" t="s">
        <v>20</v>
      </c>
      <c r="C60" s="12"/>
      <c r="D60" s="20"/>
      <c r="E60" s="20"/>
      <c r="F60" s="20"/>
      <c r="G60" s="39"/>
      <c r="H60" s="10"/>
      <c r="I60" s="4"/>
      <c r="J60" s="7">
        <f>N62</f>
        <v>-3510.6029116585851</v>
      </c>
      <c r="K60" s="3">
        <f t="shared" si="9"/>
        <v>-3510.6</v>
      </c>
      <c r="L60" s="80"/>
      <c r="N60" s="81">
        <f>SUM(J53:J59)</f>
        <v>33876687.090000004</v>
      </c>
    </row>
    <row r="61" spans="2:15" ht="16.5" thickBot="1" x14ac:dyDescent="0.55000000000000004">
      <c r="B61" s="82" t="str">
        <f>"Total "&amp;RIGHT(B52,3)&amp;" Revenue"</f>
        <v>Total 663 Revenue</v>
      </c>
      <c r="C61" s="12"/>
      <c r="D61" s="23"/>
      <c r="E61" s="23"/>
      <c r="F61" s="25">
        <v>26475874.907156188</v>
      </c>
      <c r="G61" s="9">
        <f>SUM(G53:G60)</f>
        <v>26475874.907156192</v>
      </c>
      <c r="H61" s="24"/>
      <c r="I61" s="25"/>
      <c r="J61" s="9">
        <f>SUM(J53:J60)</f>
        <v>33873176.487088345</v>
      </c>
      <c r="K61" s="83">
        <f>ROUND(J61-G61,2)</f>
        <v>7397301.5800000001</v>
      </c>
      <c r="L61" s="5">
        <f>K61/G61</f>
        <v>0.27939781427206306</v>
      </c>
      <c r="N61" s="84">
        <f>CHOOSE($N$5,'Revenue Spread-Upper Limit'!$J$7,'Revenue Spread-Upper Limit'!$J$10,'Revenue Spread-Upper Limit'!$J$13,'Revenue Spread-Upper Limit'!$J$16)</f>
        <v>33873176.487088345</v>
      </c>
      <c r="O61" s="85" t="s">
        <v>21</v>
      </c>
    </row>
    <row r="62" spans="2:15" ht="17" thickTop="1" thickBot="1" x14ac:dyDescent="0.55000000000000004">
      <c r="B62" s="94"/>
      <c r="C62" s="28"/>
      <c r="D62" s="28"/>
      <c r="E62" s="28"/>
      <c r="F62" s="31" t="b">
        <f>F61=G61</f>
        <v>1</v>
      </c>
      <c r="G62" s="28"/>
      <c r="H62" s="27"/>
      <c r="I62" s="28"/>
      <c r="J62" s="32"/>
      <c r="K62" s="28"/>
      <c r="L62" s="33"/>
      <c r="N62" s="86">
        <f>N61-N60</f>
        <v>-3510.6029116585851</v>
      </c>
      <c r="O62" s="87" t="s">
        <v>20</v>
      </c>
    </row>
    <row r="63" spans="2:15" ht="14.5" x14ac:dyDescent="0.35">
      <c r="B63" s="70"/>
      <c r="C63" s="71"/>
      <c r="D63" s="71"/>
      <c r="E63" s="71"/>
      <c r="F63" s="71"/>
      <c r="G63" s="71"/>
      <c r="H63" s="72"/>
      <c r="I63" s="71"/>
      <c r="J63" s="73"/>
      <c r="K63" s="72"/>
      <c r="L63" s="74"/>
    </row>
    <row r="64" spans="2:15" ht="16" x14ac:dyDescent="0.5">
      <c r="B64" s="75" t="s">
        <v>40</v>
      </c>
      <c r="H64" s="76"/>
      <c r="J64" s="77"/>
      <c r="K64" s="76"/>
      <c r="L64" s="78"/>
    </row>
    <row r="65" spans="2:15" ht="14.5" x14ac:dyDescent="0.35">
      <c r="B65" s="79" t="s">
        <v>18</v>
      </c>
      <c r="E65" s="30"/>
      <c r="F65" s="30"/>
      <c r="G65" s="3">
        <v>411977.32</v>
      </c>
      <c r="H65" s="19"/>
      <c r="I65" s="11"/>
      <c r="J65" s="7">
        <f>G65</f>
        <v>411977.32</v>
      </c>
      <c r="K65" s="8">
        <f t="shared" ref="K65:K69" si="11">J65-G65</f>
        <v>0</v>
      </c>
      <c r="L65" s="5">
        <f>K65/G65</f>
        <v>0</v>
      </c>
    </row>
    <row r="66" spans="2:15" ht="14.5" x14ac:dyDescent="0.35">
      <c r="B66" s="79" t="s">
        <v>41</v>
      </c>
      <c r="E66" s="6"/>
      <c r="F66" s="6"/>
      <c r="G66" s="3">
        <v>60000</v>
      </c>
      <c r="H66" s="19"/>
      <c r="I66" s="11"/>
      <c r="J66" s="7">
        <f t="shared" ref="J66:J68" si="12">G66</f>
        <v>60000</v>
      </c>
      <c r="K66" s="8">
        <f t="shared" si="11"/>
        <v>0</v>
      </c>
      <c r="L66" s="5">
        <f>K66/G66</f>
        <v>0</v>
      </c>
    </row>
    <row r="67" spans="2:15" ht="14.5" x14ac:dyDescent="0.35">
      <c r="B67" s="79" t="s">
        <v>42</v>
      </c>
      <c r="E67" s="6"/>
      <c r="F67" s="6"/>
      <c r="G67" s="3">
        <v>122757.90000000001</v>
      </c>
      <c r="H67" s="19"/>
      <c r="I67" s="11"/>
      <c r="J67" s="7">
        <f t="shared" si="12"/>
        <v>122757.90000000001</v>
      </c>
      <c r="K67" s="8">
        <f t="shared" si="11"/>
        <v>0</v>
      </c>
      <c r="L67" s="5">
        <f>K67/G67</f>
        <v>0</v>
      </c>
    </row>
    <row r="68" spans="2:15" ht="15" thickBot="1" x14ac:dyDescent="0.4">
      <c r="B68" s="79" t="s">
        <v>19</v>
      </c>
      <c r="E68" s="6"/>
      <c r="F68" s="6"/>
      <c r="G68" s="3">
        <v>2553267.1299999994</v>
      </c>
      <c r="H68" s="10"/>
      <c r="I68" s="4"/>
      <c r="J68" s="7">
        <f t="shared" si="12"/>
        <v>2553267.1299999994</v>
      </c>
      <c r="K68" s="8">
        <f t="shared" si="11"/>
        <v>0</v>
      </c>
      <c r="L68" s="5">
        <f>K68/G68</f>
        <v>0</v>
      </c>
    </row>
    <row r="69" spans="2:15" ht="16.5" thickBot="1" x14ac:dyDescent="0.55000000000000004">
      <c r="B69" s="82" t="str">
        <f>B64&amp;" Revenue"</f>
        <v>Special Contracts - Total Revenue</v>
      </c>
      <c r="C69" s="23"/>
      <c r="E69" s="23"/>
      <c r="F69" s="25">
        <v>3148002.3499999996</v>
      </c>
      <c r="G69" s="9">
        <f>SUM(G65:G68)</f>
        <v>3148002.3499999996</v>
      </c>
      <c r="H69" s="24"/>
      <c r="I69" s="25"/>
      <c r="J69" s="9">
        <f>SUM(J65:J68)</f>
        <v>3148002.3499999996</v>
      </c>
      <c r="K69" s="83">
        <f t="shared" si="11"/>
        <v>0</v>
      </c>
      <c r="L69" s="5">
        <f>K69/G69</f>
        <v>0</v>
      </c>
      <c r="N69" s="84"/>
      <c r="O69" s="85" t="s">
        <v>21</v>
      </c>
    </row>
    <row r="70" spans="2:15" ht="17" thickTop="1" thickBot="1" x14ac:dyDescent="0.55000000000000004">
      <c r="B70" s="90"/>
      <c r="C70" s="28"/>
      <c r="D70" s="28"/>
      <c r="E70" s="28"/>
      <c r="F70" s="31"/>
      <c r="G70" s="28"/>
      <c r="H70" s="27"/>
      <c r="I70" s="28"/>
      <c r="J70" s="32"/>
      <c r="K70" s="27"/>
      <c r="L70" s="33"/>
      <c r="N70" s="86"/>
      <c r="O70" s="87" t="s">
        <v>20</v>
      </c>
    </row>
    <row r="71" spans="2:15" ht="14.5" x14ac:dyDescent="0.35"/>
    <row r="72" spans="2:15" ht="14.5" x14ac:dyDescent="0.35"/>
    <row r="73" spans="2:15" ht="14.5" x14ac:dyDescent="0.35">
      <c r="B73" s="40" t="s">
        <v>43</v>
      </c>
      <c r="E73" s="95">
        <f>G73/G75</f>
        <v>0.21933112808965372</v>
      </c>
      <c r="G73" s="81">
        <f>SUM(G12,G19,G26,G35,G44,G53,G55,G65,G66)</f>
        <v>27496757.32</v>
      </c>
      <c r="I73" s="95">
        <f>J73/J75</f>
        <v>0.33261311358959744</v>
      </c>
      <c r="J73" s="81">
        <f>SUM(J12,J19,J26,J35,J44,J53,J55,J65,J66)</f>
        <v>51830321.32</v>
      </c>
      <c r="K73" s="3">
        <f>J73-G73</f>
        <v>24333564</v>
      </c>
      <c r="L73" s="96">
        <f>K73/G73</f>
        <v>0.88496122349309803</v>
      </c>
    </row>
    <row r="74" spans="2:15" ht="14.5" x14ac:dyDescent="0.35">
      <c r="B74" s="40" t="s">
        <v>44</v>
      </c>
      <c r="E74" s="95">
        <f>G74/G75</f>
        <v>0.78066887191034617</v>
      </c>
      <c r="G74" s="97">
        <f>SUM(G13,G20,G27:G29,G36:G38,G45:G46,G54,G56:G59,G67:G68)</f>
        <v>97869658.106270149</v>
      </c>
      <c r="I74" s="95">
        <f>J74/J75</f>
        <v>0.66738688641040256</v>
      </c>
      <c r="J74" s="97">
        <f>SUM(J13,J20,J27:J29,J36:J38,J45:J46,J54,J56:J59,J67:J68)</f>
        <v>103997333.10000001</v>
      </c>
      <c r="K74" s="98">
        <f>J74-G74</f>
        <v>6127674.9937298596</v>
      </c>
      <c r="L74" s="96">
        <f t="shared" ref="L74:L75" si="13">K74/G74</f>
        <v>6.2610569121189993E-2</v>
      </c>
    </row>
    <row r="75" spans="2:15" ht="14.5" x14ac:dyDescent="0.35">
      <c r="B75" s="40" t="s">
        <v>45</v>
      </c>
      <c r="F75" s="81">
        <f>SUM(F15,F22,F31,F40,F48,F61)</f>
        <v>122218413.07627013</v>
      </c>
      <c r="G75" s="25">
        <f>SUM(G73:G74)</f>
        <v>125366415.42627016</v>
      </c>
      <c r="J75" s="25">
        <f>SUM(J73:J74)</f>
        <v>155827654.42000002</v>
      </c>
      <c r="K75" s="3">
        <f>J75-G75</f>
        <v>30461238.99372986</v>
      </c>
      <c r="L75" s="96">
        <f t="shared" si="13"/>
        <v>0.24297766582984551</v>
      </c>
    </row>
    <row r="76" spans="2:15" ht="14.5" x14ac:dyDescent="0.35">
      <c r="G76" s="81"/>
      <c r="I76" s="99" t="s">
        <v>46</v>
      </c>
      <c r="J76" s="3">
        <f>SUMIFS(J10:J62,B10:B62,I76)</f>
        <v>-2889.0346845711465</v>
      </c>
      <c r="K76" s="3">
        <f>SUMIFS(K10:K62,B10:B62,I76)</f>
        <v>-2889.04</v>
      </c>
    </row>
    <row r="77" spans="2:15" ht="14.5" x14ac:dyDescent="0.35">
      <c r="G77" s="81"/>
      <c r="K77" s="81">
        <f>SUM(K75:K76)</f>
        <v>30458349.95372986</v>
      </c>
    </row>
    <row r="78" spans="2:15" ht="14.5" x14ac:dyDescent="0.35">
      <c r="G78" s="81"/>
      <c r="J78" s="81">
        <v>173625020.1586144</v>
      </c>
      <c r="K78" s="81">
        <f>'Revenue Spread-Upper Limit'!D9</f>
        <v>30458349.959045291</v>
      </c>
    </row>
    <row r="79" spans="2:15" ht="14.5" x14ac:dyDescent="0.35">
      <c r="F79" s="81">
        <f>F75+F69</f>
        <v>125366415.42627013</v>
      </c>
      <c r="J79" s="100">
        <f>J73/J78</f>
        <v>0.29851873464233802</v>
      </c>
    </row>
  </sheetData>
  <printOptions horizontalCentered="1"/>
  <pageMargins left="0.45" right="0.45" top="0.75" bottom="0.5" header="0.3" footer="0.3"/>
  <pageSetup scale="59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33A79-8F79-46AD-BCDF-AF70284D02C0}">
  <sheetPr>
    <tabColor theme="4"/>
  </sheetPr>
  <dimension ref="A1:A7"/>
  <sheetViews>
    <sheetView workbookViewId="0">
      <selection activeCell="F18" sqref="F18"/>
    </sheetView>
  </sheetViews>
  <sheetFormatPr defaultRowHeight="14.5" x14ac:dyDescent="0.35"/>
  <cols>
    <col min="1" max="1" width="42.54296875" customWidth="1"/>
  </cols>
  <sheetData>
    <row r="1" spans="1:1" x14ac:dyDescent="0.35">
      <c r="A1" s="165" t="s">
        <v>137</v>
      </c>
    </row>
    <row r="3" spans="1:1" x14ac:dyDescent="0.35">
      <c r="A3" t="s">
        <v>132</v>
      </c>
    </row>
    <row r="4" spans="1:1" x14ac:dyDescent="0.35">
      <c r="A4" t="s">
        <v>133</v>
      </c>
    </row>
    <row r="5" spans="1:1" x14ac:dyDescent="0.35">
      <c r="A5" t="s">
        <v>134</v>
      </c>
    </row>
    <row r="6" spans="1:1" x14ac:dyDescent="0.35">
      <c r="A6" t="s">
        <v>135</v>
      </c>
    </row>
    <row r="7" spans="1:1" x14ac:dyDescent="0.35">
      <c r="A7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DB66-6D49-4B08-85DF-DC0752BFE294}">
  <dimension ref="A1:AJ42"/>
  <sheetViews>
    <sheetView zoomScale="93" zoomScaleNormal="93" workbookViewId="0"/>
  </sheetViews>
  <sheetFormatPr defaultColWidth="8.453125" defaultRowHeight="12.5" x14ac:dyDescent="0.25"/>
  <cols>
    <col min="1" max="2" width="8.453125" style="167"/>
    <col min="3" max="3" width="0.7265625" style="167" customWidth="1"/>
    <col min="4" max="4" width="44.54296875" style="167" customWidth="1"/>
    <col min="5" max="7" width="14.81640625" style="168" customWidth="1"/>
    <col min="8" max="8" width="1.453125" style="168" customWidth="1"/>
    <col min="9" max="10" width="7.81640625" style="168" customWidth="1"/>
    <col min="11" max="11" width="3.453125" style="168" customWidth="1"/>
    <col min="12" max="14" width="14.81640625" style="168" customWidth="1"/>
    <col min="15" max="15" width="1.453125" style="168" customWidth="1"/>
    <col min="16" max="17" width="7.81640625" style="168" customWidth="1"/>
    <col min="18" max="18" width="3.453125" style="168" customWidth="1"/>
    <col min="19" max="21" width="14.81640625" style="168" customWidth="1"/>
    <col min="22" max="22" width="1.453125" style="168" customWidth="1"/>
    <col min="23" max="24" width="7.81640625" style="168" customWidth="1"/>
    <col min="25" max="25" width="3.453125" style="168" customWidth="1"/>
    <col min="26" max="28" width="14.81640625" style="168" customWidth="1"/>
    <col min="29" max="29" width="1.453125" style="168" customWidth="1"/>
    <col min="30" max="31" width="7.81640625" style="168" customWidth="1"/>
    <col min="32" max="32" width="0.7265625" style="167" customWidth="1"/>
    <col min="33" max="16384" width="8.453125" style="167"/>
  </cols>
  <sheetData>
    <row r="1" spans="1:36" ht="13" x14ac:dyDescent="0.3">
      <c r="A1" s="166" t="s">
        <v>193</v>
      </c>
      <c r="AF1" s="169" t="s">
        <v>155</v>
      </c>
      <c r="AJ1" s="169"/>
    </row>
    <row r="2" spans="1:36" x14ac:dyDescent="0.25">
      <c r="P2" s="170"/>
      <c r="W2" s="170"/>
      <c r="AD2" s="170"/>
      <c r="AF2" s="171" t="s">
        <v>187</v>
      </c>
      <c r="AJ2" s="169"/>
    </row>
    <row r="3" spans="1:36" x14ac:dyDescent="0.25">
      <c r="P3" s="170"/>
      <c r="W3" s="170"/>
      <c r="AD3" s="170"/>
      <c r="AF3" s="171" t="s">
        <v>191</v>
      </c>
      <c r="AJ3" s="169"/>
    </row>
    <row r="4" spans="1:36" x14ac:dyDescent="0.25">
      <c r="P4" s="170"/>
      <c r="W4" s="170"/>
      <c r="AD4" s="170"/>
      <c r="AF4" s="171"/>
      <c r="AJ4" s="169"/>
    </row>
    <row r="5" spans="1:36" ht="13" thickBot="1" x14ac:dyDescent="0.3">
      <c r="P5" s="169"/>
      <c r="W5" s="169"/>
      <c r="AD5" s="169"/>
      <c r="AF5" s="169"/>
      <c r="AJ5" s="169"/>
    </row>
    <row r="6" spans="1:36" s="176" customFormat="1" ht="2.15" customHeight="1" thickTop="1" x14ac:dyDescent="0.25">
      <c r="A6" s="167"/>
      <c r="B6" s="167"/>
      <c r="C6" s="172"/>
      <c r="D6" s="173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5"/>
    </row>
    <row r="7" spans="1:36" s="176" customFormat="1" ht="6" customHeight="1" x14ac:dyDescent="0.3">
      <c r="A7" s="167"/>
      <c r="B7" s="167"/>
      <c r="C7" s="177"/>
      <c r="D7" s="178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80"/>
    </row>
    <row r="8" spans="1:36" ht="13" x14ac:dyDescent="0.3">
      <c r="C8" s="181"/>
      <c r="D8" s="182"/>
      <c r="E8" s="229" t="s">
        <v>119</v>
      </c>
      <c r="F8" s="229"/>
      <c r="G8" s="229"/>
      <c r="H8" s="229"/>
      <c r="I8" s="229"/>
      <c r="J8" s="229"/>
      <c r="K8" s="183"/>
      <c r="L8" s="229" t="s">
        <v>156</v>
      </c>
      <c r="M8" s="229"/>
      <c r="N8" s="229"/>
      <c r="O8" s="229"/>
      <c r="P8" s="229"/>
      <c r="Q8" s="229"/>
      <c r="R8" s="183"/>
      <c r="S8" s="229" t="s">
        <v>157</v>
      </c>
      <c r="T8" s="229"/>
      <c r="U8" s="229"/>
      <c r="V8" s="229"/>
      <c r="W8" s="229"/>
      <c r="X8" s="229"/>
      <c r="Y8" s="183"/>
      <c r="Z8" s="229" t="s">
        <v>158</v>
      </c>
      <c r="AA8" s="229"/>
      <c r="AB8" s="229"/>
      <c r="AC8" s="229"/>
      <c r="AD8" s="229"/>
      <c r="AE8" s="229"/>
      <c r="AF8" s="184"/>
    </row>
    <row r="9" spans="1:36" ht="13" x14ac:dyDescent="0.3">
      <c r="C9" s="181"/>
      <c r="D9" s="182"/>
      <c r="E9" s="185" t="s">
        <v>159</v>
      </c>
      <c r="F9" s="185" t="s">
        <v>160</v>
      </c>
      <c r="G9" s="185" t="s">
        <v>66</v>
      </c>
      <c r="H9" s="185"/>
      <c r="I9" s="185" t="s">
        <v>70</v>
      </c>
      <c r="J9" s="185" t="s">
        <v>161</v>
      </c>
      <c r="K9" s="183"/>
      <c r="L9" s="185" t="s">
        <v>183</v>
      </c>
      <c r="M9" s="185" t="s">
        <v>160</v>
      </c>
      <c r="N9" s="185" t="s">
        <v>66</v>
      </c>
      <c r="O9" s="185"/>
      <c r="P9" s="185" t="s">
        <v>70</v>
      </c>
      <c r="Q9" s="185" t="s">
        <v>161</v>
      </c>
      <c r="R9" s="183"/>
      <c r="S9" s="185" t="s">
        <v>162</v>
      </c>
      <c r="T9" s="185" t="s">
        <v>160</v>
      </c>
      <c r="U9" s="185" t="s">
        <v>66</v>
      </c>
      <c r="V9" s="185"/>
      <c r="W9" s="185" t="s">
        <v>70</v>
      </c>
      <c r="X9" s="185" t="s">
        <v>161</v>
      </c>
      <c r="Y9" s="185"/>
      <c r="Z9" s="185" t="s">
        <v>159</v>
      </c>
      <c r="AA9" s="185" t="s">
        <v>160</v>
      </c>
      <c r="AB9" s="185" t="s">
        <v>66</v>
      </c>
      <c r="AC9" s="185"/>
      <c r="AD9" s="185" t="s">
        <v>70</v>
      </c>
      <c r="AE9" s="185" t="s">
        <v>161</v>
      </c>
      <c r="AF9" s="184"/>
    </row>
    <row r="10" spans="1:36" ht="13" x14ac:dyDescent="0.3">
      <c r="C10" s="181"/>
      <c r="D10" s="182" t="s">
        <v>163</v>
      </c>
      <c r="E10" s="185" t="s">
        <v>164</v>
      </c>
      <c r="F10" s="185" t="s">
        <v>165</v>
      </c>
      <c r="G10" s="185" t="s">
        <v>164</v>
      </c>
      <c r="H10" s="185"/>
      <c r="I10" s="185" t="s">
        <v>165</v>
      </c>
      <c r="J10" s="185" t="s">
        <v>166</v>
      </c>
      <c r="K10" s="183"/>
      <c r="L10" s="185" t="s">
        <v>164</v>
      </c>
      <c r="M10" s="185" t="s">
        <v>165</v>
      </c>
      <c r="N10" s="185" t="s">
        <v>164</v>
      </c>
      <c r="O10" s="185"/>
      <c r="P10" s="185" t="s">
        <v>165</v>
      </c>
      <c r="Q10" s="185" t="s">
        <v>166</v>
      </c>
      <c r="R10" s="183"/>
      <c r="S10" s="185" t="s">
        <v>164</v>
      </c>
      <c r="T10" s="185" t="s">
        <v>165</v>
      </c>
      <c r="U10" s="185" t="s">
        <v>164</v>
      </c>
      <c r="V10" s="185"/>
      <c r="W10" s="185" t="s">
        <v>165</v>
      </c>
      <c r="X10" s="185" t="s">
        <v>166</v>
      </c>
      <c r="Y10" s="185"/>
      <c r="Z10" s="185" t="s">
        <v>164</v>
      </c>
      <c r="AA10" s="185" t="s">
        <v>165</v>
      </c>
      <c r="AB10" s="185" t="s">
        <v>164</v>
      </c>
      <c r="AC10" s="185"/>
      <c r="AD10" s="185" t="s">
        <v>165</v>
      </c>
      <c r="AE10" s="185" t="s">
        <v>166</v>
      </c>
      <c r="AF10" s="184"/>
    </row>
    <row r="11" spans="1:36" ht="6" customHeight="1" thickBot="1" x14ac:dyDescent="0.35">
      <c r="B11" s="186"/>
      <c r="C11" s="187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  <c r="AG11" s="186"/>
    </row>
    <row r="12" spans="1:36" ht="6" customHeight="1" thickTop="1" x14ac:dyDescent="0.3">
      <c r="B12" s="186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2"/>
      <c r="AG12" s="186"/>
    </row>
    <row r="13" spans="1:36" x14ac:dyDescent="0.25">
      <c r="C13" s="193"/>
      <c r="D13" s="194" t="s">
        <v>176</v>
      </c>
      <c r="E13" s="195">
        <f>'Revenue Spread-Upper Limit'!E7</f>
        <v>58676042.966684461</v>
      </c>
      <c r="F13" s="195">
        <f>G13-E13</f>
        <v>16393958.154874951</v>
      </c>
      <c r="G13" s="195">
        <f>'Revenue Spread-Upper Limit'!E10</f>
        <v>75070001.121559411</v>
      </c>
      <c r="H13" s="196"/>
      <c r="I13" s="197">
        <f>F13/E13</f>
        <v>0.27939781426950072</v>
      </c>
      <c r="J13" s="198">
        <f t="shared" ref="J13:J19" si="0">I13/$I$21</f>
        <v>1.1499999999999999</v>
      </c>
      <c r="K13" s="196"/>
      <c r="L13" s="195">
        <f>G13</f>
        <v>75070001.121559411</v>
      </c>
      <c r="M13" s="195">
        <f>N13-L13</f>
        <v>6574577.6413569152</v>
      </c>
      <c r="N13" s="195">
        <f>'Revenue Spread-Upper Limit'!E13</f>
        <v>81644578.762916327</v>
      </c>
      <c r="O13" s="196"/>
      <c r="P13" s="197">
        <f>M13/L13</f>
        <v>8.7579293234734706E-2</v>
      </c>
      <c r="Q13" s="198">
        <f>P13/$P$21</f>
        <v>1.0206187391415402</v>
      </c>
      <c r="R13" s="196"/>
      <c r="S13" s="195">
        <f>N13</f>
        <v>81644578.762916327</v>
      </c>
      <c r="T13" s="195">
        <f>U13-S13</f>
        <v>5737677.3820199519</v>
      </c>
      <c r="U13" s="195">
        <f>'Revenue Spread-Upper Limit'!E16</f>
        <v>87382256.144936278</v>
      </c>
      <c r="V13" s="196"/>
      <c r="W13" s="197">
        <f>T13/S13</f>
        <v>7.027628127865429E-2</v>
      </c>
      <c r="X13" s="198">
        <f t="shared" ref="X13:X19" si="1">W13/$W$21</f>
        <v>1.0189583778118978</v>
      </c>
      <c r="Y13" s="196"/>
      <c r="Z13" s="195">
        <f t="shared" ref="Z13:Z19" si="2">E13</f>
        <v>58676042.966684461</v>
      </c>
      <c r="AA13" s="195">
        <f>AB13-Z13</f>
        <v>28706213.178251818</v>
      </c>
      <c r="AB13" s="195">
        <f>U13</f>
        <v>87382256.144936278</v>
      </c>
      <c r="AC13" s="196"/>
      <c r="AD13" s="197">
        <f>AA13/Z13</f>
        <v>0.48923226118964525</v>
      </c>
      <c r="AE13" s="199">
        <f t="shared" ref="AE13:AE19" si="3">AD13/$AD$21</f>
        <v>1.1051260180761129</v>
      </c>
      <c r="AF13" s="200"/>
    </row>
    <row r="14" spans="1:36" x14ac:dyDescent="0.25">
      <c r="C14" s="193"/>
      <c r="D14" s="194" t="s">
        <v>177</v>
      </c>
      <c r="E14" s="195">
        <f>'Revenue Spread-Upper Limit'!F7</f>
        <v>31458385.280462097</v>
      </c>
      <c r="F14" s="195">
        <f t="shared" ref="F14:F19" si="4">G14-E14</f>
        <v>5298494.4439784177</v>
      </c>
      <c r="G14" s="195">
        <f>'Revenue Spread-Upper Limit'!F10</f>
        <v>36756879.724440515</v>
      </c>
      <c r="H14" s="196"/>
      <c r="I14" s="197">
        <f t="shared" ref="I14:I19" si="5">F14/E14</f>
        <v>0.16842868433139704</v>
      </c>
      <c r="J14" s="198">
        <f t="shared" si="0"/>
        <v>0.69325161861958862</v>
      </c>
      <c r="K14" s="196"/>
      <c r="L14" s="195">
        <f t="shared" ref="L14:L19" si="6">G14</f>
        <v>36756879.724440515</v>
      </c>
      <c r="M14" s="195">
        <f t="shared" ref="M14:M19" si="7">N14-L14</f>
        <v>3219141.5477806553</v>
      </c>
      <c r="N14" s="195">
        <f>'Revenue Spread-Upper Limit'!F13</f>
        <v>39976021.27222117</v>
      </c>
      <c r="O14" s="196"/>
      <c r="P14" s="197">
        <f t="shared" ref="P14:P19" si="8">M14/L14</f>
        <v>8.7579293234734831E-2</v>
      </c>
      <c r="Q14" s="198">
        <f t="shared" ref="Q14:Q19" si="9">P14/$P$21</f>
        <v>1.0206187391415416</v>
      </c>
      <c r="R14" s="196"/>
      <c r="S14" s="195">
        <f t="shared" ref="S14:S19" si="10">N14</f>
        <v>39976021.27222117</v>
      </c>
      <c r="T14" s="195">
        <f t="shared" ref="T14:T19" si="11">U14-S14</f>
        <v>2809366.115328081</v>
      </c>
      <c r="U14" s="195">
        <f>'Revenue Spread-Upper Limit'!F16</f>
        <v>42785387.387549251</v>
      </c>
      <c r="V14" s="196"/>
      <c r="W14" s="197">
        <f t="shared" ref="W14:W19" si="12">T14/S14</f>
        <v>7.0276281278654262E-2</v>
      </c>
      <c r="X14" s="198">
        <f t="shared" si="1"/>
        <v>1.0189583778118974</v>
      </c>
      <c r="Y14" s="196"/>
      <c r="Z14" s="195">
        <f t="shared" si="2"/>
        <v>31458385.280462097</v>
      </c>
      <c r="AA14" s="195">
        <f t="shared" ref="AA14:AA19" si="13">AB14-Z14</f>
        <v>11327002.107087154</v>
      </c>
      <c r="AB14" s="195">
        <f t="shared" ref="AB14:AB19" si="14">U14</f>
        <v>42785387.387549251</v>
      </c>
      <c r="AC14" s="196"/>
      <c r="AD14" s="197">
        <f t="shared" ref="AD14:AD19" si="15">AA14/Z14</f>
        <v>0.36006304856727755</v>
      </c>
      <c r="AE14" s="199">
        <f t="shared" si="3"/>
        <v>0.81334587819680659</v>
      </c>
      <c r="AF14" s="200"/>
    </row>
    <row r="15" spans="1:36" x14ac:dyDescent="0.25">
      <c r="C15" s="193"/>
      <c r="D15" s="194" t="s">
        <v>178</v>
      </c>
      <c r="E15" s="195">
        <f>'Revenue Spread-Upper Limit'!G7</f>
        <v>2700980.2054416006</v>
      </c>
      <c r="F15" s="195">
        <f t="shared" si="4"/>
        <v>656215.62242223509</v>
      </c>
      <c r="G15" s="195">
        <f>'Revenue Spread-Upper Limit'!G10</f>
        <v>3357195.8278638357</v>
      </c>
      <c r="H15" s="196"/>
      <c r="I15" s="197">
        <f t="shared" si="5"/>
        <v>0.24295462110391372</v>
      </c>
      <c r="J15" s="198">
        <f t="shared" si="0"/>
        <v>1.0000000000000002</v>
      </c>
      <c r="K15" s="196"/>
      <c r="L15" s="195">
        <f t="shared" si="6"/>
        <v>3357195.8278638357</v>
      </c>
      <c r="M15" s="195">
        <f t="shared" si="7"/>
        <v>294020.83785491483</v>
      </c>
      <c r="N15" s="195">
        <f>'Revenue Spread-Upper Limit'!G13</f>
        <v>3651216.6657187506</v>
      </c>
      <c r="O15" s="196"/>
      <c r="P15" s="197">
        <f t="shared" si="8"/>
        <v>8.7579293234734706E-2</v>
      </c>
      <c r="Q15" s="198">
        <f t="shared" si="9"/>
        <v>1.0206187391415402</v>
      </c>
      <c r="R15" s="196"/>
      <c r="S15" s="195">
        <f t="shared" si="10"/>
        <v>3651216.6657187506</v>
      </c>
      <c r="T15" s="195">
        <f t="shared" si="11"/>
        <v>256593.92940936098</v>
      </c>
      <c r="U15" s="195">
        <f>'Revenue Spread-Upper Limit'!G16</f>
        <v>3907810.5951281115</v>
      </c>
      <c r="V15" s="196"/>
      <c r="W15" s="197">
        <f t="shared" si="12"/>
        <v>7.0276281278654235E-2</v>
      </c>
      <c r="X15" s="198">
        <f t="shared" si="1"/>
        <v>1.0189583778118971</v>
      </c>
      <c r="Y15" s="196"/>
      <c r="Z15" s="195">
        <f t="shared" si="2"/>
        <v>2700980.2054416006</v>
      </c>
      <c r="AA15" s="195">
        <f t="shared" si="13"/>
        <v>1206830.3896865109</v>
      </c>
      <c r="AB15" s="195">
        <f t="shared" si="14"/>
        <v>3907810.5951281115</v>
      </c>
      <c r="AC15" s="196"/>
      <c r="AD15" s="197">
        <f t="shared" si="15"/>
        <v>0.44681200819433564</v>
      </c>
      <c r="AE15" s="199">
        <f t="shared" si="3"/>
        <v>1.0093029724648273</v>
      </c>
      <c r="AF15" s="200"/>
    </row>
    <row r="16" spans="1:36" x14ac:dyDescent="0.25">
      <c r="C16" s="193"/>
      <c r="D16" s="194" t="s">
        <v>179</v>
      </c>
      <c r="E16" s="195">
        <f>'Revenue Spread-Upper Limit'!H7</f>
        <v>2740306.8195457892</v>
      </c>
      <c r="F16" s="195">
        <f t="shared" si="4"/>
        <v>665770.20505121769</v>
      </c>
      <c r="G16" s="195">
        <f>'Revenue Spread-Upper Limit'!H10</f>
        <v>3406077.0245970068</v>
      </c>
      <c r="H16" s="196"/>
      <c r="I16" s="197">
        <f t="shared" si="5"/>
        <v>0.24295462110391358</v>
      </c>
      <c r="J16" s="198">
        <f t="shared" si="0"/>
        <v>0.99999999999999956</v>
      </c>
      <c r="K16" s="196"/>
      <c r="L16" s="195">
        <f t="shared" si="6"/>
        <v>3406077.0245970068</v>
      </c>
      <c r="M16" s="195">
        <f t="shared" si="7"/>
        <v>298301.81851727422</v>
      </c>
      <c r="N16" s="195">
        <f>'Revenue Spread-Upper Limit'!H13</f>
        <v>3704378.8431142811</v>
      </c>
      <c r="O16" s="196"/>
      <c r="P16" s="197">
        <f t="shared" si="8"/>
        <v>8.757929323473479E-2</v>
      </c>
      <c r="Q16" s="198">
        <f t="shared" si="9"/>
        <v>1.0206187391415411</v>
      </c>
      <c r="R16" s="196"/>
      <c r="S16" s="195">
        <f t="shared" si="10"/>
        <v>3704378.8431142811</v>
      </c>
      <c r="T16" s="195">
        <f t="shared" si="11"/>
        <v>260329.96954139508</v>
      </c>
      <c r="U16" s="195">
        <f>'Revenue Spread-Upper Limit'!H16</f>
        <v>3964708.8126556762</v>
      </c>
      <c r="V16" s="196"/>
      <c r="W16" s="197">
        <f t="shared" si="12"/>
        <v>7.0276281278654262E-2</v>
      </c>
      <c r="X16" s="198">
        <f t="shared" si="1"/>
        <v>1.0189583778118974</v>
      </c>
      <c r="Y16" s="196"/>
      <c r="Z16" s="195">
        <f t="shared" si="2"/>
        <v>2740306.8195457892</v>
      </c>
      <c r="AA16" s="195">
        <f t="shared" si="13"/>
        <v>1224401.993109887</v>
      </c>
      <c r="AB16" s="195">
        <f t="shared" si="14"/>
        <v>3964708.8126556762</v>
      </c>
      <c r="AC16" s="196"/>
      <c r="AD16" s="197">
        <f t="shared" si="15"/>
        <v>0.44681200819433564</v>
      </c>
      <c r="AE16" s="199">
        <f t="shared" si="3"/>
        <v>1.0093029724648273</v>
      </c>
      <c r="AF16" s="200"/>
    </row>
    <row r="17" spans="3:32" x14ac:dyDescent="0.25">
      <c r="C17" s="193"/>
      <c r="D17" s="194" t="s">
        <v>180</v>
      </c>
      <c r="E17" s="195">
        <f>'Revenue Spread-Upper Limit'!I7</f>
        <v>166822.89697999999</v>
      </c>
      <c r="F17" s="195">
        <f t="shared" si="4"/>
        <v>46609.952786318085</v>
      </c>
      <c r="G17" s="195">
        <f>'Revenue Spread-Upper Limit'!I10</f>
        <v>213432.84976631808</v>
      </c>
      <c r="H17" s="196"/>
      <c r="I17" s="197">
        <f t="shared" si="5"/>
        <v>0.27939781426950067</v>
      </c>
      <c r="J17" s="198">
        <f t="shared" si="0"/>
        <v>1.1499999999999997</v>
      </c>
      <c r="K17" s="196"/>
      <c r="L17" s="195">
        <f t="shared" si="6"/>
        <v>213432.84976631808</v>
      </c>
      <c r="M17" s="195">
        <f t="shared" si="7"/>
        <v>18692.298135609453</v>
      </c>
      <c r="N17" s="195">
        <f>'Revenue Spread-Upper Limit'!I13</f>
        <v>232125.14790192753</v>
      </c>
      <c r="O17" s="196"/>
      <c r="P17" s="197">
        <f t="shared" si="8"/>
        <v>8.757929323473472E-2</v>
      </c>
      <c r="Q17" s="198">
        <f t="shared" si="9"/>
        <v>1.0206187391415404</v>
      </c>
      <c r="R17" s="196"/>
      <c r="S17" s="195">
        <f t="shared" si="10"/>
        <v>232125.14790192753</v>
      </c>
      <c r="T17" s="195">
        <f t="shared" si="11"/>
        <v>16312.892185805074</v>
      </c>
      <c r="U17" s="195">
        <f>'Revenue Spread-Upper Limit'!I16</f>
        <v>248438.0400877326</v>
      </c>
      <c r="V17" s="196"/>
      <c r="W17" s="197">
        <f t="shared" si="12"/>
        <v>7.0276281278654235E-2</v>
      </c>
      <c r="X17" s="198">
        <f t="shared" si="1"/>
        <v>1.0189583778118971</v>
      </c>
      <c r="Y17" s="196"/>
      <c r="Z17" s="195">
        <f t="shared" si="2"/>
        <v>166822.89697999999</v>
      </c>
      <c r="AA17" s="195">
        <f t="shared" si="13"/>
        <v>81615.143107732612</v>
      </c>
      <c r="AB17" s="195">
        <f t="shared" si="14"/>
        <v>248438.0400877326</v>
      </c>
      <c r="AC17" s="196"/>
      <c r="AD17" s="197">
        <f t="shared" si="15"/>
        <v>0.48923226118964508</v>
      </c>
      <c r="AE17" s="199">
        <f t="shared" si="3"/>
        <v>1.1051260180761124</v>
      </c>
      <c r="AF17" s="200"/>
    </row>
    <row r="18" spans="3:32" x14ac:dyDescent="0.25">
      <c r="C18" s="193"/>
      <c r="D18" s="194" t="s">
        <v>181</v>
      </c>
      <c r="E18" s="195">
        <f>'Revenue Spread-Upper Limit'!J7</f>
        <v>26475874.907156188</v>
      </c>
      <c r="F18" s="195">
        <f t="shared" si="4"/>
        <v>7397301.579932157</v>
      </c>
      <c r="G18" s="195">
        <f>'Revenue Spread-Upper Limit'!J10</f>
        <v>33873176.487088345</v>
      </c>
      <c r="H18" s="196"/>
      <c r="I18" s="197">
        <f t="shared" si="5"/>
        <v>0.27939781426950061</v>
      </c>
      <c r="J18" s="198">
        <f t="shared" si="0"/>
        <v>1.1499999999999995</v>
      </c>
      <c r="K18" s="196"/>
      <c r="L18" s="195">
        <f t="shared" si="6"/>
        <v>33873176.487088345</v>
      </c>
      <c r="M18" s="195">
        <f t="shared" si="7"/>
        <v>2966588.8563546315</v>
      </c>
      <c r="N18" s="195">
        <f>'Revenue Spread-Upper Limit'!J13</f>
        <v>36839765.343442976</v>
      </c>
      <c r="O18" s="196"/>
      <c r="P18" s="197">
        <f t="shared" si="8"/>
        <v>8.757929323473472E-2</v>
      </c>
      <c r="Q18" s="198">
        <f t="shared" si="9"/>
        <v>1.0206187391415404</v>
      </c>
      <c r="R18" s="196"/>
      <c r="S18" s="195">
        <f t="shared" si="10"/>
        <v>36839765.343442976</v>
      </c>
      <c r="T18" s="195">
        <f t="shared" si="11"/>
        <v>2588961.7115154192</v>
      </c>
      <c r="U18" s="195">
        <f>'Revenue Spread-Upper Limit'!J16</f>
        <v>39428727.054958396</v>
      </c>
      <c r="V18" s="196"/>
      <c r="W18" s="197">
        <f t="shared" si="12"/>
        <v>7.0276281278654304E-2</v>
      </c>
      <c r="X18" s="198">
        <f t="shared" si="1"/>
        <v>1.018958377811898</v>
      </c>
      <c r="Y18" s="196"/>
      <c r="Z18" s="195">
        <f t="shared" si="2"/>
        <v>26475874.907156188</v>
      </c>
      <c r="AA18" s="195">
        <f t="shared" si="13"/>
        <v>12952852.147802208</v>
      </c>
      <c r="AB18" s="195">
        <f t="shared" si="14"/>
        <v>39428727.054958396</v>
      </c>
      <c r="AC18" s="196"/>
      <c r="AD18" s="197">
        <f t="shared" si="15"/>
        <v>0.48923226118964513</v>
      </c>
      <c r="AE18" s="199">
        <f t="shared" si="3"/>
        <v>1.1051260180761127</v>
      </c>
      <c r="AF18" s="200"/>
    </row>
    <row r="19" spans="3:32" x14ac:dyDescent="0.25">
      <c r="C19" s="193"/>
      <c r="D19" s="194" t="s">
        <v>182</v>
      </c>
      <c r="E19" s="195">
        <f>'Revenue Spread-Upper Limit'!K7</f>
        <v>3148002.3499999996</v>
      </c>
      <c r="F19" s="195">
        <f t="shared" si="4"/>
        <v>0</v>
      </c>
      <c r="G19" s="195">
        <f>'Revenue Spread-Upper Limit'!K10</f>
        <v>3148002.3499999996</v>
      </c>
      <c r="H19" s="196"/>
      <c r="I19" s="197">
        <f t="shared" si="5"/>
        <v>0</v>
      </c>
      <c r="J19" s="198">
        <f t="shared" si="0"/>
        <v>0</v>
      </c>
      <c r="K19" s="196"/>
      <c r="L19" s="195">
        <f t="shared" si="6"/>
        <v>3148002.3499999996</v>
      </c>
      <c r="M19" s="195">
        <f t="shared" si="7"/>
        <v>0</v>
      </c>
      <c r="N19" s="195">
        <f>'Revenue Spread-Upper Limit'!K13</f>
        <v>3148002.3499999996</v>
      </c>
      <c r="O19" s="196"/>
      <c r="P19" s="197">
        <f t="shared" si="8"/>
        <v>0</v>
      </c>
      <c r="Q19" s="198">
        <f t="shared" si="9"/>
        <v>0</v>
      </c>
      <c r="R19" s="196"/>
      <c r="S19" s="195">
        <f t="shared" si="10"/>
        <v>3148002.3499999996</v>
      </c>
      <c r="T19" s="195">
        <f t="shared" si="11"/>
        <v>0</v>
      </c>
      <c r="U19" s="195">
        <f>'Revenue Spread-Upper Limit'!K16</f>
        <v>3148002.3499999996</v>
      </c>
      <c r="V19" s="196"/>
      <c r="W19" s="197">
        <f t="shared" si="12"/>
        <v>0</v>
      </c>
      <c r="X19" s="198">
        <f t="shared" si="1"/>
        <v>0</v>
      </c>
      <c r="Y19" s="196"/>
      <c r="Z19" s="195">
        <f t="shared" si="2"/>
        <v>3148002.3499999996</v>
      </c>
      <c r="AA19" s="195">
        <f t="shared" si="13"/>
        <v>0</v>
      </c>
      <c r="AB19" s="195">
        <f t="shared" si="14"/>
        <v>3148002.3499999996</v>
      </c>
      <c r="AC19" s="196"/>
      <c r="AD19" s="197">
        <f t="shared" si="15"/>
        <v>0</v>
      </c>
      <c r="AE19" s="199">
        <f t="shared" si="3"/>
        <v>0</v>
      </c>
      <c r="AF19" s="200"/>
    </row>
    <row r="20" spans="3:32" ht="6" customHeight="1" x14ac:dyDescent="0.25">
      <c r="C20" s="193"/>
      <c r="D20" s="194"/>
      <c r="E20" s="201"/>
      <c r="F20" s="201"/>
      <c r="G20" s="201"/>
      <c r="H20" s="196"/>
      <c r="I20" s="202"/>
      <c r="J20" s="202"/>
      <c r="K20" s="196"/>
      <c r="L20" s="201"/>
      <c r="M20" s="201"/>
      <c r="N20" s="201"/>
      <c r="O20" s="196"/>
      <c r="P20" s="202"/>
      <c r="Q20" s="202"/>
      <c r="R20" s="196"/>
      <c r="S20" s="201"/>
      <c r="T20" s="201"/>
      <c r="U20" s="201"/>
      <c r="V20" s="196"/>
      <c r="W20" s="202"/>
      <c r="X20" s="202"/>
      <c r="Y20" s="196"/>
      <c r="Z20" s="201"/>
      <c r="AA20" s="201"/>
      <c r="AB20" s="201"/>
      <c r="AC20" s="196"/>
      <c r="AD20" s="202"/>
      <c r="AE20" s="202"/>
      <c r="AF20" s="200"/>
    </row>
    <row r="21" spans="3:32" ht="13.5" thickBot="1" x14ac:dyDescent="0.35">
      <c r="C21" s="193"/>
      <c r="D21" s="203" t="s">
        <v>167</v>
      </c>
      <c r="E21" s="204">
        <f>SUM(E13:E19)</f>
        <v>125366415.42627013</v>
      </c>
      <c r="F21" s="204">
        <f>SUM(F13:F19)</f>
        <v>30458349.959045298</v>
      </c>
      <c r="G21" s="204">
        <f>SUM(G13:G19)</f>
        <v>155824765.38531542</v>
      </c>
      <c r="H21" s="203"/>
      <c r="I21" s="205">
        <f>F21/E21</f>
        <v>0.24295462110391369</v>
      </c>
      <c r="J21" s="206">
        <f>I21/$I$21</f>
        <v>1</v>
      </c>
      <c r="K21" s="203"/>
      <c r="L21" s="204">
        <f>SUM(L13:L19)</f>
        <v>155824765.38531542</v>
      </c>
      <c r="M21" s="204">
        <f>SUM(M13:M19)</f>
        <v>13371323.000000002</v>
      </c>
      <c r="N21" s="204">
        <f>SUM(N13:N19)</f>
        <v>169196088.38531545</v>
      </c>
      <c r="O21" s="203"/>
      <c r="P21" s="205">
        <f>M21/L21</f>
        <v>8.5809999244575053E-2</v>
      </c>
      <c r="Q21" s="206">
        <f>P21/$P$21</f>
        <v>1</v>
      </c>
      <c r="R21" s="203"/>
      <c r="S21" s="204">
        <f>SUM(S13:S19)</f>
        <v>169196088.38531545</v>
      </c>
      <c r="T21" s="204">
        <f>SUM(T13:T19)</f>
        <v>11669242.000000013</v>
      </c>
      <c r="U21" s="204">
        <f>SUM(U13:U19)</f>
        <v>180865330.38531545</v>
      </c>
      <c r="V21" s="203"/>
      <c r="W21" s="205">
        <f>T21/S21</f>
        <v>6.8968745739708182E-2</v>
      </c>
      <c r="X21" s="206">
        <f>W21/$W$21</f>
        <v>1</v>
      </c>
      <c r="Y21" s="203"/>
      <c r="Z21" s="204">
        <f>SUM(Z13:Z19)</f>
        <v>125366415.42627013</v>
      </c>
      <c r="AA21" s="204">
        <f>SUM(AA13:AA19)</f>
        <v>55498914.959045306</v>
      </c>
      <c r="AB21" s="204">
        <f>SUM(AB13:AB19)</f>
        <v>180865330.38531545</v>
      </c>
      <c r="AC21" s="203"/>
      <c r="AD21" s="205">
        <f>AA21/Z21</f>
        <v>0.44269364143768675</v>
      </c>
      <c r="AE21" s="206">
        <f>AD21/$AD$21</f>
        <v>1</v>
      </c>
      <c r="AF21" s="200"/>
    </row>
    <row r="22" spans="3:32" ht="6" customHeight="1" thickTop="1" x14ac:dyDescent="0.25">
      <c r="C22" s="207"/>
      <c r="D22" s="208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10"/>
    </row>
    <row r="23" spans="3:32" ht="2.15" customHeight="1" x14ac:dyDescent="0.25">
      <c r="C23" s="211"/>
      <c r="D23" s="212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4"/>
    </row>
    <row r="26" spans="3:32" x14ac:dyDescent="0.25">
      <c r="D26" s="167" t="s">
        <v>189</v>
      </c>
      <c r="G26" s="215"/>
    </row>
    <row r="27" spans="3:32" x14ac:dyDescent="0.25">
      <c r="D27" s="167" t="s">
        <v>184</v>
      </c>
      <c r="G27" s="215"/>
    </row>
    <row r="28" spans="3:32" x14ac:dyDescent="0.25">
      <c r="D28" s="167" t="s">
        <v>185</v>
      </c>
    </row>
    <row r="30" spans="3:32" x14ac:dyDescent="0.25">
      <c r="D30" s="176" t="s">
        <v>188</v>
      </c>
    </row>
    <row r="31" spans="3:32" x14ac:dyDescent="0.25">
      <c r="D31" s="167" t="s">
        <v>196</v>
      </c>
    </row>
    <row r="33" spans="4:30" x14ac:dyDescent="0.25">
      <c r="D33" s="230"/>
      <c r="E33" s="231"/>
      <c r="F33" s="231"/>
      <c r="I33" s="226"/>
      <c r="P33" s="226"/>
      <c r="Q33" s="226"/>
      <c r="R33" s="226"/>
      <c r="S33" s="226"/>
      <c r="T33" s="226"/>
      <c r="U33" s="226"/>
      <c r="V33" s="226"/>
      <c r="W33" s="226"/>
      <c r="AD33" s="226"/>
    </row>
    <row r="34" spans="4:30" x14ac:dyDescent="0.25">
      <c r="D34" s="232"/>
      <c r="E34" s="233"/>
      <c r="F34" s="231"/>
    </row>
    <row r="35" spans="4:30" x14ac:dyDescent="0.25">
      <c r="D35" s="232"/>
      <c r="E35" s="234"/>
      <c r="F35" s="231"/>
    </row>
    <row r="36" spans="4:30" x14ac:dyDescent="0.25">
      <c r="D36" s="232"/>
      <c r="E36" s="235"/>
      <c r="F36" s="231"/>
      <c r="N36" s="215"/>
    </row>
    <row r="37" spans="4:30" x14ac:dyDescent="0.25">
      <c r="D37" s="232"/>
      <c r="E37" s="234"/>
      <c r="F37" s="231"/>
    </row>
    <row r="38" spans="4:30" x14ac:dyDescent="0.25">
      <c r="D38" s="232"/>
      <c r="E38" s="235"/>
      <c r="F38" s="231"/>
      <c r="N38" s="227"/>
    </row>
    <row r="39" spans="4:30" x14ac:dyDescent="0.25">
      <c r="D39" s="232"/>
      <c r="E39" s="234"/>
      <c r="F39" s="231"/>
    </row>
    <row r="40" spans="4:30" x14ac:dyDescent="0.25">
      <c r="D40" s="232"/>
      <c r="E40" s="235"/>
      <c r="F40" s="231"/>
    </row>
    <row r="41" spans="4:30" x14ac:dyDescent="0.25">
      <c r="D41" s="230"/>
      <c r="E41" s="231"/>
      <c r="F41" s="231"/>
    </row>
    <row r="42" spans="4:30" x14ac:dyDescent="0.25">
      <c r="D42" s="230"/>
      <c r="E42" s="231"/>
      <c r="F42" s="231"/>
    </row>
  </sheetData>
  <mergeCells count="4">
    <mergeCell ref="E8:J8"/>
    <mergeCell ref="S8:X8"/>
    <mergeCell ref="Z8:AE8"/>
    <mergeCell ref="L8:Q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BD76-EAAE-4F13-9797-D65FFD58BDEE}">
  <sheetPr>
    <tabColor theme="5" tint="0.39997558519241921"/>
  </sheetPr>
  <dimension ref="A1"/>
  <sheetViews>
    <sheetView workbookViewId="0">
      <selection activeCell="J22" sqref="J22"/>
    </sheetView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9"/>
  <sheetViews>
    <sheetView zoomScaleNormal="100" workbookViewId="0">
      <selection activeCell="O11" sqref="O11"/>
    </sheetView>
  </sheetViews>
  <sheetFormatPr defaultColWidth="9.1796875" defaultRowHeight="14.9" customHeight="1" x14ac:dyDescent="0.35"/>
  <cols>
    <col min="1" max="1" width="0.81640625" style="40" customWidth="1"/>
    <col min="2" max="2" width="34.453125" style="40" customWidth="1"/>
    <col min="3" max="3" width="15.453125" style="40" customWidth="1"/>
    <col min="4" max="5" width="10.54296875" style="40" customWidth="1"/>
    <col min="6" max="6" width="19.1796875" style="40" customWidth="1"/>
    <col min="7" max="7" width="11.54296875" style="40" customWidth="1"/>
    <col min="8" max="8" width="10.54296875" style="40" customWidth="1"/>
    <col min="9" max="9" width="19.26953125" style="40" customWidth="1"/>
    <col min="10" max="10" width="18.81640625" style="40" customWidth="1"/>
    <col min="11" max="11" width="9.54296875" style="40" bestFit="1" customWidth="1"/>
    <col min="12" max="12" width="0.81640625" style="40" customWidth="1"/>
    <col min="13" max="13" width="16.26953125" style="40" customWidth="1"/>
    <col min="14" max="14" width="30" style="40" customWidth="1"/>
    <col min="15" max="15" width="10.1796875" style="40" bestFit="1" customWidth="1"/>
    <col min="16" max="16" width="9.1796875" style="40" customWidth="1"/>
    <col min="17" max="16384" width="9.1796875" style="40"/>
  </cols>
  <sheetData>
    <row r="1" spans="1:14" ht="14.5" x14ac:dyDescent="0.35">
      <c r="L1" s="41"/>
    </row>
    <row r="2" spans="1:14" ht="14.5" x14ac:dyDescent="0.35">
      <c r="A2" s="42" t="s">
        <v>0</v>
      </c>
      <c r="L2" s="41" t="s">
        <v>138</v>
      </c>
    </row>
    <row r="3" spans="1:14" ht="14.5" x14ac:dyDescent="0.35">
      <c r="A3" s="42" t="s">
        <v>1</v>
      </c>
      <c r="L3" s="41" t="s">
        <v>129</v>
      </c>
    </row>
    <row r="4" spans="1:14" ht="14.5" x14ac:dyDescent="0.35">
      <c r="A4" s="42" t="s">
        <v>2</v>
      </c>
      <c r="L4" s="41" t="s">
        <v>3</v>
      </c>
      <c r="M4" s="43" t="s">
        <v>4</v>
      </c>
      <c r="N4" s="44"/>
    </row>
    <row r="5" spans="1:14" ht="14.5" x14ac:dyDescent="0.35">
      <c r="A5" s="42"/>
      <c r="M5" s="45">
        <v>3</v>
      </c>
      <c r="N5" s="46" t="str">
        <f>VLOOKUP(M5,'Revenue Spread-Upper Limit'!B7:C21,2,FALSE)</f>
        <v>Rates Effective March 1, 2025</v>
      </c>
    </row>
    <row r="6" spans="1:14" ht="15" thickBot="1" x14ac:dyDescent="0.4"/>
    <row r="7" spans="1:14" ht="14.5" x14ac:dyDescent="0.35">
      <c r="B7" s="47"/>
      <c r="C7" s="48" t="s">
        <v>5</v>
      </c>
      <c r="D7" s="49"/>
      <c r="E7" s="50"/>
      <c r="F7" s="50"/>
      <c r="G7" s="48" t="s">
        <v>6</v>
      </c>
      <c r="H7" s="50"/>
      <c r="I7" s="51"/>
      <c r="J7" s="49" t="s">
        <v>7</v>
      </c>
      <c r="K7" s="51"/>
    </row>
    <row r="8" spans="1:14" ht="14.5" x14ac:dyDescent="0.35">
      <c r="B8" s="52"/>
      <c r="C8" s="53"/>
      <c r="D8" s="54" t="s">
        <v>8</v>
      </c>
      <c r="E8" s="55"/>
      <c r="F8" s="57"/>
      <c r="G8" s="58" t="s">
        <v>9</v>
      </c>
      <c r="H8" s="55"/>
      <c r="I8" s="59"/>
      <c r="J8" s="53"/>
      <c r="K8" s="60"/>
    </row>
    <row r="9" spans="1:14" ht="15" thickBot="1" x14ac:dyDescent="0.4">
      <c r="B9" s="61" t="s">
        <v>10</v>
      </c>
      <c r="C9" s="62" t="s">
        <v>11</v>
      </c>
      <c r="D9" s="63" t="s">
        <v>12</v>
      </c>
      <c r="E9" s="64" t="s">
        <v>13</v>
      </c>
      <c r="F9" s="66" t="s">
        <v>14</v>
      </c>
      <c r="G9" s="67" t="s">
        <v>12</v>
      </c>
      <c r="H9" s="65" t="s">
        <v>13</v>
      </c>
      <c r="I9" s="68" t="s">
        <v>14</v>
      </c>
      <c r="J9" s="69" t="s">
        <v>15</v>
      </c>
      <c r="K9" s="68" t="s">
        <v>16</v>
      </c>
    </row>
    <row r="10" spans="1:14" ht="14.5" x14ac:dyDescent="0.35">
      <c r="B10" s="70"/>
      <c r="C10" s="71"/>
      <c r="D10" s="71"/>
      <c r="E10" s="71"/>
      <c r="F10" s="71"/>
      <c r="G10" s="72"/>
      <c r="H10" s="71"/>
      <c r="I10" s="73"/>
      <c r="J10" s="71"/>
      <c r="K10" s="74"/>
    </row>
    <row r="11" spans="1:14" ht="16" x14ac:dyDescent="0.5">
      <c r="B11" s="75" t="s">
        <v>17</v>
      </c>
      <c r="G11" s="76"/>
      <c r="I11" s="77"/>
      <c r="K11" s="78"/>
    </row>
    <row r="12" spans="1:14" ht="14.5" x14ac:dyDescent="0.35">
      <c r="B12" s="79" t="s">
        <v>18</v>
      </c>
      <c r="C12" s="12">
        <v>2497104</v>
      </c>
      <c r="D12" s="11">
        <v>5</v>
      </c>
      <c r="E12" s="11"/>
      <c r="F12" s="3">
        <f>C12*D12</f>
        <v>12485520</v>
      </c>
      <c r="G12" s="19">
        <v>10</v>
      </c>
      <c r="H12" s="11"/>
      <c r="I12" s="7">
        <f>ROUND(C12*G12,2)</f>
        <v>24971040</v>
      </c>
      <c r="J12" s="3">
        <f>ROUND(I12-F12,2)</f>
        <v>12485520</v>
      </c>
      <c r="K12" s="5">
        <f>J12/F12</f>
        <v>1</v>
      </c>
    </row>
    <row r="13" spans="1:14" ht="14.5" x14ac:dyDescent="0.35">
      <c r="B13" s="79" t="s">
        <v>19</v>
      </c>
      <c r="C13" s="12">
        <v>132185006.73470671</v>
      </c>
      <c r="D13" s="4">
        <v>0.33950999999999998</v>
      </c>
      <c r="E13" s="4">
        <v>1.7690000000000001E-2</v>
      </c>
      <c r="F13" s="3">
        <f>C13*(D13+E13)</f>
        <v>47216484.405637234</v>
      </c>
      <c r="G13" s="10">
        <f>ROUNDDOWN((M15-I12)/C13,5)</f>
        <v>0.42874000000000001</v>
      </c>
      <c r="H13" s="4">
        <v>0</v>
      </c>
      <c r="I13" s="7">
        <f>ROUND(C13*G13,2)</f>
        <v>56672999.789999999</v>
      </c>
      <c r="J13" s="3">
        <f>ROUND(I13-F13,2)</f>
        <v>9456515.3800000008</v>
      </c>
      <c r="K13" s="5">
        <f>J13/F13</f>
        <v>0.20027995516902516</v>
      </c>
    </row>
    <row r="14" spans="1:14" ht="16.5" thickBot="1" x14ac:dyDescent="0.55000000000000004">
      <c r="B14" s="79" t="s">
        <v>20</v>
      </c>
      <c r="C14" s="12"/>
      <c r="D14" s="20"/>
      <c r="E14" s="20"/>
      <c r="F14" s="39"/>
      <c r="G14" s="21"/>
      <c r="H14" s="22"/>
      <c r="I14" s="7">
        <f>M16</f>
        <v>538.97291633486748</v>
      </c>
      <c r="J14" s="3">
        <f>ROUND(I14-F14,2)</f>
        <v>538.97</v>
      </c>
      <c r="K14" s="80"/>
      <c r="M14" s="81">
        <f>SUM(I12:I13)</f>
        <v>81644039.789999992</v>
      </c>
    </row>
    <row r="15" spans="1:14" ht="16.5" thickBot="1" x14ac:dyDescent="0.55000000000000004">
      <c r="B15" s="82" t="str">
        <f>"Total "&amp;RIGHT(B11,3)&amp;" Revenue"</f>
        <v>Total 503 Revenue</v>
      </c>
      <c r="C15" s="23"/>
      <c r="D15" s="23"/>
      <c r="E15" s="23"/>
      <c r="F15" s="9">
        <f>SUM(F12:F14)</f>
        <v>59702004.405637234</v>
      </c>
      <c r="G15" s="24"/>
      <c r="H15" s="25"/>
      <c r="I15" s="9">
        <f>SUM(I12:I14)</f>
        <v>81644578.762916327</v>
      </c>
      <c r="J15" s="83">
        <f>SUM(J12:J14)</f>
        <v>21942574.350000001</v>
      </c>
      <c r="K15" s="5">
        <f>J15/F15</f>
        <v>0.36753496919323064</v>
      </c>
      <c r="M15" s="84">
        <f>CHOOSE($M$5,'Revenue Spread-Upper Limit'!$E$7,'Revenue Spread-Upper Limit'!$E$10,'Revenue Spread-Upper Limit'!$E$13,'Revenue Spread-Upper Limit'!$E$16,'Revenue Spread-Upper Limit'!$E$21)</f>
        <v>81644578.762916327</v>
      </c>
      <c r="N15" s="85" t="s">
        <v>21</v>
      </c>
    </row>
    <row r="16" spans="1:14" ht="17" thickTop="1" thickBot="1" x14ac:dyDescent="0.55000000000000004">
      <c r="B16" s="82"/>
      <c r="C16" s="26"/>
      <c r="D16" s="26"/>
      <c r="E16" s="26"/>
      <c r="F16" s="26"/>
      <c r="G16" s="27"/>
      <c r="H16" s="28"/>
      <c r="I16" s="32"/>
      <c r="J16" s="26"/>
      <c r="K16" s="5"/>
      <c r="M16" s="86">
        <f>M15-M14</f>
        <v>538.97291633486748</v>
      </c>
      <c r="N16" s="87" t="s">
        <v>20</v>
      </c>
    </row>
    <row r="17" spans="2:14" ht="14.5" x14ac:dyDescent="0.35">
      <c r="B17" s="70"/>
      <c r="C17" s="71"/>
      <c r="D17" s="71"/>
      <c r="E17" s="71"/>
      <c r="F17" s="71"/>
      <c r="G17" s="72"/>
      <c r="H17" s="71"/>
      <c r="I17" s="73"/>
      <c r="J17" s="71"/>
      <c r="K17" s="74"/>
    </row>
    <row r="18" spans="2:14" ht="16" x14ac:dyDescent="0.5">
      <c r="B18" s="75" t="s">
        <v>22</v>
      </c>
      <c r="G18" s="76"/>
      <c r="I18" s="77"/>
      <c r="K18" s="78"/>
    </row>
    <row r="19" spans="2:14" ht="14.5" x14ac:dyDescent="0.35">
      <c r="B19" s="79" t="s">
        <v>18</v>
      </c>
      <c r="C19" s="12">
        <v>337224</v>
      </c>
      <c r="D19" s="11">
        <v>13</v>
      </c>
      <c r="E19" s="11"/>
      <c r="F19" s="3">
        <f>C19*D19</f>
        <v>4383912</v>
      </c>
      <c r="G19" s="19">
        <v>20</v>
      </c>
      <c r="H19" s="11"/>
      <c r="I19" s="7">
        <f>ROUND(C19*G19,2)</f>
        <v>6744480</v>
      </c>
      <c r="J19" s="3">
        <f>ROUND(I19-F19,2)</f>
        <v>2360568</v>
      </c>
      <c r="K19" s="5">
        <f>J19/F19</f>
        <v>0.53846153846153844</v>
      </c>
    </row>
    <row r="20" spans="2:14" ht="14.5" x14ac:dyDescent="0.35">
      <c r="B20" s="79" t="s">
        <v>19</v>
      </c>
      <c r="C20" s="12">
        <v>93408944.747611403</v>
      </c>
      <c r="D20" s="4">
        <v>0.28432000000000002</v>
      </c>
      <c r="E20" s="4">
        <v>1.0959999999999999E-2</v>
      </c>
      <c r="F20" s="3">
        <f>C20*(D20+E20)</f>
        <v>27581793.205074698</v>
      </c>
      <c r="G20" s="10">
        <f>ROUND((M22-I19)/C20,5)</f>
        <v>0.35576000000000002</v>
      </c>
      <c r="H20" s="4">
        <v>0</v>
      </c>
      <c r="I20" s="7">
        <f>ROUND(C20*G20,2)</f>
        <v>33231166.18</v>
      </c>
      <c r="J20" s="3">
        <f>ROUND(I20-F20,2)</f>
        <v>5649372.9699999997</v>
      </c>
      <c r="K20" s="5">
        <f>J20/F20</f>
        <v>0.20482254101450473</v>
      </c>
    </row>
    <row r="21" spans="2:14" ht="16.5" thickBot="1" x14ac:dyDescent="0.55000000000000004">
      <c r="B21" s="79" t="s">
        <v>20</v>
      </c>
      <c r="C21" s="12"/>
      <c r="D21" s="20"/>
      <c r="E21" s="20"/>
      <c r="F21" s="39"/>
      <c r="G21" s="21"/>
      <c r="H21" s="22"/>
      <c r="I21" s="7">
        <f>M23</f>
        <v>375.09222117066383</v>
      </c>
      <c r="J21" s="3">
        <f>ROUND(I21-F21,2)</f>
        <v>375.09</v>
      </c>
      <c r="K21" s="80"/>
      <c r="M21" s="81">
        <f>SUM(I19:I20)</f>
        <v>39975646.18</v>
      </c>
    </row>
    <row r="22" spans="2:14" ht="16.5" thickBot="1" x14ac:dyDescent="0.55000000000000004">
      <c r="B22" s="82" t="str">
        <f>"Total "&amp;RIGHT(B18,3)&amp;" Revenue"</f>
        <v>Total 504 Revenue</v>
      </c>
      <c r="C22" s="23"/>
      <c r="D22" s="23"/>
      <c r="E22" s="23"/>
      <c r="F22" s="9">
        <f>SUM(F19:F21)</f>
        <v>31965705.205074698</v>
      </c>
      <c r="G22" s="24"/>
      <c r="H22" s="25"/>
      <c r="I22" s="9">
        <f>SUM(I19:I21)</f>
        <v>39976021.27222117</v>
      </c>
      <c r="J22" s="83">
        <f>ROUND(I22-F22,2)</f>
        <v>8010316.0700000003</v>
      </c>
      <c r="K22" s="5">
        <f>J22/F22</f>
        <v>0.25059093858903281</v>
      </c>
      <c r="M22" s="84">
        <f>CHOOSE($M$5,'Revenue Spread-Upper Limit'!$F$7,'Revenue Spread-Upper Limit'!$F$10,'Revenue Spread-Upper Limit'!$F$13,'Revenue Spread-Upper Limit'!$F$16,'Revenue Spread-Upper Limit'!$F$21)</f>
        <v>39976021.27222117</v>
      </c>
      <c r="N22" s="85" t="s">
        <v>21</v>
      </c>
    </row>
    <row r="23" spans="2:14" ht="17" thickTop="1" thickBot="1" x14ac:dyDescent="0.55000000000000004">
      <c r="B23" s="82"/>
      <c r="C23" s="26"/>
      <c r="D23" s="26"/>
      <c r="E23" s="26"/>
      <c r="F23" s="26"/>
      <c r="G23" s="27"/>
      <c r="H23" s="28"/>
      <c r="I23" s="32"/>
      <c r="J23" s="26"/>
      <c r="K23" s="5"/>
      <c r="M23" s="86">
        <f>M22-M21</f>
        <v>375.09222117066383</v>
      </c>
      <c r="N23" s="87" t="s">
        <v>20</v>
      </c>
    </row>
    <row r="24" spans="2:14" ht="14.5" x14ac:dyDescent="0.35">
      <c r="B24" s="70"/>
      <c r="C24" s="71"/>
      <c r="D24" s="71"/>
      <c r="E24" s="71"/>
      <c r="F24" s="71"/>
      <c r="G24" s="72"/>
      <c r="H24" s="71"/>
      <c r="I24" s="73"/>
      <c r="J24" s="71"/>
      <c r="K24" s="74"/>
    </row>
    <row r="25" spans="2:14" ht="16" x14ac:dyDescent="0.5">
      <c r="B25" s="75" t="s">
        <v>23</v>
      </c>
      <c r="G25" s="76"/>
      <c r="I25" s="77"/>
      <c r="K25" s="78"/>
    </row>
    <row r="26" spans="2:14" ht="14.5" x14ac:dyDescent="0.35">
      <c r="B26" s="79" t="s">
        <v>18</v>
      </c>
      <c r="C26" s="12">
        <v>6024</v>
      </c>
      <c r="D26" s="11">
        <v>60</v>
      </c>
      <c r="E26" s="11"/>
      <c r="F26" s="3">
        <f>C26*D26</f>
        <v>361440</v>
      </c>
      <c r="G26" s="19">
        <v>100</v>
      </c>
      <c r="H26" s="11"/>
      <c r="I26" s="7">
        <f>ROUND(C26*G26,2)</f>
        <v>602400</v>
      </c>
      <c r="J26" s="3">
        <f>ROUND(I26-F26,2)</f>
        <v>240960</v>
      </c>
      <c r="K26" s="5">
        <f>J26/F26</f>
        <v>0.66666666666666663</v>
      </c>
    </row>
    <row r="27" spans="2:14" ht="14.5" x14ac:dyDescent="0.35">
      <c r="B27" s="79" t="s">
        <v>24</v>
      </c>
      <c r="C27" s="12">
        <v>1811857.8420438562</v>
      </c>
      <c r="D27" s="4">
        <v>0.21929000000000001</v>
      </c>
      <c r="E27" s="4">
        <v>9.1500000000000001E-3</v>
      </c>
      <c r="F27" s="3">
        <f>C27*(D27+E27)</f>
        <v>413900.80543649849</v>
      </c>
      <c r="G27" s="10">
        <f>ROUND((M31-I26)*N27/C27,5)</f>
        <v>0.29291</v>
      </c>
      <c r="H27" s="4">
        <v>0</v>
      </c>
      <c r="I27" s="7">
        <f>ROUND(C27*G27,2)</f>
        <v>530711.28</v>
      </c>
      <c r="J27" s="3">
        <f>ROUND(I27-F27,2)</f>
        <v>116810.47</v>
      </c>
      <c r="K27" s="5">
        <f>J27/F27</f>
        <v>0.28221851338707121</v>
      </c>
      <c r="M27" s="88">
        <f>(D27+E27)/G27</f>
        <v>0.77989826226485948</v>
      </c>
      <c r="N27" s="89">
        <f>F27/SUM($F$27:$F$29)</f>
        <v>0.1740734990911596</v>
      </c>
    </row>
    <row r="28" spans="2:14" ht="14.5" x14ac:dyDescent="0.35">
      <c r="B28" s="79" t="s">
        <v>25</v>
      </c>
      <c r="C28" s="12">
        <v>5728797.3083692556</v>
      </c>
      <c r="D28" s="4">
        <v>0.17998</v>
      </c>
      <c r="E28" s="4">
        <f>E27</f>
        <v>9.1500000000000001E-3</v>
      </c>
      <c r="F28" s="3">
        <f>C28*(D28+E28)</f>
        <v>1083487.4349318773</v>
      </c>
      <c r="G28" s="10">
        <f>ROUND((M31-I26)*N28/C28,5)</f>
        <v>0.24251</v>
      </c>
      <c r="H28" s="4">
        <v>0</v>
      </c>
      <c r="I28" s="7">
        <f>ROUND(C28*G28,2)</f>
        <v>1389290.64</v>
      </c>
      <c r="J28" s="3">
        <f>ROUND(I28-F28,2)</f>
        <v>305803.21000000002</v>
      </c>
      <c r="K28" s="5">
        <f>J28/F28</f>
        <v>0.28223973822015475</v>
      </c>
      <c r="M28" s="88">
        <f>(D28+E28)/G28</f>
        <v>0.77988536555193599</v>
      </c>
      <c r="N28" s="89">
        <f>F28/SUM($F$27:$F$29)</f>
        <v>0.45568031408151821</v>
      </c>
    </row>
    <row r="29" spans="2:14" ht="14.5" x14ac:dyDescent="0.35">
      <c r="B29" s="79" t="s">
        <v>26</v>
      </c>
      <c r="C29" s="12">
        <v>4805653.3912666403</v>
      </c>
      <c r="D29" s="4">
        <v>0.17404</v>
      </c>
      <c r="E29" s="4">
        <f>E27</f>
        <v>9.1500000000000001E-3</v>
      </c>
      <c r="F29" s="3">
        <f>C29*(D29+E29)</f>
        <v>880347.6447461358</v>
      </c>
      <c r="G29" s="10">
        <f>ROUND((M31-I26)*N29/C29,5)</f>
        <v>0.23488999999999999</v>
      </c>
      <c r="H29" s="4">
        <v>0</v>
      </c>
      <c r="I29" s="7">
        <f>ROUND(C29*G29,2)</f>
        <v>1128799.93</v>
      </c>
      <c r="J29" s="3">
        <f>ROUND(I29-F29,2)</f>
        <v>248452.29</v>
      </c>
      <c r="K29" s="5">
        <f>J29/F29</f>
        <v>0.28222065621774423</v>
      </c>
      <c r="M29" s="88">
        <f>(D29+E29)/G29</f>
        <v>0.77989697305121541</v>
      </c>
      <c r="N29" s="89">
        <f>F29/SUM($F$27:$F$29)</f>
        <v>0.37024618682732224</v>
      </c>
    </row>
    <row r="30" spans="2:14" ht="16.5" thickBot="1" x14ac:dyDescent="0.55000000000000004">
      <c r="B30" s="79" t="s">
        <v>20</v>
      </c>
      <c r="C30" s="12"/>
      <c r="D30" s="20"/>
      <c r="E30" s="20"/>
      <c r="F30" s="39"/>
      <c r="G30" s="21"/>
      <c r="H30" s="22"/>
      <c r="I30" s="7">
        <f>M32</f>
        <v>14.815718750935048</v>
      </c>
      <c r="J30" s="3">
        <f>ROUND(I30-F30,2)</f>
        <v>14.82</v>
      </c>
      <c r="K30" s="80"/>
      <c r="M30" s="81">
        <f>SUM(I26:I29)</f>
        <v>3651201.8499999996</v>
      </c>
    </row>
    <row r="31" spans="2:14" ht="16.5" thickBot="1" x14ac:dyDescent="0.55000000000000004">
      <c r="B31" s="82" t="str">
        <f>"Total "&amp;RIGHT(B25,3)&amp;" Revenue"</f>
        <v>Total 505 Revenue</v>
      </c>
      <c r="C31" s="29"/>
      <c r="D31" s="26"/>
      <c r="E31" s="23"/>
      <c r="F31" s="9">
        <f>SUM(F26:F30)</f>
        <v>2739175.8851145115</v>
      </c>
      <c r="G31" s="24"/>
      <c r="H31" s="25"/>
      <c r="I31" s="9">
        <f>SUM(I26:I30)</f>
        <v>3651216.6657187506</v>
      </c>
      <c r="J31" s="83">
        <f>SUM(J26:J30)</f>
        <v>912040.78999999992</v>
      </c>
      <c r="K31" s="5">
        <f>J31/F31</f>
        <v>0.33296174771262343</v>
      </c>
      <c r="M31" s="84">
        <f>CHOOSE($M$5,'Revenue Spread-Upper Limit'!$G$7,'Revenue Spread-Upper Limit'!$G$10,'Revenue Spread-Upper Limit'!$G$13,'Revenue Spread-Upper Limit'!$G$16,'Revenue Spread-Upper Limit'!$G$21)</f>
        <v>3651216.6657187506</v>
      </c>
      <c r="N31" s="85" t="s">
        <v>21</v>
      </c>
    </row>
    <row r="32" spans="2:14" ht="17" thickTop="1" thickBot="1" x14ac:dyDescent="0.55000000000000004">
      <c r="B32" s="82"/>
      <c r="C32" s="26"/>
      <c r="D32" s="26"/>
      <c r="E32" s="26"/>
      <c r="F32" s="26"/>
      <c r="G32" s="27"/>
      <c r="H32" s="28"/>
      <c r="I32" s="32"/>
      <c r="J32" s="26"/>
      <c r="K32" s="5"/>
      <c r="M32" s="86">
        <f>M31-M30</f>
        <v>14.815718750935048</v>
      </c>
      <c r="N32" s="87" t="s">
        <v>20</v>
      </c>
    </row>
    <row r="33" spans="2:14" ht="14.5" x14ac:dyDescent="0.35">
      <c r="B33" s="70"/>
      <c r="C33" s="71"/>
      <c r="D33" s="71"/>
      <c r="E33" s="71"/>
      <c r="F33" s="71"/>
      <c r="G33" s="72"/>
      <c r="H33" s="71"/>
      <c r="I33" s="73"/>
      <c r="J33" s="71"/>
      <c r="K33" s="74"/>
    </row>
    <row r="34" spans="2:14" ht="16" x14ac:dyDescent="0.5">
      <c r="B34" s="75" t="s">
        <v>27</v>
      </c>
      <c r="G34" s="76"/>
      <c r="I34" s="77"/>
      <c r="K34" s="78"/>
    </row>
    <row r="35" spans="2:14" ht="14.5" x14ac:dyDescent="0.35">
      <c r="B35" s="79" t="s">
        <v>18</v>
      </c>
      <c r="C35" s="12">
        <v>1188</v>
      </c>
      <c r="D35" s="11">
        <v>125</v>
      </c>
      <c r="E35" s="11"/>
      <c r="F35" s="3">
        <f>C35*D35</f>
        <v>148500</v>
      </c>
      <c r="G35" s="19">
        <v>250</v>
      </c>
      <c r="H35" s="11"/>
      <c r="I35" s="7">
        <f>ROUND(C35*G35,2)</f>
        <v>297000</v>
      </c>
      <c r="J35" s="3">
        <f t="shared" ref="J35:J40" si="0">ROUND(I35-F35,2)</f>
        <v>148500</v>
      </c>
      <c r="K35" s="5">
        <f>IFERROR(J35/F35,"")</f>
        <v>1</v>
      </c>
    </row>
    <row r="36" spans="2:14" ht="14.5" x14ac:dyDescent="0.35">
      <c r="B36" s="79" t="s">
        <v>28</v>
      </c>
      <c r="C36" s="12">
        <v>9861038.8412244879</v>
      </c>
      <c r="D36" s="4">
        <v>0.17424000000000001</v>
      </c>
      <c r="E36" s="4">
        <v>5.4099999999999999E-3</v>
      </c>
      <c r="F36" s="3">
        <f>C36*(D36+E36)</f>
        <v>1771535.6278259794</v>
      </c>
      <c r="G36" s="10">
        <f>ROUND((M40-I35)*N36/C36,5)</f>
        <v>0.23618</v>
      </c>
      <c r="H36" s="4">
        <v>0</v>
      </c>
      <c r="I36" s="7">
        <f>ROUND(C36*G36,2)</f>
        <v>2328980.15</v>
      </c>
      <c r="J36" s="3">
        <f t="shared" si="0"/>
        <v>557444.52</v>
      </c>
      <c r="K36" s="5">
        <f>J36/F36</f>
        <v>0.31466740563614487</v>
      </c>
      <c r="N36" s="89">
        <f>F36/SUM($F$36:$F$38)</f>
        <v>0.68351376131359931</v>
      </c>
    </row>
    <row r="37" spans="2:14" ht="14.5" x14ac:dyDescent="0.35">
      <c r="B37" s="79" t="s">
        <v>29</v>
      </c>
      <c r="C37" s="12">
        <v>5346794.8493877547</v>
      </c>
      <c r="D37" s="4">
        <v>0.13550999999999999</v>
      </c>
      <c r="E37" s="4">
        <f>E36</f>
        <v>5.4099999999999999E-3</v>
      </c>
      <c r="F37" s="3">
        <f>C37*(D37+E37)</f>
        <v>753470.33017572237</v>
      </c>
      <c r="G37" s="10">
        <f>ROUND((M40-I35)*N37/C37,5)</f>
        <v>0.18526000000000001</v>
      </c>
      <c r="H37" s="4">
        <v>0</v>
      </c>
      <c r="I37" s="7">
        <f>ROUND(C37*G37,2)</f>
        <v>990547.21</v>
      </c>
      <c r="J37" s="3">
        <f t="shared" si="0"/>
        <v>237076.88</v>
      </c>
      <c r="K37" s="5">
        <f>J37/F37</f>
        <v>0.3146466031976462</v>
      </c>
      <c r="N37" s="89">
        <f>F37/SUM($F$36:$F$38)</f>
        <v>0.29071238044962283</v>
      </c>
    </row>
    <row r="38" spans="2:14" ht="14.5" x14ac:dyDescent="0.35">
      <c r="B38" s="79" t="s">
        <v>30</v>
      </c>
      <c r="C38" s="12">
        <v>1480843.7495918367</v>
      </c>
      <c r="D38" s="4">
        <v>3.9699999999999999E-2</v>
      </c>
      <c r="E38" s="4">
        <f>E36</f>
        <v>5.4099999999999999E-3</v>
      </c>
      <c r="F38" s="3">
        <f>C38*(D38+E38)</f>
        <v>66800.861544087747</v>
      </c>
      <c r="G38" s="10">
        <f>ROUND((M40-I35)*N38/C38,5)</f>
        <v>5.9299999999999999E-2</v>
      </c>
      <c r="H38" s="4">
        <v>0</v>
      </c>
      <c r="I38" s="7">
        <f>ROUND(C38*G38,2)</f>
        <v>87814.03</v>
      </c>
      <c r="J38" s="3">
        <f t="shared" si="0"/>
        <v>21013.17</v>
      </c>
      <c r="K38" s="5">
        <f>J38/F38</f>
        <v>0.31456435612183781</v>
      </c>
      <c r="N38" s="89">
        <f>F38/SUM($F$36:$F$38)</f>
        <v>2.5773858236778045E-2</v>
      </c>
    </row>
    <row r="39" spans="2:14" ht="16.5" thickBot="1" x14ac:dyDescent="0.55000000000000004">
      <c r="B39" s="79" t="s">
        <v>20</v>
      </c>
      <c r="C39" s="12"/>
      <c r="D39" s="20"/>
      <c r="E39" s="20"/>
      <c r="F39" s="39"/>
      <c r="G39" s="21"/>
      <c r="H39" s="22"/>
      <c r="I39" s="7">
        <f>M41</f>
        <v>37.453114281408489</v>
      </c>
      <c r="J39" s="3">
        <f t="shared" si="0"/>
        <v>37.450000000000003</v>
      </c>
      <c r="K39" s="80"/>
      <c r="M39" s="81">
        <f>SUM(I35:I38)</f>
        <v>3704341.3899999997</v>
      </c>
    </row>
    <row r="40" spans="2:14" ht="16.5" thickBot="1" x14ac:dyDescent="0.55000000000000004">
      <c r="B40" s="82" t="str">
        <f>"Total "&amp;RIGHT(B34,3)&amp;" Revenue"</f>
        <v>Total 511 Revenue</v>
      </c>
      <c r="C40" s="29"/>
      <c r="D40" s="23"/>
      <c r="E40" s="23"/>
      <c r="F40" s="9">
        <f>SUM(F35:F39)</f>
        <v>2740306.8195457892</v>
      </c>
      <c r="G40" s="24"/>
      <c r="H40" s="25"/>
      <c r="I40" s="9">
        <f>SUM(I35:I39)</f>
        <v>3704378.8431142811</v>
      </c>
      <c r="J40" s="83">
        <f t="shared" si="0"/>
        <v>964072.02</v>
      </c>
      <c r="K40" s="5">
        <f>J40/F40</f>
        <v>0.35181170704081843</v>
      </c>
      <c r="M40" s="84">
        <f>CHOOSE($M$5,'Revenue Spread-Upper Limit'!$H$7,'Revenue Spread-Upper Limit'!$H$10,'Revenue Spread-Upper Limit'!$H$13,'Revenue Spread-Upper Limit'!$H$16,'Revenue Spread-Upper Limit'!$H$21)</f>
        <v>3704378.8431142811</v>
      </c>
      <c r="N40" s="85" t="s">
        <v>21</v>
      </c>
    </row>
    <row r="41" spans="2:14" ht="17" thickTop="1" thickBot="1" x14ac:dyDescent="0.55000000000000004">
      <c r="B41" s="82"/>
      <c r="C41" s="26"/>
      <c r="D41" s="26"/>
      <c r="E41" s="26"/>
      <c r="F41" s="26"/>
      <c r="G41" s="27"/>
      <c r="H41" s="28"/>
      <c r="I41" s="32"/>
      <c r="J41" s="26"/>
      <c r="K41" s="5"/>
      <c r="M41" s="86">
        <f>M40-M39</f>
        <v>37.453114281408489</v>
      </c>
      <c r="N41" s="87" t="s">
        <v>20</v>
      </c>
    </row>
    <row r="42" spans="2:14" ht="14.5" x14ac:dyDescent="0.35">
      <c r="B42" s="70"/>
      <c r="C42" s="71"/>
      <c r="D42" s="71"/>
      <c r="E42" s="71"/>
      <c r="F42" s="71"/>
      <c r="G42" s="72"/>
      <c r="H42" s="71"/>
      <c r="I42" s="73"/>
      <c r="J42" s="71"/>
      <c r="K42" s="74"/>
    </row>
    <row r="43" spans="2:14" ht="16" x14ac:dyDescent="0.5">
      <c r="B43" s="75" t="s">
        <v>31</v>
      </c>
      <c r="G43" s="76"/>
      <c r="I43" s="77"/>
      <c r="K43" s="78"/>
    </row>
    <row r="44" spans="2:14" ht="14.5" x14ac:dyDescent="0.35">
      <c r="B44" s="79" t="s">
        <v>18</v>
      </c>
      <c r="C44" s="12">
        <v>84</v>
      </c>
      <c r="D44" s="11">
        <v>163</v>
      </c>
      <c r="E44" s="11"/>
      <c r="F44" s="3">
        <f>C44*D44</f>
        <v>13692</v>
      </c>
      <c r="G44" s="19">
        <v>300</v>
      </c>
      <c r="H44" s="11"/>
      <c r="I44" s="7">
        <f>ROUND(C44*G44,2)</f>
        <v>25200</v>
      </c>
      <c r="J44" s="3">
        <f>ROUND(I44-F44,2)</f>
        <v>11508</v>
      </c>
      <c r="K44" s="5">
        <f>IFERROR(J44/F44,"")</f>
        <v>0.8404907975460123</v>
      </c>
    </row>
    <row r="45" spans="2:14" ht="14.5" x14ac:dyDescent="0.35">
      <c r="B45" s="79" t="s">
        <v>32</v>
      </c>
      <c r="C45" s="12">
        <v>1086598</v>
      </c>
      <c r="D45" s="4">
        <v>9.8379999999999995E-2</v>
      </c>
      <c r="E45" s="4">
        <v>6.13E-3</v>
      </c>
      <c r="F45" s="3">
        <f>C45*(D45+E45)</f>
        <v>113560.35698</v>
      </c>
      <c r="G45" s="10">
        <f>ROUND((M48-I44)*N45/C45,5)</f>
        <v>0.14122000000000001</v>
      </c>
      <c r="H45" s="4">
        <v>0</v>
      </c>
      <c r="I45" s="7">
        <f>ROUND(C45*G45,2)</f>
        <v>153449.37</v>
      </c>
      <c r="J45" s="3">
        <f>ROUND(I45-F45,2)</f>
        <v>39889.01</v>
      </c>
      <c r="K45" s="5">
        <f>J45/F45</f>
        <v>0.35125823007957935</v>
      </c>
      <c r="N45" s="89">
        <f>F45/SUM($F$45:$F$46)</f>
        <v>0.74159009853401303</v>
      </c>
    </row>
    <row r="46" spans="2:14" ht="14.5" x14ac:dyDescent="0.35">
      <c r="B46" s="79" t="s">
        <v>33</v>
      </c>
      <c r="C46" s="12">
        <v>1011000</v>
      </c>
      <c r="D46" s="4">
        <v>3.3009999999999998E-2</v>
      </c>
      <c r="E46" s="4">
        <f>E45</f>
        <v>6.13E-3</v>
      </c>
      <c r="F46" s="3">
        <f>C46*(D46+E46)</f>
        <v>39570.539999999994</v>
      </c>
      <c r="G46" s="10">
        <f>ROUND((M48-I44)*N46/C46,5)</f>
        <v>5.289E-2</v>
      </c>
      <c r="H46" s="4">
        <v>0</v>
      </c>
      <c r="I46" s="7">
        <f>ROUND(C46*G46,2)</f>
        <v>53471.79</v>
      </c>
      <c r="J46" s="3">
        <f>ROUND(I46-F46,2)</f>
        <v>13901.25</v>
      </c>
      <c r="K46" s="5">
        <f>J46/F46</f>
        <v>0.35130301481859993</v>
      </c>
      <c r="N46" s="89">
        <f>F46/SUM($F$45:$F$46)</f>
        <v>0.25840990146598691</v>
      </c>
    </row>
    <row r="47" spans="2:14" ht="16.5" thickBot="1" x14ac:dyDescent="0.55000000000000004">
      <c r="B47" s="79" t="s">
        <v>20</v>
      </c>
      <c r="C47" s="12"/>
      <c r="D47" s="20"/>
      <c r="E47" s="20"/>
      <c r="F47" s="39"/>
      <c r="G47" s="21"/>
      <c r="H47" s="22"/>
      <c r="I47" s="7">
        <f>M49</f>
        <v>3.9879019275249448</v>
      </c>
      <c r="J47" s="3">
        <f>ROUND(I47-F47,2)</f>
        <v>3.99</v>
      </c>
      <c r="K47" s="80"/>
      <c r="M47" s="81">
        <f>SUM(I43:I46)</f>
        <v>232121.16</v>
      </c>
    </row>
    <row r="48" spans="2:14" ht="16.5" thickBot="1" x14ac:dyDescent="0.55000000000000004">
      <c r="B48" s="82" t="str">
        <f>"Total "&amp;RIGHT(B43,3)&amp;" Revenue"</f>
        <v>Total 570 Revenue</v>
      </c>
      <c r="C48" s="29"/>
      <c r="D48" s="23"/>
      <c r="E48" s="23"/>
      <c r="F48" s="9">
        <f>SUM(F44:F47)</f>
        <v>166822.89697999999</v>
      </c>
      <c r="G48" s="24"/>
      <c r="H48" s="25"/>
      <c r="I48" s="9">
        <f>SUM(I44:I47)</f>
        <v>232125.14790192753</v>
      </c>
      <c r="J48" s="83">
        <f>ROUND(I48-F48,2)</f>
        <v>65302.25</v>
      </c>
      <c r="K48" s="5">
        <f>J48/F48</f>
        <v>0.39144656508290304</v>
      </c>
      <c r="M48" s="84">
        <f>CHOOSE($M$5,'Revenue Spread-Upper Limit'!$I$7,'Revenue Spread-Upper Limit'!$I$10,'Revenue Spread-Upper Limit'!$I$13,'Revenue Spread-Upper Limit'!$I$16,'Revenue Spread-Upper Limit'!$I$21)</f>
        <v>232125.14790192753</v>
      </c>
      <c r="N48" s="85" t="s">
        <v>21</v>
      </c>
    </row>
    <row r="49" spans="2:14" ht="17" thickTop="1" thickBot="1" x14ac:dyDescent="0.55000000000000004">
      <c r="B49" s="90"/>
      <c r="C49" s="28"/>
      <c r="D49" s="28"/>
      <c r="E49" s="28"/>
      <c r="F49" s="28"/>
      <c r="G49" s="27"/>
      <c r="H49" s="28"/>
      <c r="I49" s="32"/>
      <c r="J49" s="28"/>
      <c r="K49" s="33"/>
      <c r="M49" s="86">
        <f>M48-M47</f>
        <v>3.9879019275249448</v>
      </c>
      <c r="N49" s="87" t="s">
        <v>20</v>
      </c>
    </row>
    <row r="50" spans="2:14" ht="16.5" thickBot="1" x14ac:dyDescent="0.55000000000000004">
      <c r="B50" s="91"/>
      <c r="C50" s="26"/>
      <c r="D50" s="26"/>
      <c r="E50" s="26"/>
      <c r="F50" s="26"/>
      <c r="G50" s="26"/>
      <c r="H50" s="26"/>
      <c r="I50" s="26"/>
      <c r="J50" s="26"/>
      <c r="K50" s="26"/>
      <c r="M50" s="3"/>
    </row>
    <row r="51" spans="2:14" ht="14.5" x14ac:dyDescent="0.35">
      <c r="B51" s="70"/>
      <c r="C51" s="71"/>
      <c r="D51" s="71"/>
      <c r="E51" s="71"/>
      <c r="F51" s="71"/>
      <c r="G51" s="72"/>
      <c r="H51" s="71"/>
      <c r="I51" s="73"/>
      <c r="J51" s="71"/>
      <c r="K51" s="74"/>
    </row>
    <row r="52" spans="2:14" ht="16" x14ac:dyDescent="0.5">
      <c r="B52" s="75" t="s">
        <v>34</v>
      </c>
      <c r="G52" s="76"/>
      <c r="I52" s="77"/>
      <c r="K52" s="78"/>
    </row>
    <row r="53" spans="2:14" ht="14.5" x14ac:dyDescent="0.35">
      <c r="B53" s="79" t="s">
        <v>35</v>
      </c>
      <c r="C53" s="12">
        <v>42366960</v>
      </c>
      <c r="D53" s="30">
        <v>0.2</v>
      </c>
      <c r="E53" s="30"/>
      <c r="F53" s="3">
        <f>C53*D53</f>
        <v>8473392</v>
      </c>
      <c r="G53" s="19">
        <v>0.4</v>
      </c>
      <c r="H53" s="11"/>
      <c r="I53" s="7">
        <f t="shared" ref="I53:I59" si="1">ROUND(C53*G53,2)</f>
        <v>16946784</v>
      </c>
      <c r="J53" s="3">
        <f t="shared" ref="J53:J61" si="2">ROUND(I53-F53,2)</f>
        <v>8473392</v>
      </c>
      <c r="K53" s="5">
        <f t="shared" ref="K53:K59" si="3">J53/F53</f>
        <v>1</v>
      </c>
      <c r="M53" s="89"/>
    </row>
    <row r="54" spans="2:14" ht="14.5" x14ac:dyDescent="0.35">
      <c r="B54" s="79" t="s">
        <v>36</v>
      </c>
      <c r="C54" s="12">
        <v>854941070.21112633</v>
      </c>
      <c r="D54" s="6">
        <v>4.0000000000000002E-4</v>
      </c>
      <c r="E54" s="6"/>
      <c r="F54" s="3">
        <f>C54*D54</f>
        <v>341976.42808445054</v>
      </c>
      <c r="G54" s="10">
        <v>1.1000000000000001E-3</v>
      </c>
      <c r="H54" s="4"/>
      <c r="I54" s="7">
        <f t="shared" si="1"/>
        <v>940435.18</v>
      </c>
      <c r="J54" s="3">
        <f t="shared" si="2"/>
        <v>598458.75</v>
      </c>
      <c r="K54" s="5">
        <f t="shared" si="3"/>
        <v>1.7500000024920184</v>
      </c>
      <c r="M54" s="89"/>
    </row>
    <row r="55" spans="2:14" ht="14.5" x14ac:dyDescent="0.35">
      <c r="B55" s="79" t="s">
        <v>18</v>
      </c>
      <c r="C55" s="12">
        <v>2316</v>
      </c>
      <c r="D55" s="30">
        <v>625</v>
      </c>
      <c r="E55" s="30"/>
      <c r="F55" s="3">
        <f>C55*D55</f>
        <v>1447500</v>
      </c>
      <c r="G55" s="19">
        <v>1000</v>
      </c>
      <c r="H55" s="11"/>
      <c r="I55" s="7">
        <f t="shared" si="1"/>
        <v>2316000</v>
      </c>
      <c r="J55" s="3">
        <f t="shared" si="2"/>
        <v>868500</v>
      </c>
      <c r="K55" s="5">
        <f t="shared" si="3"/>
        <v>0.6</v>
      </c>
      <c r="M55" s="92"/>
    </row>
    <row r="56" spans="2:14" ht="14.5" x14ac:dyDescent="0.35">
      <c r="B56" s="79" t="s">
        <v>37</v>
      </c>
      <c r="C56" s="12">
        <v>100667737.22113912</v>
      </c>
      <c r="D56" s="6">
        <v>6.4630000000000007E-2</v>
      </c>
      <c r="E56" s="6">
        <v>1.39E-3</v>
      </c>
      <c r="F56" s="3">
        <f>C56*(D56+E56)</f>
        <v>6646084.0113396058</v>
      </c>
      <c r="G56" s="10">
        <f>ROUND(($M$61-SUM($I$53:$I$55))*N56/C56,5)</f>
        <v>6.7739999999999995E-2</v>
      </c>
      <c r="H56" s="4">
        <v>0</v>
      </c>
      <c r="I56" s="7">
        <f t="shared" si="1"/>
        <v>6819232.5199999996</v>
      </c>
      <c r="J56" s="3">
        <f t="shared" si="2"/>
        <v>173148.51</v>
      </c>
      <c r="K56" s="5">
        <f t="shared" si="3"/>
        <v>2.6052711597471915E-2</v>
      </c>
      <c r="M56" s="93"/>
      <c r="N56" s="89">
        <f>F56/SUM($F$56:$F$59)</f>
        <v>0.40992298497620294</v>
      </c>
    </row>
    <row r="57" spans="2:14" ht="14.5" x14ac:dyDescent="0.35">
      <c r="B57" s="79" t="s">
        <v>38</v>
      </c>
      <c r="C57" s="12">
        <v>72067729.44475241</v>
      </c>
      <c r="D57" s="6">
        <v>2.5420000000000002E-2</v>
      </c>
      <c r="E57" s="6">
        <f>E56</f>
        <v>1.39E-3</v>
      </c>
      <c r="F57" s="3">
        <f>C57*(D57+E57)</f>
        <v>1932135.8264138121</v>
      </c>
      <c r="G57" s="10">
        <f>ROUND(($M$61-SUM($I$53:$I$55))*N57/C57,5)</f>
        <v>2.751E-2</v>
      </c>
      <c r="H57" s="4">
        <v>0</v>
      </c>
      <c r="I57" s="7">
        <f t="shared" si="1"/>
        <v>1982583.24</v>
      </c>
      <c r="J57" s="3">
        <f t="shared" si="2"/>
        <v>50447.41</v>
      </c>
      <c r="K57" s="5">
        <f t="shared" si="3"/>
        <v>2.6109660258013097E-2</v>
      </c>
      <c r="M57" s="93"/>
      <c r="N57" s="89">
        <f>F57/SUM($F$56:$F$59)</f>
        <v>0.1191719641207739</v>
      </c>
    </row>
    <row r="58" spans="2:14" ht="14.5" x14ac:dyDescent="0.35">
      <c r="B58" s="79" t="s">
        <v>38</v>
      </c>
      <c r="C58" s="12">
        <v>37181911.28548535</v>
      </c>
      <c r="D58" s="6">
        <v>1.6590000000000001E-2</v>
      </c>
      <c r="E58" s="6">
        <f>E56</f>
        <v>1.39E-3</v>
      </c>
      <c r="F58" s="3">
        <f>C58*(D58+E58)</f>
        <v>668530.76491302659</v>
      </c>
      <c r="G58" s="10">
        <f>ROUND(($M$61-SUM($I$53:$I$55))*N58/C58,5)</f>
        <v>1.8450000000000001E-2</v>
      </c>
      <c r="H58" s="4">
        <v>0</v>
      </c>
      <c r="I58" s="7">
        <f t="shared" si="1"/>
        <v>686006.26</v>
      </c>
      <c r="J58" s="3">
        <f t="shared" si="2"/>
        <v>17475.5</v>
      </c>
      <c r="K58" s="5">
        <f t="shared" si="3"/>
        <v>2.614015826522733E-2</v>
      </c>
      <c r="M58" s="93"/>
      <c r="N58" s="89">
        <f>F58/SUM($F$56:$F$59)</f>
        <v>4.1234225482854596E-2</v>
      </c>
    </row>
    <row r="59" spans="2:14" ht="14.5" x14ac:dyDescent="0.35">
      <c r="B59" s="79" t="s">
        <v>39</v>
      </c>
      <c r="C59" s="12">
        <v>645023692.25974941</v>
      </c>
      <c r="D59" s="6">
        <v>9.41E-3</v>
      </c>
      <c r="E59" s="6">
        <f>E56</f>
        <v>1.39E-3</v>
      </c>
      <c r="F59" s="3">
        <f>C59*(D59+E59)</f>
        <v>6966255.8764052941</v>
      </c>
      <c r="G59" s="10">
        <f>ROUND(($M$61-SUM($I$53:$I$55))*N59/C59,5)</f>
        <v>1.108E-2</v>
      </c>
      <c r="H59" s="4">
        <v>0</v>
      </c>
      <c r="I59" s="7">
        <f t="shared" si="1"/>
        <v>7146862.5099999998</v>
      </c>
      <c r="J59" s="3">
        <f t="shared" si="2"/>
        <v>180606.63</v>
      </c>
      <c r="K59" s="5">
        <f t="shared" si="3"/>
        <v>2.5925925375740875E-2</v>
      </c>
      <c r="M59" s="93"/>
      <c r="N59" s="89">
        <f>F59/SUM($F$56:$F$59)</f>
        <v>0.42967082542016849</v>
      </c>
    </row>
    <row r="60" spans="2:14" ht="16.5" thickBot="1" x14ac:dyDescent="0.55000000000000004">
      <c r="B60" s="79" t="s">
        <v>20</v>
      </c>
      <c r="C60" s="12"/>
      <c r="D60" s="20"/>
      <c r="E60" s="20"/>
      <c r="F60" s="39"/>
      <c r="G60" s="10"/>
      <c r="H60" s="4"/>
      <c r="I60" s="7">
        <f>M62</f>
        <v>1861.6334429755807</v>
      </c>
      <c r="J60" s="3">
        <f t="shared" si="2"/>
        <v>1861.63</v>
      </c>
      <c r="K60" s="80"/>
      <c r="M60" s="81">
        <f>SUM(I53:I59)</f>
        <v>36837903.710000001</v>
      </c>
    </row>
    <row r="61" spans="2:14" ht="16.5" thickBot="1" x14ac:dyDescent="0.55000000000000004">
      <c r="B61" s="82" t="str">
        <f>"Total "&amp;RIGHT(B52,3)&amp;" Revenue"</f>
        <v>Total 663 Revenue</v>
      </c>
      <c r="C61" s="12"/>
      <c r="D61" s="23"/>
      <c r="E61" s="23"/>
      <c r="F61" s="9">
        <f>SUM(F53:F60)</f>
        <v>26475874.907156192</v>
      </c>
      <c r="G61" s="24"/>
      <c r="H61" s="25"/>
      <c r="I61" s="9">
        <f>SUM(I53:I60)</f>
        <v>36839765.343442976</v>
      </c>
      <c r="J61" s="83">
        <f t="shared" si="2"/>
        <v>10363890.439999999</v>
      </c>
      <c r="K61" s="5">
        <f>J61/F61</f>
        <v>0.3914465707495367</v>
      </c>
      <c r="M61" s="84">
        <f>CHOOSE($M$5,'Revenue Spread-Upper Limit'!$J$7,'Revenue Spread-Upper Limit'!$J$10,'Revenue Spread-Upper Limit'!$J$13,'Revenue Spread-Upper Limit'!$J$16)</f>
        <v>36839765.343442976</v>
      </c>
      <c r="N61" s="85" t="s">
        <v>21</v>
      </c>
    </row>
    <row r="62" spans="2:14" ht="17" thickTop="1" thickBot="1" x14ac:dyDescent="0.55000000000000004">
      <c r="B62" s="94"/>
      <c r="C62" s="28"/>
      <c r="D62" s="28"/>
      <c r="E62" s="28"/>
      <c r="F62" s="28"/>
      <c r="G62" s="27"/>
      <c r="H62" s="28"/>
      <c r="I62" s="32"/>
      <c r="J62" s="28"/>
      <c r="K62" s="33"/>
      <c r="M62" s="86">
        <f>M61-M60</f>
        <v>1861.6334429755807</v>
      </c>
      <c r="N62" s="87" t="s">
        <v>20</v>
      </c>
    </row>
    <row r="63" spans="2:14" ht="14.5" x14ac:dyDescent="0.35">
      <c r="B63" s="70"/>
      <c r="C63" s="71"/>
      <c r="D63" s="71"/>
      <c r="E63" s="71"/>
      <c r="F63" s="71"/>
      <c r="G63" s="72"/>
      <c r="H63" s="71"/>
      <c r="I63" s="73"/>
      <c r="J63" s="72"/>
      <c r="K63" s="74"/>
    </row>
    <row r="64" spans="2:14" ht="16" x14ac:dyDescent="0.5">
      <c r="B64" s="75" t="s">
        <v>40</v>
      </c>
      <c r="G64" s="76"/>
      <c r="I64" s="77"/>
      <c r="J64" s="76"/>
      <c r="K64" s="78"/>
    </row>
    <row r="65" spans="2:14" ht="14.5" x14ac:dyDescent="0.35">
      <c r="B65" s="79" t="s">
        <v>18</v>
      </c>
      <c r="E65" s="30"/>
      <c r="F65" s="3">
        <v>411977.32</v>
      </c>
      <c r="G65" s="19"/>
      <c r="H65" s="11"/>
      <c r="I65" s="7">
        <f>F65</f>
        <v>411977.32</v>
      </c>
      <c r="J65" s="8">
        <f>I65-F65</f>
        <v>0</v>
      </c>
      <c r="K65" s="5">
        <f>J65/F65</f>
        <v>0</v>
      </c>
    </row>
    <row r="66" spans="2:14" ht="14.5" x14ac:dyDescent="0.35">
      <c r="B66" s="79" t="s">
        <v>41</v>
      </c>
      <c r="E66" s="6"/>
      <c r="F66" s="3">
        <v>60000</v>
      </c>
      <c r="G66" s="19"/>
      <c r="H66" s="11"/>
      <c r="I66" s="7">
        <f>F66</f>
        <v>60000</v>
      </c>
      <c r="J66" s="8">
        <f>I66-F66</f>
        <v>0</v>
      </c>
      <c r="K66" s="5">
        <f>J66/F66</f>
        <v>0</v>
      </c>
    </row>
    <row r="67" spans="2:14" ht="14.5" x14ac:dyDescent="0.35">
      <c r="B67" s="79" t="s">
        <v>42</v>
      </c>
      <c r="E67" s="6"/>
      <c r="F67" s="3">
        <v>122757.90000000001</v>
      </c>
      <c r="G67" s="19"/>
      <c r="H67" s="11"/>
      <c r="I67" s="7">
        <f>F67</f>
        <v>122757.90000000001</v>
      </c>
      <c r="J67" s="8">
        <f>I67-F67</f>
        <v>0</v>
      </c>
      <c r="K67" s="5">
        <f>J67/F67</f>
        <v>0</v>
      </c>
    </row>
    <row r="68" spans="2:14" ht="15" thickBot="1" x14ac:dyDescent="0.4">
      <c r="B68" s="79" t="s">
        <v>19</v>
      </c>
      <c r="E68" s="6"/>
      <c r="F68" s="3">
        <v>2553267.1299999994</v>
      </c>
      <c r="G68" s="10"/>
      <c r="H68" s="4"/>
      <c r="I68" s="7">
        <f>F68</f>
        <v>2553267.1299999994</v>
      </c>
      <c r="J68" s="8">
        <f>I68-F68</f>
        <v>0</v>
      </c>
      <c r="K68" s="5">
        <f>J68/F68</f>
        <v>0</v>
      </c>
    </row>
    <row r="69" spans="2:14" ht="16.5" thickBot="1" x14ac:dyDescent="0.55000000000000004">
      <c r="B69" s="82" t="str">
        <f>B64&amp;" Revenue"</f>
        <v>Special Contracts - Total Revenue</v>
      </c>
      <c r="C69" s="23"/>
      <c r="E69" s="23"/>
      <c r="F69" s="9">
        <f>SUM(F65:F68)</f>
        <v>3148002.3499999996</v>
      </c>
      <c r="G69" s="24"/>
      <c r="H69" s="25"/>
      <c r="I69" s="9">
        <f>SUM(I65:I68)</f>
        <v>3148002.3499999996</v>
      </c>
      <c r="J69" s="83">
        <f>I69-F69</f>
        <v>0</v>
      </c>
      <c r="K69" s="5">
        <f>J69/F69</f>
        <v>0</v>
      </c>
      <c r="M69" s="84"/>
      <c r="N69" s="85" t="s">
        <v>21</v>
      </c>
    </row>
    <row r="70" spans="2:14" ht="17" thickTop="1" thickBot="1" x14ac:dyDescent="0.55000000000000004">
      <c r="B70" s="90"/>
      <c r="C70" s="28"/>
      <c r="D70" s="28"/>
      <c r="E70" s="28"/>
      <c r="F70" s="28"/>
      <c r="G70" s="27"/>
      <c r="H70" s="28"/>
      <c r="I70" s="32"/>
      <c r="J70" s="27"/>
      <c r="K70" s="33"/>
      <c r="M70" s="86"/>
      <c r="N70" s="87" t="s">
        <v>20</v>
      </c>
    </row>
    <row r="71" spans="2:14" ht="14.5" x14ac:dyDescent="0.35"/>
    <row r="72" spans="2:14" ht="14.5" x14ac:dyDescent="0.35"/>
    <row r="73" spans="2:14" ht="14.5" x14ac:dyDescent="0.35">
      <c r="B73" s="40" t="s">
        <v>43</v>
      </c>
      <c r="E73" s="95">
        <f>F73/F75</f>
        <v>0.21889392347264963</v>
      </c>
      <c r="F73" s="81">
        <f>SUM(F12,F19,F26,F35,F44,F53,F55,F65,F66)</f>
        <v>27785933.32</v>
      </c>
      <c r="H73" s="95">
        <f>I73/I75</f>
        <v>0.30955655340595062</v>
      </c>
      <c r="I73" s="81">
        <f>SUM(I12,I19,I26,I35,I44,I53,I55,I65,I66)</f>
        <v>52374881.32</v>
      </c>
      <c r="J73" s="3">
        <f>I73-F73</f>
        <v>24588948</v>
      </c>
      <c r="K73" s="96">
        <f>J73/F73</f>
        <v>0.88494230936274343</v>
      </c>
    </row>
    <row r="74" spans="2:14" ht="14.5" x14ac:dyDescent="0.35">
      <c r="B74" s="40" t="s">
        <v>44</v>
      </c>
      <c r="E74" s="95">
        <f>F74/F75</f>
        <v>0.78110607652735042</v>
      </c>
      <c r="F74" s="97">
        <f>SUM(F13,F20,F27:F29,F36:F38,F45:F46,F54,F56:F59,F67:F68)</f>
        <v>99151959.149508417</v>
      </c>
      <c r="H74" s="95">
        <f>I74/I75</f>
        <v>0.69044344659404933</v>
      </c>
      <c r="I74" s="97">
        <f>SUM(I13,I20,I27:I29,I36:I38,I45:I46,I54,I56:I59,I67:I68)</f>
        <v>116818375.11000003</v>
      </c>
      <c r="J74" s="98">
        <f>I74-F74</f>
        <v>17666415.960491613</v>
      </c>
      <c r="K74" s="96">
        <f>J74/F74</f>
        <v>0.17817515772787632</v>
      </c>
    </row>
    <row r="75" spans="2:14" ht="14.5" x14ac:dyDescent="0.35">
      <c r="B75" s="40" t="s">
        <v>45</v>
      </c>
      <c r="F75" s="25">
        <f>SUM(F73:F74)</f>
        <v>126937892.46950841</v>
      </c>
      <c r="I75" s="25">
        <f>SUM(I73:I74)</f>
        <v>169193256.43000004</v>
      </c>
      <c r="J75" s="3">
        <f>I75-F75</f>
        <v>42255363.960491627</v>
      </c>
      <c r="K75" s="96">
        <f>J75/F75</f>
        <v>0.33288219253082157</v>
      </c>
    </row>
    <row r="76" spans="2:14" ht="14.5" x14ac:dyDescent="0.35">
      <c r="F76" s="81"/>
      <c r="H76" s="99" t="s">
        <v>46</v>
      </c>
      <c r="I76" s="3">
        <f>SUMIFS(I10:I62,B10:B62,H76)</f>
        <v>2831.9553154409805</v>
      </c>
      <c r="J76" s="3">
        <f>SUMIFS(J10:J62,B10:B62,H76)</f>
        <v>2831.9500000000003</v>
      </c>
    </row>
    <row r="77" spans="2:14" ht="14.5" x14ac:dyDescent="0.35"/>
    <row r="78" spans="2:14" ht="14.5" x14ac:dyDescent="0.35"/>
    <row r="79" spans="2:14" ht="14.5" x14ac:dyDescent="0.35"/>
  </sheetData>
  <printOptions horizontalCentered="1"/>
  <pageMargins left="0.45" right="0.45" top="0.75" bottom="0.5" header="0.3" footer="0.3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8C01-42DD-4021-A8BE-1CC308CAA3F9}">
  <sheetPr codeName="Sheet6"/>
  <dimension ref="A1:N79"/>
  <sheetViews>
    <sheetView workbookViewId="0">
      <selection activeCell="B1" sqref="B1"/>
    </sheetView>
  </sheetViews>
  <sheetFormatPr defaultColWidth="9.1796875" defaultRowHeight="14.9" customHeight="1" x14ac:dyDescent="0.35"/>
  <cols>
    <col min="1" max="1" width="0.81640625" style="40" customWidth="1"/>
    <col min="2" max="2" width="34.453125" style="40" customWidth="1"/>
    <col min="3" max="3" width="15.453125" style="40" customWidth="1"/>
    <col min="4" max="5" width="10.54296875" style="40" customWidth="1"/>
    <col min="6" max="6" width="19.1796875" style="40" customWidth="1"/>
    <col min="7" max="7" width="11.54296875" style="40" customWidth="1"/>
    <col min="8" max="8" width="10.54296875" style="40" customWidth="1"/>
    <col min="9" max="9" width="19.26953125" style="40" customWidth="1"/>
    <col min="10" max="10" width="18.81640625" style="40" customWidth="1"/>
    <col min="11" max="11" width="9.54296875" style="40" bestFit="1" customWidth="1"/>
    <col min="12" max="12" width="0.81640625" style="40" customWidth="1"/>
    <col min="13" max="13" width="16.26953125" style="40" customWidth="1"/>
    <col min="14" max="14" width="30" style="40" customWidth="1"/>
    <col min="15" max="15" width="10.1796875" style="40" bestFit="1" customWidth="1"/>
    <col min="16" max="16" width="9.1796875" style="40" customWidth="1"/>
    <col min="17" max="18" width="9.1796875" style="40"/>
    <col min="19" max="19" width="11" style="40" bestFit="1" customWidth="1"/>
    <col min="20" max="20" width="10" style="40" bestFit="1" customWidth="1"/>
    <col min="21" max="21" width="12.1796875" style="40" bestFit="1" customWidth="1"/>
    <col min="22" max="16384" width="9.1796875" style="40"/>
  </cols>
  <sheetData>
    <row r="1" spans="1:14" ht="14.5" x14ac:dyDescent="0.35">
      <c r="L1" s="41"/>
    </row>
    <row r="2" spans="1:14" ht="14.5" x14ac:dyDescent="0.35">
      <c r="A2" s="42" t="str">
        <f>'RJA-6 (2025 rates)'!A2</f>
        <v>Cascade Natural Gas Corp.</v>
      </c>
      <c r="L2" s="41" t="s">
        <v>138</v>
      </c>
    </row>
    <row r="3" spans="1:14" ht="14.5" x14ac:dyDescent="0.35">
      <c r="A3" s="42" t="str">
        <f>'RJA-6 (2025 rates)'!A3</f>
        <v>Washington Jurisdiction</v>
      </c>
      <c r="L3" s="41" t="s">
        <v>154</v>
      </c>
    </row>
    <row r="4" spans="1:14" ht="14.5" x14ac:dyDescent="0.35">
      <c r="A4" s="42" t="s">
        <v>47</v>
      </c>
      <c r="L4" s="41" t="s">
        <v>3</v>
      </c>
      <c r="M4" s="43" t="s">
        <v>4</v>
      </c>
      <c r="N4" s="44"/>
    </row>
    <row r="5" spans="1:14" ht="14.5" x14ac:dyDescent="0.35">
      <c r="A5" s="42"/>
      <c r="M5" s="45">
        <v>4</v>
      </c>
      <c r="N5" s="46" t="str">
        <f>VLOOKUP(M5,'Revenue Spread-Upper Limit'!B7:C21,2,FALSE)</f>
        <v>Rates Effective March 1, 2026</v>
      </c>
    </row>
    <row r="6" spans="1:14" ht="15" thickBot="1" x14ac:dyDescent="0.4"/>
    <row r="7" spans="1:14" ht="14.5" x14ac:dyDescent="0.35">
      <c r="B7" s="47"/>
      <c r="C7" s="48" t="s">
        <v>5</v>
      </c>
      <c r="D7" s="49"/>
      <c r="E7" s="50"/>
      <c r="F7" s="50"/>
      <c r="G7" s="48" t="s">
        <v>6</v>
      </c>
      <c r="H7" s="50"/>
      <c r="I7" s="51"/>
      <c r="J7" s="49" t="s">
        <v>7</v>
      </c>
      <c r="K7" s="51"/>
    </row>
    <row r="8" spans="1:14" ht="14.5" x14ac:dyDescent="0.35">
      <c r="B8" s="52"/>
      <c r="C8" s="53"/>
      <c r="D8" s="54" t="s">
        <v>8</v>
      </c>
      <c r="E8" s="55"/>
      <c r="F8" s="57"/>
      <c r="G8" s="58" t="s">
        <v>9</v>
      </c>
      <c r="H8" s="55"/>
      <c r="I8" s="59"/>
      <c r="J8" s="53"/>
      <c r="K8" s="60"/>
    </row>
    <row r="9" spans="1:14" ht="15" thickBot="1" x14ac:dyDescent="0.4">
      <c r="B9" s="61" t="s">
        <v>10</v>
      </c>
      <c r="C9" s="62" t="s">
        <v>11</v>
      </c>
      <c r="D9" s="63" t="s">
        <v>12</v>
      </c>
      <c r="E9" s="64" t="s">
        <v>13</v>
      </c>
      <c r="F9" s="66" t="s">
        <v>14</v>
      </c>
      <c r="G9" s="67" t="s">
        <v>12</v>
      </c>
      <c r="H9" s="65" t="s">
        <v>13</v>
      </c>
      <c r="I9" s="68" t="s">
        <v>14</v>
      </c>
      <c r="J9" s="69" t="s">
        <v>15</v>
      </c>
      <c r="K9" s="68" t="s">
        <v>16</v>
      </c>
    </row>
    <row r="10" spans="1:14" ht="14.5" x14ac:dyDescent="0.35">
      <c r="B10" s="70"/>
      <c r="C10" s="71"/>
      <c r="D10" s="71"/>
      <c r="E10" s="71"/>
      <c r="F10" s="71"/>
      <c r="G10" s="72"/>
      <c r="H10" s="71"/>
      <c r="I10" s="73"/>
      <c r="J10" s="71"/>
      <c r="K10" s="74"/>
    </row>
    <row r="11" spans="1:14" ht="16" x14ac:dyDescent="0.5">
      <c r="B11" s="75" t="s">
        <v>17</v>
      </c>
      <c r="G11" s="76"/>
      <c r="I11" s="77"/>
      <c r="K11" s="78"/>
    </row>
    <row r="12" spans="1:14" ht="14.5" x14ac:dyDescent="0.35">
      <c r="B12" s="79" t="s">
        <v>18</v>
      </c>
      <c r="C12" s="12">
        <v>2539908</v>
      </c>
      <c r="D12" s="11">
        <f>'RJA-6 (2025 rates)'!G12</f>
        <v>10</v>
      </c>
      <c r="E12" s="11"/>
      <c r="F12" s="3">
        <f>C12*D12</f>
        <v>25399080</v>
      </c>
      <c r="G12" s="19">
        <v>11.5</v>
      </c>
      <c r="H12" s="11"/>
      <c r="I12" s="7">
        <f>ROUND(C12*G12,2)</f>
        <v>29208942</v>
      </c>
      <c r="J12" s="3">
        <f>ROUND(I12-F12,2)</f>
        <v>3809862</v>
      </c>
      <c r="K12" s="5">
        <f>J12/F12</f>
        <v>0.15</v>
      </c>
      <c r="N12" s="151"/>
    </row>
    <row r="13" spans="1:14" ht="14.5" x14ac:dyDescent="0.35">
      <c r="B13" s="79" t="s">
        <v>19</v>
      </c>
      <c r="C13" s="12">
        <v>134450850.29920077</v>
      </c>
      <c r="D13" s="4">
        <f>'RJA-6 (2025 rates)'!G13</f>
        <v>0.42874000000000001</v>
      </c>
      <c r="E13" s="4">
        <f>'RJA-6 (2025 rates)'!H13</f>
        <v>0</v>
      </c>
      <c r="F13" s="3">
        <f>C13*(D13+E13)</f>
        <v>57644457.557279341</v>
      </c>
      <c r="G13" s="10">
        <f>ROUND((M15-I12)/C13,5)</f>
        <v>0.43267</v>
      </c>
      <c r="H13" s="4">
        <v>0</v>
      </c>
      <c r="I13" s="7">
        <f>ROUND(C13*G13,2)</f>
        <v>58172849.399999999</v>
      </c>
      <c r="J13" s="3">
        <f>ROUND(I13-F13,2)</f>
        <v>528391.84</v>
      </c>
      <c r="K13" s="5">
        <f>J13/F13</f>
        <v>9.1663945224040831E-3</v>
      </c>
    </row>
    <row r="14" spans="1:14" ht="16.5" thickBot="1" x14ac:dyDescent="0.55000000000000004">
      <c r="B14" s="79" t="s">
        <v>20</v>
      </c>
      <c r="C14" s="12"/>
      <c r="D14" s="20"/>
      <c r="E14" s="20"/>
      <c r="F14" s="39"/>
      <c r="G14" s="21"/>
      <c r="H14" s="22"/>
      <c r="I14" s="7">
        <f>M16</f>
        <v>464.74493627250195</v>
      </c>
      <c r="J14" s="3">
        <f>ROUND(I14-F14,2)</f>
        <v>464.74</v>
      </c>
      <c r="K14" s="80"/>
      <c r="M14" s="81">
        <f>SUM(I12:I13)</f>
        <v>87381791.400000006</v>
      </c>
    </row>
    <row r="15" spans="1:14" ht="16.5" thickBot="1" x14ac:dyDescent="0.55000000000000004">
      <c r="B15" s="82" t="str">
        <f>"Total "&amp;RIGHT(B11,3)&amp;" Revenue"</f>
        <v>Total 503 Revenue</v>
      </c>
      <c r="C15" s="23"/>
      <c r="D15" s="23"/>
      <c r="E15" s="23"/>
      <c r="F15" s="9">
        <f>SUM(F12:F14)</f>
        <v>83043537.557279348</v>
      </c>
      <c r="G15" s="24"/>
      <c r="H15" s="25"/>
      <c r="I15" s="9">
        <f>SUM(I12:I14)</f>
        <v>87382256.144936278</v>
      </c>
      <c r="J15" s="83">
        <f>SUM(J12:J14)</f>
        <v>4338718.58</v>
      </c>
      <c r="K15" s="5">
        <f>J15/F15</f>
        <v>5.224631208668544E-2</v>
      </c>
      <c r="M15" s="84">
        <f>CHOOSE($M$5,'Revenue Spread-Upper Limit'!$E$7,'Revenue Spread-Upper Limit'!$E$10,'Revenue Spread-Upper Limit'!$E$13,'Revenue Spread-Upper Limit'!$E$16,'Revenue Spread-Upper Limit'!$E$21)</f>
        <v>87382256.144936278</v>
      </c>
      <c r="N15" s="85" t="s">
        <v>21</v>
      </c>
    </row>
    <row r="16" spans="1:14" ht="17" thickTop="1" thickBot="1" x14ac:dyDescent="0.55000000000000004">
      <c r="B16" s="82"/>
      <c r="C16" s="26"/>
      <c r="D16" s="26"/>
      <c r="E16" s="26"/>
      <c r="F16" s="26"/>
      <c r="G16" s="27"/>
      <c r="H16" s="28"/>
      <c r="I16" s="32"/>
      <c r="J16" s="26"/>
      <c r="K16" s="5"/>
      <c r="M16" s="86">
        <f>M15-M14</f>
        <v>464.74493627250195</v>
      </c>
      <c r="N16" s="87" t="s">
        <v>20</v>
      </c>
    </row>
    <row r="17" spans="2:14" ht="14.5" x14ac:dyDescent="0.35">
      <c r="B17" s="70"/>
      <c r="C17" s="71"/>
      <c r="D17" s="71"/>
      <c r="E17" s="71"/>
      <c r="F17" s="71"/>
      <c r="G17" s="72"/>
      <c r="H17" s="71"/>
      <c r="I17" s="73"/>
      <c r="J17" s="71"/>
      <c r="K17" s="74"/>
    </row>
    <row r="18" spans="2:14" ht="16" x14ac:dyDescent="0.5">
      <c r="B18" s="75" t="s">
        <v>22</v>
      </c>
      <c r="G18" s="76"/>
      <c r="I18" s="77"/>
      <c r="K18" s="78"/>
    </row>
    <row r="19" spans="2:14" ht="14.5" x14ac:dyDescent="0.35">
      <c r="B19" s="79" t="s">
        <v>18</v>
      </c>
      <c r="C19" s="12">
        <v>342480</v>
      </c>
      <c r="D19" s="11">
        <f>'RJA-6 (2025 rates)'!G19</f>
        <v>20</v>
      </c>
      <c r="E19" s="11"/>
      <c r="F19" s="3">
        <f>C19*D19</f>
        <v>6849600</v>
      </c>
      <c r="G19" s="19">
        <v>25.5</v>
      </c>
      <c r="H19" s="11"/>
      <c r="I19" s="7">
        <f>ROUND(C19*G19,2)</f>
        <v>8733240</v>
      </c>
      <c r="J19" s="3">
        <f>ROUND(I19-F19,2)</f>
        <v>1883640</v>
      </c>
      <c r="K19" s="5">
        <f>J19/F19</f>
        <v>0.27500000000000002</v>
      </c>
    </row>
    <row r="20" spans="2:14" ht="14.5" x14ac:dyDescent="0.35">
      <c r="B20" s="79" t="s">
        <v>19</v>
      </c>
      <c r="C20" s="12">
        <v>94864823.966152921</v>
      </c>
      <c r="D20" s="4">
        <f>'RJA-6 (2025 rates)'!G20</f>
        <v>0.35576000000000002</v>
      </c>
      <c r="E20" s="4">
        <f>'RJA-6 (2025 rates)'!H20</f>
        <v>0</v>
      </c>
      <c r="F20" s="3">
        <f>C20*(D20+E20)</f>
        <v>33749109.774198562</v>
      </c>
      <c r="G20" s="10">
        <f>ROUND((M22-I19)/C20,5)</f>
        <v>0.35894999999999999</v>
      </c>
      <c r="H20" s="4">
        <v>0</v>
      </c>
      <c r="I20" s="7">
        <f>ROUND(C20*G20,2)</f>
        <v>34051728.560000002</v>
      </c>
      <c r="J20" s="3">
        <f>ROUND(I20-F20,2)</f>
        <v>302618.78999999998</v>
      </c>
      <c r="K20" s="5">
        <f>J20/F20</f>
        <v>8.9667191823635667E-3</v>
      </c>
    </row>
    <row r="21" spans="2:14" ht="16.5" thickBot="1" x14ac:dyDescent="0.55000000000000004">
      <c r="B21" s="79" t="s">
        <v>20</v>
      </c>
      <c r="C21" s="12"/>
      <c r="D21" s="20"/>
      <c r="E21" s="20"/>
      <c r="F21" s="39"/>
      <c r="G21" s="21"/>
      <c r="H21" s="22"/>
      <c r="I21" s="7">
        <f>M23</f>
        <v>418.82754924893379</v>
      </c>
      <c r="J21" s="3">
        <f>ROUND(I21-F21,2)</f>
        <v>418.83</v>
      </c>
      <c r="K21" s="80"/>
      <c r="M21" s="81">
        <f>SUM(I19:I20)</f>
        <v>42784968.560000002</v>
      </c>
    </row>
    <row r="22" spans="2:14" ht="16.5" thickBot="1" x14ac:dyDescent="0.55000000000000004">
      <c r="B22" s="82" t="str">
        <f>"Total "&amp;RIGHT(B18,3)&amp;" Revenue"</f>
        <v>Total 504 Revenue</v>
      </c>
      <c r="C22" s="23"/>
      <c r="D22" s="23"/>
      <c r="E22" s="23"/>
      <c r="F22" s="9">
        <f>SUM(F19:F21)</f>
        <v>40598709.774198562</v>
      </c>
      <c r="G22" s="24"/>
      <c r="H22" s="25"/>
      <c r="I22" s="9">
        <f>SUM(I19:I21)</f>
        <v>42785387.387549251</v>
      </c>
      <c r="J22" s="83">
        <f>ROUND(I22-F22,2)</f>
        <v>2186677.61</v>
      </c>
      <c r="K22" s="5">
        <f>J22/F22</f>
        <v>5.3860766072661874E-2</v>
      </c>
      <c r="M22" s="84">
        <f>CHOOSE($M$5,'Revenue Spread-Upper Limit'!$F$7,'Revenue Spread-Upper Limit'!$F$10,'Revenue Spread-Upper Limit'!$F$13,'Revenue Spread-Upper Limit'!$F$16,'Revenue Spread-Upper Limit'!$F$21)</f>
        <v>42785387.387549251</v>
      </c>
      <c r="N22" s="85" t="s">
        <v>21</v>
      </c>
    </row>
    <row r="23" spans="2:14" ht="17" thickTop="1" thickBot="1" x14ac:dyDescent="0.55000000000000004">
      <c r="B23" s="82"/>
      <c r="C23" s="26"/>
      <c r="D23" s="26"/>
      <c r="E23" s="26"/>
      <c r="F23" s="26"/>
      <c r="G23" s="27"/>
      <c r="H23" s="28"/>
      <c r="I23" s="32"/>
      <c r="J23" s="26"/>
      <c r="K23" s="5"/>
      <c r="M23" s="86">
        <f>M22-M21</f>
        <v>418.82754924893379</v>
      </c>
      <c r="N23" s="87" t="s">
        <v>20</v>
      </c>
    </row>
    <row r="24" spans="2:14" ht="14.5" x14ac:dyDescent="0.35">
      <c r="B24" s="70"/>
      <c r="C24" s="71"/>
      <c r="D24" s="71"/>
      <c r="E24" s="71"/>
      <c r="F24" s="71"/>
      <c r="G24" s="72"/>
      <c r="H24" s="71"/>
      <c r="I24" s="73"/>
      <c r="J24" s="71"/>
      <c r="K24" s="74"/>
    </row>
    <row r="25" spans="2:14" ht="16" x14ac:dyDescent="0.5">
      <c r="B25" s="75" t="s">
        <v>23</v>
      </c>
      <c r="G25" s="76"/>
      <c r="I25" s="77"/>
      <c r="K25" s="78"/>
    </row>
    <row r="26" spans="2:14" ht="14.5" x14ac:dyDescent="0.35">
      <c r="B26" s="79" t="s">
        <v>18</v>
      </c>
      <c r="C26" s="12">
        <v>6096</v>
      </c>
      <c r="D26" s="11">
        <f>'RJA-6 (2025 rates)'!G26</f>
        <v>100</v>
      </c>
      <c r="E26" s="11"/>
      <c r="F26" s="3">
        <f>C26*D26</f>
        <v>609600</v>
      </c>
      <c r="G26" s="19">
        <v>130</v>
      </c>
      <c r="H26" s="11"/>
      <c r="I26" s="7">
        <f>ROUND(C26*G26,2)</f>
        <v>792480</v>
      </c>
      <c r="J26" s="3">
        <f>ROUND(I26-F26,2)</f>
        <v>182880</v>
      </c>
      <c r="K26" s="5">
        <f>J26/F26</f>
        <v>0.3</v>
      </c>
    </row>
    <row r="27" spans="2:14" ht="14.5" x14ac:dyDescent="0.35">
      <c r="B27" s="79" t="s">
        <v>24</v>
      </c>
      <c r="C27" s="12">
        <v>1833513.5134627069</v>
      </c>
      <c r="D27" s="4">
        <f>'RJA-6 (2025 rates)'!G27</f>
        <v>0.29291</v>
      </c>
      <c r="E27" s="4">
        <f>'RJA-6 (2025 rates)'!H27</f>
        <v>0</v>
      </c>
      <c r="F27" s="3">
        <f>C27*(D27+E27)</f>
        <v>537054.44322836155</v>
      </c>
      <c r="G27" s="10">
        <f>ROUND((M31-I26)*N27/C27,5)</f>
        <v>0.29576999999999998</v>
      </c>
      <c r="H27" s="4">
        <v>0</v>
      </c>
      <c r="I27" s="7">
        <f>ROUND(C27*G27,2)</f>
        <v>542298.29</v>
      </c>
      <c r="J27" s="3">
        <f>ROUND(I27-F27,2)</f>
        <v>5243.85</v>
      </c>
      <c r="K27" s="5">
        <f>J27/F27</f>
        <v>9.7640938756189694E-3</v>
      </c>
      <c r="M27" s="88">
        <f>(D27+E27)/G27</f>
        <v>0.99033032423842859</v>
      </c>
      <c r="N27" s="89">
        <f>F27/SUM($F$27:$F$29)</f>
        <v>0.17407208084300768</v>
      </c>
    </row>
    <row r="28" spans="2:14" ht="14.5" x14ac:dyDescent="0.35">
      <c r="B28" s="79" t="s">
        <v>25</v>
      </c>
      <c r="C28" s="12">
        <v>5797268.9893457806</v>
      </c>
      <c r="D28" s="4">
        <f>'RJA-6 (2025 rates)'!G28</f>
        <v>0.24251</v>
      </c>
      <c r="E28" s="4">
        <f>'RJA-6 (2025 rates)'!H28</f>
        <v>0</v>
      </c>
      <c r="F28" s="3">
        <f>C28*(D28+E28)</f>
        <v>1405895.7026062452</v>
      </c>
      <c r="G28" s="10">
        <f>ROUND((M31-I26)*N28/C28,5)</f>
        <v>0.24487999999999999</v>
      </c>
      <c r="H28" s="4">
        <v>0</v>
      </c>
      <c r="I28" s="7">
        <f>ROUND(C28*G28,2)</f>
        <v>1419635.23</v>
      </c>
      <c r="J28" s="3">
        <f>ROUND(I28-F28,2)</f>
        <v>13739.53</v>
      </c>
      <c r="K28" s="5">
        <f>J28/F28</f>
        <v>9.7727946493681578E-3</v>
      </c>
      <c r="M28" s="88">
        <f>(D28+E28)/G28</f>
        <v>0.99032179026461953</v>
      </c>
      <c r="N28" s="89">
        <f>F28/SUM($F$27:$F$29)</f>
        <v>0.45568413684429881</v>
      </c>
    </row>
    <row r="29" spans="2:14" ht="14.5" x14ac:dyDescent="0.35">
      <c r="B29" s="79" t="s">
        <v>26</v>
      </c>
      <c r="C29" s="12">
        <v>4863091.4796084724</v>
      </c>
      <c r="D29" s="4">
        <f>'RJA-6 (2025 rates)'!G29</f>
        <v>0.23488999999999999</v>
      </c>
      <c r="E29" s="4">
        <f>'RJA-6 (2025 rates)'!H29</f>
        <v>0</v>
      </c>
      <c r="F29" s="3">
        <f>C29*(D29+E29)</f>
        <v>1142291.557645234</v>
      </c>
      <c r="G29" s="10">
        <f>ROUND((M31-I26)*N29/C29,5)</f>
        <v>0.23718</v>
      </c>
      <c r="H29" s="4">
        <v>0</v>
      </c>
      <c r="I29" s="7">
        <f>ROUND(C29*G29,2)</f>
        <v>1153428.04</v>
      </c>
      <c r="J29" s="3">
        <f>ROUND(I29-F29,2)</f>
        <v>11136.48</v>
      </c>
      <c r="K29" s="5">
        <f>J29/F29</f>
        <v>9.7492447750880604E-3</v>
      </c>
      <c r="M29" s="88">
        <f>(D29+E29)/G29</f>
        <v>0.9903448857407875</v>
      </c>
      <c r="N29" s="89">
        <f>F29/SUM($F$27:$F$29)</f>
        <v>0.37024378231269361</v>
      </c>
    </row>
    <row r="30" spans="2:14" ht="16.5" thickBot="1" x14ac:dyDescent="0.55000000000000004">
      <c r="B30" s="79" t="s">
        <v>20</v>
      </c>
      <c r="C30" s="12"/>
      <c r="D30" s="20"/>
      <c r="E30" s="20"/>
      <c r="F30" s="39"/>
      <c r="G30" s="21"/>
      <c r="H30" s="22"/>
      <c r="I30" s="7">
        <f>M32</f>
        <v>-30.964871888514608</v>
      </c>
      <c r="J30" s="3">
        <f>ROUND(I30-F30,2)</f>
        <v>-30.96</v>
      </c>
      <c r="K30" s="80"/>
      <c r="M30" s="81">
        <f>SUM(I26:I29)</f>
        <v>3907841.56</v>
      </c>
    </row>
    <row r="31" spans="2:14" ht="16.5" thickBot="1" x14ac:dyDescent="0.55000000000000004">
      <c r="B31" s="82" t="str">
        <f>"Total "&amp;RIGHT(B25,3)&amp;" Revenue"</f>
        <v>Total 505 Revenue</v>
      </c>
      <c r="C31" s="29"/>
      <c r="D31" s="26"/>
      <c r="E31" s="23"/>
      <c r="F31" s="9">
        <f>SUM(F26:F30)</f>
        <v>3694841.7034798414</v>
      </c>
      <c r="G31" s="24"/>
      <c r="H31" s="25"/>
      <c r="I31" s="9">
        <f>SUM(I26:I30)</f>
        <v>3907810.5951281115</v>
      </c>
      <c r="J31" s="83">
        <f>SUM(J26:J30)</f>
        <v>212968.90000000002</v>
      </c>
      <c r="K31" s="5">
        <f>J31/F31</f>
        <v>5.7639519387102198E-2</v>
      </c>
      <c r="M31" s="84">
        <f>CHOOSE($M$5,'Revenue Spread-Upper Limit'!$G$7,'Revenue Spread-Upper Limit'!$G$10,'Revenue Spread-Upper Limit'!$G$13,'Revenue Spread-Upper Limit'!$G$16,'Revenue Spread-Upper Limit'!$G$21)</f>
        <v>3907810.5951281115</v>
      </c>
      <c r="N31" s="85" t="s">
        <v>21</v>
      </c>
    </row>
    <row r="32" spans="2:14" ht="17" thickTop="1" thickBot="1" x14ac:dyDescent="0.55000000000000004">
      <c r="B32" s="82"/>
      <c r="C32" s="26"/>
      <c r="D32" s="26"/>
      <c r="E32" s="26"/>
      <c r="F32" s="26"/>
      <c r="G32" s="27"/>
      <c r="H32" s="28"/>
      <c r="I32" s="32"/>
      <c r="J32" s="26"/>
      <c r="K32" s="5"/>
      <c r="M32" s="86">
        <f>M31-M30</f>
        <v>-30.964871888514608</v>
      </c>
      <c r="N32" s="87" t="s">
        <v>20</v>
      </c>
    </row>
    <row r="33" spans="2:14" ht="14.5" x14ac:dyDescent="0.35">
      <c r="B33" s="70"/>
      <c r="C33" s="71"/>
      <c r="D33" s="71"/>
      <c r="E33" s="71"/>
      <c r="F33" s="71"/>
      <c r="G33" s="72"/>
      <c r="H33" s="71"/>
      <c r="I33" s="73"/>
      <c r="J33" s="71"/>
      <c r="K33" s="74"/>
    </row>
    <row r="34" spans="2:14" ht="16" x14ac:dyDescent="0.5">
      <c r="B34" s="75" t="s">
        <v>27</v>
      </c>
      <c r="G34" s="76"/>
      <c r="I34" s="77"/>
      <c r="K34" s="78"/>
    </row>
    <row r="35" spans="2:14" ht="14.5" x14ac:dyDescent="0.35">
      <c r="B35" s="79" t="s">
        <v>18</v>
      </c>
      <c r="C35" s="12">
        <f>'RJA-6 (2025 rates)'!C35</f>
        <v>1188</v>
      </c>
      <c r="D35" s="11">
        <f>'RJA-6 (2025 rates)'!G35</f>
        <v>250</v>
      </c>
      <c r="E35" s="11"/>
      <c r="F35" s="3">
        <f>C35*D35</f>
        <v>297000</v>
      </c>
      <c r="G35" s="19">
        <v>350</v>
      </c>
      <c r="H35" s="11"/>
      <c r="I35" s="7">
        <f>ROUND(C35*G35,2)</f>
        <v>415800</v>
      </c>
      <c r="J35" s="3">
        <f t="shared" ref="J35:J40" si="0">ROUND(I35-F35,2)</f>
        <v>118800</v>
      </c>
      <c r="K35" s="5">
        <f>IFERROR(J35/F35,"")</f>
        <v>0.4</v>
      </c>
    </row>
    <row r="36" spans="2:14" ht="14.5" x14ac:dyDescent="0.35">
      <c r="B36" s="79" t="s">
        <v>28</v>
      </c>
      <c r="C36" s="12">
        <f>'RJA-6 (2025 rates)'!C36</f>
        <v>9861038.8412244879</v>
      </c>
      <c r="D36" s="4">
        <f>'RJA-6 (2025 rates)'!G36</f>
        <v>0.23618</v>
      </c>
      <c r="E36" s="4">
        <f>'RJA-6 (2025 rates)'!H36</f>
        <v>0</v>
      </c>
      <c r="F36" s="3">
        <f>C36*(D36+E36)</f>
        <v>2328980.1535203997</v>
      </c>
      <c r="G36" s="10">
        <f>ROUND((M40-I35)*N36/C36,5)</f>
        <v>0.24598999999999999</v>
      </c>
      <c r="H36" s="4">
        <v>0</v>
      </c>
      <c r="I36" s="7">
        <f>ROUND(C36*G36,2)</f>
        <v>2425716.94</v>
      </c>
      <c r="J36" s="3">
        <f t="shared" si="0"/>
        <v>96736.79</v>
      </c>
      <c r="K36" s="5">
        <f>J36/F36</f>
        <v>4.1536116078007904E-2</v>
      </c>
      <c r="N36" s="89">
        <f>F36/SUM($F$36:$F$38)</f>
        <v>0.68351828565806882</v>
      </c>
    </row>
    <row r="37" spans="2:14" ht="14.5" x14ac:dyDescent="0.35">
      <c r="B37" s="79" t="s">
        <v>29</v>
      </c>
      <c r="C37" s="12">
        <f>'RJA-6 (2025 rates)'!C37</f>
        <v>5346794.8493877547</v>
      </c>
      <c r="D37" s="4">
        <f>'RJA-6 (2025 rates)'!G37</f>
        <v>0.18526000000000001</v>
      </c>
      <c r="E37" s="4">
        <f>E36</f>
        <v>0</v>
      </c>
      <c r="F37" s="3">
        <f>C37*(D37+E37)</f>
        <v>990547.21379757544</v>
      </c>
      <c r="G37" s="10">
        <f>ROUND((M40-I35)*N37/C37,5)</f>
        <v>0.19295999999999999</v>
      </c>
      <c r="H37" s="4">
        <v>0</v>
      </c>
      <c r="I37" s="7">
        <f>ROUND(C37*G37,2)</f>
        <v>1031717.53</v>
      </c>
      <c r="J37" s="3">
        <f t="shared" si="0"/>
        <v>41170.32</v>
      </c>
      <c r="K37" s="5">
        <f>J37/F37</f>
        <v>4.1563208120247573E-2</v>
      </c>
      <c r="N37" s="89">
        <f>F37/SUM($F$36:$F$38)</f>
        <v>0.29070970502469973</v>
      </c>
    </row>
    <row r="38" spans="2:14" ht="14.5" x14ac:dyDescent="0.35">
      <c r="B38" s="79" t="s">
        <v>30</v>
      </c>
      <c r="C38" s="12">
        <f>'RJA-6 (2025 rates)'!C38</f>
        <v>1480843.7495918367</v>
      </c>
      <c r="D38" s="4">
        <f>'RJA-6 (2025 rates)'!G38</f>
        <v>5.9299999999999999E-2</v>
      </c>
      <c r="E38" s="4">
        <f>E36</f>
        <v>0</v>
      </c>
      <c r="F38" s="3">
        <f>C38*(D38+E38)</f>
        <v>87814.034350795919</v>
      </c>
      <c r="G38" s="10">
        <f>ROUND((M40-I35)*N38/C38,5)</f>
        <v>6.1760000000000002E-2</v>
      </c>
      <c r="H38" s="4">
        <v>0</v>
      </c>
      <c r="I38" s="7">
        <f>ROUND(C38*G38,2)</f>
        <v>91456.91</v>
      </c>
      <c r="J38" s="3">
        <f t="shared" si="0"/>
        <v>3642.88</v>
      </c>
      <c r="K38" s="5">
        <f>J38/F38</f>
        <v>4.1484029596540024E-2</v>
      </c>
      <c r="N38" s="89">
        <f>F38/SUM($F$36:$F$38)</f>
        <v>2.5772009317231413E-2</v>
      </c>
    </row>
    <row r="39" spans="2:14" ht="16.5" thickBot="1" x14ac:dyDescent="0.55000000000000004">
      <c r="B39" s="79" t="s">
        <v>20</v>
      </c>
      <c r="C39" s="12"/>
      <c r="D39" s="20"/>
      <c r="E39" s="20"/>
      <c r="F39" s="39"/>
      <c r="G39" s="21"/>
      <c r="H39" s="22"/>
      <c r="I39" s="7">
        <f>M41</f>
        <v>17.432655676268041</v>
      </c>
      <c r="J39" s="3">
        <f t="shared" si="0"/>
        <v>17.43</v>
      </c>
      <c r="K39" s="80"/>
      <c r="M39" s="81">
        <f>SUM(I35:I38)</f>
        <v>3964691.38</v>
      </c>
    </row>
    <row r="40" spans="2:14" ht="16.5" thickBot="1" x14ac:dyDescent="0.55000000000000004">
      <c r="B40" s="82" t="str">
        <f>"Total "&amp;RIGHT(B34,3)&amp;" Revenue"</f>
        <v>Total 511 Revenue</v>
      </c>
      <c r="C40" s="29"/>
      <c r="D40" s="23"/>
      <c r="E40" s="23"/>
      <c r="F40" s="9">
        <f>SUM(F35:F39)</f>
        <v>3704341.4016687712</v>
      </c>
      <c r="G40" s="24"/>
      <c r="H40" s="25"/>
      <c r="I40" s="9">
        <f>SUM(I35:I39)</f>
        <v>3964708.8126556762</v>
      </c>
      <c r="J40" s="83">
        <f t="shared" si="0"/>
        <v>260367.41</v>
      </c>
      <c r="K40" s="5">
        <f>J40/F40</f>
        <v>7.0287098776237775E-2</v>
      </c>
      <c r="M40" s="84">
        <f>CHOOSE($M$5,'Revenue Spread-Upper Limit'!$H$7,'Revenue Spread-Upper Limit'!$H$10,'Revenue Spread-Upper Limit'!$H$13,'Revenue Spread-Upper Limit'!$H$16,'Revenue Spread-Upper Limit'!$H$21)</f>
        <v>3964708.8126556762</v>
      </c>
      <c r="N40" s="85" t="s">
        <v>21</v>
      </c>
    </row>
    <row r="41" spans="2:14" ht="17" thickTop="1" thickBot="1" x14ac:dyDescent="0.55000000000000004">
      <c r="B41" s="82"/>
      <c r="C41" s="26"/>
      <c r="D41" s="26"/>
      <c r="E41" s="26"/>
      <c r="F41" s="26"/>
      <c r="G41" s="27"/>
      <c r="H41" s="28"/>
      <c r="I41" s="32"/>
      <c r="J41" s="26"/>
      <c r="K41" s="5"/>
      <c r="M41" s="86">
        <f>M40-M39</f>
        <v>17.432655676268041</v>
      </c>
      <c r="N41" s="87" t="s">
        <v>20</v>
      </c>
    </row>
    <row r="42" spans="2:14" ht="14.5" x14ac:dyDescent="0.35">
      <c r="B42" s="70"/>
      <c r="C42" s="71"/>
      <c r="D42" s="71"/>
      <c r="E42" s="71"/>
      <c r="F42" s="71"/>
      <c r="G42" s="72"/>
      <c r="H42" s="71"/>
      <c r="I42" s="73"/>
      <c r="J42" s="71"/>
      <c r="K42" s="74"/>
    </row>
    <row r="43" spans="2:14" ht="16" x14ac:dyDescent="0.5">
      <c r="B43" s="75" t="s">
        <v>31</v>
      </c>
      <c r="G43" s="76"/>
      <c r="I43" s="77"/>
      <c r="K43" s="78"/>
    </row>
    <row r="44" spans="2:14" ht="14.5" x14ac:dyDescent="0.35">
      <c r="B44" s="79" t="s">
        <v>18</v>
      </c>
      <c r="C44" s="12">
        <f>'RJA-6 (2025 rates)'!C44</f>
        <v>84</v>
      </c>
      <c r="D44" s="11">
        <f>'RJA-6 (2025 rates)'!G44</f>
        <v>300</v>
      </c>
      <c r="E44" s="11"/>
      <c r="F44" s="3">
        <f>C44*D44</f>
        <v>25200</v>
      </c>
      <c r="G44" s="19">
        <v>400</v>
      </c>
      <c r="H44" s="11"/>
      <c r="I44" s="7">
        <f>ROUND(C44*G44,2)</f>
        <v>33600</v>
      </c>
      <c r="J44" s="3">
        <f>ROUND(I44-F44,2)</f>
        <v>8400</v>
      </c>
      <c r="K44" s="5">
        <f>IFERROR(J44/F44,"")</f>
        <v>0.33333333333333331</v>
      </c>
    </row>
    <row r="45" spans="2:14" ht="14.5" x14ac:dyDescent="0.35">
      <c r="B45" s="79" t="s">
        <v>32</v>
      </c>
      <c r="C45" s="12">
        <f>'RJA-6 (2025 rates)'!C45</f>
        <v>1086598</v>
      </c>
      <c r="D45" s="4">
        <f>'RJA-6 (2025 rates)'!G45</f>
        <v>0.14122000000000001</v>
      </c>
      <c r="E45" s="4">
        <f>'RJA-6 (2025 rates)'!H45</f>
        <v>0</v>
      </c>
      <c r="F45" s="3">
        <f>C45*(D45+E45)</f>
        <v>153449.36956000002</v>
      </c>
      <c r="G45" s="10">
        <f>ROUND((M48-I44)*N45/C45,5)</f>
        <v>0.14662</v>
      </c>
      <c r="H45" s="4">
        <v>0</v>
      </c>
      <c r="I45" s="7">
        <f>ROUND(C45*G45,2)</f>
        <v>159317</v>
      </c>
      <c r="J45" s="3">
        <f>ROUND(I45-F45,2)</f>
        <v>5867.63</v>
      </c>
      <c r="K45" s="5">
        <f>J45/F45</f>
        <v>3.8238215098731355E-2</v>
      </c>
      <c r="N45" s="89">
        <f>F45/SUM($F$45:$F$46)</f>
        <v>0.74158375047915281</v>
      </c>
    </row>
    <row r="46" spans="2:14" ht="14.5" x14ac:dyDescent="0.35">
      <c r="B46" s="79" t="s">
        <v>33</v>
      </c>
      <c r="C46" s="12">
        <f>'RJA-6 (2025 rates)'!C46</f>
        <v>1011000</v>
      </c>
      <c r="D46" s="4">
        <f>'RJA-6 (2025 rates)'!G46</f>
        <v>5.289E-2</v>
      </c>
      <c r="E46" s="4">
        <f>E45</f>
        <v>0</v>
      </c>
      <c r="F46" s="3">
        <f>C46*(D46+E46)</f>
        <v>53471.79</v>
      </c>
      <c r="G46" s="10">
        <f>ROUND((M48-I44)*N46/C46,5)</f>
        <v>5.491E-2</v>
      </c>
      <c r="H46" s="4">
        <v>0</v>
      </c>
      <c r="I46" s="7">
        <f>ROUND(C46*G46,2)</f>
        <v>55514.01</v>
      </c>
      <c r="J46" s="3">
        <f>ROUND(I46-F46,2)</f>
        <v>2042.22</v>
      </c>
      <c r="K46" s="5">
        <f>J46/F46</f>
        <v>3.8192474948005296E-2</v>
      </c>
      <c r="N46" s="89">
        <f>F46/SUM($F$45:$F$46)</f>
        <v>0.25841624952084719</v>
      </c>
    </row>
    <row r="47" spans="2:14" ht="16.5" thickBot="1" x14ac:dyDescent="0.55000000000000004">
      <c r="B47" s="79" t="s">
        <v>20</v>
      </c>
      <c r="C47" s="12"/>
      <c r="D47" s="20"/>
      <c r="E47" s="20"/>
      <c r="F47" s="39"/>
      <c r="G47" s="21"/>
      <c r="H47" s="22"/>
      <c r="I47" s="7">
        <f>M49</f>
        <v>7.0300877325935289</v>
      </c>
      <c r="J47" s="3">
        <f>ROUND(I47-F47,2)</f>
        <v>7.03</v>
      </c>
      <c r="K47" s="80"/>
      <c r="M47" s="81">
        <f>SUM(I43:I46)</f>
        <v>248431.01</v>
      </c>
    </row>
    <row r="48" spans="2:14" ht="16.5" thickBot="1" x14ac:dyDescent="0.55000000000000004">
      <c r="B48" s="82" t="str">
        <f>"Total "&amp;RIGHT(B43,3)&amp;" Revenue"</f>
        <v>Total 570 Revenue</v>
      </c>
      <c r="C48" s="29"/>
      <c r="D48" s="23"/>
      <c r="E48" s="23"/>
      <c r="F48" s="9">
        <f>SUM(F44:F47)</f>
        <v>232121.15956000003</v>
      </c>
      <c r="G48" s="24"/>
      <c r="H48" s="25"/>
      <c r="I48" s="9">
        <f>SUM(I44:I47)</f>
        <v>248438.0400877326</v>
      </c>
      <c r="J48" s="83">
        <f>ROUND(I48-F48,2)</f>
        <v>16316.88</v>
      </c>
      <c r="K48" s="5">
        <f>J48/F48</f>
        <v>7.0294668658943682E-2</v>
      </c>
      <c r="M48" s="84">
        <f>CHOOSE($M$5,'Revenue Spread-Upper Limit'!$I$7,'Revenue Spread-Upper Limit'!$I$10,'Revenue Spread-Upper Limit'!$I$13,'Revenue Spread-Upper Limit'!$I$16,'Revenue Spread-Upper Limit'!$I$21)</f>
        <v>248438.0400877326</v>
      </c>
      <c r="N48" s="85" t="s">
        <v>21</v>
      </c>
    </row>
    <row r="49" spans="2:14" ht="17" thickTop="1" thickBot="1" x14ac:dyDescent="0.55000000000000004">
      <c r="B49" s="90"/>
      <c r="C49" s="28"/>
      <c r="D49" s="28"/>
      <c r="E49" s="28"/>
      <c r="F49" s="28"/>
      <c r="G49" s="27"/>
      <c r="H49" s="28"/>
      <c r="I49" s="32"/>
      <c r="J49" s="28"/>
      <c r="K49" s="33"/>
      <c r="M49" s="86">
        <f>M48-M47</f>
        <v>7.0300877325935289</v>
      </c>
      <c r="N49" s="87" t="s">
        <v>20</v>
      </c>
    </row>
    <row r="50" spans="2:14" ht="16.5" thickBot="1" x14ac:dyDescent="0.55000000000000004">
      <c r="B50" s="91"/>
      <c r="C50" s="26"/>
      <c r="D50" s="26"/>
      <c r="E50" s="26"/>
      <c r="F50" s="26"/>
      <c r="G50" s="26"/>
      <c r="H50" s="26"/>
      <c r="I50" s="26"/>
      <c r="J50" s="26"/>
      <c r="K50" s="26"/>
      <c r="M50" s="3"/>
    </row>
    <row r="51" spans="2:14" ht="14.5" x14ac:dyDescent="0.35">
      <c r="B51" s="70"/>
      <c r="C51" s="71"/>
      <c r="D51" s="71"/>
      <c r="E51" s="71"/>
      <c r="F51" s="71"/>
      <c r="G51" s="72"/>
      <c r="H51" s="71"/>
      <c r="I51" s="73"/>
      <c r="J51" s="71"/>
      <c r="K51" s="74"/>
    </row>
    <row r="52" spans="2:14" ht="16" x14ac:dyDescent="0.5">
      <c r="B52" s="75" t="s">
        <v>34</v>
      </c>
      <c r="G52" s="76"/>
      <c r="I52" s="77"/>
      <c r="K52" s="78"/>
    </row>
    <row r="53" spans="2:14" ht="14.5" x14ac:dyDescent="0.35">
      <c r="B53" s="79" t="s">
        <v>35</v>
      </c>
      <c r="C53" s="12">
        <f>'RJA-6 (2025 rates)'!C53</f>
        <v>42366960</v>
      </c>
      <c r="D53" s="30">
        <f>'RJA-6 (2025 rates)'!G53</f>
        <v>0.4</v>
      </c>
      <c r="E53" s="30"/>
      <c r="F53" s="3">
        <f>C53*D53</f>
        <v>16946784</v>
      </c>
      <c r="G53" s="19">
        <v>0.45</v>
      </c>
      <c r="H53" s="11"/>
      <c r="I53" s="7">
        <f t="shared" ref="I53:I59" si="1">ROUND(C53*G53,2)</f>
        <v>19065132</v>
      </c>
      <c r="J53" s="3">
        <f t="shared" ref="J53:J61" si="2">ROUND(I53-F53,2)</f>
        <v>2118348</v>
      </c>
      <c r="K53" s="5">
        <f t="shared" ref="K53:K59" si="3">J53/F53</f>
        <v>0.125</v>
      </c>
      <c r="M53" s="89"/>
    </row>
    <row r="54" spans="2:14" ht="14.5" x14ac:dyDescent="0.35">
      <c r="B54" s="79" t="s">
        <v>36</v>
      </c>
      <c r="C54" s="12">
        <f>'RJA-6 (2025 rates)'!C54</f>
        <v>854941070.21112633</v>
      </c>
      <c r="D54" s="6">
        <f>'RJA-6 (2025 rates)'!G54</f>
        <v>1.1000000000000001E-3</v>
      </c>
      <c r="E54" s="6"/>
      <c r="F54" s="3">
        <f>C54*D54</f>
        <v>940435.17723223905</v>
      </c>
      <c r="G54" s="10">
        <f>D54</f>
        <v>1.1000000000000001E-3</v>
      </c>
      <c r="H54" s="4"/>
      <c r="I54" s="7">
        <f t="shared" si="1"/>
        <v>940435.18</v>
      </c>
      <c r="J54" s="3">
        <f t="shared" si="2"/>
        <v>0</v>
      </c>
      <c r="K54" s="5">
        <f t="shared" si="3"/>
        <v>0</v>
      </c>
      <c r="M54" s="89"/>
    </row>
    <row r="55" spans="2:14" ht="14.5" x14ac:dyDescent="0.35">
      <c r="B55" s="79" t="s">
        <v>18</v>
      </c>
      <c r="C55" s="12">
        <f>'RJA-6 (2025 rates)'!C55</f>
        <v>2316</v>
      </c>
      <c r="D55" s="30">
        <f>'RJA-6 (2025 rates)'!G55</f>
        <v>1000</v>
      </c>
      <c r="E55" s="30"/>
      <c r="F55" s="3">
        <f>C55*D55</f>
        <v>2316000</v>
      </c>
      <c r="G55" s="19">
        <v>1200</v>
      </c>
      <c r="H55" s="11"/>
      <c r="I55" s="7">
        <f t="shared" si="1"/>
        <v>2779200</v>
      </c>
      <c r="J55" s="3">
        <f t="shared" si="2"/>
        <v>463200</v>
      </c>
      <c r="K55" s="5">
        <f t="shared" si="3"/>
        <v>0.2</v>
      </c>
      <c r="M55" s="92"/>
    </row>
    <row r="56" spans="2:14" ht="14.5" x14ac:dyDescent="0.35">
      <c r="B56" s="79" t="s">
        <v>37</v>
      </c>
      <c r="C56" s="12">
        <f>'RJA-6 (2025 rates)'!C56</f>
        <v>100667737.22113912</v>
      </c>
      <c r="D56" s="6">
        <f>'RJA-6 (2025 rates)'!G56</f>
        <v>6.7739999999999995E-2</v>
      </c>
      <c r="E56" s="6">
        <f>'RJA-6 (2025 rates)'!H56</f>
        <v>0</v>
      </c>
      <c r="F56" s="3">
        <f>C56*(D56+E56)</f>
        <v>6819232.519359963</v>
      </c>
      <c r="G56" s="10">
        <f>ROUND(($M$61-SUM($I$53:$I$55))*N56/C56,5)</f>
        <v>6.7780000000000007E-2</v>
      </c>
      <c r="H56" s="4">
        <v>0</v>
      </c>
      <c r="I56" s="7">
        <f t="shared" si="1"/>
        <v>6823259.2300000004</v>
      </c>
      <c r="J56" s="3">
        <f t="shared" si="2"/>
        <v>4026.71</v>
      </c>
      <c r="K56" s="5">
        <f t="shared" si="3"/>
        <v>5.9049313666429098E-4</v>
      </c>
      <c r="M56" s="93"/>
      <c r="N56" s="89">
        <f>F56/SUM($F$56:$F$59)</f>
        <v>0.40994059773885105</v>
      </c>
    </row>
    <row r="57" spans="2:14" ht="14.5" x14ac:dyDescent="0.35">
      <c r="B57" s="79" t="s">
        <v>38</v>
      </c>
      <c r="C57" s="12">
        <f>'RJA-6 (2025 rates)'!C57</f>
        <v>72067729.44475241</v>
      </c>
      <c r="D57" s="6">
        <f>'RJA-6 (2025 rates)'!G57</f>
        <v>2.751E-2</v>
      </c>
      <c r="E57" s="6">
        <f>E56</f>
        <v>0</v>
      </c>
      <c r="F57" s="3">
        <f>C57*(D57+E57)</f>
        <v>1982583.2370251387</v>
      </c>
      <c r="G57" s="10">
        <f>ROUND(($M$61-SUM($I$53:$I$55))*N57/C57,5)</f>
        <v>2.7529999999999999E-2</v>
      </c>
      <c r="H57" s="4">
        <v>0</v>
      </c>
      <c r="I57" s="7">
        <f t="shared" si="1"/>
        <v>1984024.59</v>
      </c>
      <c r="J57" s="3">
        <f t="shared" si="2"/>
        <v>1441.35</v>
      </c>
      <c r="K57" s="5">
        <f t="shared" si="3"/>
        <v>7.2700604599216828E-4</v>
      </c>
      <c r="M57" s="93"/>
      <c r="N57" s="89">
        <f>F57/SUM($F$56:$F$59)</f>
        <v>0.11918369918399462</v>
      </c>
    </row>
    <row r="58" spans="2:14" ht="14.5" x14ac:dyDescent="0.35">
      <c r="B58" s="79" t="s">
        <v>38</v>
      </c>
      <c r="C58" s="12">
        <f>'RJA-6 (2025 rates)'!C58</f>
        <v>37181911.28548535</v>
      </c>
      <c r="D58" s="6">
        <f>'RJA-6 (2025 rates)'!G58</f>
        <v>1.8450000000000001E-2</v>
      </c>
      <c r="E58" s="6">
        <f>E56</f>
        <v>0</v>
      </c>
      <c r="F58" s="3">
        <f>C58*(D58+E58)</f>
        <v>686006.26321720472</v>
      </c>
      <c r="G58" s="10">
        <f>ROUND(($M$61-SUM($I$53:$I$55))*N58/C58,5)</f>
        <v>1.8460000000000001E-2</v>
      </c>
      <c r="H58" s="4">
        <v>0</v>
      </c>
      <c r="I58" s="7">
        <f t="shared" si="1"/>
        <v>686378.08</v>
      </c>
      <c r="J58" s="3">
        <f t="shared" si="2"/>
        <v>371.82</v>
      </c>
      <c r="K58" s="5">
        <f t="shared" si="3"/>
        <v>5.4200671325689283E-4</v>
      </c>
      <c r="M58" s="93"/>
      <c r="N58" s="89">
        <f>F58/SUM($F$56:$F$59)</f>
        <v>4.123951145491242E-2</v>
      </c>
    </row>
    <row r="59" spans="2:14" ht="14.5" x14ac:dyDescent="0.35">
      <c r="B59" s="79" t="s">
        <v>39</v>
      </c>
      <c r="C59" s="12">
        <f>'RJA-6 (2025 rates)'!C59</f>
        <v>645023692.25974941</v>
      </c>
      <c r="D59" s="6">
        <f>'RJA-6 (2025 rates)'!G59</f>
        <v>1.108E-2</v>
      </c>
      <c r="E59" s="6">
        <f>E56</f>
        <v>0</v>
      </c>
      <c r="F59" s="3">
        <f>C59*(D59+E59)</f>
        <v>7146862.5102380235</v>
      </c>
      <c r="G59" s="10">
        <f>ROUND(($M$61-SUM($I$53:$I$55))*N59/C59,5)</f>
        <v>1.1089999999999999E-2</v>
      </c>
      <c r="H59" s="4">
        <v>0</v>
      </c>
      <c r="I59" s="7">
        <f t="shared" si="1"/>
        <v>7153312.75</v>
      </c>
      <c r="J59" s="3">
        <f t="shared" si="2"/>
        <v>6450.24</v>
      </c>
      <c r="K59" s="5">
        <f t="shared" si="3"/>
        <v>9.0252750640716845E-4</v>
      </c>
      <c r="M59" s="93"/>
      <c r="N59" s="89">
        <f>F59/SUM($F$56:$F$59)</f>
        <v>0.42963619162224193</v>
      </c>
    </row>
    <row r="60" spans="2:14" ht="16.5" thickBot="1" x14ac:dyDescent="0.55000000000000004">
      <c r="B60" s="79" t="s">
        <v>20</v>
      </c>
      <c r="C60" s="12"/>
      <c r="D60" s="20"/>
      <c r="E60" s="20"/>
      <c r="F60" s="39"/>
      <c r="G60" s="10"/>
      <c r="H60" s="4"/>
      <c r="I60" s="7">
        <f>M62</f>
        <v>-3014.7750416025519</v>
      </c>
      <c r="J60" s="3">
        <f t="shared" si="2"/>
        <v>-3014.78</v>
      </c>
      <c r="K60" s="80"/>
      <c r="M60" s="81">
        <f>SUM(I53:I59)</f>
        <v>39431741.829999998</v>
      </c>
    </row>
    <row r="61" spans="2:14" ht="16.5" thickBot="1" x14ac:dyDescent="0.55000000000000004">
      <c r="B61" s="82" t="str">
        <f>"Total "&amp;RIGHT(B52,3)&amp;" Revenue"</f>
        <v>Total 663 Revenue</v>
      </c>
      <c r="C61" s="12"/>
      <c r="D61" s="23"/>
      <c r="E61" s="23"/>
      <c r="F61" s="9">
        <f>SUM(F53:F60)</f>
        <v>36837903.707072571</v>
      </c>
      <c r="G61" s="24"/>
      <c r="H61" s="25"/>
      <c r="I61" s="9">
        <f>SUM(I53:I60)</f>
        <v>39428727.054958396</v>
      </c>
      <c r="J61" s="83">
        <f t="shared" si="2"/>
        <v>2590823.35</v>
      </c>
      <c r="K61" s="5">
        <f>J61/F61</f>
        <v>7.033036870397659E-2</v>
      </c>
      <c r="M61" s="84">
        <f>CHOOSE($M$5,'Revenue Spread-Upper Limit'!$J$7,'Revenue Spread-Upper Limit'!$J$10,'Revenue Spread-Upper Limit'!$J$13,'Revenue Spread-Upper Limit'!$J$16)</f>
        <v>39428727.054958396</v>
      </c>
      <c r="N61" s="85" t="s">
        <v>21</v>
      </c>
    </row>
    <row r="62" spans="2:14" ht="17" thickTop="1" thickBot="1" x14ac:dyDescent="0.55000000000000004">
      <c r="B62" s="94"/>
      <c r="C62" s="28"/>
      <c r="D62" s="28"/>
      <c r="E62" s="28"/>
      <c r="F62" s="28"/>
      <c r="G62" s="27"/>
      <c r="H62" s="28"/>
      <c r="I62" s="32"/>
      <c r="J62" s="28"/>
      <c r="K62" s="33"/>
      <c r="M62" s="86">
        <f>M61-M60</f>
        <v>-3014.7750416025519</v>
      </c>
      <c r="N62" s="87" t="s">
        <v>20</v>
      </c>
    </row>
    <row r="63" spans="2:14" ht="14.5" x14ac:dyDescent="0.35">
      <c r="B63" s="70"/>
      <c r="C63" s="71"/>
      <c r="D63" s="71"/>
      <c r="E63" s="71"/>
      <c r="F63" s="71"/>
      <c r="G63" s="72"/>
      <c r="H63" s="71"/>
      <c r="I63" s="73"/>
      <c r="J63" s="72"/>
      <c r="K63" s="74"/>
    </row>
    <row r="64" spans="2:14" ht="16" x14ac:dyDescent="0.5">
      <c r="B64" s="75" t="s">
        <v>40</v>
      </c>
      <c r="G64" s="76"/>
      <c r="I64" s="77"/>
      <c r="J64" s="76"/>
      <c r="K64" s="78"/>
    </row>
    <row r="65" spans="2:14" ht="14.5" x14ac:dyDescent="0.35">
      <c r="B65" s="79" t="s">
        <v>18</v>
      </c>
      <c r="E65" s="30"/>
      <c r="F65" s="3">
        <f>'RJA-6 (2025 rates)'!F65</f>
        <v>411977.32</v>
      </c>
      <c r="G65" s="19"/>
      <c r="H65" s="11"/>
      <c r="I65" s="7">
        <f>F65</f>
        <v>411977.32</v>
      </c>
      <c r="J65" s="8">
        <f>I65-F65</f>
        <v>0</v>
      </c>
      <c r="K65" s="5">
        <f>J65/F65</f>
        <v>0</v>
      </c>
    </row>
    <row r="66" spans="2:14" ht="14.5" x14ac:dyDescent="0.35">
      <c r="B66" s="79" t="s">
        <v>41</v>
      </c>
      <c r="E66" s="6"/>
      <c r="F66" s="3">
        <f>'RJA-6 (2025 rates)'!F66</f>
        <v>60000</v>
      </c>
      <c r="G66" s="19"/>
      <c r="H66" s="11"/>
      <c r="I66" s="7">
        <f>F66</f>
        <v>60000</v>
      </c>
      <c r="J66" s="8">
        <f>I66-F66</f>
        <v>0</v>
      </c>
      <c r="K66" s="5">
        <f>J66/F66</f>
        <v>0</v>
      </c>
    </row>
    <row r="67" spans="2:14" ht="14.5" x14ac:dyDescent="0.35">
      <c r="B67" s="79" t="s">
        <v>42</v>
      </c>
      <c r="E67" s="6"/>
      <c r="F67" s="3">
        <f>'RJA-6 (2025 rates)'!F67</f>
        <v>122757.90000000001</v>
      </c>
      <c r="G67" s="19"/>
      <c r="H67" s="11"/>
      <c r="I67" s="7">
        <f>F67</f>
        <v>122757.90000000001</v>
      </c>
      <c r="J67" s="8">
        <f>I67-F67</f>
        <v>0</v>
      </c>
      <c r="K67" s="5">
        <f>J67/F67</f>
        <v>0</v>
      </c>
    </row>
    <row r="68" spans="2:14" ht="15" thickBot="1" x14ac:dyDescent="0.4">
      <c r="B68" s="79" t="s">
        <v>19</v>
      </c>
      <c r="E68" s="6"/>
      <c r="F68" s="3">
        <f>'RJA-6 (2025 rates)'!F68</f>
        <v>2553267.1299999994</v>
      </c>
      <c r="G68" s="10"/>
      <c r="H68" s="4"/>
      <c r="I68" s="7">
        <f>F68</f>
        <v>2553267.1299999994</v>
      </c>
      <c r="J68" s="8">
        <f>I68-F68</f>
        <v>0</v>
      </c>
      <c r="K68" s="5">
        <f>J68/F68</f>
        <v>0</v>
      </c>
    </row>
    <row r="69" spans="2:14" ht="16.5" thickBot="1" x14ac:dyDescent="0.55000000000000004">
      <c r="B69" s="82" t="str">
        <f>B64&amp;" Revenue"</f>
        <v>Special Contracts - Total Revenue</v>
      </c>
      <c r="C69" s="23"/>
      <c r="E69" s="23"/>
      <c r="F69" s="9">
        <f>SUM(F65:F68)</f>
        <v>3148002.3499999996</v>
      </c>
      <c r="G69" s="24"/>
      <c r="H69" s="25"/>
      <c r="I69" s="9">
        <f>SUM(I65:I68)</f>
        <v>3148002.3499999996</v>
      </c>
      <c r="J69" s="83">
        <f>I69-F69</f>
        <v>0</v>
      </c>
      <c r="K69" s="5">
        <f>J69/F69</f>
        <v>0</v>
      </c>
      <c r="M69" s="84"/>
      <c r="N69" s="85" t="s">
        <v>21</v>
      </c>
    </row>
    <row r="70" spans="2:14" ht="17" thickTop="1" thickBot="1" x14ac:dyDescent="0.55000000000000004">
      <c r="B70" s="90"/>
      <c r="C70" s="28"/>
      <c r="D70" s="28"/>
      <c r="E70" s="28"/>
      <c r="F70" s="28"/>
      <c r="G70" s="27"/>
      <c r="H70" s="28"/>
      <c r="I70" s="32"/>
      <c r="J70" s="27"/>
      <c r="K70" s="33"/>
      <c r="M70" s="86"/>
      <c r="N70" s="87" t="s">
        <v>20</v>
      </c>
    </row>
    <row r="71" spans="2:14" ht="14.5" x14ac:dyDescent="0.35"/>
    <row r="72" spans="2:14" ht="14.5" x14ac:dyDescent="0.35"/>
    <row r="73" spans="2:14" ht="14.5" x14ac:dyDescent="0.35">
      <c r="B73" s="40" t="s">
        <v>43</v>
      </c>
      <c r="E73" s="95">
        <f>F73/F75</f>
        <v>0.3089770459692508</v>
      </c>
      <c r="F73" s="81">
        <f>SUM(F12,F19,F26,F35,F44,F53,F55,F65,F66)</f>
        <v>52915241.32</v>
      </c>
      <c r="H73" s="95">
        <f>I73/I75</f>
        <v>0.34003003397712894</v>
      </c>
      <c r="I73" s="81">
        <f>SUM(I12,I19,I26,I35,I44,I53,I55,I65,I66)</f>
        <v>61500371.32</v>
      </c>
      <c r="J73" s="3">
        <f>I73-F73</f>
        <v>8585130</v>
      </c>
      <c r="K73" s="96">
        <f>J73/F73</f>
        <v>0.16224304729297603</v>
      </c>
    </row>
    <row r="74" spans="2:14" ht="14.5" x14ac:dyDescent="0.35">
      <c r="B74" s="40" t="s">
        <v>44</v>
      </c>
      <c r="E74" s="95">
        <f>F74/F75</f>
        <v>0.6910229540307492</v>
      </c>
      <c r="F74" s="97">
        <f>SUM(F13,F20,F27:F29,F36:F38,F45:F46,F54,F56:F59,F67:F68)</f>
        <v>118344216.33325911</v>
      </c>
      <c r="H74" s="95">
        <f>I74/I75</f>
        <v>0.65996996602287106</v>
      </c>
      <c r="I74" s="97">
        <f>SUM(I13,I20,I27:I29,I36:I38,I45:I46,I54,I56:I59,I67:I68)</f>
        <v>119367096.77000004</v>
      </c>
      <c r="J74" s="98">
        <f>I74-F74</f>
        <v>1022880.4367409348</v>
      </c>
      <c r="K74" s="96">
        <f>J74/F74</f>
        <v>8.6432651162308433E-3</v>
      </c>
    </row>
    <row r="75" spans="2:14" ht="14.5" x14ac:dyDescent="0.35">
      <c r="B75" s="40" t="s">
        <v>45</v>
      </c>
      <c r="F75" s="25">
        <f>SUM(F73:F74)</f>
        <v>171259457.6532591</v>
      </c>
      <c r="I75" s="25">
        <f>SUM(I73:I74)</f>
        <v>180867468.09000003</v>
      </c>
      <c r="J75" s="3">
        <f>I75-F75</f>
        <v>9608010.4367409348</v>
      </c>
      <c r="K75" s="96">
        <f>J75/F75</f>
        <v>5.6102072074721961E-2</v>
      </c>
    </row>
    <row r="76" spans="2:14" ht="14.5" x14ac:dyDescent="0.35">
      <c r="F76" s="164">
        <f>SUM(F69,F61,F48,F40,F31,F22,F15)</f>
        <v>171259457.6532591</v>
      </c>
      <c r="H76" s="99" t="s">
        <v>46</v>
      </c>
      <c r="I76" s="3">
        <f>SUMIFS(I10:I62,B10:B62,H76)</f>
        <v>-2137.7046845607692</v>
      </c>
      <c r="J76" s="3">
        <f>SUMIFS(J10:J62,B10:B62,H76)</f>
        <v>-2137.7100000000005</v>
      </c>
    </row>
    <row r="77" spans="2:14" ht="14.5" x14ac:dyDescent="0.35"/>
    <row r="78" spans="2:14" ht="14.5" x14ac:dyDescent="0.35"/>
    <row r="79" spans="2:14" ht="14.5" x14ac:dyDescent="0.35"/>
  </sheetData>
  <printOptions horizontalCentered="1"/>
  <pageMargins left="0.45" right="0.45" top="0.75" bottom="0.5" header="0.3" footer="0.3"/>
  <pageSetup scale="5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415"/>
  <sheetViews>
    <sheetView workbookViewId="0">
      <selection activeCell="L20" sqref="L20"/>
    </sheetView>
  </sheetViews>
  <sheetFormatPr defaultColWidth="9.26953125" defaultRowHeight="15" customHeight="1" x14ac:dyDescent="0.35"/>
  <cols>
    <col min="1" max="1" width="4.7265625" style="40" customWidth="1"/>
    <col min="2" max="2" width="11.1796875" style="40" customWidth="1"/>
    <col min="3" max="3" width="22.54296875" style="40" customWidth="1"/>
    <col min="4" max="7" width="20.7265625" style="40" customWidth="1"/>
    <col min="8" max="8" width="4.54296875" style="40" customWidth="1"/>
    <col min="9" max="9" width="9.26953125" style="40" customWidth="1"/>
    <col min="10" max="10" width="11" style="40" bestFit="1" customWidth="1"/>
    <col min="11" max="16382" width="9.26953125" style="40" customWidth="1"/>
    <col min="16383" max="16384" width="9.26953125" style="40"/>
  </cols>
  <sheetData>
    <row r="1" spans="1:8" ht="15" customHeight="1" x14ac:dyDescent="0.35">
      <c r="A1" s="42" t="str">
        <f>'RJA-6 (2025 rates)'!A2</f>
        <v>Cascade Natural Gas Corp.</v>
      </c>
      <c r="H1" s="41" t="s">
        <v>139</v>
      </c>
    </row>
    <row r="2" spans="1:8" ht="15" customHeight="1" x14ac:dyDescent="0.35">
      <c r="A2" s="42" t="s">
        <v>1</v>
      </c>
      <c r="H2" s="41" t="s">
        <v>147</v>
      </c>
    </row>
    <row r="3" spans="1:8" ht="15" customHeight="1" x14ac:dyDescent="0.35">
      <c r="A3" s="126" t="s">
        <v>48</v>
      </c>
      <c r="H3" s="41" t="s">
        <v>49</v>
      </c>
    </row>
    <row r="4" spans="1:8" ht="15" customHeight="1" x14ac:dyDescent="0.35">
      <c r="A4" s="126"/>
    </row>
    <row r="5" spans="1:8" ht="15" customHeight="1" x14ac:dyDescent="0.35">
      <c r="A5" s="126"/>
    </row>
    <row r="6" spans="1:8" ht="15" customHeight="1" x14ac:dyDescent="0.35">
      <c r="A6" s="127" t="str">
        <f>'RJA-6 (2025 rates)'!B11</f>
        <v>Residential - 503</v>
      </c>
    </row>
    <row r="8" spans="1:8" ht="15" customHeight="1" x14ac:dyDescent="0.35">
      <c r="A8" s="128" t="s">
        <v>50</v>
      </c>
    </row>
    <row r="9" spans="1:8" ht="15" customHeight="1" x14ac:dyDescent="0.5">
      <c r="A9" s="129" t="s">
        <v>51</v>
      </c>
      <c r="B9" s="129" t="s">
        <v>52</v>
      </c>
      <c r="C9" s="129" t="s">
        <v>53</v>
      </c>
      <c r="D9" s="129" t="s">
        <v>54</v>
      </c>
      <c r="E9" s="129" t="s">
        <v>55</v>
      </c>
      <c r="F9" s="129" t="s">
        <v>56</v>
      </c>
      <c r="G9" s="129" t="s">
        <v>57</v>
      </c>
    </row>
    <row r="10" spans="1:8" ht="15" customHeight="1" x14ac:dyDescent="0.35">
      <c r="A10" s="128"/>
      <c r="B10" s="130"/>
      <c r="C10" s="131"/>
      <c r="D10" s="154" t="s">
        <v>58</v>
      </c>
      <c r="E10" s="133" t="s">
        <v>59</v>
      </c>
    </row>
    <row r="11" spans="1:8" ht="15" customHeight="1" x14ac:dyDescent="0.5">
      <c r="A11" s="128"/>
      <c r="B11" s="76"/>
      <c r="D11" s="129" t="s">
        <v>60</v>
      </c>
      <c r="E11" s="134" t="s">
        <v>9</v>
      </c>
    </row>
    <row r="12" spans="1:8" ht="15" customHeight="1" x14ac:dyDescent="0.35">
      <c r="A12" s="128">
        <f>IF(ISBLANK(B12),"",MAX($A$10:A11)+1)</f>
        <v>1</v>
      </c>
      <c r="B12" s="76" t="s">
        <v>18</v>
      </c>
      <c r="D12" s="135">
        <f>'RJA-6 (2025 rates)'!D12</f>
        <v>5</v>
      </c>
      <c r="E12" s="136">
        <f>'RJA-6 (2025 rates)'!G12</f>
        <v>10</v>
      </c>
    </row>
    <row r="13" spans="1:8" ht="15" customHeight="1" x14ac:dyDescent="0.35">
      <c r="A13" s="128" t="str">
        <f>IF(ISBLANK(B13),"",MAX($A$10:A12)+1)</f>
        <v/>
      </c>
      <c r="B13" s="76"/>
      <c r="D13" s="135"/>
      <c r="E13" s="136"/>
    </row>
    <row r="14" spans="1:8" ht="15" customHeight="1" x14ac:dyDescent="0.35">
      <c r="A14" s="128">
        <f>IF(ISBLANK(B14),"",MAX($A$10:A13)+1)</f>
        <v>2</v>
      </c>
      <c r="B14" s="76" t="s">
        <v>19</v>
      </c>
      <c r="D14" s="93">
        <f>SUM('RJA-6 (2025 rates)'!D13:E13)</f>
        <v>0.35719999999999996</v>
      </c>
      <c r="E14" s="137">
        <f>SUM('RJA-6 (2025 rates)'!G13:H13)</f>
        <v>0.42874000000000001</v>
      </c>
    </row>
    <row r="15" spans="1:8" ht="15" customHeight="1" x14ac:dyDescent="0.35">
      <c r="A15" s="128" t="str">
        <f>IF(ISBLANK(B15),"",MAX($A$10:A14)+1)</f>
        <v/>
      </c>
      <c r="B15" s="76"/>
      <c r="D15" s="135"/>
      <c r="E15" s="77"/>
    </row>
    <row r="16" spans="1:8" ht="15" customHeight="1" x14ac:dyDescent="0.35">
      <c r="A16" s="128">
        <f>IF(ISBLANK(B16),"",MAX($A$10:A15)+1)</f>
        <v>3</v>
      </c>
      <c r="B16" s="138" t="s">
        <v>61</v>
      </c>
      <c r="C16" s="139"/>
      <c r="D16" s="140">
        <v>0.95769999999999977</v>
      </c>
      <c r="E16" s="141">
        <f>D16</f>
        <v>0.95769999999999977</v>
      </c>
    </row>
    <row r="17" spans="1:11" ht="15" customHeight="1" x14ac:dyDescent="0.35">
      <c r="A17" s="128" t="str">
        <f>IF(ISBLANK(B17),"",MAX($A$10:A16)+1)</f>
        <v/>
      </c>
      <c r="D17" s="93"/>
      <c r="E17" s="93"/>
    </row>
    <row r="18" spans="1:11" ht="15" customHeight="1" x14ac:dyDescent="0.35">
      <c r="A18" s="128"/>
    </row>
    <row r="19" spans="1:11" ht="15" customHeight="1" x14ac:dyDescent="0.5">
      <c r="A19" s="128"/>
      <c r="B19" s="128"/>
      <c r="C19" s="128" t="s">
        <v>62</v>
      </c>
      <c r="D19" s="128" t="s">
        <v>63</v>
      </c>
      <c r="E19" s="128" t="s">
        <v>63</v>
      </c>
      <c r="F19" s="142" t="s">
        <v>64</v>
      </c>
      <c r="G19" s="142"/>
    </row>
    <row r="20" spans="1:11" ht="15" customHeight="1" x14ac:dyDescent="0.35">
      <c r="A20" s="128"/>
      <c r="B20" s="128"/>
      <c r="C20" s="128" t="s">
        <v>65</v>
      </c>
      <c r="D20" s="128" t="s">
        <v>58</v>
      </c>
      <c r="E20" s="128" t="s">
        <v>66</v>
      </c>
      <c r="F20" s="128"/>
      <c r="G20" s="128"/>
    </row>
    <row r="21" spans="1:11" ht="15" customHeight="1" x14ac:dyDescent="0.5">
      <c r="A21" s="128"/>
      <c r="B21" s="129" t="s">
        <v>67</v>
      </c>
      <c r="C21" s="129" t="s">
        <v>68</v>
      </c>
      <c r="D21" s="129" t="s">
        <v>60</v>
      </c>
      <c r="E21" s="129" t="s">
        <v>60</v>
      </c>
      <c r="F21" s="129" t="s">
        <v>69</v>
      </c>
      <c r="G21" s="129" t="s">
        <v>70</v>
      </c>
    </row>
    <row r="22" spans="1:11" ht="15" customHeight="1" x14ac:dyDescent="0.35">
      <c r="A22" s="128" t="str">
        <f>IF(ISBLANK(B22),"",MAX($A$10:A21)+1)</f>
        <v/>
      </c>
      <c r="K22" s="143" t="s">
        <v>71</v>
      </c>
    </row>
    <row r="23" spans="1:11" ht="15" customHeight="1" x14ac:dyDescent="0.35">
      <c r="A23" s="128">
        <f>IF(ISBLANK(B23),"",MAX($A$10:A22)+1)</f>
        <v>4</v>
      </c>
      <c r="B23" s="128" t="s">
        <v>72</v>
      </c>
      <c r="C23" s="144">
        <f t="shared" ref="C23:C34" si="0">ROUND(J23/$K$23,0)</f>
        <v>108</v>
      </c>
      <c r="D23" s="16">
        <f>D$12+(D$14+D$16)*$C23</f>
        <v>147.00919999999996</v>
      </c>
      <c r="E23" s="16">
        <f>E$12+(E$14+E$16)*$C23</f>
        <v>159.73551999999998</v>
      </c>
      <c r="F23" s="16">
        <f>E23-D23</f>
        <v>12.726320000000015</v>
      </c>
      <c r="G23" s="89">
        <f>F23/D23</f>
        <v>8.6568187569213487E-2</v>
      </c>
      <c r="J23" s="145">
        <v>22102360.038374364</v>
      </c>
      <c r="K23" s="45">
        <f>'Test year 2023'!C12/12</f>
        <v>204516</v>
      </c>
    </row>
    <row r="24" spans="1:11" ht="15" customHeight="1" x14ac:dyDescent="0.35">
      <c r="A24" s="128">
        <f>IF(ISBLANK(B24),"",MAX($A$10:A23)+1)</f>
        <v>5</v>
      </c>
      <c r="B24" s="128" t="s">
        <v>73</v>
      </c>
      <c r="C24" s="144">
        <f t="shared" si="0"/>
        <v>85</v>
      </c>
      <c r="D24" s="16">
        <f t="shared" ref="D24:E34" si="1">D$12+(D$14+D$16)*$C24</f>
        <v>116.76649999999998</v>
      </c>
      <c r="E24" s="16">
        <f t="shared" si="1"/>
        <v>127.84739999999999</v>
      </c>
      <c r="F24" s="16">
        <f t="shared" ref="F24:F34" si="2">E24-D24</f>
        <v>11.080900000000014</v>
      </c>
      <c r="G24" s="89">
        <f t="shared" ref="G24:G37" si="3">F24/D24</f>
        <v>9.4897937336479346E-2</v>
      </c>
      <c r="J24" s="146">
        <v>17345794.337006759</v>
      </c>
      <c r="K24" s="77"/>
    </row>
    <row r="25" spans="1:11" ht="15" customHeight="1" x14ac:dyDescent="0.35">
      <c r="A25" s="128">
        <f>IF(ISBLANK(B25),"",MAX($A$10:A24)+1)</f>
        <v>6</v>
      </c>
      <c r="B25" s="128" t="s">
        <v>74</v>
      </c>
      <c r="C25" s="144">
        <f t="shared" si="0"/>
        <v>72</v>
      </c>
      <c r="D25" s="16">
        <f t="shared" si="1"/>
        <v>99.672799999999981</v>
      </c>
      <c r="E25" s="16">
        <f t="shared" si="1"/>
        <v>109.82368</v>
      </c>
      <c r="F25" s="16">
        <f t="shared" si="2"/>
        <v>10.150880000000015</v>
      </c>
      <c r="G25" s="89">
        <f t="shared" si="3"/>
        <v>0.10184202711271297</v>
      </c>
      <c r="J25" s="146">
        <v>14813182.928166313</v>
      </c>
      <c r="K25" s="77"/>
    </row>
    <row r="26" spans="1:11" ht="15" customHeight="1" x14ac:dyDescent="0.35">
      <c r="A26" s="128">
        <f>IF(ISBLANK(B26),"",MAX($A$10:A25)+1)</f>
        <v>7</v>
      </c>
      <c r="B26" s="128" t="s">
        <v>75</v>
      </c>
      <c r="C26" s="144">
        <f t="shared" si="0"/>
        <v>47</v>
      </c>
      <c r="D26" s="16">
        <f t="shared" si="1"/>
        <v>66.800299999999993</v>
      </c>
      <c r="E26" s="16">
        <f t="shared" si="1"/>
        <v>75.162679999999995</v>
      </c>
      <c r="F26" s="16">
        <f t="shared" si="2"/>
        <v>8.3623800000000017</v>
      </c>
      <c r="G26" s="89">
        <f t="shared" si="3"/>
        <v>0.12518476713427937</v>
      </c>
      <c r="J26" s="146">
        <v>9574436.7302607335</v>
      </c>
      <c r="K26" s="77"/>
    </row>
    <row r="27" spans="1:11" ht="15" customHeight="1" x14ac:dyDescent="0.35">
      <c r="A27" s="128">
        <f>IF(ISBLANK(B27),"",MAX($A$10:A26)+1)</f>
        <v>8</v>
      </c>
      <c r="B27" s="128" t="s">
        <v>76</v>
      </c>
      <c r="C27" s="144">
        <f t="shared" si="0"/>
        <v>30</v>
      </c>
      <c r="D27" s="16">
        <f t="shared" si="1"/>
        <v>44.446999999999989</v>
      </c>
      <c r="E27" s="16">
        <f t="shared" si="1"/>
        <v>51.593199999999996</v>
      </c>
      <c r="F27" s="16">
        <f t="shared" si="2"/>
        <v>7.1462000000000074</v>
      </c>
      <c r="G27" s="89">
        <f t="shared" si="3"/>
        <v>0.16078025513532992</v>
      </c>
      <c r="J27" s="146">
        <v>6071209.5928084478</v>
      </c>
      <c r="K27" s="77"/>
    </row>
    <row r="28" spans="1:11" ht="15" customHeight="1" x14ac:dyDescent="0.35">
      <c r="A28" s="128">
        <f>IF(ISBLANK(B28),"",MAX($A$10:A27)+1)</f>
        <v>9</v>
      </c>
      <c r="B28" s="128" t="s">
        <v>77</v>
      </c>
      <c r="C28" s="144">
        <f t="shared" si="0"/>
        <v>15</v>
      </c>
      <c r="D28" s="16">
        <f t="shared" si="1"/>
        <v>24.723499999999994</v>
      </c>
      <c r="E28" s="16">
        <f t="shared" si="1"/>
        <v>30.796599999999998</v>
      </c>
      <c r="F28" s="16">
        <f t="shared" si="2"/>
        <v>6.0731000000000037</v>
      </c>
      <c r="G28" s="89">
        <f t="shared" si="3"/>
        <v>0.24564078710538578</v>
      </c>
      <c r="J28" s="146">
        <v>3158886.2100451053</v>
      </c>
      <c r="K28" s="77"/>
    </row>
    <row r="29" spans="1:11" ht="15" customHeight="1" x14ac:dyDescent="0.35">
      <c r="A29" s="128">
        <f>IF(ISBLANK(B29),"",MAX($A$10:A28)+1)</f>
        <v>10</v>
      </c>
      <c r="B29" s="128" t="s">
        <v>78</v>
      </c>
      <c r="C29" s="144">
        <f t="shared" si="0"/>
        <v>16</v>
      </c>
      <c r="D29" s="16">
        <f t="shared" si="1"/>
        <v>26.038399999999996</v>
      </c>
      <c r="E29" s="16">
        <f t="shared" si="1"/>
        <v>32.183039999999998</v>
      </c>
      <c r="F29" s="16">
        <f t="shared" si="2"/>
        <v>6.1446400000000025</v>
      </c>
      <c r="G29" s="89">
        <f t="shared" si="3"/>
        <v>0.235983777805088</v>
      </c>
      <c r="J29" s="146">
        <v>3263572.0050519761</v>
      </c>
      <c r="K29" s="77"/>
    </row>
    <row r="30" spans="1:11" ht="15" customHeight="1" x14ac:dyDescent="0.35">
      <c r="A30" s="128">
        <f>IF(ISBLANK(B30),"",MAX($A$10:A29)+1)</f>
        <v>11</v>
      </c>
      <c r="B30" s="128" t="s">
        <v>79</v>
      </c>
      <c r="C30" s="144">
        <f t="shared" si="0"/>
        <v>8</v>
      </c>
      <c r="D30" s="16">
        <f t="shared" si="1"/>
        <v>15.519199999999998</v>
      </c>
      <c r="E30" s="16">
        <f t="shared" si="1"/>
        <v>21.091519999999999</v>
      </c>
      <c r="F30" s="16">
        <f t="shared" si="2"/>
        <v>5.5723200000000013</v>
      </c>
      <c r="G30" s="89">
        <f t="shared" si="3"/>
        <v>0.35905974534769847</v>
      </c>
      <c r="J30" s="146">
        <v>1712901.0639956377</v>
      </c>
      <c r="K30" s="77"/>
    </row>
    <row r="31" spans="1:11" ht="15" customHeight="1" x14ac:dyDescent="0.35">
      <c r="A31" s="128">
        <f>IF(ISBLANK(B31),"",MAX($A$10:A30)+1)</f>
        <v>12</v>
      </c>
      <c r="B31" s="128" t="s">
        <v>80</v>
      </c>
      <c r="C31" s="144">
        <f t="shared" si="0"/>
        <v>18</v>
      </c>
      <c r="D31" s="16">
        <f t="shared" si="1"/>
        <v>28.668199999999995</v>
      </c>
      <c r="E31" s="16">
        <f t="shared" si="1"/>
        <v>34.955919999999999</v>
      </c>
      <c r="F31" s="16">
        <f t="shared" si="2"/>
        <v>6.2877200000000038</v>
      </c>
      <c r="G31" s="89">
        <f t="shared" si="3"/>
        <v>0.2193273383051606</v>
      </c>
      <c r="J31" s="146">
        <v>3730497.8331289045</v>
      </c>
      <c r="K31" s="77"/>
    </row>
    <row r="32" spans="1:11" ht="15" customHeight="1" x14ac:dyDescent="0.35">
      <c r="A32" s="128">
        <f>IF(ISBLANK(B32),"",MAX($A$10:A31)+1)</f>
        <v>13</v>
      </c>
      <c r="B32" s="128" t="s">
        <v>81</v>
      </c>
      <c r="C32" s="144">
        <f t="shared" si="0"/>
        <v>44</v>
      </c>
      <c r="D32" s="16">
        <f t="shared" si="1"/>
        <v>62.855599999999988</v>
      </c>
      <c r="E32" s="16">
        <f t="shared" si="1"/>
        <v>71.003359999999986</v>
      </c>
      <c r="F32" s="16">
        <f t="shared" si="2"/>
        <v>8.1477599999999981</v>
      </c>
      <c r="G32" s="89">
        <f t="shared" si="3"/>
        <v>0.12962663629016347</v>
      </c>
      <c r="J32" s="146">
        <v>9082145.6496453453</v>
      </c>
      <c r="K32" s="77"/>
    </row>
    <row r="33" spans="1:11" ht="15" customHeight="1" x14ac:dyDescent="0.35">
      <c r="A33" s="128">
        <f>IF(ISBLANK(B33),"",MAX($A$10:A32)+1)</f>
        <v>14</v>
      </c>
      <c r="B33" s="128" t="s">
        <v>82</v>
      </c>
      <c r="C33" s="144">
        <f t="shared" si="0"/>
        <v>83</v>
      </c>
      <c r="D33" s="16">
        <f t="shared" si="1"/>
        <v>114.13669999999998</v>
      </c>
      <c r="E33" s="16">
        <f t="shared" si="1"/>
        <v>125.07451999999999</v>
      </c>
      <c r="F33" s="16">
        <f t="shared" si="2"/>
        <v>10.937820000000016</v>
      </c>
      <c r="G33" s="89">
        <f t="shared" si="3"/>
        <v>9.583087648407583E-2</v>
      </c>
      <c r="J33" s="146">
        <v>17043162.354835041</v>
      </c>
      <c r="K33" s="77"/>
    </row>
    <row r="34" spans="1:11" ht="15" customHeight="1" x14ac:dyDescent="0.5">
      <c r="A34" s="128">
        <f>IF(ISBLANK(B34),"",MAX($A$10:A33)+1)</f>
        <v>15</v>
      </c>
      <c r="B34" s="128" t="s">
        <v>83</v>
      </c>
      <c r="C34" s="147">
        <f t="shared" si="0"/>
        <v>108</v>
      </c>
      <c r="D34" s="17">
        <f t="shared" si="1"/>
        <v>147.00919999999996</v>
      </c>
      <c r="E34" s="17">
        <f t="shared" si="1"/>
        <v>159.73551999999998</v>
      </c>
      <c r="F34" s="17">
        <f t="shared" si="2"/>
        <v>12.726320000000015</v>
      </c>
      <c r="G34" s="89">
        <f t="shared" si="3"/>
        <v>8.6568187569213487E-2</v>
      </c>
      <c r="J34" s="148">
        <v>22015297.412013046</v>
      </c>
      <c r="K34" s="149"/>
    </row>
    <row r="35" spans="1:11" ht="15" customHeight="1" x14ac:dyDescent="0.5">
      <c r="A35" s="128">
        <f>IF(ISBLANK(B35),"",MAX($A$10:A34)+1)</f>
        <v>16</v>
      </c>
      <c r="B35" s="40" t="s">
        <v>45</v>
      </c>
      <c r="C35" s="150">
        <f>SUM(C23:C34)</f>
        <v>634</v>
      </c>
      <c r="D35" s="18">
        <f>SUM(D23:D34)</f>
        <v>893.64659999999981</v>
      </c>
      <c r="E35" s="18">
        <f>SUM(E23:E34)</f>
        <v>999.00295999999992</v>
      </c>
      <c r="F35" s="18">
        <f>SUM(F23:F34)</f>
        <v>105.35636000000011</v>
      </c>
      <c r="G35" s="89"/>
      <c r="J35" s="151">
        <f>SUM(J23:J34)/K23-C35</f>
        <v>1.2238756641615964</v>
      </c>
    </row>
    <row r="36" spans="1:11" ht="15" customHeight="1" x14ac:dyDescent="0.35">
      <c r="A36" s="128" t="str">
        <f>IF(ISBLANK(B36),"",MAX($A$10:A35)+1)</f>
        <v/>
      </c>
      <c r="J36" s="152">
        <f>SUM(J23:J34)/K23</f>
        <v>635.2238756641616</v>
      </c>
      <c r="K36" s="122"/>
    </row>
    <row r="37" spans="1:11" ht="15" customHeight="1" x14ac:dyDescent="0.35">
      <c r="A37" s="128">
        <f>IF(ISBLANK(B37),"",MAX($A$10:A36)+1)</f>
        <v>17</v>
      </c>
      <c r="B37" s="40" t="s">
        <v>84</v>
      </c>
      <c r="D37" s="153">
        <f>D35/12</f>
        <v>74.470549999999989</v>
      </c>
      <c r="E37" s="153">
        <f t="shared" ref="E37" si="4">E35/12</f>
        <v>83.250246666666655</v>
      </c>
      <c r="F37" s="153">
        <f>F35/12</f>
        <v>8.7796966666666751</v>
      </c>
      <c r="G37" s="89">
        <f t="shared" si="3"/>
        <v>0.11789488148894665</v>
      </c>
    </row>
    <row r="38" spans="1:11" ht="15" customHeight="1" x14ac:dyDescent="0.35">
      <c r="A38" s="128" t="str">
        <f>IF(ISBLANK(B38),"",MAX($A$10:A37)+1)</f>
        <v/>
      </c>
    </row>
    <row r="41" spans="1:11" ht="15" customHeight="1" x14ac:dyDescent="0.35">
      <c r="A41" s="42" t="str">
        <f>A1</f>
        <v>Cascade Natural Gas Corp.</v>
      </c>
      <c r="H41" s="41" t="str">
        <f>H1</f>
        <v>Exh. RJA-7</v>
      </c>
    </row>
    <row r="42" spans="1:11" ht="15" customHeight="1" x14ac:dyDescent="0.35">
      <c r="A42" s="42" t="str">
        <f>A2</f>
        <v>Washington Jurisdiction</v>
      </c>
      <c r="H42" s="41" t="s">
        <v>148</v>
      </c>
    </row>
    <row r="43" spans="1:11" ht="15" customHeight="1" x14ac:dyDescent="0.35">
      <c r="A43" s="42" t="s">
        <v>85</v>
      </c>
      <c r="H43" s="41" t="s">
        <v>86</v>
      </c>
    </row>
    <row r="44" spans="1:11" ht="15" customHeight="1" x14ac:dyDescent="0.35">
      <c r="A44" s="42"/>
    </row>
    <row r="45" spans="1:11" ht="15" customHeight="1" x14ac:dyDescent="0.35">
      <c r="B45" s="127" t="str">
        <f>'RJA-6 (2025 rates)'!B11</f>
        <v>Residential - 503</v>
      </c>
    </row>
    <row r="47" spans="1:11" ht="15" customHeight="1" x14ac:dyDescent="0.5">
      <c r="B47" s="129" t="s">
        <v>87</v>
      </c>
      <c r="C47" s="129" t="s">
        <v>52</v>
      </c>
      <c r="D47" s="129" t="s">
        <v>53</v>
      </c>
      <c r="E47" s="129" t="s">
        <v>54</v>
      </c>
      <c r="F47" s="129" t="s">
        <v>55</v>
      </c>
      <c r="G47" s="129" t="s">
        <v>56</v>
      </c>
    </row>
    <row r="48" spans="1:11" ht="15" customHeight="1" x14ac:dyDescent="0.35">
      <c r="B48" s="128"/>
      <c r="C48" s="130"/>
      <c r="D48" s="154" t="s">
        <v>58</v>
      </c>
      <c r="E48" s="155" t="s">
        <v>59</v>
      </c>
    </row>
    <row r="49" spans="2:7" ht="15" customHeight="1" x14ac:dyDescent="0.5">
      <c r="B49" s="128"/>
      <c r="C49" s="76"/>
      <c r="D49" s="129" t="s">
        <v>60</v>
      </c>
      <c r="E49" s="134" t="s">
        <v>9</v>
      </c>
    </row>
    <row r="50" spans="2:7" ht="15" customHeight="1" x14ac:dyDescent="0.35">
      <c r="B50" s="128">
        <f>IF(ISBLANK(C50),"",MAX($B$49:B49)+1)</f>
        <v>1</v>
      </c>
      <c r="C50" s="76" t="s">
        <v>18</v>
      </c>
      <c r="D50" s="135">
        <f>'RJA-6 (2025 rates)'!D12</f>
        <v>5</v>
      </c>
      <c r="E50" s="136">
        <f>'RJA-6 (2025 rates)'!G12</f>
        <v>10</v>
      </c>
    </row>
    <row r="51" spans="2:7" ht="15" customHeight="1" x14ac:dyDescent="0.35">
      <c r="B51" s="128" t="str">
        <f>IF(ISBLANK(C51),"",MAX($B$49:B50)+1)</f>
        <v/>
      </c>
      <c r="C51" s="76"/>
      <c r="D51" s="135"/>
      <c r="E51" s="136"/>
    </row>
    <row r="52" spans="2:7" ht="15" customHeight="1" x14ac:dyDescent="0.35">
      <c r="B52" s="128">
        <f>IF(ISBLANK(C52),"",MAX($B$49:B51)+1)</f>
        <v>2</v>
      </c>
      <c r="C52" s="76" t="s">
        <v>88</v>
      </c>
      <c r="D52" s="93">
        <f>SUM('RJA-6 (2025 rates)'!D13:E13)</f>
        <v>0.35719999999999996</v>
      </c>
      <c r="E52" s="137">
        <f>SUM('RJA-6 (2025 rates)'!G13:H13)</f>
        <v>0.42874000000000001</v>
      </c>
    </row>
    <row r="53" spans="2:7" ht="15" customHeight="1" x14ac:dyDescent="0.35">
      <c r="B53" s="128" t="str">
        <f>IF(ISBLANK(C53),"",MAX($B$49:B52)+1)</f>
        <v/>
      </c>
      <c r="C53" s="76"/>
      <c r="D53" s="135"/>
      <c r="E53" s="77"/>
    </row>
    <row r="54" spans="2:7" ht="15" customHeight="1" x14ac:dyDescent="0.35">
      <c r="B54" s="128">
        <f>IF(ISBLANK(C54),"",MAX($B$49:B53)+1)</f>
        <v>3</v>
      </c>
      <c r="C54" s="138" t="s">
        <v>61</v>
      </c>
      <c r="D54" s="140">
        <f>D16</f>
        <v>0.95769999999999977</v>
      </c>
      <c r="E54" s="141">
        <f>D54</f>
        <v>0.95769999999999977</v>
      </c>
    </row>
    <row r="55" spans="2:7" ht="15" customHeight="1" x14ac:dyDescent="0.35">
      <c r="B55" s="128" t="str">
        <f>IF(ISBLANK(C55),"",MAX($B$49:B54)+1)</f>
        <v/>
      </c>
    </row>
    <row r="56" spans="2:7" ht="15" customHeight="1" x14ac:dyDescent="0.35">
      <c r="B56" s="128" t="str">
        <f>IF(ISBLANK(C56),"",MAX($B$49:B55)+1)</f>
        <v/>
      </c>
      <c r="C56" s="128"/>
      <c r="D56" s="128"/>
      <c r="E56" s="128"/>
    </row>
    <row r="57" spans="2:7" ht="15" customHeight="1" x14ac:dyDescent="0.5">
      <c r="B57" s="128"/>
      <c r="C57" s="128" t="s">
        <v>89</v>
      </c>
      <c r="D57" s="128" t="s">
        <v>63</v>
      </c>
      <c r="E57" s="128" t="s">
        <v>63</v>
      </c>
      <c r="F57" s="142" t="s">
        <v>90</v>
      </c>
      <c r="G57" s="142"/>
    </row>
    <row r="58" spans="2:7" ht="15" customHeight="1" x14ac:dyDescent="0.5">
      <c r="B58" s="128"/>
      <c r="C58" s="129" t="s">
        <v>91</v>
      </c>
      <c r="D58" s="129" t="s">
        <v>8</v>
      </c>
      <c r="E58" s="129" t="s">
        <v>9</v>
      </c>
      <c r="F58" s="129" t="s">
        <v>69</v>
      </c>
      <c r="G58" s="129" t="s">
        <v>70</v>
      </c>
    </row>
    <row r="59" spans="2:7" ht="15" customHeight="1" x14ac:dyDescent="0.35">
      <c r="B59" s="128">
        <f>IF(ISBLANK(C59),"",MAX($B$49:B58)+1)</f>
        <v>4</v>
      </c>
      <c r="C59" s="128">
        <v>0</v>
      </c>
      <c r="D59" s="1">
        <f>D$50+(D$52+D$54)*$C59</f>
        <v>5</v>
      </c>
      <c r="E59" s="1">
        <f>E$50+(E$52+E$54)*$C59</f>
        <v>10</v>
      </c>
      <c r="F59" s="1">
        <f>E59-D59</f>
        <v>5</v>
      </c>
      <c r="G59" s="156">
        <f>F59/D59</f>
        <v>1</v>
      </c>
    </row>
    <row r="60" spans="2:7" ht="15" customHeight="1" x14ac:dyDescent="0.35">
      <c r="B60" s="128" t="str">
        <f>IF(ISBLANK(C60),"",MAX($B$49:B59)+1)</f>
        <v/>
      </c>
      <c r="C60" s="128"/>
      <c r="D60" s="1"/>
      <c r="E60" s="1"/>
      <c r="F60" s="1"/>
      <c r="G60" s="156"/>
    </row>
    <row r="61" spans="2:7" ht="15" customHeight="1" x14ac:dyDescent="0.35">
      <c r="B61" s="128">
        <f>IF(ISBLANK(C61),"",MAX($B$49:B60)+1)</f>
        <v>5</v>
      </c>
      <c r="C61" s="128">
        <v>25</v>
      </c>
      <c r="D61" s="1">
        <f>D$50+(D$52+D$54)*$C61</f>
        <v>37.872499999999995</v>
      </c>
      <c r="E61" s="1">
        <f>E$50+(E$52+E$54)*$C61</f>
        <v>44.660999999999994</v>
      </c>
      <c r="F61" s="1">
        <f>E61-D61</f>
        <v>6.7884999999999991</v>
      </c>
      <c r="G61" s="156">
        <f>F61/D61</f>
        <v>0.17924615486170703</v>
      </c>
    </row>
    <row r="62" spans="2:7" ht="15" customHeight="1" x14ac:dyDescent="0.35">
      <c r="B62" s="128" t="str">
        <f>IF(ISBLANK(C62),"",MAX($B$49:B61)+1)</f>
        <v/>
      </c>
      <c r="C62" s="128"/>
      <c r="D62" s="1"/>
      <c r="E62" s="1"/>
      <c r="F62" s="1"/>
      <c r="G62" s="156"/>
    </row>
    <row r="63" spans="2:7" ht="15" customHeight="1" x14ac:dyDescent="0.35">
      <c r="B63" s="128">
        <f>IF(ISBLANK(C63),"",MAX($B$49:B62)+1)</f>
        <v>6</v>
      </c>
      <c r="C63" s="128">
        <v>30</v>
      </c>
      <c r="D63" s="1">
        <f t="shared" ref="D63:E67" si="5">D$50+(D$52+D$54)*$C63</f>
        <v>44.446999999999989</v>
      </c>
      <c r="E63" s="1">
        <f t="shared" si="5"/>
        <v>51.593199999999996</v>
      </c>
      <c r="F63" s="1">
        <f>E63-D63</f>
        <v>7.1462000000000074</v>
      </c>
      <c r="G63" s="156">
        <f>F63/D63</f>
        <v>0.16078025513532992</v>
      </c>
    </row>
    <row r="64" spans="2:7" ht="15" customHeight="1" x14ac:dyDescent="0.35">
      <c r="B64" s="128">
        <f>IF(ISBLANK(C64),"",MAX($B$49:B63)+1)</f>
        <v>7</v>
      </c>
      <c r="C64" s="128">
        <v>35</v>
      </c>
      <c r="D64" s="1">
        <f t="shared" si="5"/>
        <v>51.021499999999989</v>
      </c>
      <c r="E64" s="1">
        <f t="shared" si="5"/>
        <v>58.525399999999998</v>
      </c>
      <c r="F64" s="1">
        <f>E64-D64</f>
        <v>7.5039000000000087</v>
      </c>
      <c r="G64" s="156">
        <f>F64/D64</f>
        <v>0.1470732926315379</v>
      </c>
    </row>
    <row r="65" spans="2:7" ht="15" customHeight="1" x14ac:dyDescent="0.35">
      <c r="B65" s="128">
        <f>IF(ISBLANK(C65),"",MAX($B$49:B64)+1)</f>
        <v>8</v>
      </c>
      <c r="C65" s="128">
        <v>40</v>
      </c>
      <c r="D65" s="1">
        <f t="shared" si="5"/>
        <v>57.595999999999989</v>
      </c>
      <c r="E65" s="1">
        <f t="shared" si="5"/>
        <v>65.457599999999999</v>
      </c>
      <c r="F65" s="1">
        <f>E65-D65</f>
        <v>7.8616000000000099</v>
      </c>
      <c r="G65" s="156">
        <f>F65/D65</f>
        <v>0.136495589971526</v>
      </c>
    </row>
    <row r="66" spans="2:7" ht="15" customHeight="1" x14ac:dyDescent="0.35">
      <c r="B66" s="128">
        <f>IF(ISBLANK(C66),"",MAX($B$49:B65)+1)</f>
        <v>9</v>
      </c>
      <c r="C66" s="128">
        <v>45</v>
      </c>
      <c r="D66" s="1">
        <f t="shared" si="5"/>
        <v>64.17049999999999</v>
      </c>
      <c r="E66" s="1">
        <f t="shared" si="5"/>
        <v>72.389799999999994</v>
      </c>
      <c r="F66" s="1">
        <f>E66-D66</f>
        <v>8.219300000000004</v>
      </c>
      <c r="G66" s="156">
        <f>F66/D66</f>
        <v>0.1280853351617956</v>
      </c>
    </row>
    <row r="67" spans="2:7" ht="15" customHeight="1" x14ac:dyDescent="0.35">
      <c r="B67" s="128">
        <f>IF(ISBLANK(C67),"",MAX($B$49:B66)+1)</f>
        <v>10</v>
      </c>
      <c r="C67" s="128">
        <v>50</v>
      </c>
      <c r="D67" s="1">
        <f t="shared" si="5"/>
        <v>70.74499999999999</v>
      </c>
      <c r="E67" s="1">
        <f t="shared" si="5"/>
        <v>79.321999999999989</v>
      </c>
      <c r="F67" s="1">
        <f>E67-D67</f>
        <v>8.5769999999999982</v>
      </c>
      <c r="G67" s="156">
        <f>F67/D67</f>
        <v>0.12123825005300727</v>
      </c>
    </row>
    <row r="68" spans="2:7" ht="15" customHeight="1" x14ac:dyDescent="0.35">
      <c r="B68" s="128" t="str">
        <f>IF(ISBLANK(C68),"",MAX($B$49:B67)+1)</f>
        <v/>
      </c>
      <c r="C68" s="128"/>
      <c r="D68" s="1"/>
      <c r="E68" s="1"/>
      <c r="F68" s="1"/>
      <c r="G68" s="156"/>
    </row>
    <row r="69" spans="2:7" ht="15" customHeight="1" x14ac:dyDescent="0.35">
      <c r="B69" s="128">
        <f>IF(ISBLANK(C69),"",MAX($B$49:B68)+1)</f>
        <v>11</v>
      </c>
      <c r="C69" s="128">
        <v>60</v>
      </c>
      <c r="D69" s="1">
        <f t="shared" ref="D69:E73" si="6">D$50+(D$52+D$54)*$C69</f>
        <v>83.893999999999977</v>
      </c>
      <c r="E69" s="1">
        <f t="shared" si="6"/>
        <v>93.186399999999992</v>
      </c>
      <c r="F69" s="1">
        <f>E69-D69</f>
        <v>9.2924000000000149</v>
      </c>
      <c r="G69" s="156">
        <f>F69/D69</f>
        <v>0.11076358261615869</v>
      </c>
    </row>
    <row r="70" spans="2:7" ht="15" customHeight="1" x14ac:dyDescent="0.35">
      <c r="B70" s="128">
        <f>IF(ISBLANK(C70),"",MAX($B$49:B69)+1)</f>
        <v>12</v>
      </c>
      <c r="C70" s="128">
        <v>70</v>
      </c>
      <c r="D70" s="1">
        <f t="shared" si="6"/>
        <v>97.042999999999978</v>
      </c>
      <c r="E70" s="1">
        <f t="shared" si="6"/>
        <v>107.0508</v>
      </c>
      <c r="F70" s="1">
        <f>E70-D70</f>
        <v>10.007800000000017</v>
      </c>
      <c r="G70" s="156">
        <f>F70/D70</f>
        <v>0.10312747957091206</v>
      </c>
    </row>
    <row r="71" spans="2:7" ht="15" customHeight="1" x14ac:dyDescent="0.35">
      <c r="B71" s="128">
        <f>IF(ISBLANK(C71),"",MAX($B$49:B70)+1)</f>
        <v>13</v>
      </c>
      <c r="C71" s="128">
        <v>80</v>
      </c>
      <c r="D71" s="1">
        <f t="shared" si="6"/>
        <v>110.19199999999998</v>
      </c>
      <c r="E71" s="1">
        <f t="shared" si="6"/>
        <v>120.9152</v>
      </c>
      <c r="F71" s="1">
        <f>E71-D71</f>
        <v>10.72320000000002</v>
      </c>
      <c r="G71" s="156">
        <f>F71/D71</f>
        <v>9.7313779584725049E-2</v>
      </c>
    </row>
    <row r="72" spans="2:7" ht="15" customHeight="1" x14ac:dyDescent="0.35">
      <c r="B72" s="128">
        <f>IF(ISBLANK(C72),"",MAX($B$49:B71)+1)</f>
        <v>14</v>
      </c>
      <c r="C72" s="128">
        <v>90</v>
      </c>
      <c r="D72" s="1">
        <f t="shared" si="6"/>
        <v>123.34099999999998</v>
      </c>
      <c r="E72" s="1">
        <f t="shared" si="6"/>
        <v>134.77959999999999</v>
      </c>
      <c r="F72" s="1">
        <f>E72-D72</f>
        <v>11.438600000000008</v>
      </c>
      <c r="G72" s="156">
        <f>F72/D72</f>
        <v>9.2739640508833321E-2</v>
      </c>
    </row>
    <row r="73" spans="2:7" ht="15" customHeight="1" x14ac:dyDescent="0.35">
      <c r="B73" s="128">
        <f>IF(ISBLANK(C73),"",MAX($B$49:B72)+1)</f>
        <v>15</v>
      </c>
      <c r="C73" s="128">
        <v>100</v>
      </c>
      <c r="D73" s="1">
        <f t="shared" si="6"/>
        <v>136.48999999999998</v>
      </c>
      <c r="E73" s="1">
        <f t="shared" si="6"/>
        <v>148.64399999999998</v>
      </c>
      <c r="F73" s="1">
        <f>E73-D73</f>
        <v>12.153999999999996</v>
      </c>
      <c r="G73" s="156">
        <f>F73/D73</f>
        <v>8.9046816616601937E-2</v>
      </c>
    </row>
    <row r="74" spans="2:7" ht="15" customHeight="1" x14ac:dyDescent="0.35">
      <c r="B74" s="128" t="str">
        <f>IF(ISBLANK(C74),"",MAX($B$49:B73)+1)</f>
        <v/>
      </c>
      <c r="C74" s="128"/>
      <c r="D74" s="1"/>
      <c r="E74" s="1"/>
      <c r="F74" s="1"/>
      <c r="G74" s="156"/>
    </row>
    <row r="75" spans="2:7" ht="15" customHeight="1" x14ac:dyDescent="0.35">
      <c r="B75" s="128">
        <f>IF(ISBLANK(C75),"",MAX($B$49:B74)+1)</f>
        <v>16</v>
      </c>
      <c r="C75" s="128">
        <v>110</v>
      </c>
      <c r="D75" s="1">
        <f t="shared" ref="D75:E79" si="7">D$50+(D$52+D$54)*$C75</f>
        <v>149.63899999999998</v>
      </c>
      <c r="E75" s="1">
        <f t="shared" si="7"/>
        <v>162.50839999999999</v>
      </c>
      <c r="F75" s="1">
        <f>E75-D75</f>
        <v>12.869400000000013</v>
      </c>
      <c r="G75" s="156">
        <f>F75/D75</f>
        <v>8.6002980506418886E-2</v>
      </c>
    </row>
    <row r="76" spans="2:7" ht="15" customHeight="1" x14ac:dyDescent="0.35">
      <c r="B76" s="128">
        <f>IF(ISBLANK(C76),"",MAX($B$49:B75)+1)</f>
        <v>17</v>
      </c>
      <c r="C76" s="128">
        <v>120</v>
      </c>
      <c r="D76" s="1">
        <f t="shared" si="7"/>
        <v>162.78799999999995</v>
      </c>
      <c r="E76" s="1">
        <f t="shared" si="7"/>
        <v>176.37279999999998</v>
      </c>
      <c r="F76" s="1">
        <f>E76-D76</f>
        <v>13.58480000000003</v>
      </c>
      <c r="G76" s="156">
        <f>F76/D76</f>
        <v>8.3450868614394394E-2</v>
      </c>
    </row>
    <row r="77" spans="2:7" ht="15" customHeight="1" x14ac:dyDescent="0.35">
      <c r="B77" s="128">
        <f>IF(ISBLANK(C77),"",MAX($B$49:B76)+1)</f>
        <v>18</v>
      </c>
      <c r="C77" s="128">
        <v>130</v>
      </c>
      <c r="D77" s="1">
        <f t="shared" si="7"/>
        <v>175.93699999999995</v>
      </c>
      <c r="E77" s="1">
        <f t="shared" si="7"/>
        <v>190.23719999999997</v>
      </c>
      <c r="F77" s="1">
        <f>E77-D77</f>
        <v>14.300200000000018</v>
      </c>
      <c r="G77" s="156">
        <f>F77/D77</f>
        <v>8.1280230991775587E-2</v>
      </c>
    </row>
    <row r="78" spans="2:7" ht="15" customHeight="1" x14ac:dyDescent="0.35">
      <c r="B78" s="128">
        <f>IF(ISBLANK(C78),"",MAX($B$49:B77)+1)</f>
        <v>19</v>
      </c>
      <c r="C78" s="128">
        <v>140</v>
      </c>
      <c r="D78" s="1">
        <f t="shared" si="7"/>
        <v>189.08599999999996</v>
      </c>
      <c r="E78" s="1">
        <f t="shared" si="7"/>
        <v>204.10159999999999</v>
      </c>
      <c r="F78" s="1">
        <f>E78-D78</f>
        <v>15.015600000000035</v>
      </c>
      <c r="G78" s="156">
        <f>F78/D78</f>
        <v>7.9411484721238157E-2</v>
      </c>
    </row>
    <row r="79" spans="2:7" ht="15" customHeight="1" x14ac:dyDescent="0.35">
      <c r="B79" s="128">
        <f>IF(ISBLANK(C79),"",MAX($B$49:B78)+1)</f>
        <v>20</v>
      </c>
      <c r="C79" s="128">
        <v>150</v>
      </c>
      <c r="D79" s="1">
        <f t="shared" si="7"/>
        <v>202.23499999999996</v>
      </c>
      <c r="E79" s="1">
        <f t="shared" si="7"/>
        <v>217.96599999999998</v>
      </c>
      <c r="F79" s="1">
        <f>E79-D79</f>
        <v>15.731000000000023</v>
      </c>
      <c r="G79" s="156">
        <f>F79/D79</f>
        <v>7.7785744307365318E-2</v>
      </c>
    </row>
    <row r="80" spans="2:7" ht="15" customHeight="1" x14ac:dyDescent="0.35">
      <c r="B80" s="128" t="str">
        <f>IF(ISBLANK(C80),"",MAX($B$49:B79)+1)</f>
        <v/>
      </c>
      <c r="C80" s="128"/>
      <c r="D80" s="1"/>
      <c r="E80" s="1"/>
      <c r="F80" s="1"/>
      <c r="G80" s="156"/>
    </row>
    <row r="81" spans="1:8" ht="15" customHeight="1" x14ac:dyDescent="0.35">
      <c r="B81" s="128">
        <f>IF(ISBLANK(C81),"",MAX($B$49:B80)+1)</f>
        <v>21</v>
      </c>
      <c r="C81" s="128">
        <v>160</v>
      </c>
      <c r="D81" s="1">
        <f t="shared" ref="D81:E85" si="8">D$50+(D$52+D$54)*$C81</f>
        <v>215.38399999999996</v>
      </c>
      <c r="E81" s="1">
        <f t="shared" si="8"/>
        <v>231.8304</v>
      </c>
      <c r="F81" s="1">
        <f>E81-D81</f>
        <v>16.44640000000004</v>
      </c>
      <c r="G81" s="156">
        <f>F81/D81</f>
        <v>7.635850388143986E-2</v>
      </c>
    </row>
    <row r="82" spans="1:8" ht="15" customHeight="1" x14ac:dyDescent="0.35">
      <c r="B82" s="128">
        <f>IF(ISBLANK(C82),"",MAX($B$49:B81)+1)</f>
        <v>22</v>
      </c>
      <c r="C82" s="128">
        <v>170</v>
      </c>
      <c r="D82" s="1">
        <f t="shared" si="8"/>
        <v>228.53299999999996</v>
      </c>
      <c r="E82" s="1">
        <f t="shared" si="8"/>
        <v>245.69479999999999</v>
      </c>
      <c r="F82" s="1">
        <f>E82-D82</f>
        <v>17.161800000000028</v>
      </c>
      <c r="G82" s="156">
        <f>F82/D82</f>
        <v>7.5095500431010098E-2</v>
      </c>
    </row>
    <row r="83" spans="1:8" ht="15" customHeight="1" x14ac:dyDescent="0.35">
      <c r="B83" s="128">
        <f>IF(ISBLANK(C83),"",MAX($B$49:B82)+1)</f>
        <v>23</v>
      </c>
      <c r="C83" s="128">
        <v>180</v>
      </c>
      <c r="D83" s="1">
        <f t="shared" si="8"/>
        <v>241.68199999999996</v>
      </c>
      <c r="E83" s="1">
        <f t="shared" si="8"/>
        <v>259.55919999999998</v>
      </c>
      <c r="F83" s="1">
        <f>E83-D83</f>
        <v>17.877200000000016</v>
      </c>
      <c r="G83" s="156">
        <f>F83/D83</f>
        <v>7.3969927425294471E-2</v>
      </c>
    </row>
    <row r="84" spans="1:8" ht="15" customHeight="1" x14ac:dyDescent="0.35">
      <c r="B84" s="128">
        <f>IF(ISBLANK(C84),"",MAX($B$49:B83)+1)</f>
        <v>24</v>
      </c>
      <c r="C84" s="128">
        <v>190</v>
      </c>
      <c r="D84" s="1">
        <f t="shared" si="8"/>
        <v>254.83099999999996</v>
      </c>
      <c r="E84" s="1">
        <f t="shared" si="8"/>
        <v>273.42359999999996</v>
      </c>
      <c r="F84" s="1">
        <f>E84-D84</f>
        <v>18.592600000000004</v>
      </c>
      <c r="G84" s="156">
        <f>F84/D84</f>
        <v>7.2960511083816362E-2</v>
      </c>
    </row>
    <row r="85" spans="1:8" ht="15" customHeight="1" x14ac:dyDescent="0.35">
      <c r="B85" s="128">
        <f>IF(ISBLANK(C85),"",MAX($B$49:B84)+1)</f>
        <v>25</v>
      </c>
      <c r="C85" s="128">
        <v>200</v>
      </c>
      <c r="D85" s="1">
        <f t="shared" si="8"/>
        <v>267.97999999999996</v>
      </c>
      <c r="E85" s="1">
        <f t="shared" si="8"/>
        <v>287.28799999999995</v>
      </c>
      <c r="F85" s="1">
        <f>E85-D85</f>
        <v>19.307999999999993</v>
      </c>
      <c r="G85" s="156">
        <f>F85/D85</f>
        <v>7.2050152996492256E-2</v>
      </c>
    </row>
    <row r="86" spans="1:8" ht="15" customHeight="1" x14ac:dyDescent="0.35">
      <c r="B86" s="128" t="str">
        <f>IF(ISBLANK(C86),"",MAX($B$49:B85)+1)</f>
        <v/>
      </c>
      <c r="C86" s="128"/>
      <c r="D86" s="1"/>
      <c r="E86" s="1"/>
      <c r="F86" s="1"/>
      <c r="G86" s="156"/>
    </row>
    <row r="87" spans="1:8" ht="15" customHeight="1" x14ac:dyDescent="0.35">
      <c r="B87" s="128">
        <f>IF(ISBLANK(C87),"",MAX($B$49:B86)+1)</f>
        <v>26</v>
      </c>
      <c r="C87" s="128">
        <v>210</v>
      </c>
      <c r="D87" s="1">
        <f t="shared" ref="D87:E91" si="9">D$50+(D$52+D$54)*$C87</f>
        <v>281.12899999999996</v>
      </c>
      <c r="E87" s="1">
        <f t="shared" si="9"/>
        <v>301.1524</v>
      </c>
      <c r="F87" s="1">
        <f>E87-D87</f>
        <v>20.023400000000038</v>
      </c>
      <c r="G87" s="156">
        <f>F87/D87</f>
        <v>7.1224953668956384E-2</v>
      </c>
    </row>
    <row r="88" spans="1:8" ht="15" customHeight="1" x14ac:dyDescent="0.35">
      <c r="B88" s="128">
        <f>IF(ISBLANK(C88),"",MAX($B$49:B87)+1)</f>
        <v>27</v>
      </c>
      <c r="C88" s="128">
        <v>220</v>
      </c>
      <c r="D88" s="1">
        <f t="shared" si="9"/>
        <v>294.27799999999996</v>
      </c>
      <c r="E88" s="1">
        <f t="shared" si="9"/>
        <v>315.01679999999999</v>
      </c>
      <c r="F88" s="1">
        <f>E88-D88</f>
        <v>20.738800000000026</v>
      </c>
      <c r="G88" s="156">
        <f>F88/D88</f>
        <v>7.0473497848972833E-2</v>
      </c>
    </row>
    <row r="89" spans="1:8" ht="15" customHeight="1" x14ac:dyDescent="0.35">
      <c r="B89" s="128">
        <f>IF(ISBLANK(C89),"",MAX($B$49:B88)+1)</f>
        <v>28</v>
      </c>
      <c r="C89" s="128">
        <v>230</v>
      </c>
      <c r="D89" s="1">
        <f t="shared" si="9"/>
        <v>307.42699999999996</v>
      </c>
      <c r="E89" s="1">
        <f t="shared" si="9"/>
        <v>328.88119999999998</v>
      </c>
      <c r="F89" s="1">
        <f>E89-D89</f>
        <v>21.454200000000014</v>
      </c>
      <c r="G89" s="156">
        <f>F89/D89</f>
        <v>6.9786323257228597E-2</v>
      </c>
    </row>
    <row r="90" spans="1:8" ht="15" customHeight="1" x14ac:dyDescent="0.35">
      <c r="B90" s="128">
        <f>IF(ISBLANK(C90),"",MAX($B$49:B89)+1)</f>
        <v>29</v>
      </c>
      <c r="C90" s="128">
        <v>240</v>
      </c>
      <c r="D90" s="1">
        <f t="shared" si="9"/>
        <v>320.57599999999991</v>
      </c>
      <c r="E90" s="1">
        <f t="shared" si="9"/>
        <v>342.74559999999997</v>
      </c>
      <c r="F90" s="1">
        <f>E90-D90</f>
        <v>22.169600000000059</v>
      </c>
      <c r="G90" s="156">
        <f>F90/D90</f>
        <v>6.9155520063885215E-2</v>
      </c>
    </row>
    <row r="91" spans="1:8" ht="15" customHeight="1" x14ac:dyDescent="0.35">
      <c r="B91" s="128">
        <f>IF(ISBLANK(C91),"",MAX($B$49:B90)+1)</f>
        <v>30</v>
      </c>
      <c r="C91" s="128">
        <v>250</v>
      </c>
      <c r="D91" s="1">
        <f t="shared" si="9"/>
        <v>333.72499999999991</v>
      </c>
      <c r="E91" s="1">
        <f t="shared" si="9"/>
        <v>356.60999999999996</v>
      </c>
      <c r="F91" s="1">
        <f>E91-D91</f>
        <v>22.885000000000048</v>
      </c>
      <c r="G91" s="156">
        <f>F91/D91</f>
        <v>6.857442505056574E-2</v>
      </c>
    </row>
    <row r="92" spans="1:8" ht="15" customHeight="1" x14ac:dyDescent="0.35">
      <c r="B92" s="128" t="str">
        <f>IF(ISBLANK(C92),"",MAX($B$49:B91)+1)</f>
        <v/>
      </c>
      <c r="C92" s="128"/>
      <c r="D92" s="1"/>
      <c r="E92" s="1"/>
      <c r="F92" s="1"/>
      <c r="G92" s="156"/>
    </row>
    <row r="93" spans="1:8" ht="15" customHeight="1" x14ac:dyDescent="0.35">
      <c r="B93" s="128" t="str">
        <f>IF(ISBLANK(C93),"",MAX($B$49:B92)+1)</f>
        <v/>
      </c>
      <c r="C93" s="128"/>
      <c r="D93" s="2"/>
      <c r="E93" s="2"/>
      <c r="F93" s="2"/>
      <c r="G93" s="89"/>
    </row>
    <row r="94" spans="1:8" ht="15" customHeight="1" x14ac:dyDescent="0.35">
      <c r="B94" s="128"/>
      <c r="C94" s="128"/>
      <c r="D94" s="2"/>
      <c r="E94" s="2"/>
      <c r="F94" s="2"/>
      <c r="G94" s="89"/>
    </row>
    <row r="95" spans="1:8" ht="15" customHeight="1" x14ac:dyDescent="0.35">
      <c r="A95" s="42" t="str">
        <f>$A$41</f>
        <v>Cascade Natural Gas Corp.</v>
      </c>
      <c r="H95" s="41" t="str">
        <f>$H$41</f>
        <v>Exh. RJA-7</v>
      </c>
    </row>
    <row r="96" spans="1:8" ht="15" customHeight="1" x14ac:dyDescent="0.35">
      <c r="A96" s="42" t="str">
        <f>$A$42</f>
        <v>Washington Jurisdiction</v>
      </c>
      <c r="H96" s="41" t="s">
        <v>149</v>
      </c>
    </row>
    <row r="97" spans="1:8" ht="15" customHeight="1" x14ac:dyDescent="0.35">
      <c r="A97" s="42" t="str">
        <f>$A$43</f>
        <v>Estimated Monthly Bill Impacts March 1, 2025</v>
      </c>
      <c r="H97" s="41" t="str">
        <f>$H$43</f>
        <v>Impact of Recommended Rate Changes</v>
      </c>
    </row>
    <row r="98" spans="1:8" ht="15" customHeight="1" x14ac:dyDescent="0.35">
      <c r="A98" s="42"/>
    </row>
    <row r="99" spans="1:8" ht="15" customHeight="1" x14ac:dyDescent="0.35">
      <c r="B99" s="127" t="str">
        <f>'RJA-6 (2025 rates)'!B18</f>
        <v>Commercial - 504</v>
      </c>
    </row>
    <row r="101" spans="1:8" ht="15" customHeight="1" x14ac:dyDescent="0.5">
      <c r="B101" s="129" t="s">
        <v>87</v>
      </c>
      <c r="C101" s="129" t="s">
        <v>52</v>
      </c>
      <c r="D101" s="129" t="s">
        <v>53</v>
      </c>
      <c r="E101" s="129" t="s">
        <v>55</v>
      </c>
      <c r="F101" s="129" t="s">
        <v>56</v>
      </c>
      <c r="G101" s="129" t="s">
        <v>57</v>
      </c>
    </row>
    <row r="102" spans="1:8" ht="15" customHeight="1" x14ac:dyDescent="0.35">
      <c r="B102" s="128"/>
      <c r="C102" s="130"/>
      <c r="D102" s="154" t="s">
        <v>58</v>
      </c>
      <c r="E102" s="155" t="s">
        <v>66</v>
      </c>
    </row>
    <row r="103" spans="1:8" ht="15" customHeight="1" x14ac:dyDescent="0.5">
      <c r="B103" s="128"/>
      <c r="C103" s="76"/>
      <c r="D103" s="129" t="s">
        <v>60</v>
      </c>
      <c r="E103" s="134" t="s">
        <v>60</v>
      </c>
    </row>
    <row r="104" spans="1:8" ht="15" customHeight="1" x14ac:dyDescent="0.35">
      <c r="B104" s="128">
        <f>IF(ISBLANK(C104),"",MAX($B$97:B103)+1)</f>
        <v>1</v>
      </c>
      <c r="C104" s="76" t="s">
        <v>18</v>
      </c>
      <c r="D104" s="135">
        <f>'RJA-6 (2025 rates)'!D19</f>
        <v>13</v>
      </c>
      <c r="E104" s="136">
        <f>'RJA-6 (2025 rates)'!G19</f>
        <v>20</v>
      </c>
    </row>
    <row r="105" spans="1:8" ht="15" customHeight="1" x14ac:dyDescent="0.35">
      <c r="B105" s="128" t="str">
        <f>IF(ISBLANK(C105),"",MAX($B$97:B104)+1)</f>
        <v/>
      </c>
      <c r="C105" s="76"/>
      <c r="D105" s="135"/>
      <c r="E105" s="136"/>
    </row>
    <row r="106" spans="1:8" ht="15" customHeight="1" x14ac:dyDescent="0.35">
      <c r="B106" s="128">
        <f>IF(ISBLANK(C106),"",MAX($B$97:B105)+1)</f>
        <v>2</v>
      </c>
      <c r="C106" s="76" t="s">
        <v>88</v>
      </c>
      <c r="D106" s="93">
        <f>SUM('RJA-6 (2025 rates)'!D20:E20)</f>
        <v>0.29528000000000004</v>
      </c>
      <c r="E106" s="137">
        <f>SUM('RJA-6 (2025 rates)'!G20:H20)</f>
        <v>0.35576000000000002</v>
      </c>
    </row>
    <row r="107" spans="1:8" ht="15" customHeight="1" x14ac:dyDescent="0.35">
      <c r="B107" s="128" t="str">
        <f>IF(ISBLANK(C107),"",MAX($B$97:B106)+1)</f>
        <v/>
      </c>
      <c r="C107" s="76"/>
      <c r="D107" s="135"/>
      <c r="E107" s="77"/>
    </row>
    <row r="108" spans="1:8" ht="15" customHeight="1" x14ac:dyDescent="0.35">
      <c r="B108" s="128">
        <f>IF(ISBLANK(C108),"",MAX($B$97:B107)+1)</f>
        <v>3</v>
      </c>
      <c r="C108" s="138" t="str">
        <f>$C$54</f>
        <v>Pass-Through Rates</v>
      </c>
      <c r="D108" s="140">
        <v>0.93957999999999986</v>
      </c>
      <c r="E108" s="141">
        <f>D108</f>
        <v>0.93957999999999986</v>
      </c>
    </row>
    <row r="109" spans="1:8" ht="15" customHeight="1" x14ac:dyDescent="0.35">
      <c r="B109" s="128" t="str">
        <f>IF(ISBLANK(C109),"",MAX($B$97:B108)+1)</f>
        <v/>
      </c>
    </row>
    <row r="110" spans="1:8" ht="15" customHeight="1" x14ac:dyDescent="0.35">
      <c r="B110" s="128"/>
      <c r="C110" s="128"/>
      <c r="D110" s="128"/>
      <c r="E110" s="128"/>
    </row>
    <row r="111" spans="1:8" ht="15" customHeight="1" x14ac:dyDescent="0.5">
      <c r="B111" s="128"/>
      <c r="C111" s="128" t="s">
        <v>89</v>
      </c>
      <c r="D111" s="128" t="s">
        <v>63</v>
      </c>
      <c r="E111" s="128" t="s">
        <v>63</v>
      </c>
      <c r="F111" s="142" t="s">
        <v>90</v>
      </c>
      <c r="G111" s="142"/>
    </row>
    <row r="112" spans="1:8" ht="15" customHeight="1" x14ac:dyDescent="0.5">
      <c r="B112" s="128"/>
      <c r="C112" s="129" t="s">
        <v>91</v>
      </c>
      <c r="D112" s="129" t="s">
        <v>8</v>
      </c>
      <c r="E112" s="129" t="s">
        <v>9</v>
      </c>
      <c r="F112" s="129" t="s">
        <v>69</v>
      </c>
      <c r="G112" s="129" t="s">
        <v>70</v>
      </c>
    </row>
    <row r="113" spans="2:7" ht="15" customHeight="1" x14ac:dyDescent="0.35">
      <c r="B113" s="128">
        <f>IF(ISBLANK(C113),"",MAX($B$97:B112)+1)</f>
        <v>4</v>
      </c>
      <c r="C113" s="157">
        <v>0</v>
      </c>
      <c r="D113" s="1">
        <f>D$104+(D$106+D$108)*C113</f>
        <v>13</v>
      </c>
      <c r="E113" s="1">
        <f>E$104+(E$106+E$108)*C113</f>
        <v>20</v>
      </c>
      <c r="F113" s="1">
        <f>E113-D113</f>
        <v>7</v>
      </c>
      <c r="G113" s="156">
        <f>F113/D113</f>
        <v>0.53846153846153844</v>
      </c>
    </row>
    <row r="114" spans="2:7" ht="15" customHeight="1" x14ac:dyDescent="0.35">
      <c r="B114" s="128" t="str">
        <f>IF(ISBLANK(C114),"",MAX($B$97:B113)+1)</f>
        <v/>
      </c>
      <c r="C114" s="157"/>
      <c r="D114" s="1"/>
      <c r="E114" s="1"/>
      <c r="F114" s="1"/>
      <c r="G114" s="156"/>
    </row>
    <row r="115" spans="2:7" ht="15" customHeight="1" x14ac:dyDescent="0.35">
      <c r="B115" s="128">
        <f>IF(ISBLANK(C115),"",MAX($B$97:B114)+1)</f>
        <v>5</v>
      </c>
      <c r="C115" s="157">
        <v>50</v>
      </c>
      <c r="D115" s="1">
        <f t="shared" ref="D115:D155" si="10">D$104+(D$106+D$108)*C115</f>
        <v>74.742999999999995</v>
      </c>
      <c r="E115" s="1">
        <f>E$104+(E$106+E$108)*C115</f>
        <v>84.766999999999996</v>
      </c>
      <c r="F115" s="1">
        <f>E115-D115</f>
        <v>10.024000000000001</v>
      </c>
      <c r="G115" s="156">
        <f>F115/D115</f>
        <v>0.1341128935151118</v>
      </c>
    </row>
    <row r="116" spans="2:7" ht="15" customHeight="1" x14ac:dyDescent="0.35">
      <c r="B116" s="128" t="str">
        <f>IF(ISBLANK(C116),"",MAX($B$97:B115)+1)</f>
        <v/>
      </c>
      <c r="C116" s="157"/>
      <c r="D116" s="1"/>
      <c r="E116" s="1"/>
      <c r="F116" s="1"/>
      <c r="G116" s="156"/>
    </row>
    <row r="117" spans="2:7" ht="15" customHeight="1" x14ac:dyDescent="0.35">
      <c r="B117" s="128">
        <f>IF(ISBLANK(C117),"",MAX($B$97:B116)+1)</f>
        <v>6</v>
      </c>
      <c r="C117" s="157">
        <v>60</v>
      </c>
      <c r="D117" s="1">
        <f t="shared" si="10"/>
        <v>87.091599999999985</v>
      </c>
      <c r="E117" s="1">
        <f>E$104+(E$106+E$108)*C117</f>
        <v>97.720399999999998</v>
      </c>
      <c r="F117" s="1">
        <f>E117-D117</f>
        <v>10.628800000000012</v>
      </c>
      <c r="G117" s="156">
        <f>F117/D117</f>
        <v>0.12204162054664301</v>
      </c>
    </row>
    <row r="118" spans="2:7" ht="15" customHeight="1" x14ac:dyDescent="0.35">
      <c r="B118" s="128">
        <f>IF(ISBLANK(C118),"",MAX($B$97:B117)+1)</f>
        <v>7</v>
      </c>
      <c r="C118" s="157">
        <v>70</v>
      </c>
      <c r="D118" s="1">
        <f t="shared" si="10"/>
        <v>99.44019999999999</v>
      </c>
      <c r="E118" s="1">
        <f>E$104+(E$106+E$108)*C118</f>
        <v>110.6738</v>
      </c>
      <c r="F118" s="1">
        <f>E118-D118</f>
        <v>11.23360000000001</v>
      </c>
      <c r="G118" s="156">
        <f>F118/D118</f>
        <v>0.11296839708689253</v>
      </c>
    </row>
    <row r="119" spans="2:7" ht="15" customHeight="1" x14ac:dyDescent="0.35">
      <c r="B119" s="128">
        <f>IF(ISBLANK(C119),"",MAX($B$97:B118)+1)</f>
        <v>8</v>
      </c>
      <c r="C119" s="157">
        <v>80</v>
      </c>
      <c r="D119" s="1">
        <f t="shared" si="10"/>
        <v>111.78879999999998</v>
      </c>
      <c r="E119" s="1">
        <f>E$104+(E$106+E$108)*C119</f>
        <v>123.62719999999999</v>
      </c>
      <c r="F119" s="1">
        <f>E119-D119</f>
        <v>11.838400000000007</v>
      </c>
      <c r="G119" s="156">
        <f>F119/D119</f>
        <v>0.10589969657067622</v>
      </c>
    </row>
    <row r="120" spans="2:7" ht="15" customHeight="1" x14ac:dyDescent="0.35">
      <c r="B120" s="128">
        <f>IF(ISBLANK(C120),"",MAX($B$97:B119)+1)</f>
        <v>9</v>
      </c>
      <c r="C120" s="157">
        <v>90</v>
      </c>
      <c r="D120" s="1">
        <f t="shared" si="10"/>
        <v>124.13739999999999</v>
      </c>
      <c r="E120" s="1">
        <f>E$104+(E$106+E$108)*C120</f>
        <v>136.5806</v>
      </c>
      <c r="F120" s="1">
        <f>E120-D120</f>
        <v>12.443200000000019</v>
      </c>
      <c r="G120" s="156">
        <f>F120/D120</f>
        <v>0.10023731768185913</v>
      </c>
    </row>
    <row r="121" spans="2:7" ht="15" customHeight="1" x14ac:dyDescent="0.35">
      <c r="B121" s="128">
        <f>IF(ISBLANK(C121),"",MAX($B$97:B120)+1)</f>
        <v>10</v>
      </c>
      <c r="C121" s="157">
        <v>100</v>
      </c>
      <c r="D121" s="1">
        <f t="shared" si="10"/>
        <v>136.48599999999999</v>
      </c>
      <c r="E121" s="1">
        <f>E$104+(E$106+E$108)*C121</f>
        <v>149.53399999999999</v>
      </c>
      <c r="F121" s="1">
        <f>E121-D121</f>
        <v>13.048000000000002</v>
      </c>
      <c r="G121" s="156">
        <f>F121/D121</f>
        <v>9.5599548671658652E-2</v>
      </c>
    </row>
    <row r="122" spans="2:7" ht="15" customHeight="1" x14ac:dyDescent="0.35">
      <c r="B122" s="128" t="str">
        <f>IF(ISBLANK(C122),"",MAX($B$97:B121)+1)</f>
        <v/>
      </c>
      <c r="C122" s="157"/>
      <c r="D122" s="1"/>
      <c r="E122" s="1"/>
      <c r="F122" s="1"/>
      <c r="G122" s="156"/>
    </row>
    <row r="123" spans="2:7" ht="15" customHeight="1" x14ac:dyDescent="0.35">
      <c r="B123" s="128">
        <f>IF(ISBLANK(C123),"",MAX($B$97:B122)+1)</f>
        <v>11</v>
      </c>
      <c r="C123" s="157">
        <v>110</v>
      </c>
      <c r="D123" s="1">
        <f t="shared" si="10"/>
        <v>148.83459999999999</v>
      </c>
      <c r="E123" s="1">
        <f>E$104+(E$106+E$108)*C123</f>
        <v>162.48739999999998</v>
      </c>
      <c r="F123" s="1">
        <f>E123-D123</f>
        <v>13.652799999999985</v>
      </c>
      <c r="G123" s="156">
        <f>F123/D123</f>
        <v>9.1731358165372742E-2</v>
      </c>
    </row>
    <row r="124" spans="2:7" ht="15" customHeight="1" x14ac:dyDescent="0.35">
      <c r="B124" s="128">
        <f>IF(ISBLANK(C124),"",MAX($B$97:B123)+1)</f>
        <v>12</v>
      </c>
      <c r="C124" s="157">
        <v>120</v>
      </c>
      <c r="D124" s="1">
        <f t="shared" si="10"/>
        <v>161.18319999999997</v>
      </c>
      <c r="E124" s="1">
        <f>E$104+(E$106+E$108)*C124</f>
        <v>175.4408</v>
      </c>
      <c r="F124" s="1">
        <f>E124-D124</f>
        <v>14.257600000000025</v>
      </c>
      <c r="G124" s="156">
        <f>F124/D124</f>
        <v>8.8455868849855485E-2</v>
      </c>
    </row>
    <row r="125" spans="2:7" ht="15" customHeight="1" x14ac:dyDescent="0.35">
      <c r="B125" s="128">
        <f>IF(ISBLANK(C125),"",MAX($B$97:B124)+1)</f>
        <v>13</v>
      </c>
      <c r="C125" s="157">
        <v>130</v>
      </c>
      <c r="D125" s="1">
        <f t="shared" si="10"/>
        <v>173.53179999999998</v>
      </c>
      <c r="E125" s="1">
        <f>E$104+(E$106+E$108)*C125</f>
        <v>188.39419999999998</v>
      </c>
      <c r="F125" s="1">
        <f>E125-D125</f>
        <v>14.862400000000008</v>
      </c>
      <c r="G125" s="156">
        <f>F125/D125</f>
        <v>8.5646550084768389E-2</v>
      </c>
    </row>
    <row r="126" spans="2:7" ht="15" customHeight="1" x14ac:dyDescent="0.35">
      <c r="B126" s="128">
        <f>IF(ISBLANK(C126),"",MAX($B$97:B125)+1)</f>
        <v>14</v>
      </c>
      <c r="C126" s="157">
        <v>140</v>
      </c>
      <c r="D126" s="1">
        <f t="shared" si="10"/>
        <v>185.88039999999998</v>
      </c>
      <c r="E126" s="1">
        <f>E$104+(E$106+E$108)*C126</f>
        <v>201.3476</v>
      </c>
      <c r="F126" s="1">
        <f>E126-D126</f>
        <v>15.46720000000002</v>
      </c>
      <c r="G126" s="156">
        <f>F126/D126</f>
        <v>8.3210494490005518E-2</v>
      </c>
    </row>
    <row r="127" spans="2:7" ht="15" customHeight="1" x14ac:dyDescent="0.35">
      <c r="B127" s="128">
        <f>IF(ISBLANK(C127),"",MAX($B$97:B126)+1)</f>
        <v>15</v>
      </c>
      <c r="C127" s="157">
        <v>150</v>
      </c>
      <c r="D127" s="1">
        <f t="shared" si="10"/>
        <v>198.22899999999998</v>
      </c>
      <c r="E127" s="1">
        <f>E$104+(E$106+E$108)*C127</f>
        <v>214.30099999999999</v>
      </c>
      <c r="F127" s="1">
        <f>E127-D127</f>
        <v>16.072000000000003</v>
      </c>
      <c r="G127" s="156">
        <f>F127/D127</f>
        <v>8.1077945204788421E-2</v>
      </c>
    </row>
    <row r="128" spans="2:7" ht="15" customHeight="1" x14ac:dyDescent="0.35">
      <c r="B128" s="128" t="str">
        <f>IF(ISBLANK(C128),"",MAX($B$97:B127)+1)</f>
        <v/>
      </c>
      <c r="C128" s="157"/>
      <c r="D128" s="1"/>
      <c r="E128" s="1"/>
      <c r="F128" s="1"/>
      <c r="G128" s="156"/>
    </row>
    <row r="129" spans="2:7" ht="15" customHeight="1" x14ac:dyDescent="0.35">
      <c r="B129" s="128">
        <f>IF(ISBLANK(C129),"",MAX($B$97:B128)+1)</f>
        <v>16</v>
      </c>
      <c r="C129" s="157">
        <v>160</v>
      </c>
      <c r="D129" s="1">
        <f t="shared" si="10"/>
        <v>210.57759999999996</v>
      </c>
      <c r="E129" s="1">
        <f>E$104+(E$106+E$108)*C129</f>
        <v>227.25439999999998</v>
      </c>
      <c r="F129" s="1">
        <f>E129-D129</f>
        <v>16.676800000000014</v>
      </c>
      <c r="G129" s="156">
        <f>F129/D129</f>
        <v>7.9195507974257548E-2</v>
      </c>
    </row>
    <row r="130" spans="2:7" ht="15" customHeight="1" x14ac:dyDescent="0.35">
      <c r="B130" s="128">
        <f>IF(ISBLANK(C130),"",MAX($B$97:B129)+1)</f>
        <v>17</v>
      </c>
      <c r="C130" s="157">
        <v>170</v>
      </c>
      <c r="D130" s="1">
        <f t="shared" si="10"/>
        <v>222.92619999999997</v>
      </c>
      <c r="E130" s="1">
        <f>E$104+(E$106+E$108)*C130</f>
        <v>240.20779999999999</v>
      </c>
      <c r="F130" s="1">
        <f>E130-D130</f>
        <v>17.281600000000026</v>
      </c>
      <c r="G130" s="156">
        <f>F130/D130</f>
        <v>7.752161926233897E-2</v>
      </c>
    </row>
    <row r="131" spans="2:7" ht="15" customHeight="1" x14ac:dyDescent="0.35">
      <c r="B131" s="128">
        <f>IF(ISBLANK(C131),"",MAX($B$97:B130)+1)</f>
        <v>18</v>
      </c>
      <c r="C131" s="157">
        <v>180</v>
      </c>
      <c r="D131" s="1">
        <f t="shared" si="10"/>
        <v>235.27479999999997</v>
      </c>
      <c r="E131" s="1">
        <f>E$104+(E$106+E$108)*C131</f>
        <v>253.16119999999998</v>
      </c>
      <c r="F131" s="1">
        <f>E131-D131</f>
        <v>17.886400000000009</v>
      </c>
      <c r="G131" s="156">
        <f>F131/D131</f>
        <v>7.6023441524549207E-2</v>
      </c>
    </row>
    <row r="132" spans="2:7" ht="15" customHeight="1" x14ac:dyDescent="0.35">
      <c r="B132" s="128">
        <f>IF(ISBLANK(C132),"",MAX($B$97:B131)+1)</f>
        <v>19</v>
      </c>
      <c r="C132" s="157">
        <v>190</v>
      </c>
      <c r="D132" s="1">
        <f t="shared" si="10"/>
        <v>247.62339999999998</v>
      </c>
      <c r="E132" s="1">
        <f>E$104+(E$106+E$108)*C132</f>
        <v>266.1146</v>
      </c>
      <c r="F132" s="1">
        <f>E132-D132</f>
        <v>18.491200000000021</v>
      </c>
      <c r="G132" s="156">
        <f>F132/D132</f>
        <v>7.4674687448763016E-2</v>
      </c>
    </row>
    <row r="133" spans="2:7" ht="15" customHeight="1" x14ac:dyDescent="0.35">
      <c r="B133" s="128">
        <f>IF(ISBLANK(C133),"",MAX($B$97:B132)+1)</f>
        <v>20</v>
      </c>
      <c r="C133" s="157">
        <v>200</v>
      </c>
      <c r="D133" s="1">
        <f t="shared" si="10"/>
        <v>259.97199999999998</v>
      </c>
      <c r="E133" s="1">
        <f>E$104+(E$106+E$108)*C133</f>
        <v>279.06799999999998</v>
      </c>
      <c r="F133" s="1">
        <f>E133-D133</f>
        <v>19.096000000000004</v>
      </c>
      <c r="G133" s="156">
        <f>F133/D133</f>
        <v>7.3454064283845974E-2</v>
      </c>
    </row>
    <row r="134" spans="2:7" ht="15" customHeight="1" x14ac:dyDescent="0.35">
      <c r="B134" s="128" t="str">
        <f>IF(ISBLANK(C134),"",MAX($B$97:B133)+1)</f>
        <v/>
      </c>
      <c r="C134" s="157"/>
      <c r="D134" s="1"/>
      <c r="E134" s="1"/>
      <c r="F134" s="1"/>
      <c r="G134" s="156"/>
    </row>
    <row r="135" spans="2:7" ht="15" customHeight="1" x14ac:dyDescent="0.35">
      <c r="B135" s="128">
        <f>IF(ISBLANK(C135),"",MAX($B$97:B134)+1)</f>
        <v>21</v>
      </c>
      <c r="C135" s="157">
        <v>250</v>
      </c>
      <c r="D135" s="1">
        <f t="shared" si="10"/>
        <v>321.71499999999997</v>
      </c>
      <c r="E135" s="1">
        <f>E$104+(E$106+E$108)*C135</f>
        <v>343.83499999999998</v>
      </c>
      <c r="F135" s="1">
        <f>E135-D135</f>
        <v>22.120000000000005</v>
      </c>
      <c r="G135" s="156">
        <f>F135/D135</f>
        <v>6.8756508089458074E-2</v>
      </c>
    </row>
    <row r="136" spans="2:7" ht="15" customHeight="1" x14ac:dyDescent="0.35">
      <c r="B136" s="128">
        <f>IF(ISBLANK(C136),"",MAX($B$97:B135)+1)</f>
        <v>22</v>
      </c>
      <c r="C136" s="157">
        <v>300</v>
      </c>
      <c r="D136" s="1">
        <f t="shared" si="10"/>
        <v>383.45799999999997</v>
      </c>
      <c r="E136" s="1">
        <f>E$104+(E$106+E$108)*C136</f>
        <v>408.60199999999998</v>
      </c>
      <c r="F136" s="1">
        <f>E136-D136</f>
        <v>25.144000000000005</v>
      </c>
      <c r="G136" s="156">
        <f>F136/D136</f>
        <v>6.5571718415054603E-2</v>
      </c>
    </row>
    <row r="137" spans="2:7" ht="15" customHeight="1" x14ac:dyDescent="0.35">
      <c r="B137" s="128">
        <f>IF(ISBLANK(C137),"",MAX($B$97:B136)+1)</f>
        <v>23</v>
      </c>
      <c r="C137" s="157">
        <v>350</v>
      </c>
      <c r="D137" s="1">
        <f t="shared" si="10"/>
        <v>445.20099999999996</v>
      </c>
      <c r="E137" s="1">
        <f>E$104+(E$106+E$108)*C137</f>
        <v>473.36899999999997</v>
      </c>
      <c r="F137" s="1">
        <f>E137-D137</f>
        <v>28.168000000000006</v>
      </c>
      <c r="G137" s="156">
        <f>F137/D137</f>
        <v>6.3270298134999722E-2</v>
      </c>
    </row>
    <row r="138" spans="2:7" ht="15" customHeight="1" x14ac:dyDescent="0.35">
      <c r="B138" s="128">
        <f>IF(ISBLANK(C138),"",MAX($B$97:B137)+1)</f>
        <v>24</v>
      </c>
      <c r="C138" s="157">
        <v>400</v>
      </c>
      <c r="D138" s="1">
        <f t="shared" si="10"/>
        <v>506.94399999999996</v>
      </c>
      <c r="E138" s="1">
        <f>E$104+(E$106+E$108)*C138</f>
        <v>538.13599999999997</v>
      </c>
      <c r="F138" s="1">
        <f>E138-D138</f>
        <v>31.192000000000007</v>
      </c>
      <c r="G138" s="156">
        <f>F138/D138</f>
        <v>6.1529478601186738E-2</v>
      </c>
    </row>
    <row r="139" spans="2:7" ht="15" customHeight="1" x14ac:dyDescent="0.35">
      <c r="B139" s="128">
        <f>IF(ISBLANK(C139),"",MAX($B$97:B138)+1)</f>
        <v>25</v>
      </c>
      <c r="C139" s="157">
        <v>450</v>
      </c>
      <c r="D139" s="1">
        <f t="shared" si="10"/>
        <v>568.6869999999999</v>
      </c>
      <c r="E139" s="1">
        <f>E$104+(E$106+E$108)*C139</f>
        <v>602.90300000000002</v>
      </c>
      <c r="F139" s="1">
        <f>E139-D139</f>
        <v>34.216000000000122</v>
      </c>
      <c r="G139" s="156">
        <f>F139/D139</f>
        <v>6.0166664615157593E-2</v>
      </c>
    </row>
    <row r="140" spans="2:7" ht="15" customHeight="1" x14ac:dyDescent="0.35">
      <c r="B140" s="128" t="str">
        <f>IF(ISBLANK(C140),"",MAX($B$97:B139)+1)</f>
        <v/>
      </c>
      <c r="C140" s="157"/>
      <c r="D140" s="1"/>
      <c r="E140" s="1"/>
      <c r="F140" s="1"/>
      <c r="G140" s="156"/>
    </row>
    <row r="141" spans="2:7" ht="15" customHeight="1" x14ac:dyDescent="0.35">
      <c r="B141" s="128">
        <f>IF(ISBLANK(C141),"",MAX($B$97:B140)+1)</f>
        <v>26</v>
      </c>
      <c r="C141" s="157">
        <v>500</v>
      </c>
      <c r="D141" s="1">
        <f t="shared" si="10"/>
        <v>630.42999999999995</v>
      </c>
      <c r="E141" s="1">
        <f>E$104+(E$106+E$108)*C141</f>
        <v>667.67</v>
      </c>
      <c r="F141" s="1">
        <f>E141-D141</f>
        <v>37.240000000000009</v>
      </c>
      <c r="G141" s="156">
        <f>F141/D141</f>
        <v>5.9070792950843096E-2</v>
      </c>
    </row>
    <row r="142" spans="2:7" ht="15" customHeight="1" x14ac:dyDescent="0.35">
      <c r="B142" s="128">
        <f>IF(ISBLANK(C142),"",MAX($B$97:B141)+1)</f>
        <v>27</v>
      </c>
      <c r="C142" s="157">
        <v>600</v>
      </c>
      <c r="D142" s="1">
        <f t="shared" si="10"/>
        <v>753.91599999999994</v>
      </c>
      <c r="E142" s="1">
        <f>E$104+(E$106+E$108)*C142</f>
        <v>797.20399999999995</v>
      </c>
      <c r="F142" s="1">
        <f>E142-D142</f>
        <v>43.288000000000011</v>
      </c>
      <c r="G142" s="156">
        <f>F142/D142</f>
        <v>5.7417537232264622E-2</v>
      </c>
    </row>
    <row r="143" spans="2:7" ht="15" customHeight="1" x14ac:dyDescent="0.35">
      <c r="B143" s="128">
        <f>IF(ISBLANK(C143),"",MAX($B$97:B142)+1)</f>
        <v>28</v>
      </c>
      <c r="C143" s="157">
        <v>700</v>
      </c>
      <c r="D143" s="1">
        <f t="shared" si="10"/>
        <v>877.40199999999993</v>
      </c>
      <c r="E143" s="1">
        <f>E$104+(E$106+E$108)*C143</f>
        <v>926.73799999999994</v>
      </c>
      <c r="F143" s="1">
        <f>E143-D143</f>
        <v>49.336000000000013</v>
      </c>
      <c r="G143" s="156">
        <f>F143/D143</f>
        <v>5.6229641600999331E-2</v>
      </c>
    </row>
    <row r="144" spans="2:7" ht="15" customHeight="1" x14ac:dyDescent="0.35">
      <c r="B144" s="128">
        <f>IF(ISBLANK(C144),"",MAX($B$97:B143)+1)</f>
        <v>29</v>
      </c>
      <c r="C144" s="157">
        <v>800</v>
      </c>
      <c r="D144" s="1">
        <f t="shared" si="10"/>
        <v>1000.8879999999999</v>
      </c>
      <c r="E144" s="1">
        <f>E$104+(E$106+E$108)*C144</f>
        <v>1056.2719999999999</v>
      </c>
      <c r="F144" s="1">
        <f>E144-D144</f>
        <v>55.384000000000015</v>
      </c>
      <c r="G144" s="156">
        <f>F144/D144</f>
        <v>5.5334862641973945E-2</v>
      </c>
    </row>
    <row r="145" spans="1:8" ht="15" customHeight="1" x14ac:dyDescent="0.35">
      <c r="B145" s="128">
        <f>IF(ISBLANK(C145),"",MAX($B$97:B144)+1)</f>
        <v>30</v>
      </c>
      <c r="C145" s="157">
        <v>1000</v>
      </c>
      <c r="D145" s="1">
        <f t="shared" si="10"/>
        <v>1247.8599999999999</v>
      </c>
      <c r="E145" s="1">
        <f>E$104+(E$106+E$108)*C145</f>
        <v>1315.34</v>
      </c>
      <c r="F145" s="1">
        <f>E145-D145</f>
        <v>67.480000000000018</v>
      </c>
      <c r="G145" s="156">
        <f>F145/D145</f>
        <v>5.4076579103425081E-2</v>
      </c>
    </row>
    <row r="146" spans="1:8" ht="15" customHeight="1" x14ac:dyDescent="0.35">
      <c r="B146" s="128" t="str">
        <f>IF(ISBLANK(C146),"",MAX($B$97:B145)+1)</f>
        <v/>
      </c>
      <c r="C146" s="157"/>
      <c r="D146" s="1"/>
      <c r="E146" s="1"/>
      <c r="F146" s="1"/>
      <c r="G146" s="156"/>
    </row>
    <row r="147" spans="1:8" ht="15" customHeight="1" x14ac:dyDescent="0.35">
      <c r="B147" s="128">
        <f>IF(ISBLANK(C147),"",MAX($B$97:B146)+1)</f>
        <v>31</v>
      </c>
      <c r="C147" s="157">
        <v>1250</v>
      </c>
      <c r="D147" s="1">
        <f t="shared" si="10"/>
        <v>1556.5749999999998</v>
      </c>
      <c r="E147" s="1">
        <f>E$104+(E$106+E$108)*C147</f>
        <v>1639.175</v>
      </c>
      <c r="F147" s="1">
        <f>E147-D147</f>
        <v>82.600000000000136</v>
      </c>
      <c r="G147" s="156">
        <f>F147/D147</f>
        <v>5.306522332685553E-2</v>
      </c>
    </row>
    <row r="148" spans="1:8" ht="15" customHeight="1" x14ac:dyDescent="0.35">
      <c r="B148" s="128">
        <f>IF(ISBLANK(C148),"",MAX($B$97:B147)+1)</f>
        <v>32</v>
      </c>
      <c r="C148" s="157">
        <v>1500</v>
      </c>
      <c r="D148" s="1">
        <f t="shared" si="10"/>
        <v>1865.2899999999997</v>
      </c>
      <c r="E148" s="1">
        <f>E$104+(E$106+E$108)*C148</f>
        <v>1963.01</v>
      </c>
      <c r="F148" s="1">
        <f>E148-D148</f>
        <v>97.720000000000255</v>
      </c>
      <c r="G148" s="156">
        <f>F148/D148</f>
        <v>5.2388636619507031E-2</v>
      </c>
    </row>
    <row r="149" spans="1:8" ht="15" customHeight="1" x14ac:dyDescent="0.35">
      <c r="B149" s="128">
        <f>IF(ISBLANK(C149),"",MAX($B$97:B148)+1)</f>
        <v>33</v>
      </c>
      <c r="C149" s="157">
        <v>1750</v>
      </c>
      <c r="D149" s="1">
        <f t="shared" si="10"/>
        <v>2174.0049999999997</v>
      </c>
      <c r="E149" s="1">
        <f>E$104+(E$106+E$108)*C149</f>
        <v>2286.8449999999998</v>
      </c>
      <c r="F149" s="1">
        <f>E149-D149</f>
        <v>112.84000000000015</v>
      </c>
      <c r="G149" s="156">
        <f>F149/D149</f>
        <v>5.1904204452151749E-2</v>
      </c>
    </row>
    <row r="150" spans="1:8" ht="15" customHeight="1" x14ac:dyDescent="0.35">
      <c r="B150" s="128">
        <f>IF(ISBLANK(C150),"",MAX($B$97:B149)+1)</f>
        <v>34</v>
      </c>
      <c r="C150" s="157">
        <v>2000</v>
      </c>
      <c r="D150" s="1">
        <f t="shared" si="10"/>
        <v>2482.7199999999998</v>
      </c>
      <c r="E150" s="1">
        <f>E$104+(E$106+E$108)*C150</f>
        <v>2610.6799999999998</v>
      </c>
      <c r="F150" s="1">
        <f>E150-D150</f>
        <v>127.96000000000004</v>
      </c>
      <c r="G150" s="156">
        <f>F150/D150</f>
        <v>5.154024618160729E-2</v>
      </c>
    </row>
    <row r="151" spans="1:8" ht="15" customHeight="1" x14ac:dyDescent="0.35">
      <c r="B151" s="128" t="str">
        <f>IF(ISBLANK(C151),"",MAX($B$97:B150)+1)</f>
        <v/>
      </c>
      <c r="C151" s="157"/>
      <c r="D151" s="1"/>
      <c r="E151" s="1"/>
      <c r="F151" s="1"/>
      <c r="G151" s="156"/>
    </row>
    <row r="152" spans="1:8" ht="15" customHeight="1" x14ac:dyDescent="0.35">
      <c r="B152" s="128">
        <f>IF(ISBLANK(C152),"",MAX($B$97:B151)+1)</f>
        <v>35</v>
      </c>
      <c r="C152" s="157">
        <v>2500</v>
      </c>
      <c r="D152" s="1">
        <f t="shared" si="10"/>
        <v>3100.1499999999996</v>
      </c>
      <c r="E152" s="1">
        <f>E$104+(E$106+E$108)*C152</f>
        <v>3258.35</v>
      </c>
      <c r="F152" s="1">
        <f>E152-D152</f>
        <v>158.20000000000027</v>
      </c>
      <c r="G152" s="156">
        <f>F152/D152</f>
        <v>5.1029788881183265E-2</v>
      </c>
    </row>
    <row r="153" spans="1:8" ht="15" customHeight="1" x14ac:dyDescent="0.35">
      <c r="B153" s="128">
        <f>IF(ISBLANK(C153),"",MAX($B$97:B152)+1)</f>
        <v>36</v>
      </c>
      <c r="C153" s="157">
        <v>3000</v>
      </c>
      <c r="D153" s="1">
        <f t="shared" si="10"/>
        <v>3717.5799999999995</v>
      </c>
      <c r="E153" s="1">
        <f>E$104+(E$106+E$108)*C153</f>
        <v>3906.02</v>
      </c>
      <c r="F153" s="1">
        <f>E153-D153</f>
        <v>188.44000000000051</v>
      </c>
      <c r="G153" s="156">
        <f>F153/D153</f>
        <v>5.0688889008441117E-2</v>
      </c>
    </row>
    <row r="154" spans="1:8" ht="15" customHeight="1" x14ac:dyDescent="0.35">
      <c r="B154" s="128">
        <f>IF(ISBLANK(C154),"",MAX($B$97:B153)+1)</f>
        <v>37</v>
      </c>
      <c r="C154" s="157">
        <v>3500</v>
      </c>
      <c r="D154" s="1">
        <f t="shared" si="10"/>
        <v>4335.0099999999993</v>
      </c>
      <c r="E154" s="1">
        <f>E$104+(E$106+E$108)*C154</f>
        <v>4553.6899999999996</v>
      </c>
      <c r="F154" s="1">
        <f>E154-D154</f>
        <v>218.68000000000029</v>
      </c>
      <c r="G154" s="156">
        <f>F154/D154</f>
        <v>5.0445097012463712E-2</v>
      </c>
    </row>
    <row r="155" spans="1:8" ht="15" customHeight="1" x14ac:dyDescent="0.35">
      <c r="B155" s="128">
        <f>IF(ISBLANK(C155),"",MAX($B$97:B154)+1)</f>
        <v>38</v>
      </c>
      <c r="C155" s="157">
        <v>4000</v>
      </c>
      <c r="D155" s="1">
        <f t="shared" si="10"/>
        <v>4952.4399999999996</v>
      </c>
      <c r="E155" s="1">
        <f>E$104+(E$106+E$108)*C155</f>
        <v>5201.3599999999997</v>
      </c>
      <c r="F155" s="1">
        <f>E155-D155</f>
        <v>248.92000000000007</v>
      </c>
      <c r="G155" s="156">
        <f>F155/D155</f>
        <v>5.0262093028890828E-2</v>
      </c>
    </row>
    <row r="156" spans="1:8" ht="15" customHeight="1" x14ac:dyDescent="0.35">
      <c r="D156" s="128"/>
      <c r="E156" s="128"/>
      <c r="F156" s="128"/>
      <c r="G156" s="128"/>
    </row>
    <row r="160" spans="1:8" ht="15" customHeight="1" x14ac:dyDescent="0.35">
      <c r="A160" s="42" t="str">
        <f>$A$41</f>
        <v>Cascade Natural Gas Corp.</v>
      </c>
      <c r="H160" s="41" t="str">
        <f>$H$41</f>
        <v>Exh. RJA-7</v>
      </c>
    </row>
    <row r="161" spans="1:10" ht="15" customHeight="1" x14ac:dyDescent="0.35">
      <c r="A161" s="42" t="str">
        <f>$A$42</f>
        <v>Washington Jurisdiction</v>
      </c>
      <c r="H161" s="41" t="s">
        <v>150</v>
      </c>
    </row>
    <row r="162" spans="1:10" ht="15" customHeight="1" x14ac:dyDescent="0.35">
      <c r="A162" s="42" t="str">
        <f>$A$43</f>
        <v>Estimated Monthly Bill Impacts March 1, 2025</v>
      </c>
      <c r="H162" s="41" t="str">
        <f>$H$43</f>
        <v>Impact of Recommended Rate Changes</v>
      </c>
    </row>
    <row r="163" spans="1:10" ht="15" customHeight="1" x14ac:dyDescent="0.35">
      <c r="A163" s="42"/>
    </row>
    <row r="164" spans="1:10" ht="15" customHeight="1" x14ac:dyDescent="0.35">
      <c r="B164" s="127" t="str">
        <f>'RJA-6 (2025 rates)'!B25</f>
        <v>Industrial - 505</v>
      </c>
    </row>
    <row r="166" spans="1:10" ht="15" customHeight="1" x14ac:dyDescent="0.5">
      <c r="B166" s="129" t="s">
        <v>87</v>
      </c>
      <c r="C166" s="129" t="s">
        <v>52</v>
      </c>
      <c r="D166" s="129" t="s">
        <v>53</v>
      </c>
      <c r="E166" s="129" t="s">
        <v>55</v>
      </c>
      <c r="F166" s="129" t="s">
        <v>56</v>
      </c>
      <c r="G166" s="129" t="s">
        <v>57</v>
      </c>
    </row>
    <row r="167" spans="1:10" ht="15" customHeight="1" x14ac:dyDescent="0.35">
      <c r="B167" s="128"/>
      <c r="C167" s="130"/>
      <c r="D167" s="154" t="s">
        <v>58</v>
      </c>
      <c r="E167" s="155" t="s">
        <v>66</v>
      </c>
    </row>
    <row r="168" spans="1:10" ht="15" customHeight="1" x14ac:dyDescent="0.5">
      <c r="B168" s="128"/>
      <c r="C168" s="76"/>
      <c r="D168" s="129" t="s">
        <v>60</v>
      </c>
      <c r="E168" s="134" t="s">
        <v>60</v>
      </c>
    </row>
    <row r="169" spans="1:10" ht="15" customHeight="1" x14ac:dyDescent="0.35">
      <c r="B169" s="128">
        <f>IF(ISBLANK(C169),"",MAX($B$164:B168)+1)</f>
        <v>1</v>
      </c>
      <c r="C169" s="76" t="s">
        <v>18</v>
      </c>
      <c r="D169" s="135">
        <f>'RJA-6 (2025 rates)'!D26</f>
        <v>60</v>
      </c>
      <c r="E169" s="136">
        <f>'RJA-6 (2025 rates)'!G26</f>
        <v>100</v>
      </c>
    </row>
    <row r="170" spans="1:10" ht="15" customHeight="1" x14ac:dyDescent="0.35">
      <c r="B170" s="128" t="str">
        <f>IF(ISBLANK(C170),"",MAX($B$164:B169)+1)</f>
        <v/>
      </c>
      <c r="C170" s="76"/>
      <c r="D170" s="135"/>
      <c r="E170" s="136"/>
    </row>
    <row r="171" spans="1:10" ht="15" customHeight="1" x14ac:dyDescent="0.35">
      <c r="B171" s="128">
        <f>IF(ISBLANK(C171),"",MAX($B$164:B170)+1)</f>
        <v>2</v>
      </c>
      <c r="C171" s="76" t="s">
        <v>88</v>
      </c>
      <c r="E171" s="136"/>
      <c r="J171" s="158" t="s">
        <v>92</v>
      </c>
    </row>
    <row r="172" spans="1:10" ht="15" customHeight="1" x14ac:dyDescent="0.35">
      <c r="B172" s="128">
        <f>IF(ISBLANK(C172),"",MAX($B$164:B171)+1)</f>
        <v>3</v>
      </c>
      <c r="C172" s="159" t="s">
        <v>93</v>
      </c>
      <c r="D172" s="93">
        <f>SUM('RJA-6 (2025 rates)'!D27:E27)</f>
        <v>0.22844</v>
      </c>
      <c r="E172" s="137">
        <f>SUM('RJA-6 (2025 rates)'!G27:H27)</f>
        <v>0.29291</v>
      </c>
      <c r="J172" s="160">
        <v>500</v>
      </c>
    </row>
    <row r="173" spans="1:10" ht="15" customHeight="1" x14ac:dyDescent="0.35">
      <c r="B173" s="128">
        <f>IF(ISBLANK(C173),"",MAX($B$164:B172)+1)</f>
        <v>4</v>
      </c>
      <c r="C173" s="159" t="s">
        <v>94</v>
      </c>
      <c r="D173" s="93">
        <f>SUM('RJA-6 (2025 rates)'!D28:E28)</f>
        <v>0.18912999999999999</v>
      </c>
      <c r="E173" s="137">
        <f>SUM('RJA-6 (2025 rates)'!G28:H28)</f>
        <v>0.24251</v>
      </c>
      <c r="J173" s="161">
        <v>3500</v>
      </c>
    </row>
    <row r="174" spans="1:10" ht="15" customHeight="1" x14ac:dyDescent="0.35">
      <c r="B174" s="128">
        <f>IF(ISBLANK(C174),"",MAX($B$164:B173)+1)</f>
        <v>5</v>
      </c>
      <c r="C174" s="159" t="s">
        <v>95</v>
      </c>
      <c r="D174" s="93">
        <f>SUM('RJA-6 (2025 rates)'!D29:E29)</f>
        <v>0.18318999999999999</v>
      </c>
      <c r="E174" s="137">
        <f>SUM('RJA-6 (2025 rates)'!G29:H29)</f>
        <v>0.23488999999999999</v>
      </c>
      <c r="J174" s="161"/>
    </row>
    <row r="175" spans="1:10" ht="15" customHeight="1" x14ac:dyDescent="0.35">
      <c r="B175" s="128" t="str">
        <f>IF(ISBLANK(C175),"",MAX($B$164:B174)+1)</f>
        <v/>
      </c>
      <c r="C175" s="76"/>
      <c r="D175" s="135"/>
      <c r="E175" s="77"/>
      <c r="J175" s="161"/>
    </row>
    <row r="176" spans="1:10" ht="15" customHeight="1" x14ac:dyDescent="0.35">
      <c r="B176" s="128">
        <f>IF(ISBLANK(C176),"",MAX($B$164:B175)+1)</f>
        <v>6</v>
      </c>
      <c r="C176" s="138" t="str">
        <f>$C$54</f>
        <v>Pass-Through Rates</v>
      </c>
      <c r="D176" s="140">
        <v>0.94052053077623277</v>
      </c>
      <c r="E176" s="141">
        <f>D176</f>
        <v>0.94052053077623277</v>
      </c>
      <c r="J176" s="162"/>
    </row>
    <row r="177" spans="2:7" ht="15" customHeight="1" x14ac:dyDescent="0.35">
      <c r="B177" s="128" t="str">
        <f>IF(ISBLANK(C177),"",MAX($B$164:B176)+1)</f>
        <v/>
      </c>
    </row>
    <row r="178" spans="2:7" ht="15" customHeight="1" x14ac:dyDescent="0.35">
      <c r="B178" s="128" t="str">
        <f>IF(ISBLANK(C178),"",MAX($B$164:B177)+1)</f>
        <v/>
      </c>
      <c r="C178" s="128"/>
      <c r="D178" s="128"/>
      <c r="E178" s="128"/>
    </row>
    <row r="179" spans="2:7" ht="15" customHeight="1" x14ac:dyDescent="0.5">
      <c r="B179" s="128"/>
      <c r="C179" s="128" t="s">
        <v>89</v>
      </c>
      <c r="D179" s="128" t="s">
        <v>63</v>
      </c>
      <c r="E179" s="128" t="s">
        <v>63</v>
      </c>
      <c r="F179" s="142" t="s">
        <v>90</v>
      </c>
      <c r="G179" s="142"/>
    </row>
    <row r="180" spans="2:7" ht="15" customHeight="1" x14ac:dyDescent="0.5">
      <c r="B180" s="128"/>
      <c r="C180" s="129" t="s">
        <v>91</v>
      </c>
      <c r="D180" s="129" t="s">
        <v>8</v>
      </c>
      <c r="E180" s="129" t="s">
        <v>9</v>
      </c>
      <c r="F180" s="129" t="s">
        <v>69</v>
      </c>
      <c r="G180" s="129" t="s">
        <v>70</v>
      </c>
    </row>
    <row r="181" spans="2:7" ht="15" customHeight="1" x14ac:dyDescent="0.35">
      <c r="B181" s="128">
        <f>IF(ISBLANK(C181),"",MAX($B$164:B180)+1)</f>
        <v>7</v>
      </c>
      <c r="C181" s="157">
        <v>0</v>
      </c>
      <c r="D181" s="1">
        <f>D$169+(D$172+D$176)*$C181</f>
        <v>60</v>
      </c>
      <c r="E181" s="1">
        <f>E$169+(E$172+E$176)*$C181</f>
        <v>100</v>
      </c>
      <c r="F181" s="1">
        <f>E181-D181</f>
        <v>40</v>
      </c>
      <c r="G181" s="156">
        <f>F181/D181</f>
        <v>0.66666666666666663</v>
      </c>
    </row>
    <row r="182" spans="2:7" ht="15" customHeight="1" x14ac:dyDescent="0.35">
      <c r="B182" s="128" t="str">
        <f>IF(ISBLANK(C182),"",MAX($B$164:B181)+1)</f>
        <v/>
      </c>
      <c r="C182" s="157"/>
      <c r="D182" s="1"/>
      <c r="E182" s="1"/>
      <c r="F182" s="1"/>
      <c r="G182" s="156"/>
    </row>
    <row r="183" spans="2:7" ht="15" customHeight="1" x14ac:dyDescent="0.35">
      <c r="B183" s="128">
        <f>IF(ISBLANK(C183),"",MAX($B$164:B182)+1)</f>
        <v>8</v>
      </c>
      <c r="C183" s="157">
        <v>100</v>
      </c>
      <c r="D183" s="1">
        <f>D$169+(D$172+D$176)*$C183</f>
        <v>176.89605307762326</v>
      </c>
      <c r="E183" s="1">
        <f>E$169+(E$172+E$176)*$C183</f>
        <v>223.34305307762327</v>
      </c>
      <c r="F183" s="1">
        <f>E183-D183</f>
        <v>46.447000000000003</v>
      </c>
      <c r="G183" s="156">
        <f>F183/D183</f>
        <v>0.26256662707798645</v>
      </c>
    </row>
    <row r="184" spans="2:7" ht="15" customHeight="1" x14ac:dyDescent="0.35">
      <c r="B184" s="128">
        <f>IF(ISBLANK(C184),"",MAX($B$164:B183)+1)</f>
        <v>9</v>
      </c>
      <c r="C184" s="157">
        <f>+C183+100</f>
        <v>200</v>
      </c>
      <c r="D184" s="1">
        <f t="shared" ref="D184:E187" si="11">D$169+(D$172+D$176)*$C184</f>
        <v>293.79210615524653</v>
      </c>
      <c r="E184" s="1">
        <f t="shared" si="11"/>
        <v>346.68610615524653</v>
      </c>
      <c r="F184" s="1">
        <f>E184-D184</f>
        <v>52.894000000000005</v>
      </c>
      <c r="G184" s="156">
        <f>F184/D184</f>
        <v>0.18003887406031799</v>
      </c>
    </row>
    <row r="185" spans="2:7" ht="15" customHeight="1" x14ac:dyDescent="0.35">
      <c r="B185" s="128">
        <f>IF(ISBLANK(C185),"",MAX($B$164:B184)+1)</f>
        <v>10</v>
      </c>
      <c r="C185" s="157">
        <f t="shared" ref="C185:C199" si="12">+C184+100</f>
        <v>300</v>
      </c>
      <c r="D185" s="1">
        <f t="shared" si="11"/>
        <v>410.68815923286985</v>
      </c>
      <c r="E185" s="1">
        <f t="shared" si="11"/>
        <v>470.02915923286986</v>
      </c>
      <c r="F185" s="1">
        <f>E185-D185</f>
        <v>59.341000000000008</v>
      </c>
      <c r="G185" s="156">
        <f>F185/D185</f>
        <v>0.14449162622765627</v>
      </c>
    </row>
    <row r="186" spans="2:7" ht="15" customHeight="1" x14ac:dyDescent="0.35">
      <c r="B186" s="128">
        <f>IF(ISBLANK(C186),"",MAX($B$164:B185)+1)</f>
        <v>11</v>
      </c>
      <c r="C186" s="157">
        <f t="shared" si="12"/>
        <v>400</v>
      </c>
      <c r="D186" s="1">
        <f t="shared" si="11"/>
        <v>527.58421231049306</v>
      </c>
      <c r="E186" s="1">
        <f t="shared" si="11"/>
        <v>593.37221231049307</v>
      </c>
      <c r="F186" s="1">
        <f>E186-D186</f>
        <v>65.788000000000011</v>
      </c>
      <c r="G186" s="156">
        <f>F186/D186</f>
        <v>0.12469668057709535</v>
      </c>
    </row>
    <row r="187" spans="2:7" ht="15" customHeight="1" x14ac:dyDescent="0.35">
      <c r="B187" s="128">
        <f>IF(ISBLANK(C187),"",MAX($B$164:B186)+1)</f>
        <v>12</v>
      </c>
      <c r="C187" s="157">
        <f t="shared" si="12"/>
        <v>500</v>
      </c>
      <c r="D187" s="1">
        <f t="shared" si="11"/>
        <v>644.48026538811632</v>
      </c>
      <c r="E187" s="1">
        <f t="shared" si="11"/>
        <v>716.71526538811634</v>
      </c>
      <c r="F187" s="1">
        <f>E187-D187</f>
        <v>72.235000000000014</v>
      </c>
      <c r="G187" s="156">
        <f>F187/D187</f>
        <v>0.1120825630812744</v>
      </c>
    </row>
    <row r="188" spans="2:7" ht="15" customHeight="1" x14ac:dyDescent="0.35">
      <c r="B188" s="128" t="str">
        <f>IF(ISBLANK(C188),"",MAX($B$164:B187)+1)</f>
        <v/>
      </c>
      <c r="C188" s="157"/>
      <c r="D188" s="1"/>
      <c r="E188" s="1"/>
      <c r="F188" s="1"/>
      <c r="G188" s="156"/>
    </row>
    <row r="189" spans="2:7" ht="15" customHeight="1" x14ac:dyDescent="0.35">
      <c r="B189" s="128">
        <f>IF(ISBLANK(C189),"",MAX($B$164:B188)+1)</f>
        <v>13</v>
      </c>
      <c r="C189" s="157">
        <f>+C187+100</f>
        <v>600</v>
      </c>
      <c r="D189" s="1">
        <f t="shared" ref="D189:E193" si="13">D$169+(D$176*$C189)+D$173*($C189-$J$172)+D$172*$J$172</f>
        <v>757.44531846573966</v>
      </c>
      <c r="E189" s="1">
        <f t="shared" si="13"/>
        <v>835.01831846573964</v>
      </c>
      <c r="F189" s="1">
        <f>E189-D189</f>
        <v>77.572999999999979</v>
      </c>
      <c r="G189" s="156">
        <f>F189/D189</f>
        <v>0.1024139936030362</v>
      </c>
    </row>
    <row r="190" spans="2:7" ht="15" customHeight="1" x14ac:dyDescent="0.35">
      <c r="B190" s="128">
        <f>IF(ISBLANK(C190),"",MAX($B$164:B189)+1)</f>
        <v>14</v>
      </c>
      <c r="C190" s="157">
        <f t="shared" si="12"/>
        <v>700</v>
      </c>
      <c r="D190" s="1">
        <f t="shared" si="13"/>
        <v>870.410371543363</v>
      </c>
      <c r="E190" s="1">
        <f t="shared" si="13"/>
        <v>953.32137154336294</v>
      </c>
      <c r="F190" s="1">
        <f>E190-D190</f>
        <v>82.910999999999945</v>
      </c>
      <c r="G190" s="156">
        <f>F190/D190</f>
        <v>9.5255069000369091E-2</v>
      </c>
    </row>
    <row r="191" spans="2:7" ht="15" customHeight="1" x14ac:dyDescent="0.35">
      <c r="B191" s="128">
        <f>IF(ISBLANK(C191),"",MAX($B$164:B190)+1)</f>
        <v>15</v>
      </c>
      <c r="C191" s="157">
        <f t="shared" si="12"/>
        <v>800</v>
      </c>
      <c r="D191" s="1">
        <f t="shared" si="13"/>
        <v>983.37542462098622</v>
      </c>
      <c r="E191" s="1">
        <f t="shared" si="13"/>
        <v>1071.6244246209862</v>
      </c>
      <c r="F191" s="1">
        <f>E191-D191</f>
        <v>88.249000000000024</v>
      </c>
      <c r="G191" s="156">
        <f>F191/D191</f>
        <v>8.9740904430282126E-2</v>
      </c>
    </row>
    <row r="192" spans="2:7" ht="15" customHeight="1" x14ac:dyDescent="0.35">
      <c r="B192" s="128">
        <f>IF(ISBLANK(C192),"",MAX($B$164:B191)+1)</f>
        <v>16</v>
      </c>
      <c r="C192" s="157">
        <f t="shared" si="12"/>
        <v>900</v>
      </c>
      <c r="D192" s="1">
        <f t="shared" si="13"/>
        <v>1096.3404776986094</v>
      </c>
      <c r="E192" s="1">
        <f t="shared" si="13"/>
        <v>1189.9274776986094</v>
      </c>
      <c r="F192" s="1">
        <f>E192-D192</f>
        <v>93.586999999999989</v>
      </c>
      <c r="G192" s="156">
        <f>F192/D192</f>
        <v>8.5363080086629448E-2</v>
      </c>
    </row>
    <row r="193" spans="2:7" ht="15" customHeight="1" x14ac:dyDescent="0.35">
      <c r="B193" s="128">
        <f>IF(ISBLANK(C193),"",MAX($B$164:B192)+1)</f>
        <v>17</v>
      </c>
      <c r="C193" s="157">
        <f t="shared" si="12"/>
        <v>1000</v>
      </c>
      <c r="D193" s="1">
        <f t="shared" si="13"/>
        <v>1209.3055307762329</v>
      </c>
      <c r="E193" s="1">
        <f t="shared" si="13"/>
        <v>1308.2305307762326</v>
      </c>
      <c r="F193" s="1">
        <f>E193-D193</f>
        <v>98.924999999999727</v>
      </c>
      <c r="G193" s="156">
        <f>F193/D193</f>
        <v>8.1803148569494624E-2</v>
      </c>
    </row>
    <row r="194" spans="2:7" ht="15" customHeight="1" x14ac:dyDescent="0.35">
      <c r="B194" s="128" t="str">
        <f>IF(ISBLANK(C194),"",MAX($B$164:B193)+1)</f>
        <v/>
      </c>
      <c r="C194" s="157"/>
      <c r="D194" s="1"/>
      <c r="E194" s="1"/>
      <c r="F194" s="1"/>
      <c r="G194" s="156"/>
    </row>
    <row r="195" spans="2:7" ht="15" customHeight="1" x14ac:dyDescent="0.35">
      <c r="B195" s="128">
        <f>IF(ISBLANK(C195),"",MAX($B$164:B194)+1)</f>
        <v>18</v>
      </c>
      <c r="C195" s="157">
        <f>+C193+100</f>
        <v>1100</v>
      </c>
      <c r="D195" s="1">
        <f t="shared" ref="D195:E199" si="14">D$169+(D$176*$C195)+D$173*($C195-$J$172)+D$172*$J$172</f>
        <v>1322.2705838538561</v>
      </c>
      <c r="E195" s="1">
        <f t="shared" si="14"/>
        <v>1426.533583853856</v>
      </c>
      <c r="F195" s="1">
        <f>E195-D195</f>
        <v>104.26299999999992</v>
      </c>
      <c r="G195" s="156">
        <f>F195/D195</f>
        <v>7.8851485674072574E-2</v>
      </c>
    </row>
    <row r="196" spans="2:7" ht="15" customHeight="1" x14ac:dyDescent="0.35">
      <c r="B196" s="128">
        <f>IF(ISBLANK(C196),"",MAX($B$164:B195)+1)</f>
        <v>19</v>
      </c>
      <c r="C196" s="157">
        <f t="shared" si="12"/>
        <v>1200</v>
      </c>
      <c r="D196" s="1">
        <f t="shared" si="14"/>
        <v>1435.2356369314793</v>
      </c>
      <c r="E196" s="1">
        <f t="shared" si="14"/>
        <v>1544.8366369314792</v>
      </c>
      <c r="F196" s="1">
        <f>E196-D196</f>
        <v>109.60099999999989</v>
      </c>
      <c r="G196" s="156">
        <f>F196/D196</f>
        <v>7.636446391083615E-2</v>
      </c>
    </row>
    <row r="197" spans="2:7" ht="15" customHeight="1" x14ac:dyDescent="0.35">
      <c r="B197" s="128">
        <f>IF(ISBLANK(C197),"",MAX($B$164:B196)+1)</f>
        <v>20</v>
      </c>
      <c r="C197" s="157">
        <f t="shared" si="12"/>
        <v>1300</v>
      </c>
      <c r="D197" s="1">
        <f t="shared" si="14"/>
        <v>1548.2006900091028</v>
      </c>
      <c r="E197" s="1">
        <f t="shared" si="14"/>
        <v>1663.1396900091027</v>
      </c>
      <c r="F197" s="1">
        <f>E197-D197</f>
        <v>114.93899999999985</v>
      </c>
      <c r="G197" s="156">
        <f>F197/D197</f>
        <v>7.4240375128190941E-2</v>
      </c>
    </row>
    <row r="198" spans="2:7" ht="15" customHeight="1" x14ac:dyDescent="0.35">
      <c r="B198" s="128">
        <f>IF(ISBLANK(C198),"",MAX($B$164:B197)+1)</f>
        <v>21</v>
      </c>
      <c r="C198" s="157">
        <f t="shared" si="12"/>
        <v>1400</v>
      </c>
      <c r="D198" s="1">
        <f t="shared" si="14"/>
        <v>1661.165743086726</v>
      </c>
      <c r="E198" s="1">
        <f t="shared" si="14"/>
        <v>1781.4427430867258</v>
      </c>
      <c r="F198" s="1">
        <f>E198-D198</f>
        <v>120.27699999999982</v>
      </c>
      <c r="G198" s="156">
        <f>F198/D198</f>
        <v>7.2405177207967741E-2</v>
      </c>
    </row>
    <row r="199" spans="2:7" ht="15" customHeight="1" x14ac:dyDescent="0.35">
      <c r="B199" s="128">
        <f>IF(ISBLANK(C199),"",MAX($B$164:B198)+1)</f>
        <v>22</v>
      </c>
      <c r="C199" s="157">
        <f t="shared" si="12"/>
        <v>1500</v>
      </c>
      <c r="D199" s="1">
        <f t="shared" si="14"/>
        <v>1774.130796164349</v>
      </c>
      <c r="E199" s="1">
        <f t="shared" si="14"/>
        <v>1899.745796164349</v>
      </c>
      <c r="F199" s="1">
        <f>E199-D199</f>
        <v>125.61500000000001</v>
      </c>
      <c r="G199" s="156">
        <f>F199/D199</f>
        <v>7.0803686104529737E-2</v>
      </c>
    </row>
    <row r="200" spans="2:7" ht="15" customHeight="1" x14ac:dyDescent="0.35">
      <c r="B200" s="128" t="str">
        <f>IF(ISBLANK(C200),"",MAX($B$164:B199)+1)</f>
        <v/>
      </c>
      <c r="C200" s="157"/>
      <c r="D200" s="1"/>
      <c r="E200" s="1"/>
      <c r="F200" s="1"/>
      <c r="G200" s="156"/>
    </row>
    <row r="201" spans="2:7" ht="15" customHeight="1" x14ac:dyDescent="0.35">
      <c r="B201" s="128">
        <f>IF(ISBLANK(C201),"",MAX($B$164:B200)+1)</f>
        <v>23</v>
      </c>
      <c r="C201" s="157">
        <f>+C199+500</f>
        <v>2000</v>
      </c>
      <c r="D201" s="1">
        <f t="shared" ref="D201:E205" si="15">D$169+(D$176*$C201)+D$173*($C201-$J$172)+D$172*$J$172</f>
        <v>2338.9560615524656</v>
      </c>
      <c r="E201" s="1">
        <f t="shared" si="15"/>
        <v>2491.2610615524654</v>
      </c>
      <c r="F201" s="1">
        <f>E201-D201</f>
        <v>152.30499999999984</v>
      </c>
      <c r="G201" s="156">
        <f>F201/D201</f>
        <v>6.5116657171793324E-2</v>
      </c>
    </row>
    <row r="202" spans="2:7" ht="15" customHeight="1" x14ac:dyDescent="0.35">
      <c r="B202" s="128">
        <f>IF(ISBLANK(C202),"",MAX($B$164:B201)+1)</f>
        <v>24</v>
      </c>
      <c r="C202" s="157">
        <f>+C201+500</f>
        <v>2500</v>
      </c>
      <c r="D202" s="1">
        <f t="shared" si="15"/>
        <v>2903.7813269405819</v>
      </c>
      <c r="E202" s="1">
        <f t="shared" si="15"/>
        <v>3082.7763269405818</v>
      </c>
      <c r="F202" s="1">
        <f>E202-D202</f>
        <v>178.99499999999989</v>
      </c>
      <c r="G202" s="156">
        <f>F202/D202</f>
        <v>6.1642038379173911E-2</v>
      </c>
    </row>
    <row r="203" spans="2:7" ht="15" customHeight="1" x14ac:dyDescent="0.35">
      <c r="B203" s="128">
        <f>IF(ISBLANK(C203),"",MAX($B$164:B202)+1)</f>
        <v>25</v>
      </c>
      <c r="C203" s="157">
        <f t="shared" ref="C203:C205" si="16">+C202+500</f>
        <v>3000</v>
      </c>
      <c r="D203" s="1">
        <f t="shared" si="15"/>
        <v>3468.6065923286978</v>
      </c>
      <c r="E203" s="1">
        <f t="shared" si="15"/>
        <v>3674.2915923286982</v>
      </c>
      <c r="F203" s="1">
        <f>E203-D203</f>
        <v>205.6850000000004</v>
      </c>
      <c r="G203" s="156">
        <f>F203/D203</f>
        <v>5.9299028161596982E-2</v>
      </c>
    </row>
    <row r="204" spans="2:7" ht="15" customHeight="1" x14ac:dyDescent="0.35">
      <c r="B204" s="128">
        <f>IF(ISBLANK(C204),"",MAX($B$164:B203)+1)</f>
        <v>26</v>
      </c>
      <c r="C204" s="157">
        <f t="shared" si="16"/>
        <v>3500</v>
      </c>
      <c r="D204" s="1">
        <f t="shared" si="15"/>
        <v>4033.4318577168142</v>
      </c>
      <c r="E204" s="1">
        <f t="shared" si="15"/>
        <v>4265.8068577168142</v>
      </c>
      <c r="F204" s="1">
        <f>E204-D204</f>
        <v>232.375</v>
      </c>
      <c r="G204" s="156">
        <f>F204/D204</f>
        <v>5.761222903900487E-2</v>
      </c>
    </row>
    <row r="205" spans="2:7" ht="15" customHeight="1" x14ac:dyDescent="0.35">
      <c r="B205" s="128">
        <f>IF(ISBLANK(C205),"",MAX($B$164:B204)+1)</f>
        <v>27</v>
      </c>
      <c r="C205" s="157">
        <f t="shared" si="16"/>
        <v>4000</v>
      </c>
      <c r="D205" s="1">
        <f t="shared" si="15"/>
        <v>4598.2571231049315</v>
      </c>
      <c r="E205" s="1">
        <f t="shared" si="15"/>
        <v>4857.3221231049311</v>
      </c>
      <c r="F205" s="1">
        <f>E205-D205</f>
        <v>259.0649999999996</v>
      </c>
      <c r="G205" s="156">
        <f>F205/D205</f>
        <v>5.6339824647532608E-2</v>
      </c>
    </row>
    <row r="206" spans="2:7" ht="15" customHeight="1" x14ac:dyDescent="0.35">
      <c r="B206" s="128" t="str">
        <f>IF(ISBLANK(C206),"",MAX($B$164:B205)+1)</f>
        <v/>
      </c>
      <c r="C206" s="157"/>
      <c r="D206" s="1"/>
      <c r="E206" s="1"/>
      <c r="F206" s="1"/>
      <c r="G206" s="156"/>
    </row>
    <row r="207" spans="2:7" ht="15" customHeight="1" x14ac:dyDescent="0.35">
      <c r="B207" s="128">
        <f>IF(ISBLANK(C207),"",MAX($B$164:B206)+1)</f>
        <v>28</v>
      </c>
      <c r="C207" s="157">
        <f>+C205+1000</f>
        <v>5000</v>
      </c>
      <c r="D207" s="1">
        <f t="shared" ref="D207:E211" si="17">D$169+(D$176*$C207)+D$174*($C207-$J$172-$J$173)+D$172*$J$172+D$173*$J$173</f>
        <v>5721.9676538811636</v>
      </c>
      <c r="E207" s="1">
        <f t="shared" si="17"/>
        <v>6032.732653881164</v>
      </c>
      <c r="F207" s="1">
        <f>E207-D207</f>
        <v>310.76500000000033</v>
      </c>
      <c r="G207" s="156">
        <f>F207/D207</f>
        <v>5.4310862765749993E-2</v>
      </c>
    </row>
    <row r="208" spans="2:7" ht="15" customHeight="1" x14ac:dyDescent="0.35">
      <c r="B208" s="128">
        <f>IF(ISBLANK(C208),"",MAX($B$164:B207)+1)</f>
        <v>29</v>
      </c>
      <c r="C208" s="157">
        <f>+C207+1000</f>
        <v>6000</v>
      </c>
      <c r="D208" s="1">
        <f t="shared" si="17"/>
        <v>6845.6781846573967</v>
      </c>
      <c r="E208" s="1">
        <f t="shared" si="17"/>
        <v>7208.143184657396</v>
      </c>
      <c r="F208" s="1">
        <f>E208-D208</f>
        <v>362.46499999999924</v>
      </c>
      <c r="G208" s="156">
        <f>F208/D208</f>
        <v>5.2948004598340523E-2</v>
      </c>
    </row>
    <row r="209" spans="2:7" ht="15" customHeight="1" x14ac:dyDescent="0.35">
      <c r="B209" s="128">
        <f>IF(ISBLANK(C209),"",MAX($B$164:B208)+1)</f>
        <v>30</v>
      </c>
      <c r="C209" s="157">
        <f t="shared" ref="C209:C211" si="18">+C208+1000</f>
        <v>7000</v>
      </c>
      <c r="D209" s="1">
        <f t="shared" si="17"/>
        <v>7969.3887154336289</v>
      </c>
      <c r="E209" s="1">
        <f t="shared" si="17"/>
        <v>8383.5537154336289</v>
      </c>
      <c r="F209" s="1">
        <f>E209-D209</f>
        <v>414.16499999999996</v>
      </c>
      <c r="G209" s="156">
        <f>F209/D209</f>
        <v>5.1969481573652228E-2</v>
      </c>
    </row>
    <row r="210" spans="2:7" ht="15" customHeight="1" x14ac:dyDescent="0.35">
      <c r="B210" s="128">
        <f>IF(ISBLANK(C210),"",MAX($B$164:B209)+1)</f>
        <v>31</v>
      </c>
      <c r="C210" s="157">
        <f t="shared" si="18"/>
        <v>8000</v>
      </c>
      <c r="D210" s="1">
        <f t="shared" si="17"/>
        <v>9093.099246209862</v>
      </c>
      <c r="E210" s="1">
        <f t="shared" si="17"/>
        <v>9558.9642462098618</v>
      </c>
      <c r="F210" s="1">
        <f>E210-D210</f>
        <v>465.86499999999978</v>
      </c>
      <c r="G210" s="156">
        <f>F210/D210</f>
        <v>5.123280714154519E-2</v>
      </c>
    </row>
    <row r="211" spans="2:7" ht="15" customHeight="1" x14ac:dyDescent="0.35">
      <c r="B211" s="128">
        <f>IF(ISBLANK(C211),"",MAX($B$164:B210)+1)</f>
        <v>32</v>
      </c>
      <c r="C211" s="157">
        <f t="shared" si="18"/>
        <v>9000</v>
      </c>
      <c r="D211" s="1">
        <f t="shared" si="17"/>
        <v>10216.809776986094</v>
      </c>
      <c r="E211" s="1">
        <f t="shared" si="17"/>
        <v>10734.374776986095</v>
      </c>
      <c r="F211" s="1">
        <f>E211-D211</f>
        <v>517.56500000000051</v>
      </c>
      <c r="G211" s="156">
        <f>F211/D211</f>
        <v>5.0658181105205966E-2</v>
      </c>
    </row>
    <row r="212" spans="2:7" ht="15" customHeight="1" x14ac:dyDescent="0.35">
      <c r="B212" s="128" t="str">
        <f>IF(ISBLANK(C212),"",MAX($B$164:B211)+1)</f>
        <v/>
      </c>
      <c r="C212" s="157"/>
      <c r="D212" s="1"/>
      <c r="E212" s="1"/>
      <c r="F212" s="1"/>
      <c r="G212" s="156"/>
    </row>
    <row r="213" spans="2:7" ht="15" customHeight="1" x14ac:dyDescent="0.35">
      <c r="B213" s="128">
        <f>IF(ISBLANK(C213),"",MAX($B$164:B212)+1)</f>
        <v>33</v>
      </c>
      <c r="C213" s="157">
        <f>+C211+1000</f>
        <v>10000</v>
      </c>
      <c r="D213" s="1">
        <f t="shared" ref="D213:E217" si="19">D$169+(D$176*$C213)+D$174*($C213-$J$172-$J$173)+D$172*$J$172+D$173*$J$173</f>
        <v>11340.520307762326</v>
      </c>
      <c r="E213" s="1">
        <f t="shared" si="19"/>
        <v>11909.785307762328</v>
      </c>
      <c r="F213" s="1">
        <f>E213-D213</f>
        <v>569.26500000000124</v>
      </c>
      <c r="G213" s="156">
        <f>F213/D213</f>
        <v>5.0197432265109775E-2</v>
      </c>
    </row>
    <row r="214" spans="2:7" ht="15" customHeight="1" x14ac:dyDescent="0.35">
      <c r="B214" s="128">
        <f>IF(ISBLANK(C214),"",MAX($B$164:B213)+1)</f>
        <v>34</v>
      </c>
      <c r="C214" s="157">
        <f>+C213+2500</f>
        <v>12500</v>
      </c>
      <c r="D214" s="1">
        <f t="shared" si="19"/>
        <v>14149.796634702909</v>
      </c>
      <c r="E214" s="1">
        <f t="shared" si="19"/>
        <v>14848.31163470291</v>
      </c>
      <c r="F214" s="1">
        <f>E214-D214</f>
        <v>698.51500000000124</v>
      </c>
      <c r="G214" s="156">
        <f>F214/D214</f>
        <v>4.9365727157298284E-2</v>
      </c>
    </row>
    <row r="215" spans="2:7" ht="15" customHeight="1" x14ac:dyDescent="0.35">
      <c r="B215" s="128">
        <f>IF(ISBLANK(C215),"",MAX($B$164:B214)+1)</f>
        <v>35</v>
      </c>
      <c r="C215" s="157">
        <f t="shared" ref="C215:C217" si="20">+C214+2500</f>
        <v>15000</v>
      </c>
      <c r="D215" s="1">
        <f t="shared" si="19"/>
        <v>16959.072961643491</v>
      </c>
      <c r="E215" s="1">
        <f t="shared" si="19"/>
        <v>17786.837961643494</v>
      </c>
      <c r="F215" s="1">
        <f>E215-D215</f>
        <v>827.76500000000306</v>
      </c>
      <c r="G215" s="156">
        <f>F215/D215</f>
        <v>4.8809566529501205E-2</v>
      </c>
    </row>
    <row r="216" spans="2:7" ht="15" customHeight="1" x14ac:dyDescent="0.35">
      <c r="B216" s="128">
        <f>IF(ISBLANK(C216),"",MAX($B$164:B215)+1)</f>
        <v>36</v>
      </c>
      <c r="C216" s="157">
        <f t="shared" si="20"/>
        <v>17500</v>
      </c>
      <c r="D216" s="1">
        <f t="shared" si="19"/>
        <v>19768.349288584075</v>
      </c>
      <c r="E216" s="1">
        <f t="shared" si="19"/>
        <v>20725.364288584075</v>
      </c>
      <c r="F216" s="1">
        <f>E216-D216</f>
        <v>957.01499999999942</v>
      </c>
      <c r="G216" s="156">
        <f>F216/D216</f>
        <v>4.8411477662055537E-2</v>
      </c>
    </row>
    <row r="217" spans="2:7" ht="15" customHeight="1" x14ac:dyDescent="0.35">
      <c r="B217" s="128">
        <f>IF(ISBLANK(C217),"",MAX($B$164:B216)+1)</f>
        <v>37</v>
      </c>
      <c r="C217" s="157">
        <f t="shared" si="20"/>
        <v>20000</v>
      </c>
      <c r="D217" s="1">
        <f t="shared" si="19"/>
        <v>22577.625615524659</v>
      </c>
      <c r="E217" s="1">
        <f t="shared" si="19"/>
        <v>23663.890615524655</v>
      </c>
      <c r="F217" s="1">
        <f>E217-D217</f>
        <v>1086.2649999999958</v>
      </c>
      <c r="G217" s="156">
        <f>F217/D217</f>
        <v>4.8112455157953649E-2</v>
      </c>
    </row>
    <row r="218" spans="2:7" ht="15" customHeight="1" x14ac:dyDescent="0.35">
      <c r="B218" s="128" t="str">
        <f>IF(ISBLANK(C218),"",MAX($B$164:B217)+1)</f>
        <v/>
      </c>
      <c r="C218" s="157"/>
      <c r="D218" s="1"/>
      <c r="E218" s="1"/>
      <c r="F218" s="1"/>
      <c r="G218" s="156"/>
    </row>
    <row r="219" spans="2:7" ht="15" customHeight="1" x14ac:dyDescent="0.35">
      <c r="B219" s="128">
        <f>IF(ISBLANK(C219),"",MAX($B$164:B218)+1)</f>
        <v>38</v>
      </c>
      <c r="C219" s="157">
        <f>+C217+5000</f>
        <v>25000</v>
      </c>
      <c r="D219" s="1">
        <f t="shared" ref="D219:E223" si="21">D$169+(D$176*$C219)+D$174*($C219-$J$172-$J$173)+D$172*$J$172+D$173*$J$173</f>
        <v>28196.17826940582</v>
      </c>
      <c r="E219" s="1">
        <f t="shared" si="21"/>
        <v>29540.94326940582</v>
      </c>
      <c r="F219" s="1">
        <f>E219-D219</f>
        <v>1344.7649999999994</v>
      </c>
      <c r="G219" s="156">
        <f>F219/D219</f>
        <v>4.7693165618091324E-2</v>
      </c>
    </row>
    <row r="220" spans="2:7" ht="15" customHeight="1" x14ac:dyDescent="0.35">
      <c r="B220" s="128">
        <f>IF(ISBLANK(C220),"",MAX($B$164:B219)+1)</f>
        <v>39</v>
      </c>
      <c r="C220" s="157">
        <f t="shared" ref="C220:C223" si="22">+C219+5000</f>
        <v>30000</v>
      </c>
      <c r="D220" s="1">
        <f t="shared" si="21"/>
        <v>33814.730923286988</v>
      </c>
      <c r="E220" s="1">
        <f t="shared" si="21"/>
        <v>35417.995923286988</v>
      </c>
      <c r="F220" s="1">
        <f>E220-D220</f>
        <v>1603.2649999999994</v>
      </c>
      <c r="G220" s="156">
        <f>F220/D220</f>
        <v>4.7413211822894867E-2</v>
      </c>
    </row>
    <row r="221" spans="2:7" ht="15" customHeight="1" x14ac:dyDescent="0.35">
      <c r="B221" s="128">
        <f>IF(ISBLANK(C221),"",MAX($B$164:B220)+1)</f>
        <v>40</v>
      </c>
      <c r="C221" s="157">
        <f t="shared" si="22"/>
        <v>35000</v>
      </c>
      <c r="D221" s="1">
        <f t="shared" si="21"/>
        <v>39433.283577168149</v>
      </c>
      <c r="E221" s="1">
        <f t="shared" si="21"/>
        <v>41295.048577168149</v>
      </c>
      <c r="F221" s="1">
        <f>E221-D221</f>
        <v>1861.7649999999994</v>
      </c>
      <c r="G221" s="156">
        <f>F221/D221</f>
        <v>4.7213035058484461E-2</v>
      </c>
    </row>
    <row r="222" spans="2:7" ht="15" customHeight="1" x14ac:dyDescent="0.35">
      <c r="B222" s="128">
        <f>IF(ISBLANK(C222),"",MAX($B$164:B221)+1)</f>
        <v>41</v>
      </c>
      <c r="C222" s="157">
        <f t="shared" si="22"/>
        <v>40000</v>
      </c>
      <c r="D222" s="1">
        <f t="shared" si="21"/>
        <v>45051.83623104931</v>
      </c>
      <c r="E222" s="1">
        <f t="shared" si="21"/>
        <v>47172.101231049317</v>
      </c>
      <c r="F222" s="1">
        <f>E222-D222</f>
        <v>2120.2650000000067</v>
      </c>
      <c r="G222" s="156">
        <f>F222/D222</f>
        <v>4.706278761039133E-2</v>
      </c>
    </row>
    <row r="223" spans="2:7" ht="15" customHeight="1" x14ac:dyDescent="0.35">
      <c r="B223" s="128">
        <f>IF(ISBLANK(C223),"",MAX($B$164:B222)+1)</f>
        <v>42</v>
      </c>
      <c r="C223" s="157">
        <f t="shared" si="22"/>
        <v>45000</v>
      </c>
      <c r="D223" s="1">
        <f t="shared" si="21"/>
        <v>50670.388884930479</v>
      </c>
      <c r="E223" s="1">
        <f t="shared" si="21"/>
        <v>53049.153884930478</v>
      </c>
      <c r="F223" s="1">
        <f>E223-D223</f>
        <v>2378.7649999999994</v>
      </c>
      <c r="G223" s="156">
        <f>F223/D223</f>
        <v>4.6945860340682148E-2</v>
      </c>
    </row>
    <row r="224" spans="2:7" ht="15" customHeight="1" x14ac:dyDescent="0.35">
      <c r="B224" s="128" t="str">
        <f>IF(ISBLANK(C224),"",MAX($B$164:B223)+1)</f>
        <v/>
      </c>
      <c r="C224" s="157"/>
      <c r="D224" s="1"/>
      <c r="E224" s="1"/>
      <c r="F224" s="1"/>
      <c r="G224" s="156"/>
    </row>
    <row r="225" spans="1:8" ht="15" customHeight="1" x14ac:dyDescent="0.35">
      <c r="B225" s="128">
        <f>IF(ISBLANK(C225),"",MAX($B$164:B224)+1)</f>
        <v>43</v>
      </c>
      <c r="C225" s="157">
        <f>+C223+5000</f>
        <v>50000</v>
      </c>
      <c r="D225" s="1">
        <f t="shared" ref="D225:E230" si="23">D$169+(D$176*$C225)+D$174*($C225-$J$172-$J$173)+D$172*$J$172+D$173*$J$173</f>
        <v>56288.941538811639</v>
      </c>
      <c r="E225" s="1">
        <f t="shared" si="23"/>
        <v>58926.206538811646</v>
      </c>
      <c r="F225" s="1">
        <f t="shared" ref="F225:F230" si="24">E225-D225</f>
        <v>2637.2650000000067</v>
      </c>
      <c r="G225" s="156">
        <f t="shared" ref="G225:G230" si="25">F225/D225</f>
        <v>4.6852275560761665E-2</v>
      </c>
    </row>
    <row r="226" spans="1:8" ht="15" customHeight="1" x14ac:dyDescent="0.35">
      <c r="B226" s="128">
        <f>IF(ISBLANK(C226),"",MAX($B$164:B225)+1)</f>
        <v>44</v>
      </c>
      <c r="C226" s="157">
        <f>+C225+10000</f>
        <v>60000</v>
      </c>
      <c r="D226" s="1">
        <f t="shared" si="23"/>
        <v>67526.046846573969</v>
      </c>
      <c r="E226" s="1">
        <f t="shared" si="23"/>
        <v>70680.311846573968</v>
      </c>
      <c r="F226" s="1">
        <f t="shared" si="24"/>
        <v>3154.2649999999994</v>
      </c>
      <c r="G226" s="156">
        <f t="shared" si="25"/>
        <v>4.6711826729125869E-2</v>
      </c>
    </row>
    <row r="227" spans="1:8" ht="15" customHeight="1" x14ac:dyDescent="0.35">
      <c r="B227" s="128">
        <f>IF(ISBLANK(C227),"",MAX($B$164:B226)+1)</f>
        <v>45</v>
      </c>
      <c r="C227" s="157">
        <f t="shared" ref="C227:C230" si="26">+C226+10000</f>
        <v>70000</v>
      </c>
      <c r="D227" s="1">
        <f t="shared" si="23"/>
        <v>78763.152154336291</v>
      </c>
      <c r="E227" s="1">
        <f t="shared" si="23"/>
        <v>82434.417154336305</v>
      </c>
      <c r="F227" s="1">
        <f t="shared" si="24"/>
        <v>3671.265000000014</v>
      </c>
      <c r="G227" s="156">
        <f t="shared" si="25"/>
        <v>4.6611453447243642E-2</v>
      </c>
    </row>
    <row r="228" spans="1:8" ht="15" customHeight="1" x14ac:dyDescent="0.35">
      <c r="B228" s="128">
        <f>IF(ISBLANK(C228),"",MAX($B$164:B227)+1)</f>
        <v>46</v>
      </c>
      <c r="C228" s="157">
        <f t="shared" si="26"/>
        <v>80000</v>
      </c>
      <c r="D228" s="1">
        <f t="shared" si="23"/>
        <v>90000.257462098627</v>
      </c>
      <c r="E228" s="1">
        <f t="shared" si="23"/>
        <v>94188.522462098626</v>
      </c>
      <c r="F228" s="1">
        <f t="shared" si="24"/>
        <v>4188.2649999999994</v>
      </c>
      <c r="G228" s="156">
        <f t="shared" si="25"/>
        <v>4.6536144652294838E-2</v>
      </c>
    </row>
    <row r="229" spans="1:8" ht="15" customHeight="1" x14ac:dyDescent="0.35">
      <c r="B229" s="128">
        <f>IF(ISBLANK(C229),"",MAX($B$164:B228)+1)</f>
        <v>47</v>
      </c>
      <c r="C229" s="157">
        <f t="shared" si="26"/>
        <v>90000</v>
      </c>
      <c r="D229" s="1">
        <f t="shared" si="23"/>
        <v>101237.36276986095</v>
      </c>
      <c r="E229" s="1">
        <f t="shared" si="23"/>
        <v>105942.62776986095</v>
      </c>
      <c r="F229" s="1">
        <f t="shared" si="24"/>
        <v>4705.2649999999994</v>
      </c>
      <c r="G229" s="156">
        <f t="shared" si="25"/>
        <v>4.6477554049845209E-2</v>
      </c>
    </row>
    <row r="230" spans="1:8" ht="15" customHeight="1" x14ac:dyDescent="0.35">
      <c r="B230" s="128">
        <f>IF(ISBLANK(C230),"",MAX($B$164:B229)+1)</f>
        <v>48</v>
      </c>
      <c r="C230" s="157">
        <f t="shared" si="26"/>
        <v>100000</v>
      </c>
      <c r="D230" s="1">
        <f t="shared" si="23"/>
        <v>112474.46807762327</v>
      </c>
      <c r="E230" s="1">
        <f t="shared" si="23"/>
        <v>117696.73307762328</v>
      </c>
      <c r="F230" s="1">
        <f t="shared" si="24"/>
        <v>5222.265000000014</v>
      </c>
      <c r="G230" s="156">
        <f t="shared" si="25"/>
        <v>4.6430670793623258E-2</v>
      </c>
    </row>
    <row r="231" spans="1:8" ht="15" customHeight="1" x14ac:dyDescent="0.35">
      <c r="A231" s="42" t="str">
        <f>$A$41</f>
        <v>Cascade Natural Gas Corp.</v>
      </c>
      <c r="H231" s="41" t="str">
        <f>$H$41</f>
        <v>Exh. RJA-7</v>
      </c>
    </row>
    <row r="232" spans="1:8" ht="15" customHeight="1" x14ac:dyDescent="0.35">
      <c r="A232" s="42" t="str">
        <f>$A$42</f>
        <v>Washington Jurisdiction</v>
      </c>
      <c r="H232" s="41" t="s">
        <v>151</v>
      </c>
    </row>
    <row r="233" spans="1:8" ht="15" customHeight="1" x14ac:dyDescent="0.35">
      <c r="A233" s="42" t="str">
        <f>$A$43</f>
        <v>Estimated Monthly Bill Impacts March 1, 2025</v>
      </c>
      <c r="H233" s="41" t="str">
        <f>$H$43</f>
        <v>Impact of Recommended Rate Changes</v>
      </c>
    </row>
    <row r="234" spans="1:8" ht="15" customHeight="1" x14ac:dyDescent="0.35">
      <c r="A234" s="42"/>
    </row>
    <row r="235" spans="1:8" ht="15" customHeight="1" x14ac:dyDescent="0.35">
      <c r="B235" s="127" t="str">
        <f>'RJA-6 (2025 rates)'!B34</f>
        <v>Large Volume - 511</v>
      </c>
    </row>
    <row r="238" spans="1:8" ht="15" customHeight="1" x14ac:dyDescent="0.5">
      <c r="B238" s="129" t="s">
        <v>87</v>
      </c>
      <c r="C238" s="129" t="s">
        <v>52</v>
      </c>
      <c r="D238" s="129" t="s">
        <v>53</v>
      </c>
      <c r="E238" s="129" t="s">
        <v>55</v>
      </c>
      <c r="F238" s="129" t="s">
        <v>56</v>
      </c>
      <c r="G238" s="129" t="s">
        <v>57</v>
      </c>
    </row>
    <row r="239" spans="1:8" ht="15" customHeight="1" x14ac:dyDescent="0.35">
      <c r="B239" s="128"/>
      <c r="C239" s="130"/>
      <c r="D239" s="154" t="s">
        <v>58</v>
      </c>
      <c r="E239" s="155" t="s">
        <v>66</v>
      </c>
    </row>
    <row r="240" spans="1:8" ht="15" customHeight="1" x14ac:dyDescent="0.5">
      <c r="B240" s="128"/>
      <c r="C240" s="76"/>
      <c r="D240" s="129" t="s">
        <v>60</v>
      </c>
      <c r="E240" s="134" t="s">
        <v>60</v>
      </c>
    </row>
    <row r="241" spans="2:10" ht="15" customHeight="1" x14ac:dyDescent="0.35">
      <c r="B241" s="128">
        <f>IF(ISBLANK(C241),"",MAX($B$235:B240)+1)</f>
        <v>1</v>
      </c>
      <c r="C241" s="76" t="s">
        <v>18</v>
      </c>
      <c r="D241" s="135">
        <f>'RJA-6 (2025 rates)'!D35</f>
        <v>125</v>
      </c>
      <c r="E241" s="136">
        <f>'RJA-6 (2025 rates)'!G35</f>
        <v>250</v>
      </c>
    </row>
    <row r="242" spans="2:10" ht="15" customHeight="1" x14ac:dyDescent="0.35">
      <c r="B242" s="128" t="str">
        <f>IF(ISBLANK(C242),"",MAX($B$235:B241)+1)</f>
        <v/>
      </c>
      <c r="C242" s="76"/>
      <c r="D242" s="135"/>
      <c r="E242" s="136"/>
    </row>
    <row r="243" spans="2:10" ht="15" customHeight="1" x14ac:dyDescent="0.35">
      <c r="B243" s="128">
        <f>IF(ISBLANK(C243),"",MAX($B$235:B242)+1)</f>
        <v>2</v>
      </c>
      <c r="C243" s="76" t="s">
        <v>88</v>
      </c>
      <c r="E243" s="136"/>
      <c r="J243" s="158" t="s">
        <v>92</v>
      </c>
    </row>
    <row r="244" spans="2:10" ht="15" customHeight="1" x14ac:dyDescent="0.35">
      <c r="B244" s="128">
        <f>IF(ISBLANK(C244),"",MAX($B$235:B243)+1)</f>
        <v>3</v>
      </c>
      <c r="C244" s="159" t="s">
        <v>96</v>
      </c>
      <c r="D244" s="93">
        <f>SUM('RJA-6 (2025 rates)'!D36:E36)</f>
        <v>0.17965</v>
      </c>
      <c r="E244" s="137">
        <f>SUM('RJA-6 (2025 rates)'!G36:H36)</f>
        <v>0.23618</v>
      </c>
      <c r="J244" s="160">
        <v>20000</v>
      </c>
    </row>
    <row r="245" spans="2:10" ht="15" customHeight="1" x14ac:dyDescent="0.35">
      <c r="B245" s="128">
        <f>IF(ISBLANK(C245),"",MAX($B$235:B244)+1)</f>
        <v>4</v>
      </c>
      <c r="C245" s="159" t="s">
        <v>97</v>
      </c>
      <c r="D245" s="93">
        <f>SUM('RJA-6 (2025 rates)'!D37:E37)</f>
        <v>0.14091999999999999</v>
      </c>
      <c r="E245" s="137">
        <f>SUM('RJA-6 (2025 rates)'!G37:H37)</f>
        <v>0.18526000000000001</v>
      </c>
      <c r="J245" s="161">
        <v>80000</v>
      </c>
    </row>
    <row r="246" spans="2:10" ht="15" customHeight="1" x14ac:dyDescent="0.35">
      <c r="B246" s="128">
        <f>IF(ISBLANK(C246),"",MAX($B$235:B245)+1)</f>
        <v>5</v>
      </c>
      <c r="C246" s="159" t="s">
        <v>98</v>
      </c>
      <c r="D246" s="93">
        <f>SUM('RJA-6 (2025 rates)'!D38:E38)</f>
        <v>4.5109999999999997E-2</v>
      </c>
      <c r="E246" s="137">
        <f>SUM('RJA-6 (2025 rates)'!G38:H38)</f>
        <v>5.9299999999999999E-2</v>
      </c>
      <c r="J246" s="161"/>
    </row>
    <row r="247" spans="2:10" ht="15" customHeight="1" x14ac:dyDescent="0.35">
      <c r="B247" s="128" t="str">
        <f>IF(ISBLANK(C247),"",MAX($B$235:B246)+1)</f>
        <v/>
      </c>
      <c r="C247" s="76"/>
      <c r="D247" s="135"/>
      <c r="E247" s="77"/>
      <c r="J247" s="161"/>
    </row>
    <row r="248" spans="2:10" ht="15" customHeight="1" x14ac:dyDescent="0.35">
      <c r="B248" s="128">
        <f>IF(ISBLANK(C248),"",MAX($B$235:B247)+1)</f>
        <v>6</v>
      </c>
      <c r="C248" s="138" t="str">
        <f>$C$54</f>
        <v>Pass-Through Rates</v>
      </c>
      <c r="D248" s="140">
        <v>0.94288053077623279</v>
      </c>
      <c r="E248" s="141">
        <f>D248</f>
        <v>0.94288053077623279</v>
      </c>
      <c r="J248" s="162"/>
    </row>
    <row r="249" spans="2:10" ht="15" customHeight="1" x14ac:dyDescent="0.35">
      <c r="B249" s="128" t="str">
        <f>IF(ISBLANK(C249),"",MAX($B$235:B248)+1)</f>
        <v/>
      </c>
    </row>
    <row r="250" spans="2:10" ht="15" customHeight="1" x14ac:dyDescent="0.35">
      <c r="B250" s="128" t="str">
        <f>IF(ISBLANK(C250),"",MAX($B$235:B249)+1)</f>
        <v/>
      </c>
      <c r="C250" s="128"/>
      <c r="D250" s="128"/>
      <c r="E250" s="128"/>
    </row>
    <row r="251" spans="2:10" ht="15" customHeight="1" x14ac:dyDescent="0.5">
      <c r="B251" s="128"/>
      <c r="C251" s="128" t="s">
        <v>89</v>
      </c>
      <c r="D251" s="128" t="s">
        <v>63</v>
      </c>
      <c r="E251" s="128" t="s">
        <v>63</v>
      </c>
      <c r="F251" s="142" t="s">
        <v>90</v>
      </c>
      <c r="G251" s="142"/>
    </row>
    <row r="252" spans="2:10" ht="15" customHeight="1" x14ac:dyDescent="0.5">
      <c r="B252" s="128"/>
      <c r="C252" s="129" t="s">
        <v>91</v>
      </c>
      <c r="D252" s="129" t="s">
        <v>8</v>
      </c>
      <c r="E252" s="129" t="s">
        <v>9</v>
      </c>
      <c r="F252" s="129" t="s">
        <v>69</v>
      </c>
      <c r="G252" s="129" t="s">
        <v>70</v>
      </c>
    </row>
    <row r="253" spans="2:10" ht="15" customHeight="1" x14ac:dyDescent="0.35">
      <c r="B253" s="128">
        <f>IF(ISBLANK(C253),"",MAX($B$235:B252)+1)</f>
        <v>7</v>
      </c>
      <c r="C253" s="157">
        <v>0</v>
      </c>
      <c r="D253" s="1">
        <f>D$241+(D$244+D$248)*$C253</f>
        <v>125</v>
      </c>
      <c r="E253" s="1">
        <f>E$241+(E$244+E$248)*$C253</f>
        <v>250</v>
      </c>
      <c r="F253" s="1">
        <f>E253-D253</f>
        <v>125</v>
      </c>
      <c r="G253" s="156">
        <f>F253/D253</f>
        <v>1</v>
      </c>
    </row>
    <row r="254" spans="2:10" ht="15" customHeight="1" x14ac:dyDescent="0.35">
      <c r="B254" s="128" t="str">
        <f>IF(ISBLANK(C254),"",MAX($B$235:B253)+1)</f>
        <v/>
      </c>
      <c r="C254" s="157"/>
      <c r="D254" s="1"/>
      <c r="E254" s="1"/>
      <c r="F254" s="1"/>
      <c r="G254" s="156"/>
    </row>
    <row r="255" spans="2:10" ht="15" customHeight="1" x14ac:dyDescent="0.35">
      <c r="B255" s="128">
        <f>IF(ISBLANK(C255),"",MAX($B$235:B254)+1)</f>
        <v>8</v>
      </c>
      <c r="C255" s="157">
        <v>1000</v>
      </c>
      <c r="D255" s="1">
        <f t="shared" ref="D255:E265" si="27">D$241+(D$244+D$248)*$C255</f>
        <v>1247.5305307762328</v>
      </c>
      <c r="E255" s="1">
        <f t="shared" si="27"/>
        <v>1429.0605307762328</v>
      </c>
      <c r="F255" s="1">
        <f>E255-D255</f>
        <v>181.52999999999997</v>
      </c>
      <c r="G255" s="156">
        <f>F255/D255</f>
        <v>0.14551146887527411</v>
      </c>
    </row>
    <row r="256" spans="2:10" ht="15" customHeight="1" x14ac:dyDescent="0.35">
      <c r="B256" s="128">
        <f>IF(ISBLANK(C256),"",MAX($B$235:B255)+1)</f>
        <v>9</v>
      </c>
      <c r="C256" s="157">
        <f>+C255+1000</f>
        <v>2000</v>
      </c>
      <c r="D256" s="1">
        <f t="shared" si="27"/>
        <v>2370.0610615524656</v>
      </c>
      <c r="E256" s="1">
        <f t="shared" si="27"/>
        <v>2608.1210615524656</v>
      </c>
      <c r="F256" s="1">
        <f>E256-D256</f>
        <v>238.05999999999995</v>
      </c>
      <c r="G256" s="156">
        <f>F256/D256</f>
        <v>0.10044466949052487</v>
      </c>
    </row>
    <row r="257" spans="2:7" ht="15" customHeight="1" x14ac:dyDescent="0.35">
      <c r="B257" s="128">
        <f>IF(ISBLANK(C257),"",MAX($B$235:B256)+1)</f>
        <v>10</v>
      </c>
      <c r="C257" s="157">
        <f t="shared" ref="C257:C259" si="28">+C256+1000</f>
        <v>3000</v>
      </c>
      <c r="D257" s="1">
        <f t="shared" si="27"/>
        <v>3492.5915923286984</v>
      </c>
      <c r="E257" s="1">
        <f t="shared" si="27"/>
        <v>3787.1815923286981</v>
      </c>
      <c r="F257" s="1">
        <f>E257-D257</f>
        <v>294.58999999999969</v>
      </c>
      <c r="G257" s="156">
        <f>F257/D257</f>
        <v>8.4347107931844023E-2</v>
      </c>
    </row>
    <row r="258" spans="2:7" ht="15" customHeight="1" x14ac:dyDescent="0.35">
      <c r="B258" s="128">
        <f>IF(ISBLANK(C258),"",MAX($B$235:B257)+1)</f>
        <v>11</v>
      </c>
      <c r="C258" s="157">
        <f t="shared" si="28"/>
        <v>4000</v>
      </c>
      <c r="D258" s="1">
        <f t="shared" si="27"/>
        <v>4615.1221231049312</v>
      </c>
      <c r="E258" s="1">
        <f t="shared" si="27"/>
        <v>4966.2421231049311</v>
      </c>
      <c r="F258" s="1">
        <f>E258-D258</f>
        <v>351.11999999999989</v>
      </c>
      <c r="G258" s="156">
        <f>F258/D258</f>
        <v>7.6080326941332529E-2</v>
      </c>
    </row>
    <row r="259" spans="2:7" ht="15" customHeight="1" x14ac:dyDescent="0.35">
      <c r="B259" s="128">
        <f>IF(ISBLANK(C259),"",MAX($B$235:B258)+1)</f>
        <v>12</v>
      </c>
      <c r="C259" s="157">
        <f t="shared" si="28"/>
        <v>5000</v>
      </c>
      <c r="D259" s="1">
        <f t="shared" si="27"/>
        <v>5737.652653881164</v>
      </c>
      <c r="E259" s="1">
        <f t="shared" si="27"/>
        <v>6145.3026538811637</v>
      </c>
      <c r="F259" s="1">
        <f>E259-D259</f>
        <v>407.64999999999964</v>
      </c>
      <c r="G259" s="156">
        <f>F259/D259</f>
        <v>7.1048218599334315E-2</v>
      </c>
    </row>
    <row r="260" spans="2:7" ht="15" customHeight="1" x14ac:dyDescent="0.35">
      <c r="B260" s="128" t="str">
        <f>IF(ISBLANK(C260),"",MAX($B$235:B259)+1)</f>
        <v/>
      </c>
      <c r="C260" s="157"/>
      <c r="D260" s="1"/>
      <c r="E260" s="1"/>
      <c r="F260" s="1"/>
      <c r="G260" s="156"/>
    </row>
    <row r="261" spans="2:7" ht="15" customHeight="1" x14ac:dyDescent="0.35">
      <c r="B261" s="128">
        <f>IF(ISBLANK(C261),"",MAX($B$235:B260)+1)</f>
        <v>13</v>
      </c>
      <c r="C261" s="157">
        <f>+C259+3000</f>
        <v>8000</v>
      </c>
      <c r="D261" s="1">
        <f t="shared" si="27"/>
        <v>9105.2442462098625</v>
      </c>
      <c r="E261" s="1">
        <f t="shared" si="27"/>
        <v>9682.4842462098622</v>
      </c>
      <c r="F261" s="1">
        <f>E261-D261</f>
        <v>577.23999999999978</v>
      </c>
      <c r="G261" s="156">
        <f>F261/D261</f>
        <v>6.3396432252795523E-2</v>
      </c>
    </row>
    <row r="262" spans="2:7" ht="15" customHeight="1" x14ac:dyDescent="0.35">
      <c r="B262" s="128">
        <f>IF(ISBLANK(C262),"",MAX($B$235:B261)+1)</f>
        <v>14</v>
      </c>
      <c r="C262" s="157">
        <f>+C261+3000</f>
        <v>11000</v>
      </c>
      <c r="D262" s="1">
        <f t="shared" si="27"/>
        <v>12472.83583853856</v>
      </c>
      <c r="E262" s="1">
        <f t="shared" si="27"/>
        <v>13219.66583853856</v>
      </c>
      <c r="F262" s="1">
        <f>E262-D262</f>
        <v>746.82999999999993</v>
      </c>
      <c r="G262" s="156">
        <f>F262/D262</f>
        <v>5.9876519635770807E-2</v>
      </c>
    </row>
    <row r="263" spans="2:7" ht="15" customHeight="1" x14ac:dyDescent="0.35">
      <c r="B263" s="128">
        <f>IF(ISBLANK(C263),"",MAX($B$235:B262)+1)</f>
        <v>15</v>
      </c>
      <c r="C263" s="157">
        <f t="shared" ref="C263:C265" si="29">+C262+3000</f>
        <v>14000</v>
      </c>
      <c r="D263" s="1">
        <f t="shared" si="27"/>
        <v>15840.427430867259</v>
      </c>
      <c r="E263" s="1">
        <f t="shared" si="27"/>
        <v>16756.847430867259</v>
      </c>
      <c r="F263" s="1">
        <f>E263-D263</f>
        <v>916.42000000000007</v>
      </c>
      <c r="G263" s="156">
        <f>F263/D263</f>
        <v>5.7853236852323138E-2</v>
      </c>
    </row>
    <row r="264" spans="2:7" ht="15" customHeight="1" x14ac:dyDescent="0.35">
      <c r="B264" s="128">
        <f>IF(ISBLANK(C264),"",MAX($B$235:B263)+1)</f>
        <v>16</v>
      </c>
      <c r="C264" s="157">
        <f t="shared" si="29"/>
        <v>17000</v>
      </c>
      <c r="D264" s="1">
        <f t="shared" si="27"/>
        <v>19208.019023195957</v>
      </c>
      <c r="E264" s="1">
        <f t="shared" si="27"/>
        <v>20294.029023195955</v>
      </c>
      <c r="F264" s="1">
        <f>E264-D264</f>
        <v>1086.0099999999984</v>
      </c>
      <c r="G264" s="156">
        <f>F264/D264</f>
        <v>5.6539406728435285E-2</v>
      </c>
    </row>
    <row r="265" spans="2:7" ht="15" customHeight="1" x14ac:dyDescent="0.35">
      <c r="B265" s="128">
        <f>IF(ISBLANK(C265),"",MAX($B$235:B264)+1)</f>
        <v>17</v>
      </c>
      <c r="C265" s="157">
        <f t="shared" si="29"/>
        <v>20000</v>
      </c>
      <c r="D265" s="1">
        <f t="shared" si="27"/>
        <v>22575.610615524656</v>
      </c>
      <c r="E265" s="1">
        <f t="shared" si="27"/>
        <v>23831.210615524655</v>
      </c>
      <c r="F265" s="1">
        <f>E265-D265</f>
        <v>1255.5999999999985</v>
      </c>
      <c r="G265" s="156">
        <f>F265/D265</f>
        <v>5.561754325867737E-2</v>
      </c>
    </row>
    <row r="266" spans="2:7" ht="15" customHeight="1" x14ac:dyDescent="0.35">
      <c r="B266" s="128" t="str">
        <f>IF(ISBLANK(C266),"",MAX($B$235:B265)+1)</f>
        <v/>
      </c>
      <c r="C266" s="157"/>
      <c r="D266" s="1"/>
      <c r="E266" s="1"/>
      <c r="F266" s="1"/>
      <c r="G266" s="156"/>
    </row>
    <row r="267" spans="2:7" ht="15" customHeight="1" x14ac:dyDescent="0.35">
      <c r="B267" s="128">
        <f>IF(ISBLANK(C267),"",MAX($B$235:B266)+1)</f>
        <v>18</v>
      </c>
      <c r="C267" s="157">
        <f>+C265+3000</f>
        <v>23000</v>
      </c>
      <c r="D267" s="1">
        <f t="shared" ref="D267:E271" si="30">D$241+(D$248*$C267)+D$245*($C267-$J$244)+D$244*$J$244</f>
        <v>25827.012207853353</v>
      </c>
      <c r="E267" s="1">
        <f t="shared" si="30"/>
        <v>27215.632207853356</v>
      </c>
      <c r="F267" s="1">
        <f>E267-D267</f>
        <v>1388.6200000000026</v>
      </c>
      <c r="G267" s="156">
        <f>F267/D267</f>
        <v>5.3766188238287889E-2</v>
      </c>
    </row>
    <row r="268" spans="2:7" ht="15" customHeight="1" x14ac:dyDescent="0.35">
      <c r="B268" s="128">
        <f>IF(ISBLANK(C268),"",MAX($B$235:B267)+1)</f>
        <v>19</v>
      </c>
      <c r="C268" s="157">
        <f>+C267+3000</f>
        <v>26000</v>
      </c>
      <c r="D268" s="1">
        <f t="shared" si="30"/>
        <v>29078.413800182054</v>
      </c>
      <c r="E268" s="1">
        <f t="shared" si="30"/>
        <v>30600.053800182053</v>
      </c>
      <c r="F268" s="1">
        <f>E268-D268</f>
        <v>1521.6399999999994</v>
      </c>
      <c r="G268" s="156">
        <f>F268/D268</f>
        <v>5.2328851582353945E-2</v>
      </c>
    </row>
    <row r="269" spans="2:7" ht="15" customHeight="1" x14ac:dyDescent="0.35">
      <c r="B269" s="128">
        <f>IF(ISBLANK(C269),"",MAX($B$235:B268)+1)</f>
        <v>20</v>
      </c>
      <c r="C269" s="157">
        <f t="shared" ref="C269:C271" si="31">+C268+3000</f>
        <v>29000</v>
      </c>
      <c r="D269" s="1">
        <f t="shared" si="30"/>
        <v>32329.815392510751</v>
      </c>
      <c r="E269" s="1">
        <f t="shared" si="30"/>
        <v>33984.475392510751</v>
      </c>
      <c r="F269" s="1">
        <f>E269-D269</f>
        <v>1654.6599999999999</v>
      </c>
      <c r="G269" s="156">
        <f>F269/D269</f>
        <v>5.1180620115242111E-2</v>
      </c>
    </row>
    <row r="270" spans="2:7" ht="15" customHeight="1" x14ac:dyDescent="0.35">
      <c r="B270" s="128">
        <f>IF(ISBLANK(C270),"",MAX($B$235:B269)+1)</f>
        <v>21</v>
      </c>
      <c r="C270" s="157">
        <f t="shared" si="31"/>
        <v>32000</v>
      </c>
      <c r="D270" s="1">
        <f t="shared" si="30"/>
        <v>35581.216984839455</v>
      </c>
      <c r="E270" s="1">
        <f t="shared" si="30"/>
        <v>37368.896984839448</v>
      </c>
      <c r="F270" s="1">
        <f>E270-D270</f>
        <v>1787.679999999993</v>
      </c>
      <c r="G270" s="156">
        <f>F270/D270</f>
        <v>5.0242238784628773E-2</v>
      </c>
    </row>
    <row r="271" spans="2:7" ht="15" customHeight="1" x14ac:dyDescent="0.35">
      <c r="B271" s="128">
        <f>IF(ISBLANK(C271),"",MAX($B$235:B270)+1)</f>
        <v>22</v>
      </c>
      <c r="C271" s="157">
        <f t="shared" si="31"/>
        <v>35000</v>
      </c>
      <c r="D271" s="1">
        <f t="shared" si="30"/>
        <v>38832.618577168148</v>
      </c>
      <c r="E271" s="1">
        <f t="shared" si="30"/>
        <v>40753.318577168146</v>
      </c>
      <c r="F271" s="1">
        <f>E271-D271</f>
        <v>1920.6999999999971</v>
      </c>
      <c r="G271" s="156">
        <f>F271/D271</f>
        <v>4.9460996203055003E-2</v>
      </c>
    </row>
    <row r="272" spans="2:7" ht="15" customHeight="1" x14ac:dyDescent="0.35">
      <c r="B272" s="128" t="str">
        <f>IF(ISBLANK(C272),"",MAX($B$235:B271)+1)</f>
        <v/>
      </c>
      <c r="C272" s="157"/>
      <c r="D272" s="1"/>
      <c r="E272" s="1"/>
      <c r="F272" s="1"/>
      <c r="G272" s="156"/>
    </row>
    <row r="273" spans="2:7" ht="15" customHeight="1" x14ac:dyDescent="0.35">
      <c r="B273" s="128">
        <f>IF(ISBLANK(C273),"",MAX($B$235:B272)+1)</f>
        <v>23</v>
      </c>
      <c r="C273" s="157">
        <f>+C271+5000</f>
        <v>40000</v>
      </c>
      <c r="D273" s="1">
        <f t="shared" ref="D273:E277" si="32">D$241+(D$248*$C273)+D$245*($C273-$J$244)+D$244*$J$244</f>
        <v>44251.621231049314</v>
      </c>
      <c r="E273" s="1">
        <f t="shared" si="32"/>
        <v>46394.021231049308</v>
      </c>
      <c r="F273" s="1">
        <f>E273-D273</f>
        <v>2142.3999999999942</v>
      </c>
      <c r="G273" s="156">
        <f>F273/D273</f>
        <v>4.8414045415736573E-2</v>
      </c>
    </row>
    <row r="274" spans="2:7" ht="15" customHeight="1" x14ac:dyDescent="0.35">
      <c r="B274" s="128">
        <f>IF(ISBLANK(C274),"",MAX($B$235:B273)+1)</f>
        <v>24</v>
      </c>
      <c r="C274" s="157">
        <f>+C273+5000</f>
        <v>45000</v>
      </c>
      <c r="D274" s="1">
        <f t="shared" si="32"/>
        <v>49670.623884930479</v>
      </c>
      <c r="E274" s="1">
        <f t="shared" si="32"/>
        <v>52034.723884930478</v>
      </c>
      <c r="F274" s="1">
        <f>E274-D274</f>
        <v>2364.0999999999985</v>
      </c>
      <c r="G274" s="156">
        <f>F274/D274</f>
        <v>4.7595536659189024E-2</v>
      </c>
    </row>
    <row r="275" spans="2:7" ht="15" customHeight="1" x14ac:dyDescent="0.35">
      <c r="B275" s="128">
        <f>IF(ISBLANK(C275),"",MAX($B$235:B274)+1)</f>
        <v>25</v>
      </c>
      <c r="C275" s="157">
        <f t="shared" ref="C275:C277" si="33">+C274+5000</f>
        <v>50000</v>
      </c>
      <c r="D275" s="1">
        <f t="shared" si="32"/>
        <v>55089.626538811637</v>
      </c>
      <c r="E275" s="1">
        <f t="shared" si="32"/>
        <v>57675.42653881164</v>
      </c>
      <c r="F275" s="1">
        <f>E275-D275</f>
        <v>2585.8000000000029</v>
      </c>
      <c r="G275" s="156">
        <f>F275/D275</f>
        <v>4.6938056444769324E-2</v>
      </c>
    </row>
    <row r="276" spans="2:7" ht="15" customHeight="1" x14ac:dyDescent="0.35">
      <c r="B276" s="128">
        <f>IF(ISBLANK(C276),"",MAX($B$235:B275)+1)</f>
        <v>26</v>
      </c>
      <c r="C276" s="157">
        <f t="shared" si="33"/>
        <v>55000</v>
      </c>
      <c r="D276" s="1">
        <f t="shared" si="32"/>
        <v>60508.629192692802</v>
      </c>
      <c r="E276" s="1">
        <f t="shared" si="32"/>
        <v>63316.129192692802</v>
      </c>
      <c r="F276" s="1">
        <f>E276-D276</f>
        <v>2807.5</v>
      </c>
      <c r="G276" s="156">
        <f>F276/D276</f>
        <v>4.6398340822750649E-2</v>
      </c>
    </row>
    <row r="277" spans="2:7" ht="15" customHeight="1" x14ac:dyDescent="0.35">
      <c r="B277" s="128">
        <f>IF(ISBLANK(C277),"",MAX($B$235:B276)+1)</f>
        <v>27</v>
      </c>
      <c r="C277" s="157">
        <f t="shared" si="33"/>
        <v>60000</v>
      </c>
      <c r="D277" s="1">
        <f t="shared" si="32"/>
        <v>65927.631846573961</v>
      </c>
      <c r="E277" s="1">
        <f t="shared" si="32"/>
        <v>68956.831846573972</v>
      </c>
      <c r="F277" s="1">
        <f>E277-D277</f>
        <v>3029.2000000000116</v>
      </c>
      <c r="G277" s="156">
        <f>F277/D277</f>
        <v>4.5947350377297511E-2</v>
      </c>
    </row>
    <row r="278" spans="2:7" ht="15" customHeight="1" x14ac:dyDescent="0.35">
      <c r="B278" s="128" t="str">
        <f>IF(ISBLANK(C278),"",MAX($B$235:B277)+1)</f>
        <v/>
      </c>
      <c r="C278" s="157"/>
      <c r="D278" s="1"/>
      <c r="E278" s="1"/>
      <c r="F278" s="1"/>
      <c r="G278" s="156"/>
    </row>
    <row r="279" spans="2:7" ht="15" customHeight="1" x14ac:dyDescent="0.35">
      <c r="B279" s="128">
        <f>IF(ISBLANK(C279),"",MAX($B$235:B278)+1)</f>
        <v>28</v>
      </c>
      <c r="C279" s="157">
        <f>+C277+7500</f>
        <v>67500</v>
      </c>
      <c r="D279" s="1">
        <f t="shared" ref="D279:E283" si="34">D$241+(D$248*$C279)+D$245*($C279-$J$244)+D$244*$J$244</f>
        <v>74056.135827395716</v>
      </c>
      <c r="E279" s="1">
        <f t="shared" si="34"/>
        <v>77417.885827395716</v>
      </c>
      <c r="F279" s="1">
        <f>E279-D279</f>
        <v>3361.75</v>
      </c>
      <c r="G279" s="156">
        <f>F279/D279</f>
        <v>4.5394618048061615E-2</v>
      </c>
    </row>
    <row r="280" spans="2:7" ht="15" customHeight="1" x14ac:dyDescent="0.35">
      <c r="B280" s="128">
        <f>IF(ISBLANK(C280),"",MAX($B$235:B279)+1)</f>
        <v>29</v>
      </c>
      <c r="C280" s="157">
        <f>+C279+7500</f>
        <v>75000</v>
      </c>
      <c r="D280" s="1">
        <f t="shared" si="34"/>
        <v>82184.639808217471</v>
      </c>
      <c r="E280" s="1">
        <f t="shared" si="34"/>
        <v>85878.939808217474</v>
      </c>
      <c r="F280" s="1">
        <f>E280-D280</f>
        <v>3694.3000000000029</v>
      </c>
      <c r="G280" s="156">
        <f>F280/D280</f>
        <v>4.4951222133732802E-2</v>
      </c>
    </row>
    <row r="281" spans="2:7" ht="15" customHeight="1" x14ac:dyDescent="0.35">
      <c r="B281" s="128">
        <f>IF(ISBLANK(C281),"",MAX($B$235:B280)+1)</f>
        <v>30</v>
      </c>
      <c r="C281" s="157">
        <f t="shared" ref="C281:C282" si="35">+C280+7500</f>
        <v>82500</v>
      </c>
      <c r="D281" s="1">
        <f t="shared" si="34"/>
        <v>90313.143789039212</v>
      </c>
      <c r="E281" s="1">
        <f t="shared" si="34"/>
        <v>94339.993789039218</v>
      </c>
      <c r="F281" s="1">
        <f>E281-D281</f>
        <v>4026.8500000000058</v>
      </c>
      <c r="G281" s="156">
        <f>F281/D281</f>
        <v>4.4587640636298186E-2</v>
      </c>
    </row>
    <row r="282" spans="2:7" ht="15" customHeight="1" x14ac:dyDescent="0.35">
      <c r="B282" s="128">
        <f>IF(ISBLANK(C282),"",MAX($B$235:B281)+1)</f>
        <v>31</v>
      </c>
      <c r="C282" s="157">
        <f t="shared" si="35"/>
        <v>90000</v>
      </c>
      <c r="D282" s="1">
        <f t="shared" si="34"/>
        <v>98441.647769860952</v>
      </c>
      <c r="E282" s="1">
        <f t="shared" si="34"/>
        <v>102801.04776986096</v>
      </c>
      <c r="F282" s="1">
        <f>E282-D282</f>
        <v>4359.4000000000087</v>
      </c>
      <c r="G282" s="156">
        <f>F282/D282</f>
        <v>4.4284102295722536E-2</v>
      </c>
    </row>
    <row r="283" spans="2:7" ht="15" customHeight="1" x14ac:dyDescent="0.35">
      <c r="B283" s="128">
        <f>IF(ISBLANK(C283),"",MAX($B$235:B282)+1)</f>
        <v>32</v>
      </c>
      <c r="C283" s="157">
        <f>+C282+10000</f>
        <v>100000</v>
      </c>
      <c r="D283" s="1">
        <f t="shared" si="34"/>
        <v>109279.65307762328</v>
      </c>
      <c r="E283" s="1">
        <f t="shared" si="34"/>
        <v>114082.45307762329</v>
      </c>
      <c r="F283" s="1">
        <f>E283-D283</f>
        <v>4802.8000000000029</v>
      </c>
      <c r="G283" s="156">
        <f>F283/D283</f>
        <v>4.394962707823101E-2</v>
      </c>
    </row>
    <row r="284" spans="2:7" ht="15" customHeight="1" x14ac:dyDescent="0.35">
      <c r="B284" s="128" t="str">
        <f>IF(ISBLANK(C284),"",MAX($B$235:B283)+1)</f>
        <v/>
      </c>
      <c r="C284" s="157"/>
      <c r="D284" s="1"/>
      <c r="E284" s="1"/>
      <c r="F284" s="1"/>
      <c r="G284" s="156"/>
    </row>
    <row r="285" spans="2:7" ht="15" customHeight="1" x14ac:dyDescent="0.35">
      <c r="B285" s="128">
        <f>IF(ISBLANK(C285),"",MAX($B$235:B284)+1)</f>
        <v>33</v>
      </c>
      <c r="C285" s="157">
        <f>+C283+10000</f>
        <v>110000</v>
      </c>
      <c r="D285" s="1">
        <f t="shared" ref="D285:E289" si="36">D$241+(D$248*$C285)+D$246*($C285-$J$244-$J$245)+D$244*$J$244+D$245*$J$245</f>
        <v>119159.55838538561</v>
      </c>
      <c r="E285" s="1">
        <f t="shared" si="36"/>
        <v>124104.25838538562</v>
      </c>
      <c r="F285" s="1">
        <f>E285-D285</f>
        <v>4944.7000000000116</v>
      </c>
      <c r="G285" s="156">
        <f>F285/D285</f>
        <v>4.1496461274284628E-2</v>
      </c>
    </row>
    <row r="286" spans="2:7" ht="15" customHeight="1" x14ac:dyDescent="0.35">
      <c r="B286" s="128">
        <f>IF(ISBLANK(C286),"",MAX($B$235:B285)+1)</f>
        <v>34</v>
      </c>
      <c r="C286" s="157">
        <f>+C285+10000</f>
        <v>120000</v>
      </c>
      <c r="D286" s="1">
        <f t="shared" si="36"/>
        <v>129039.46369314793</v>
      </c>
      <c r="E286" s="1">
        <f t="shared" si="36"/>
        <v>134126.06369314794</v>
      </c>
      <c r="F286" s="1">
        <f>E286-D286</f>
        <v>5086.6000000000058</v>
      </c>
      <c r="G286" s="156">
        <f>F286/D286</f>
        <v>3.941894870313311E-2</v>
      </c>
    </row>
    <row r="287" spans="2:7" ht="15" customHeight="1" x14ac:dyDescent="0.35">
      <c r="B287" s="128">
        <f>IF(ISBLANK(C287),"",MAX($B$235:B286)+1)</f>
        <v>35</v>
      </c>
      <c r="C287" s="157">
        <f t="shared" ref="C287:C289" si="37">+C286+10000</f>
        <v>130000</v>
      </c>
      <c r="D287" s="1">
        <f t="shared" si="36"/>
        <v>138919.36900091026</v>
      </c>
      <c r="E287" s="1">
        <f t="shared" si="36"/>
        <v>144147.86900091026</v>
      </c>
      <c r="F287" s="1">
        <f>E287-D287</f>
        <v>5228.5</v>
      </c>
      <c r="G287" s="156">
        <f>F287/D287</f>
        <v>3.7636940317269517E-2</v>
      </c>
    </row>
    <row r="288" spans="2:7" ht="15" customHeight="1" x14ac:dyDescent="0.35">
      <c r="B288" s="128">
        <f>IF(ISBLANK(C288),"",MAX($B$235:B287)+1)</f>
        <v>36</v>
      </c>
      <c r="C288" s="157">
        <f t="shared" si="37"/>
        <v>140000</v>
      </c>
      <c r="D288" s="1">
        <f t="shared" si="36"/>
        <v>148799.27430867258</v>
      </c>
      <c r="E288" s="1">
        <f t="shared" si="36"/>
        <v>154169.67430867258</v>
      </c>
      <c r="F288" s="1">
        <f>E288-D288</f>
        <v>5370.3999999999942</v>
      </c>
      <c r="G288" s="156">
        <f>F288/D288</f>
        <v>3.6091573866546656E-2</v>
      </c>
    </row>
    <row r="289" spans="1:8" ht="15" customHeight="1" x14ac:dyDescent="0.35">
      <c r="B289" s="128">
        <f>IF(ISBLANK(C289),"",MAX($B$235:B288)+1)</f>
        <v>37</v>
      </c>
      <c r="C289" s="157">
        <f t="shared" si="37"/>
        <v>150000</v>
      </c>
      <c r="D289" s="1">
        <f t="shared" si="36"/>
        <v>158679.17961643494</v>
      </c>
      <c r="E289" s="1">
        <f t="shared" si="36"/>
        <v>164191.47961643492</v>
      </c>
      <c r="F289" s="1">
        <f>E289-D289</f>
        <v>5512.2999999999884</v>
      </c>
      <c r="G289" s="156">
        <f>F289/D289</f>
        <v>3.473864695623282E-2</v>
      </c>
    </row>
    <row r="290" spans="1:8" ht="15" customHeight="1" x14ac:dyDescent="0.35">
      <c r="B290" s="128" t="str">
        <f>IF(ISBLANK(C290),"",MAX($B$235:B289)+1)</f>
        <v/>
      </c>
      <c r="C290" s="157"/>
      <c r="D290" s="1"/>
      <c r="E290" s="1"/>
      <c r="F290" s="1"/>
      <c r="G290" s="156"/>
    </row>
    <row r="291" spans="1:8" ht="15" customHeight="1" x14ac:dyDescent="0.35">
      <c r="B291" s="128">
        <f>IF(ISBLANK(C291),"",MAX($B$235:B290)+1)</f>
        <v>38</v>
      </c>
      <c r="C291" s="157">
        <f>+C289+15000</f>
        <v>165000</v>
      </c>
      <c r="D291" s="1">
        <f t="shared" ref="D291:E295" si="38">D$241+(D$248*$C291)+D$246*($C291-$J$244-$J$245)+D$244*$J$244+D$245*$J$245</f>
        <v>173499.03757807842</v>
      </c>
      <c r="E291" s="1">
        <f t="shared" si="38"/>
        <v>179224.18757807842</v>
      </c>
      <c r="F291" s="1">
        <f>E291-D291</f>
        <v>5725.1499999999942</v>
      </c>
      <c r="G291" s="156">
        <f>F291/D291</f>
        <v>3.2998165753072545E-2</v>
      </c>
    </row>
    <row r="292" spans="1:8" ht="15" customHeight="1" x14ac:dyDescent="0.35">
      <c r="B292" s="128">
        <f>IF(ISBLANK(C292),"",MAX($B$235:B291)+1)</f>
        <v>39</v>
      </c>
      <c r="C292" s="157">
        <f>+C291+15000</f>
        <v>180000</v>
      </c>
      <c r="D292" s="1">
        <f t="shared" si="38"/>
        <v>188318.89553972191</v>
      </c>
      <c r="E292" s="1">
        <f t="shared" si="38"/>
        <v>194256.89553972191</v>
      </c>
      <c r="F292" s="1">
        <f>E292-D292</f>
        <v>5938</v>
      </c>
      <c r="G292" s="156">
        <f>F292/D292</f>
        <v>3.1531620780706544E-2</v>
      </c>
    </row>
    <row r="293" spans="1:8" ht="15" customHeight="1" x14ac:dyDescent="0.35">
      <c r="B293" s="128">
        <f>IF(ISBLANK(C293),"",MAX($B$235:B292)+1)</f>
        <v>40</v>
      </c>
      <c r="C293" s="157">
        <f t="shared" ref="C293:C295" si="39">+C292+15000</f>
        <v>195000</v>
      </c>
      <c r="D293" s="1">
        <f t="shared" si="38"/>
        <v>203138.75350136543</v>
      </c>
      <c r="E293" s="1">
        <f t="shared" si="38"/>
        <v>209289.6035013654</v>
      </c>
      <c r="F293" s="1">
        <f>E293-D293</f>
        <v>6150.8499999999767</v>
      </c>
      <c r="G293" s="156">
        <f>F293/D293</f>
        <v>3.0279057511094911E-2</v>
      </c>
    </row>
    <row r="294" spans="1:8" ht="15" customHeight="1" x14ac:dyDescent="0.35">
      <c r="B294" s="128">
        <f>IF(ISBLANK(C294),"",MAX($B$235:B293)+1)</f>
        <v>41</v>
      </c>
      <c r="C294" s="157">
        <f t="shared" si="39"/>
        <v>210000</v>
      </c>
      <c r="D294" s="1">
        <f t="shared" si="38"/>
        <v>217958.61146300889</v>
      </c>
      <c r="E294" s="1">
        <f t="shared" si="38"/>
        <v>224322.31146300887</v>
      </c>
      <c r="F294" s="1">
        <f>E294-D294</f>
        <v>6363.6999999999825</v>
      </c>
      <c r="G294" s="156">
        <f>F294/D294</f>
        <v>2.9196827587057765E-2</v>
      </c>
    </row>
    <row r="295" spans="1:8" ht="15" customHeight="1" x14ac:dyDescent="0.35">
      <c r="B295" s="128">
        <f>IF(ISBLANK(C295),"",MAX($B$235:B294)+1)</f>
        <v>42</v>
      </c>
      <c r="C295" s="157">
        <f t="shared" si="39"/>
        <v>225000</v>
      </c>
      <c r="D295" s="1">
        <f t="shared" si="38"/>
        <v>232778.46942465237</v>
      </c>
      <c r="E295" s="1">
        <f t="shared" si="38"/>
        <v>239355.01942465236</v>
      </c>
      <c r="F295" s="1">
        <f>E295-D295</f>
        <v>6576.5499999999884</v>
      </c>
      <c r="G295" s="156">
        <f>F295/D295</f>
        <v>2.8252398154584222E-2</v>
      </c>
    </row>
    <row r="296" spans="1:8" ht="15" customHeight="1" x14ac:dyDescent="0.35">
      <c r="B296" s="128" t="str">
        <f>IF(ISBLANK(C296),"",MAX($B$235:B295)+1)</f>
        <v/>
      </c>
      <c r="C296" s="157"/>
      <c r="D296" s="1"/>
      <c r="E296" s="1"/>
      <c r="F296" s="1"/>
      <c r="G296" s="156"/>
    </row>
    <row r="297" spans="1:8" ht="15" customHeight="1" x14ac:dyDescent="0.35">
      <c r="B297" s="128">
        <f>IF(ISBLANK(C297),"",MAX($B$235:B296)+1)</f>
        <v>43</v>
      </c>
      <c r="C297" s="157">
        <f>+C295+25000</f>
        <v>250000</v>
      </c>
      <c r="D297" s="1">
        <f t="shared" ref="D297:E302" si="40">D$241+(D$248*$C297)+D$246*($C297-$J$244-$J$245)+D$244*$J$244+D$245*$J$245</f>
        <v>257478.23269405821</v>
      </c>
      <c r="E297" s="1">
        <f t="shared" si="40"/>
        <v>264409.5326940582</v>
      </c>
      <c r="F297" s="1">
        <f t="shared" ref="F297:F302" si="41">E297-D297</f>
        <v>6931.2999999999884</v>
      </c>
      <c r="G297" s="156">
        <f t="shared" ref="G297:G302" si="42">F297/D297</f>
        <v>2.6919945532778006E-2</v>
      </c>
    </row>
    <row r="298" spans="1:8" ht="15" customHeight="1" x14ac:dyDescent="0.35">
      <c r="B298" s="128">
        <f>IF(ISBLANK(C298),"",MAX($B$235:B297)+1)</f>
        <v>44</v>
      </c>
      <c r="C298" s="157">
        <f>+C297+25000</f>
        <v>275000</v>
      </c>
      <c r="D298" s="1">
        <f t="shared" si="40"/>
        <v>282177.99596346397</v>
      </c>
      <c r="E298" s="1">
        <f t="shared" si="40"/>
        <v>289464.04596346401</v>
      </c>
      <c r="F298" s="1">
        <f t="shared" si="41"/>
        <v>7286.0500000000466</v>
      </c>
      <c r="G298" s="156">
        <f t="shared" si="42"/>
        <v>2.5820758897669098E-2</v>
      </c>
    </row>
    <row r="299" spans="1:8" ht="15" customHeight="1" x14ac:dyDescent="0.35">
      <c r="B299" s="128">
        <f>IF(ISBLANK(C299),"",MAX($B$235:B298)+1)</f>
        <v>45</v>
      </c>
      <c r="C299" s="157">
        <f t="shared" ref="C299:C302" si="43">+C298+25000</f>
        <v>300000</v>
      </c>
      <c r="D299" s="1">
        <f t="shared" si="40"/>
        <v>306877.75923286984</v>
      </c>
      <c r="E299" s="1">
        <f t="shared" si="40"/>
        <v>314518.55923286983</v>
      </c>
      <c r="F299" s="1">
        <f t="shared" si="41"/>
        <v>7640.7999999999884</v>
      </c>
      <c r="G299" s="156">
        <f t="shared" si="42"/>
        <v>2.4898513398626178E-2</v>
      </c>
    </row>
    <row r="300" spans="1:8" ht="15" customHeight="1" x14ac:dyDescent="0.35">
      <c r="B300" s="128">
        <f>IF(ISBLANK(C300),"",MAX($B$235:B299)+1)</f>
        <v>46</v>
      </c>
      <c r="C300" s="157">
        <f t="shared" si="43"/>
        <v>325000</v>
      </c>
      <c r="D300" s="1">
        <f t="shared" si="40"/>
        <v>331577.52250227565</v>
      </c>
      <c r="E300" s="1">
        <f t="shared" si="40"/>
        <v>339573.07250227564</v>
      </c>
      <c r="F300" s="1">
        <f t="shared" si="41"/>
        <v>7995.5499999999884</v>
      </c>
      <c r="G300" s="156">
        <f t="shared" si="42"/>
        <v>2.4113667113684144E-2</v>
      </c>
    </row>
    <row r="301" spans="1:8" ht="15" customHeight="1" x14ac:dyDescent="0.35">
      <c r="B301" s="128">
        <f>IF(ISBLANK(C301),"",MAX($B$235:B300)+1)</f>
        <v>47</v>
      </c>
      <c r="C301" s="157">
        <f t="shared" si="43"/>
        <v>350000</v>
      </c>
      <c r="D301" s="1">
        <f t="shared" si="40"/>
        <v>356277.28577168146</v>
      </c>
      <c r="E301" s="1">
        <f t="shared" si="40"/>
        <v>364627.58577168145</v>
      </c>
      <c r="F301" s="1">
        <f t="shared" si="41"/>
        <v>8350.2999999999884</v>
      </c>
      <c r="G301" s="156">
        <f t="shared" si="42"/>
        <v>2.3437643468944683E-2</v>
      </c>
    </row>
    <row r="302" spans="1:8" ht="15" customHeight="1" x14ac:dyDescent="0.35">
      <c r="B302" s="128">
        <f>IF(ISBLANK(C302),"",MAX($B$235:B301)+1)</f>
        <v>48</v>
      </c>
      <c r="C302" s="157">
        <f t="shared" si="43"/>
        <v>375000</v>
      </c>
      <c r="D302" s="1">
        <f t="shared" si="40"/>
        <v>380977.04904108727</v>
      </c>
      <c r="E302" s="1">
        <f t="shared" si="40"/>
        <v>389682.09904108726</v>
      </c>
      <c r="F302" s="1">
        <f t="shared" si="41"/>
        <v>8705.0499999999884</v>
      </c>
      <c r="G302" s="156">
        <f t="shared" si="42"/>
        <v>2.284927667404231E-2</v>
      </c>
    </row>
    <row r="303" spans="1:8" ht="15" customHeight="1" x14ac:dyDescent="0.35">
      <c r="A303" s="42" t="str">
        <f>$A$41</f>
        <v>Cascade Natural Gas Corp.</v>
      </c>
      <c r="H303" s="41" t="str">
        <f>$H$41</f>
        <v>Exh. RJA-7</v>
      </c>
    </row>
    <row r="304" spans="1:8" ht="15" customHeight="1" x14ac:dyDescent="0.35">
      <c r="A304" s="42" t="str">
        <f>$A$42</f>
        <v>Washington Jurisdiction</v>
      </c>
      <c r="H304" s="41" t="s">
        <v>152</v>
      </c>
    </row>
    <row r="305" spans="1:10" ht="15" customHeight="1" x14ac:dyDescent="0.35">
      <c r="A305" s="42" t="str">
        <f>$A$43</f>
        <v>Estimated Monthly Bill Impacts March 1, 2025</v>
      </c>
      <c r="H305" s="41" t="str">
        <f>$H$43</f>
        <v>Impact of Recommended Rate Changes</v>
      </c>
    </row>
    <row r="306" spans="1:10" ht="15" customHeight="1" x14ac:dyDescent="0.35">
      <c r="A306" s="42"/>
    </row>
    <row r="307" spans="1:10" ht="15" customHeight="1" x14ac:dyDescent="0.35">
      <c r="B307" s="127" t="str">
        <f>'RJA-6 (2025 rates)'!B43</f>
        <v>Interruptible - 570</v>
      </c>
    </row>
    <row r="310" spans="1:10" ht="15" customHeight="1" x14ac:dyDescent="0.5">
      <c r="B310" s="129" t="s">
        <v>87</v>
      </c>
      <c r="C310" s="129" t="s">
        <v>52</v>
      </c>
      <c r="D310" s="129" t="s">
        <v>53</v>
      </c>
      <c r="E310" s="129" t="s">
        <v>55</v>
      </c>
      <c r="F310" s="129" t="s">
        <v>56</v>
      </c>
      <c r="G310" s="129" t="s">
        <v>57</v>
      </c>
    </row>
    <row r="311" spans="1:10" ht="15" customHeight="1" x14ac:dyDescent="0.35">
      <c r="B311" s="128"/>
      <c r="C311" s="130"/>
      <c r="D311" s="154" t="s">
        <v>58</v>
      </c>
      <c r="E311" s="155" t="s">
        <v>66</v>
      </c>
    </row>
    <row r="312" spans="1:10" ht="15" customHeight="1" x14ac:dyDescent="0.5">
      <c r="B312" s="128"/>
      <c r="C312" s="76"/>
      <c r="D312" s="129" t="s">
        <v>60</v>
      </c>
      <c r="E312" s="134" t="s">
        <v>60</v>
      </c>
    </row>
    <row r="313" spans="1:10" ht="15" customHeight="1" x14ac:dyDescent="0.35">
      <c r="B313" s="128">
        <f>IF(ISBLANK(C313),"",MAX($B$308:B312)+1)</f>
        <v>1</v>
      </c>
      <c r="C313" s="76" t="s">
        <v>18</v>
      </c>
      <c r="D313" s="135">
        <f>'RJA-6 (2025 rates)'!D44</f>
        <v>163</v>
      </c>
      <c r="E313" s="136">
        <f>'RJA-6 (2025 rates)'!G44</f>
        <v>300</v>
      </c>
    </row>
    <row r="314" spans="1:10" ht="15" customHeight="1" x14ac:dyDescent="0.35">
      <c r="B314" s="128" t="str">
        <f>IF(ISBLANK(C314),"",MAX($B$308:B313)+1)</f>
        <v/>
      </c>
      <c r="C314" s="76"/>
      <c r="D314" s="135"/>
      <c r="E314" s="136"/>
    </row>
    <row r="315" spans="1:10" ht="15" customHeight="1" x14ac:dyDescent="0.35">
      <c r="B315" s="128">
        <f>IF(ISBLANK(C315),"",MAX($B$308:B314)+1)</f>
        <v>2</v>
      </c>
      <c r="C315" s="76" t="s">
        <v>88</v>
      </c>
      <c r="E315" s="136"/>
      <c r="J315" s="158" t="s">
        <v>92</v>
      </c>
    </row>
    <row r="316" spans="1:10" ht="15" customHeight="1" x14ac:dyDescent="0.35">
      <c r="B316" s="128">
        <f>IF(ISBLANK(C316),"",MAX($B$308:B315)+1)</f>
        <v>3</v>
      </c>
      <c r="C316" s="159" t="s">
        <v>99</v>
      </c>
      <c r="D316" s="93">
        <f>SUM('RJA-6 (2025 rates)'!D45:E45)</f>
        <v>0.10450999999999999</v>
      </c>
      <c r="E316" s="137">
        <f>SUM('RJA-6 (2025 rates)'!G45:H45)</f>
        <v>0.14122000000000001</v>
      </c>
      <c r="J316" s="160">
        <v>30000</v>
      </c>
    </row>
    <row r="317" spans="1:10" ht="15" customHeight="1" x14ac:dyDescent="0.35">
      <c r="B317" s="128">
        <f>IF(ISBLANK(C317),"",MAX($B$308:B316)+1)</f>
        <v>4</v>
      </c>
      <c r="C317" s="159" t="s">
        <v>100</v>
      </c>
      <c r="D317" s="93">
        <f>SUM('RJA-6 (2025 rates)'!D46:E46)</f>
        <v>3.9139999999999994E-2</v>
      </c>
      <c r="E317" s="137">
        <f>SUM('RJA-6 (2025 rates)'!G46:H46)</f>
        <v>5.289E-2</v>
      </c>
      <c r="J317" s="161"/>
    </row>
    <row r="318" spans="1:10" ht="15" customHeight="1" x14ac:dyDescent="0.35">
      <c r="B318" s="128" t="str">
        <f>IF(ISBLANK(C318),"",MAX($B$308:B317)+1)</f>
        <v/>
      </c>
      <c r="C318" s="76"/>
      <c r="D318" s="135"/>
      <c r="E318" s="77"/>
      <c r="J318" s="161"/>
    </row>
    <row r="319" spans="1:10" ht="15" customHeight="1" x14ac:dyDescent="0.35">
      <c r="B319" s="128">
        <f>IF(ISBLANK(C319),"",MAX($B$308:B318)+1)</f>
        <v>5</v>
      </c>
      <c r="C319" s="138" t="str">
        <f>$C$54</f>
        <v>Pass-Through Rates</v>
      </c>
      <c r="D319" s="140">
        <v>0.91599263421115962</v>
      </c>
      <c r="E319" s="141">
        <f>D319</f>
        <v>0.91599263421115962</v>
      </c>
      <c r="J319" s="162"/>
    </row>
    <row r="320" spans="1:10" ht="15" customHeight="1" x14ac:dyDescent="0.35">
      <c r="B320" s="128" t="str">
        <f>IF(ISBLANK(C320),"",MAX($B$308:B319)+1)</f>
        <v/>
      </c>
    </row>
    <row r="321" spans="2:7" ht="15" customHeight="1" x14ac:dyDescent="0.35">
      <c r="B321" s="128" t="str">
        <f>IF(ISBLANK(C321),"",MAX($B$308:B320)+1)</f>
        <v/>
      </c>
      <c r="C321" s="128"/>
      <c r="D321" s="128"/>
      <c r="E321" s="128"/>
    </row>
    <row r="322" spans="2:7" ht="15" customHeight="1" x14ac:dyDescent="0.5">
      <c r="B322" s="128"/>
      <c r="C322" s="128" t="s">
        <v>89</v>
      </c>
      <c r="D322" s="128" t="s">
        <v>63</v>
      </c>
      <c r="E322" s="128" t="s">
        <v>63</v>
      </c>
      <c r="F322" s="142" t="s">
        <v>90</v>
      </c>
      <c r="G322" s="142"/>
    </row>
    <row r="323" spans="2:7" ht="15" customHeight="1" x14ac:dyDescent="0.5">
      <c r="B323" s="128"/>
      <c r="C323" s="129" t="s">
        <v>91</v>
      </c>
      <c r="D323" s="129" t="s">
        <v>8</v>
      </c>
      <c r="E323" s="129" t="s">
        <v>9</v>
      </c>
      <c r="F323" s="129" t="s">
        <v>69</v>
      </c>
      <c r="G323" s="129" t="s">
        <v>70</v>
      </c>
    </row>
    <row r="324" spans="2:7" ht="15" customHeight="1" x14ac:dyDescent="0.35">
      <c r="B324" s="128">
        <f>IF(ISBLANK(C324),"",MAX($B$308:B323)+1)</f>
        <v>6</v>
      </c>
      <c r="C324" s="157">
        <v>0</v>
      </c>
      <c r="D324" s="1">
        <f>D$313+(D$316+D$319)*$C324</f>
        <v>163</v>
      </c>
      <c r="E324" s="1">
        <f>E$313+(E$316+E$319)*$C324</f>
        <v>300</v>
      </c>
      <c r="F324" s="1">
        <f>E324-D324</f>
        <v>137</v>
      </c>
      <c r="G324" s="156">
        <f>F324/D324</f>
        <v>0.8404907975460123</v>
      </c>
    </row>
    <row r="325" spans="2:7" ht="15" customHeight="1" x14ac:dyDescent="0.35">
      <c r="B325" s="128" t="str">
        <f>IF(ISBLANK(C325),"",MAX($B$308:B324)+1)</f>
        <v/>
      </c>
      <c r="C325" s="157"/>
      <c r="D325" s="1"/>
      <c r="E325" s="1"/>
      <c r="F325" s="1"/>
      <c r="G325" s="156"/>
    </row>
    <row r="326" spans="2:7" ht="15" customHeight="1" x14ac:dyDescent="0.35">
      <c r="B326" s="128">
        <f>IF(ISBLANK(C326),"",MAX($B$308:B325)+1)</f>
        <v>7</v>
      </c>
      <c r="C326" s="157">
        <v>5000</v>
      </c>
      <c r="D326" s="1">
        <f>D$313+(D$316+D$319)*$C326</f>
        <v>5265.513171055798</v>
      </c>
      <c r="E326" s="1">
        <f>E$313+(E$316+E$319)*$C326</f>
        <v>5586.0631710557982</v>
      </c>
      <c r="F326" s="1">
        <f>E326-D326</f>
        <v>320.55000000000018</v>
      </c>
      <c r="G326" s="156">
        <f>F326/D326</f>
        <v>6.0877257275139644E-2</v>
      </c>
    </row>
    <row r="327" spans="2:7" ht="15" customHeight="1" x14ac:dyDescent="0.35">
      <c r="B327" s="128">
        <f>IF(ISBLANK(C327),"",MAX($B$308:B326)+1)</f>
        <v>8</v>
      </c>
      <c r="C327" s="157">
        <f>+C326+500</f>
        <v>5500</v>
      </c>
      <c r="D327" s="1">
        <f t="shared" ref="D327:E330" si="44">D$313+(D$316+D$319)*$C327</f>
        <v>5775.7644881613778</v>
      </c>
      <c r="E327" s="1">
        <f t="shared" si="44"/>
        <v>6114.6694881613776</v>
      </c>
      <c r="F327" s="1">
        <f>E327-D327</f>
        <v>338.90499999999975</v>
      </c>
      <c r="G327" s="156">
        <f>F327/D327</f>
        <v>5.8677080877285688E-2</v>
      </c>
    </row>
    <row r="328" spans="2:7" ht="15" customHeight="1" x14ac:dyDescent="0.35">
      <c r="B328" s="128">
        <f>IF(ISBLANK(C328),"",MAX($B$308:B327)+1)</f>
        <v>9</v>
      </c>
      <c r="C328" s="157">
        <f t="shared" ref="C328:C330" si="45">+C327+500</f>
        <v>6000</v>
      </c>
      <c r="D328" s="1">
        <f t="shared" si="44"/>
        <v>6286.0158052669576</v>
      </c>
      <c r="E328" s="1">
        <f t="shared" si="44"/>
        <v>6643.2758052669578</v>
      </c>
      <c r="F328" s="1">
        <f>E328-D328</f>
        <v>357.26000000000022</v>
      </c>
      <c r="G328" s="156">
        <f>F328/D328</f>
        <v>5.6834091906141478E-2</v>
      </c>
    </row>
    <row r="329" spans="2:7" ht="15" customHeight="1" x14ac:dyDescent="0.35">
      <c r="B329" s="128">
        <f>IF(ISBLANK(C329),"",MAX($B$308:B328)+1)</f>
        <v>10</v>
      </c>
      <c r="C329" s="157">
        <f t="shared" si="45"/>
        <v>6500</v>
      </c>
      <c r="D329" s="1">
        <f t="shared" si="44"/>
        <v>6796.2671223725374</v>
      </c>
      <c r="E329" s="1">
        <f t="shared" si="44"/>
        <v>7171.8821223725372</v>
      </c>
      <c r="F329" s="1">
        <f>E329-D329</f>
        <v>375.61499999999978</v>
      </c>
      <c r="G329" s="156">
        <f>F329/D329</f>
        <v>5.5267839423720995E-2</v>
      </c>
    </row>
    <row r="330" spans="2:7" ht="15" customHeight="1" x14ac:dyDescent="0.35">
      <c r="B330" s="128">
        <f>IF(ISBLANK(C330),"",MAX($B$308:B329)+1)</f>
        <v>11</v>
      </c>
      <c r="C330" s="157">
        <f t="shared" si="45"/>
        <v>7000</v>
      </c>
      <c r="D330" s="1">
        <f t="shared" si="44"/>
        <v>7306.5184394781172</v>
      </c>
      <c r="E330" s="1">
        <f t="shared" si="44"/>
        <v>7700.4884394781175</v>
      </c>
      <c r="F330" s="1">
        <f>E330-D330</f>
        <v>393.97000000000025</v>
      </c>
      <c r="G330" s="156">
        <f>F330/D330</f>
        <v>5.3920345683564762E-2</v>
      </c>
    </row>
    <row r="331" spans="2:7" ht="15" customHeight="1" x14ac:dyDescent="0.35">
      <c r="B331" s="128" t="str">
        <f>IF(ISBLANK(C331),"",MAX($B$308:B330)+1)</f>
        <v/>
      </c>
      <c r="C331" s="157"/>
      <c r="D331" s="1"/>
      <c r="E331" s="1"/>
      <c r="F331" s="1"/>
      <c r="G331" s="156"/>
    </row>
    <row r="332" spans="2:7" ht="15" customHeight="1" x14ac:dyDescent="0.35">
      <c r="B332" s="128">
        <f>IF(ISBLANK(C332),"",MAX($B$308:B331)+1)</f>
        <v>12</v>
      </c>
      <c r="C332" s="157">
        <f>+C330+500</f>
        <v>7500</v>
      </c>
      <c r="D332" s="1">
        <f>D$313+(D$316+D$319)*$C332</f>
        <v>7816.769756583697</v>
      </c>
      <c r="E332" s="1">
        <f>E$313+(E$316+E$319)*$C332</f>
        <v>8229.0947565836977</v>
      </c>
      <c r="F332" s="1">
        <f>E332-D332</f>
        <v>412.32500000000073</v>
      </c>
      <c r="G332" s="156">
        <f>F332/D332</f>
        <v>5.2748771275080576E-2</v>
      </c>
    </row>
    <row r="333" spans="2:7" ht="15" customHeight="1" x14ac:dyDescent="0.35">
      <c r="B333" s="128">
        <f>IF(ISBLANK(C333),"",MAX($B$308:B332)+1)</f>
        <v>13</v>
      </c>
      <c r="C333" s="157">
        <f>+C332+500</f>
        <v>8000</v>
      </c>
      <c r="D333" s="1">
        <f t="shared" ref="D333:E336" si="46">D$313+(D$316+D$319)*$C333</f>
        <v>8327.0210736892768</v>
      </c>
      <c r="E333" s="1">
        <f t="shared" si="46"/>
        <v>8757.7010736892771</v>
      </c>
      <c r="F333" s="1">
        <f>E333-D333</f>
        <v>430.68000000000029</v>
      </c>
      <c r="G333" s="156">
        <f>F333/D333</f>
        <v>5.1720776996807577E-2</v>
      </c>
    </row>
    <row r="334" spans="2:7" ht="15" customHeight="1" x14ac:dyDescent="0.35">
      <c r="B334" s="128">
        <f>IF(ISBLANK(C334),"",MAX($B$308:B333)+1)</f>
        <v>14</v>
      </c>
      <c r="C334" s="157">
        <f t="shared" ref="C334:C336" si="47">+C333+500</f>
        <v>8500</v>
      </c>
      <c r="D334" s="1">
        <f t="shared" si="46"/>
        <v>8837.2723907948566</v>
      </c>
      <c r="E334" s="1">
        <f t="shared" si="46"/>
        <v>9286.3073907948565</v>
      </c>
      <c r="F334" s="1">
        <f>E334-D334</f>
        <v>449.03499999999985</v>
      </c>
      <c r="G334" s="156">
        <f>F334/D334</f>
        <v>5.0811492522028281E-2</v>
      </c>
    </row>
    <row r="335" spans="2:7" ht="15" customHeight="1" x14ac:dyDescent="0.35">
      <c r="B335" s="128">
        <f>IF(ISBLANK(C335),"",MAX($B$308:B334)+1)</f>
        <v>15</v>
      </c>
      <c r="C335" s="157">
        <f t="shared" si="47"/>
        <v>9000</v>
      </c>
      <c r="D335" s="1">
        <f t="shared" si="46"/>
        <v>9347.5237079004364</v>
      </c>
      <c r="E335" s="1">
        <f t="shared" si="46"/>
        <v>9814.9137079004358</v>
      </c>
      <c r="F335" s="1">
        <f>E335-D335</f>
        <v>467.38999999999942</v>
      </c>
      <c r="G335" s="156">
        <f>F335/D335</f>
        <v>5.0001477889268779E-2</v>
      </c>
    </row>
    <row r="336" spans="2:7" ht="15" customHeight="1" x14ac:dyDescent="0.35">
      <c r="B336" s="128">
        <f>IF(ISBLANK(C336),"",MAX($B$308:B335)+1)</f>
        <v>16</v>
      </c>
      <c r="C336" s="157">
        <f t="shared" si="47"/>
        <v>9500</v>
      </c>
      <c r="D336" s="1">
        <f t="shared" si="46"/>
        <v>9857.7750250060162</v>
      </c>
      <c r="E336" s="1">
        <f t="shared" si="46"/>
        <v>10343.520025006017</v>
      </c>
      <c r="F336" s="1">
        <f>E336-D336</f>
        <v>485.7450000000008</v>
      </c>
      <c r="G336" s="156">
        <f>F336/D336</f>
        <v>4.9275318088292885E-2</v>
      </c>
    </row>
    <row r="337" spans="2:7" ht="15" customHeight="1" x14ac:dyDescent="0.35">
      <c r="B337" s="128" t="str">
        <f>IF(ISBLANK(C337),"",MAX($B$308:B336)+1)</f>
        <v/>
      </c>
      <c r="C337" s="157"/>
      <c r="D337" s="1"/>
      <c r="E337" s="1"/>
      <c r="F337" s="1"/>
      <c r="G337" s="156"/>
    </row>
    <row r="338" spans="2:7" ht="15" customHeight="1" x14ac:dyDescent="0.35">
      <c r="B338" s="128">
        <f>IF(ISBLANK(C338),"",MAX($B$308:B337)+1)</f>
        <v>17</v>
      </c>
      <c r="C338" s="157">
        <f>+C336+1000</f>
        <v>10500</v>
      </c>
      <c r="D338" s="1">
        <f>D$313+(D$316+D$319)*$C338</f>
        <v>10878.277659217176</v>
      </c>
      <c r="E338" s="1">
        <f>E$313+(E$316+E$319)*$C338</f>
        <v>11400.732659217176</v>
      </c>
      <c r="F338" s="1">
        <f>E338-D338</f>
        <v>522.45499999999993</v>
      </c>
      <c r="G338" s="156">
        <f>F338/D338</f>
        <v>4.8027363923490524E-2</v>
      </c>
    </row>
    <row r="339" spans="2:7" ht="15" customHeight="1" x14ac:dyDescent="0.35">
      <c r="B339" s="128">
        <f>IF(ISBLANK(C339),"",MAX($B$308:B338)+1)</f>
        <v>18</v>
      </c>
      <c r="C339" s="157">
        <f>+C338+1000</f>
        <v>11500</v>
      </c>
      <c r="D339" s="1">
        <f t="shared" ref="D339:E342" si="48">D$313+(D$316+D$319)*$C339</f>
        <v>11898.780293428335</v>
      </c>
      <c r="E339" s="1">
        <f t="shared" si="48"/>
        <v>12457.945293428336</v>
      </c>
      <c r="F339" s="1">
        <f>E339-D339</f>
        <v>559.16500000000087</v>
      </c>
      <c r="G339" s="156">
        <f>F339/D339</f>
        <v>4.6993472121577555E-2</v>
      </c>
    </row>
    <row r="340" spans="2:7" ht="15" customHeight="1" x14ac:dyDescent="0.35">
      <c r="B340" s="128">
        <f>IF(ISBLANK(C340),"",MAX($B$308:B339)+1)</f>
        <v>19</v>
      </c>
      <c r="C340" s="157">
        <f t="shared" ref="C340:C341" si="49">+C339+1000</f>
        <v>12500</v>
      </c>
      <c r="D340" s="1">
        <f t="shared" si="48"/>
        <v>12919.282927639495</v>
      </c>
      <c r="E340" s="1">
        <f t="shared" si="48"/>
        <v>13515.157927639495</v>
      </c>
      <c r="F340" s="1">
        <f>E340-D340</f>
        <v>595.875</v>
      </c>
      <c r="G340" s="156">
        <f>F340/D340</f>
        <v>4.6122915903109907E-2</v>
      </c>
    </row>
    <row r="341" spans="2:7" ht="15" customHeight="1" x14ac:dyDescent="0.35">
      <c r="B341" s="128">
        <f>IF(ISBLANK(C341),"",MAX($B$308:B340)+1)</f>
        <v>20</v>
      </c>
      <c r="C341" s="157">
        <f t="shared" si="49"/>
        <v>13500</v>
      </c>
      <c r="D341" s="1">
        <f t="shared" si="48"/>
        <v>13939.785561850655</v>
      </c>
      <c r="E341" s="1">
        <f t="shared" si="48"/>
        <v>14572.370561850656</v>
      </c>
      <c r="F341" s="1">
        <f>E341-D341</f>
        <v>632.58500000000095</v>
      </c>
      <c r="G341" s="156">
        <f>F341/D341</f>
        <v>4.5379822895641339E-2</v>
      </c>
    </row>
    <row r="342" spans="2:7" ht="15" customHeight="1" x14ac:dyDescent="0.35">
      <c r="B342" s="128">
        <f>IF(ISBLANK(C342),"",MAX($B$308:B341)+1)</f>
        <v>21</v>
      </c>
      <c r="C342" s="157">
        <f>+C341+1000</f>
        <v>14500</v>
      </c>
      <c r="D342" s="1">
        <f t="shared" si="48"/>
        <v>14960.288196061814</v>
      </c>
      <c r="E342" s="1">
        <f t="shared" si="48"/>
        <v>15629.583196061814</v>
      </c>
      <c r="F342" s="1">
        <f>E342-D342</f>
        <v>669.29500000000007</v>
      </c>
      <c r="G342" s="156">
        <f>F342/D342</f>
        <v>4.4738108733506018E-2</v>
      </c>
    </row>
    <row r="343" spans="2:7" ht="15" customHeight="1" x14ac:dyDescent="0.35">
      <c r="B343" s="128" t="str">
        <f>IF(ISBLANK(C343),"",MAX($B$308:B342)+1)</f>
        <v/>
      </c>
      <c r="C343" s="157"/>
      <c r="D343" s="1"/>
      <c r="E343" s="1"/>
      <c r="F343" s="1"/>
      <c r="G343" s="156"/>
    </row>
    <row r="344" spans="2:7" ht="15" customHeight="1" x14ac:dyDescent="0.35">
      <c r="B344" s="128">
        <f>IF(ISBLANK(C344),"",MAX($B$308:B343)+1)</f>
        <v>22</v>
      </c>
      <c r="C344" s="157">
        <f>+C342+1500</f>
        <v>16000</v>
      </c>
      <c r="D344" s="1">
        <f>D$313+(D$316+D$319)*$C344</f>
        <v>16491.042147378554</v>
      </c>
      <c r="E344" s="1">
        <f>E$313+(E$316+E$319)*$C344</f>
        <v>17215.402147378554</v>
      </c>
      <c r="F344" s="1">
        <f>E344-D344</f>
        <v>724.36000000000058</v>
      </c>
      <c r="G344" s="156">
        <f>F344/D344</f>
        <v>4.3924452652929893E-2</v>
      </c>
    </row>
    <row r="345" spans="2:7" ht="15" customHeight="1" x14ac:dyDescent="0.35">
      <c r="B345" s="128">
        <f>IF(ISBLANK(C345),"",MAX($B$308:B344)+1)</f>
        <v>23</v>
      </c>
      <c r="C345" s="157">
        <f>+C344+1000</f>
        <v>17000</v>
      </c>
      <c r="D345" s="1">
        <f t="shared" ref="D345:E348" si="50">D$313+(D$316+D$319)*$C345</f>
        <v>17511.544781589713</v>
      </c>
      <c r="E345" s="1">
        <f t="shared" si="50"/>
        <v>18272.614781589713</v>
      </c>
      <c r="F345" s="1">
        <f>E345-D345</f>
        <v>761.06999999999971</v>
      </c>
      <c r="G345" s="156">
        <f>F345/D345</f>
        <v>4.3461042957222709E-2</v>
      </c>
    </row>
    <row r="346" spans="2:7" ht="15" customHeight="1" x14ac:dyDescent="0.35">
      <c r="B346" s="128">
        <f>IF(ISBLANK(C346),"",MAX($B$308:B345)+1)</f>
        <v>24</v>
      </c>
      <c r="C346" s="157">
        <f t="shared" ref="C346:C347" si="51">+C345+1000</f>
        <v>18000</v>
      </c>
      <c r="D346" s="1">
        <f t="shared" si="50"/>
        <v>18532.047415800873</v>
      </c>
      <c r="E346" s="1">
        <f t="shared" si="50"/>
        <v>19329.827415800872</v>
      </c>
      <c r="F346" s="1">
        <f>E346-D346</f>
        <v>797.77999999999884</v>
      </c>
      <c r="G346" s="156">
        <f>F346/D346</f>
        <v>4.3048670343881823E-2</v>
      </c>
    </row>
    <row r="347" spans="2:7" ht="15" customHeight="1" x14ac:dyDescent="0.35">
      <c r="B347" s="128">
        <f>IF(ISBLANK(C347),"",MAX($B$308:B346)+1)</f>
        <v>25</v>
      </c>
      <c r="C347" s="157">
        <f t="shared" si="51"/>
        <v>19000</v>
      </c>
      <c r="D347" s="1">
        <f t="shared" si="50"/>
        <v>19552.550050012032</v>
      </c>
      <c r="E347" s="1">
        <f t="shared" si="50"/>
        <v>20387.040050012034</v>
      </c>
      <c r="F347" s="1">
        <f>E347-D347</f>
        <v>834.4900000000016</v>
      </c>
      <c r="G347" s="156">
        <f>F347/D347</f>
        <v>4.2679343505860917E-2</v>
      </c>
    </row>
    <row r="348" spans="2:7" ht="15" customHeight="1" x14ac:dyDescent="0.35">
      <c r="B348" s="128">
        <f>IF(ISBLANK(C348),"",MAX($B$308:B347)+1)</f>
        <v>26</v>
      </c>
      <c r="C348" s="157">
        <f>+C347+1000</f>
        <v>20000</v>
      </c>
      <c r="D348" s="1">
        <f t="shared" si="50"/>
        <v>20573.052684223192</v>
      </c>
      <c r="E348" s="1">
        <f t="shared" si="50"/>
        <v>21444.252684223193</v>
      </c>
      <c r="F348" s="1">
        <f>E348-D348</f>
        <v>871.20000000000073</v>
      </c>
      <c r="G348" s="156">
        <f>F348/D348</f>
        <v>4.2346656734520288E-2</v>
      </c>
    </row>
    <row r="349" spans="2:7" ht="15" customHeight="1" x14ac:dyDescent="0.35">
      <c r="B349" s="128" t="str">
        <f>IF(ISBLANK(C349),"",MAX($B$308:B348)+1)</f>
        <v/>
      </c>
      <c r="C349" s="157"/>
      <c r="D349" s="1"/>
      <c r="E349" s="1"/>
      <c r="F349" s="1"/>
      <c r="G349" s="156"/>
    </row>
    <row r="350" spans="2:7" ht="15" customHeight="1" x14ac:dyDescent="0.35">
      <c r="B350" s="128">
        <f>IF(ISBLANK(C350),"",MAX($B$308:B349)+1)</f>
        <v>27</v>
      </c>
      <c r="C350" s="157">
        <f>+C348+2000</f>
        <v>22000</v>
      </c>
      <c r="D350" s="1">
        <f>D$313+(D$316+D$319)*$C350</f>
        <v>22614.057952645511</v>
      </c>
      <c r="E350" s="1">
        <f>E$313+(E$316+E$319)*$C350</f>
        <v>23558.67795264551</v>
      </c>
      <c r="F350" s="1">
        <f>E350-D350</f>
        <v>944.61999999999898</v>
      </c>
      <c r="G350" s="156">
        <f>F350/D350</f>
        <v>4.177136195450018E-2</v>
      </c>
    </row>
    <row r="351" spans="2:7" ht="15" customHeight="1" x14ac:dyDescent="0.35">
      <c r="B351" s="128">
        <f>IF(ISBLANK(C351),"",MAX($B$308:B350)+1)</f>
        <v>28</v>
      </c>
      <c r="C351" s="157">
        <f>+C350+2000</f>
        <v>24000</v>
      </c>
      <c r="D351" s="1">
        <f t="shared" ref="D351:E354" si="52">D$313+(D$316+D$319)*$C351</f>
        <v>24655.06322106783</v>
      </c>
      <c r="E351" s="1">
        <f t="shared" si="52"/>
        <v>25673.103221067831</v>
      </c>
      <c r="F351" s="1">
        <f>E351-D351</f>
        <v>1018.0400000000009</v>
      </c>
      <c r="G351" s="156">
        <f>F351/D351</f>
        <v>4.1291315737940697E-2</v>
      </c>
    </row>
    <row r="352" spans="2:7" ht="15" customHeight="1" x14ac:dyDescent="0.35">
      <c r="B352" s="128">
        <f>IF(ISBLANK(C352),"",MAX($B$308:B351)+1)</f>
        <v>29</v>
      </c>
      <c r="C352" s="157">
        <f t="shared" ref="C352:C354" si="53">+C351+2000</f>
        <v>26000</v>
      </c>
      <c r="D352" s="1">
        <f t="shared" si="52"/>
        <v>26696.06848949015</v>
      </c>
      <c r="E352" s="1">
        <f t="shared" si="52"/>
        <v>27787.528489490149</v>
      </c>
      <c r="F352" s="1">
        <f>E352-D352</f>
        <v>1091.4599999999991</v>
      </c>
      <c r="G352" s="156">
        <f>F352/D352</f>
        <v>4.0884671854572556E-2</v>
      </c>
    </row>
    <row r="353" spans="2:7" ht="15" customHeight="1" x14ac:dyDescent="0.35">
      <c r="B353" s="128">
        <f>IF(ISBLANK(C353),"",MAX($B$308:B352)+1)</f>
        <v>30</v>
      </c>
      <c r="C353" s="157">
        <f t="shared" si="53"/>
        <v>28000</v>
      </c>
      <c r="D353" s="1">
        <f t="shared" si="52"/>
        <v>28737.073757912469</v>
      </c>
      <c r="E353" s="1">
        <f t="shared" si="52"/>
        <v>29901.95375791247</v>
      </c>
      <c r="F353" s="1">
        <f>E353-D353</f>
        <v>1164.880000000001</v>
      </c>
      <c r="G353" s="156">
        <f>F353/D353</f>
        <v>4.0535790450106732E-2</v>
      </c>
    </row>
    <row r="354" spans="2:7" ht="15" customHeight="1" x14ac:dyDescent="0.35">
      <c r="B354" s="128">
        <f>IF(ISBLANK(C354),"",MAX($B$308:B353)+1)</f>
        <v>31</v>
      </c>
      <c r="C354" s="157">
        <f t="shared" si="53"/>
        <v>30000</v>
      </c>
      <c r="D354" s="1">
        <f t="shared" si="52"/>
        <v>30778.079026334788</v>
      </c>
      <c r="E354" s="1">
        <f t="shared" si="52"/>
        <v>32016.379026334787</v>
      </c>
      <c r="F354" s="1">
        <f>E354-D354</f>
        <v>1238.2999999999993</v>
      </c>
      <c r="G354" s="156">
        <f>F354/D354</f>
        <v>4.0233180210514988E-2</v>
      </c>
    </row>
    <row r="355" spans="2:7" ht="15" customHeight="1" x14ac:dyDescent="0.35">
      <c r="B355" s="128" t="str">
        <f>IF(ISBLANK(C355),"",MAX($B$308:B354)+1)</f>
        <v/>
      </c>
      <c r="C355" s="157"/>
      <c r="D355" s="1"/>
      <c r="E355" s="1"/>
      <c r="F355" s="1"/>
      <c r="G355" s="156"/>
    </row>
    <row r="356" spans="2:7" ht="15" customHeight="1" x14ac:dyDescent="0.35">
      <c r="B356" s="128">
        <f>IF(ISBLANK(C356),"",MAX($B$308:B355)+1)</f>
        <v>32</v>
      </c>
      <c r="C356" s="157">
        <f>+C354+5000</f>
        <v>35000</v>
      </c>
      <c r="D356" s="1">
        <f t="shared" ref="D356:E360" si="54">D$313+(D$319*$C356)+D$317*($C356-$J$316)+D$316*$J$316</f>
        <v>35553.742197390588</v>
      </c>
      <c r="E356" s="1">
        <f t="shared" si="54"/>
        <v>36860.79219739059</v>
      </c>
      <c r="F356" s="1">
        <f>E356-D356</f>
        <v>1307.0500000000029</v>
      </c>
      <c r="G356" s="156">
        <f>F356/D356</f>
        <v>3.6762656171139468E-2</v>
      </c>
    </row>
    <row r="357" spans="2:7" ht="15" customHeight="1" x14ac:dyDescent="0.35">
      <c r="B357" s="128">
        <f>IF(ISBLANK(C357),"",MAX($B$308:B356)+1)</f>
        <v>33</v>
      </c>
      <c r="C357" s="157">
        <f>+C356+5000</f>
        <v>40000</v>
      </c>
      <c r="D357" s="1">
        <f t="shared" si="54"/>
        <v>40329.405368446387</v>
      </c>
      <c r="E357" s="1">
        <f t="shared" si="54"/>
        <v>41705.205368446383</v>
      </c>
      <c r="F357" s="1">
        <f>E357-D357</f>
        <v>1375.7999999999956</v>
      </c>
      <c r="G357" s="156">
        <f>F357/D357</f>
        <v>3.4114066087282749E-2</v>
      </c>
    </row>
    <row r="358" spans="2:7" ht="15" customHeight="1" x14ac:dyDescent="0.35">
      <c r="B358" s="128">
        <f>IF(ISBLANK(C358),"",MAX($B$308:B357)+1)</f>
        <v>34</v>
      </c>
      <c r="C358" s="157">
        <f t="shared" ref="C358:C360" si="55">+C357+5000</f>
        <v>45000</v>
      </c>
      <c r="D358" s="1">
        <f t="shared" si="54"/>
        <v>45105.068539502186</v>
      </c>
      <c r="E358" s="1">
        <f t="shared" si="54"/>
        <v>46549.618539502182</v>
      </c>
      <c r="F358" s="1">
        <f>E358-D358</f>
        <v>1444.5499999999956</v>
      </c>
      <c r="G358" s="156">
        <f>F358/D358</f>
        <v>3.2026334218623026E-2</v>
      </c>
    </row>
    <row r="359" spans="2:7" ht="15" customHeight="1" x14ac:dyDescent="0.35">
      <c r="B359" s="128">
        <f>IF(ISBLANK(C359),"",MAX($B$308:B358)+1)</f>
        <v>35</v>
      </c>
      <c r="C359" s="157">
        <f t="shared" si="55"/>
        <v>50000</v>
      </c>
      <c r="D359" s="1">
        <f t="shared" si="54"/>
        <v>49880.731710557986</v>
      </c>
      <c r="E359" s="1">
        <f t="shared" si="54"/>
        <v>51394.031710557982</v>
      </c>
      <c r="F359" s="1">
        <f>E359-D359</f>
        <v>1513.2999999999956</v>
      </c>
      <c r="G359" s="156">
        <f>F359/D359</f>
        <v>3.0338368105367702E-2</v>
      </c>
    </row>
    <row r="360" spans="2:7" ht="15" customHeight="1" x14ac:dyDescent="0.35">
      <c r="B360" s="128">
        <f>IF(ISBLANK(C360),"",MAX($B$308:B359)+1)</f>
        <v>36</v>
      </c>
      <c r="C360" s="157">
        <f t="shared" si="55"/>
        <v>55000</v>
      </c>
      <c r="D360" s="1">
        <f t="shared" si="54"/>
        <v>54656.394881613785</v>
      </c>
      <c r="E360" s="1">
        <f t="shared" si="54"/>
        <v>56238.444881613781</v>
      </c>
      <c r="F360" s="1">
        <f>E360-D360</f>
        <v>1582.0499999999956</v>
      </c>
      <c r="G360" s="156">
        <f>F360/D360</f>
        <v>2.8945377817668535E-2</v>
      </c>
    </row>
    <row r="361" spans="2:7" ht="15" customHeight="1" x14ac:dyDescent="0.35">
      <c r="B361" s="128" t="str">
        <f>IF(ISBLANK(C361),"",MAX($B$308:B360)+1)</f>
        <v/>
      </c>
      <c r="C361" s="157"/>
      <c r="D361" s="1"/>
      <c r="E361" s="1"/>
      <c r="F361" s="1"/>
      <c r="G361" s="156"/>
    </row>
    <row r="362" spans="2:7" ht="15" customHeight="1" x14ac:dyDescent="0.35">
      <c r="B362" s="128">
        <f>IF(ISBLANK(C362),"",MAX($B$308:B361)+1)</f>
        <v>37</v>
      </c>
      <c r="C362" s="157">
        <f>+C360+10000</f>
        <v>65000</v>
      </c>
      <c r="D362" s="1">
        <f t="shared" ref="D362:E366" si="56">D$313+(D$319*$C362)+D$317*($C362-$J$316)+D$316*$J$316</f>
        <v>64207.721223725377</v>
      </c>
      <c r="E362" s="1">
        <f t="shared" si="56"/>
        <v>65927.271223725373</v>
      </c>
      <c r="F362" s="1">
        <f>E362-D362</f>
        <v>1719.5499999999956</v>
      </c>
      <c r="G362" s="156">
        <f>F362/D362</f>
        <v>2.6781047002250646E-2</v>
      </c>
    </row>
    <row r="363" spans="2:7" ht="15" customHeight="1" x14ac:dyDescent="0.35">
      <c r="B363" s="128">
        <f>IF(ISBLANK(C363),"",MAX($B$308:B362)+1)</f>
        <v>38</v>
      </c>
      <c r="C363" s="157">
        <f>+C362+10000</f>
        <v>75000</v>
      </c>
      <c r="D363" s="1">
        <f t="shared" si="56"/>
        <v>73759.047565836983</v>
      </c>
      <c r="E363" s="1">
        <f t="shared" si="56"/>
        <v>75616.097565836986</v>
      </c>
      <c r="F363" s="1">
        <f>E363-D363</f>
        <v>1857.0500000000029</v>
      </c>
      <c r="G363" s="156">
        <f>F363/D363</f>
        <v>2.517725026672028E-2</v>
      </c>
    </row>
    <row r="364" spans="2:7" ht="15" customHeight="1" x14ac:dyDescent="0.35">
      <c r="B364" s="128">
        <f>IF(ISBLANK(C364),"",MAX($B$308:B363)+1)</f>
        <v>39</v>
      </c>
      <c r="C364" s="157">
        <f t="shared" ref="C364:C366" si="57">+C363+10000</f>
        <v>85000</v>
      </c>
      <c r="D364" s="1">
        <f t="shared" si="56"/>
        <v>83310.373907948568</v>
      </c>
      <c r="E364" s="1">
        <f t="shared" si="56"/>
        <v>85304.923907948571</v>
      </c>
      <c r="F364" s="1">
        <f>E364-D364</f>
        <v>1994.5500000000029</v>
      </c>
      <c r="G364" s="156">
        <f>F364/D364</f>
        <v>2.3941196113269451E-2</v>
      </c>
    </row>
    <row r="365" spans="2:7" ht="15" customHeight="1" x14ac:dyDescent="0.35">
      <c r="B365" s="128">
        <f>IF(ISBLANK(C365),"",MAX($B$308:B364)+1)</f>
        <v>40</v>
      </c>
      <c r="C365" s="157">
        <f t="shared" si="57"/>
        <v>95000</v>
      </c>
      <c r="D365" s="1">
        <f t="shared" si="56"/>
        <v>92861.700250060167</v>
      </c>
      <c r="E365" s="1">
        <f t="shared" si="56"/>
        <v>94993.750250060169</v>
      </c>
      <c r="F365" s="1">
        <f>E365-D365</f>
        <v>2132.0500000000029</v>
      </c>
      <c r="G365" s="156">
        <f>F365/D365</f>
        <v>2.295941162243173E-2</v>
      </c>
    </row>
    <row r="366" spans="2:7" ht="15" customHeight="1" x14ac:dyDescent="0.35">
      <c r="B366" s="128">
        <f>IF(ISBLANK(C366),"",MAX($B$308:B365)+1)</f>
        <v>41</v>
      </c>
      <c r="C366" s="157">
        <f t="shared" si="57"/>
        <v>105000</v>
      </c>
      <c r="D366" s="1">
        <f t="shared" si="56"/>
        <v>102413.02659217177</v>
      </c>
      <c r="E366" s="1">
        <f t="shared" si="56"/>
        <v>104682.57659217177</v>
      </c>
      <c r="F366" s="1">
        <f>E366-D366</f>
        <v>2269.5500000000029</v>
      </c>
      <c r="G366" s="156">
        <f>F366/D366</f>
        <v>2.2160755086731151E-2</v>
      </c>
    </row>
    <row r="367" spans="2:7" ht="15" customHeight="1" x14ac:dyDescent="0.35">
      <c r="B367" s="128" t="str">
        <f>IF(ISBLANK(C367),"",MAX($B$308:B366)+1)</f>
        <v/>
      </c>
      <c r="C367" s="157"/>
      <c r="D367" s="1"/>
      <c r="E367" s="1"/>
      <c r="F367" s="1"/>
      <c r="G367" s="156"/>
    </row>
    <row r="368" spans="2:7" ht="15" customHeight="1" x14ac:dyDescent="0.35">
      <c r="B368" s="128">
        <f>IF(ISBLANK(C368),"",MAX($B$308:B367)+1)</f>
        <v>42</v>
      </c>
      <c r="C368" s="157">
        <f>+C366+15000</f>
        <v>120000</v>
      </c>
      <c r="D368" s="1">
        <f t="shared" ref="D368:E373" si="58">D$313+(D$319*$C368)+D$317*($C368-$J$316)+D$316*$J$316</f>
        <v>116740.01610533916</v>
      </c>
      <c r="E368" s="1">
        <f t="shared" si="58"/>
        <v>119215.81610533917</v>
      </c>
      <c r="F368" s="1">
        <f t="shared" ref="F368:F373" si="59">E368-D368</f>
        <v>2475.8000000000029</v>
      </c>
      <c r="G368" s="156">
        <f t="shared" ref="G368:G373" si="60">F368/D368</f>
        <v>2.1207809306501981E-2</v>
      </c>
    </row>
    <row r="369" spans="1:8" ht="15" customHeight="1" x14ac:dyDescent="0.35">
      <c r="B369" s="128">
        <f>IF(ISBLANK(C369),"",MAX($B$308:B368)+1)</f>
        <v>43</v>
      </c>
      <c r="C369" s="157">
        <f>+C368+15000</f>
        <v>135000</v>
      </c>
      <c r="D369" s="1">
        <f t="shared" si="58"/>
        <v>131067.00561850655</v>
      </c>
      <c r="E369" s="1">
        <f t="shared" si="58"/>
        <v>133749.05561850654</v>
      </c>
      <c r="F369" s="1">
        <f t="shared" si="59"/>
        <v>2682.0499999999884</v>
      </c>
      <c r="G369" s="156">
        <f t="shared" si="60"/>
        <v>2.0463197334396759E-2</v>
      </c>
    </row>
    <row r="370" spans="1:8" ht="15" customHeight="1" x14ac:dyDescent="0.35">
      <c r="B370" s="128">
        <f>IF(ISBLANK(C370),"",MAX($B$308:B369)+1)</f>
        <v>44</v>
      </c>
      <c r="C370" s="157">
        <f t="shared" ref="C370:C373" si="61">+C369+15000</f>
        <v>150000</v>
      </c>
      <c r="D370" s="1">
        <f t="shared" si="58"/>
        <v>145393.99513167393</v>
      </c>
      <c r="E370" s="1">
        <f t="shared" si="58"/>
        <v>148282.29513167395</v>
      </c>
      <c r="F370" s="1">
        <f t="shared" si="59"/>
        <v>2888.3000000000175</v>
      </c>
      <c r="G370" s="156">
        <f t="shared" si="60"/>
        <v>1.9865332109378183E-2</v>
      </c>
    </row>
    <row r="371" spans="1:8" ht="15" customHeight="1" x14ac:dyDescent="0.35">
      <c r="B371" s="128">
        <f>IF(ISBLANK(C371),"",MAX($B$308:B370)+1)</f>
        <v>45</v>
      </c>
      <c r="C371" s="157">
        <f t="shared" si="61"/>
        <v>165000</v>
      </c>
      <c r="D371" s="1">
        <f t="shared" si="58"/>
        <v>159720.98464484132</v>
      </c>
      <c r="E371" s="1">
        <f t="shared" si="58"/>
        <v>162815.53464484133</v>
      </c>
      <c r="F371" s="1">
        <f t="shared" si="59"/>
        <v>3094.5500000000175</v>
      </c>
      <c r="G371" s="156">
        <f t="shared" si="60"/>
        <v>1.9374724034422395E-2</v>
      </c>
    </row>
    <row r="372" spans="1:8" ht="15" customHeight="1" x14ac:dyDescent="0.35">
      <c r="B372" s="128">
        <f>IF(ISBLANK(C372),"",MAX($B$308:B371)+1)</f>
        <v>46</v>
      </c>
      <c r="C372" s="157">
        <f t="shared" si="61"/>
        <v>180000</v>
      </c>
      <c r="D372" s="1">
        <f t="shared" si="58"/>
        <v>174047.97415800873</v>
      </c>
      <c r="E372" s="1">
        <f t="shared" si="58"/>
        <v>177348.77415800875</v>
      </c>
      <c r="F372" s="1">
        <f t="shared" si="59"/>
        <v>3300.8000000000175</v>
      </c>
      <c r="G372" s="156">
        <f t="shared" si="60"/>
        <v>1.8964886066432464E-2</v>
      </c>
    </row>
    <row r="373" spans="1:8" ht="15" customHeight="1" x14ac:dyDescent="0.35">
      <c r="B373" s="128">
        <f>IF(ISBLANK(C373),"",MAX($B$308:B372)+1)</f>
        <v>47</v>
      </c>
      <c r="C373" s="157">
        <f t="shared" si="61"/>
        <v>195000</v>
      </c>
      <c r="D373" s="1">
        <f t="shared" si="58"/>
        <v>188374.96367117611</v>
      </c>
      <c r="E373" s="1">
        <f t="shared" si="58"/>
        <v>191882.01367117613</v>
      </c>
      <c r="F373" s="1">
        <f t="shared" si="59"/>
        <v>3507.0500000000175</v>
      </c>
      <c r="G373" s="156">
        <f t="shared" si="60"/>
        <v>1.8617389124607132E-2</v>
      </c>
    </row>
    <row r="374" spans="1:8" ht="15" customHeight="1" x14ac:dyDescent="0.35">
      <c r="B374" s="128"/>
      <c r="C374" s="157"/>
      <c r="D374" s="1"/>
      <c r="E374" s="1"/>
      <c r="F374" s="1"/>
      <c r="G374" s="156"/>
    </row>
    <row r="375" spans="1:8" ht="15" customHeight="1" x14ac:dyDescent="0.35">
      <c r="A375" s="42" t="str">
        <f>$A$41</f>
        <v>Cascade Natural Gas Corp.</v>
      </c>
      <c r="H375" s="41" t="str">
        <f>$H$41</f>
        <v>Exh. RJA-7</v>
      </c>
    </row>
    <row r="376" spans="1:8" ht="15" customHeight="1" x14ac:dyDescent="0.35">
      <c r="A376" s="42" t="str">
        <f>$A$42</f>
        <v>Washington Jurisdiction</v>
      </c>
      <c r="H376" s="41" t="s">
        <v>153</v>
      </c>
    </row>
    <row r="377" spans="1:8" ht="15" customHeight="1" x14ac:dyDescent="0.35">
      <c r="A377" s="42" t="str">
        <f>$A$43</f>
        <v>Estimated Monthly Bill Impacts March 1, 2025</v>
      </c>
      <c r="H377" s="41" t="str">
        <f>$H$43</f>
        <v>Impact of Recommended Rate Changes</v>
      </c>
    </row>
    <row r="378" spans="1:8" ht="15" customHeight="1" x14ac:dyDescent="0.35">
      <c r="A378" s="42"/>
      <c r="H378" s="41"/>
    </row>
    <row r="379" spans="1:8" ht="15" customHeight="1" x14ac:dyDescent="0.35">
      <c r="B379" s="127" t="str">
        <f>'RJA-6 (2025 rates)'!B52</f>
        <v>Transport - 663</v>
      </c>
    </row>
    <row r="381" spans="1:8" ht="15" customHeight="1" x14ac:dyDescent="0.5">
      <c r="B381" s="129" t="s">
        <v>87</v>
      </c>
      <c r="C381" s="129" t="s">
        <v>52</v>
      </c>
      <c r="D381" s="129" t="s">
        <v>53</v>
      </c>
      <c r="E381" s="129" t="s">
        <v>55</v>
      </c>
      <c r="F381" s="129" t="s">
        <v>56</v>
      </c>
      <c r="G381" s="129" t="s">
        <v>57</v>
      </c>
    </row>
    <row r="382" spans="1:8" ht="15" customHeight="1" x14ac:dyDescent="0.35">
      <c r="B382" s="128"/>
      <c r="C382" s="130"/>
      <c r="D382" s="154" t="s">
        <v>58</v>
      </c>
      <c r="E382" s="155" t="s">
        <v>66</v>
      </c>
    </row>
    <row r="383" spans="1:8" ht="15" customHeight="1" x14ac:dyDescent="0.5">
      <c r="B383" s="128"/>
      <c r="C383" s="76"/>
      <c r="D383" s="129" t="s">
        <v>60</v>
      </c>
      <c r="E383" s="134" t="s">
        <v>60</v>
      </c>
    </row>
    <row r="384" spans="1:8" ht="15" customHeight="1" x14ac:dyDescent="0.35">
      <c r="B384" s="128">
        <f>IF(ISBLANK(C384),"",MAX($B$381:B383)+1)</f>
        <v>1</v>
      </c>
      <c r="C384" s="76" t="s">
        <v>35</v>
      </c>
      <c r="D384" s="135">
        <f>'RJA-6 (2025 rates)'!D53</f>
        <v>0.2</v>
      </c>
      <c r="E384" s="136">
        <f>'RJA-6 (2025 rates)'!G53</f>
        <v>0.4</v>
      </c>
    </row>
    <row r="385" spans="2:11" ht="15" customHeight="1" x14ac:dyDescent="0.35">
      <c r="B385" s="128" t="str">
        <f>IF(ISBLANK(C385),"",MAX($B$381:B384)+1)</f>
        <v/>
      </c>
      <c r="C385" s="76"/>
      <c r="D385" s="135"/>
      <c r="E385" s="136"/>
    </row>
    <row r="386" spans="2:11" ht="15" customHeight="1" x14ac:dyDescent="0.35">
      <c r="B386" s="128">
        <f>IF(ISBLANK(C386),"",MAX($B$381:B385)+1)</f>
        <v>2</v>
      </c>
      <c r="C386" s="76" t="s">
        <v>18</v>
      </c>
      <c r="D386" s="135">
        <f>'RJA-6 (2025 rates)'!D55</f>
        <v>625</v>
      </c>
      <c r="E386" s="136">
        <f>'RJA-6 (2025 rates)'!G55</f>
        <v>1000</v>
      </c>
    </row>
    <row r="387" spans="2:11" ht="15" customHeight="1" x14ac:dyDescent="0.35">
      <c r="B387" s="128" t="str">
        <f>IF(ISBLANK(C387),"",MAX($B$381:B386)+1)</f>
        <v/>
      </c>
      <c r="C387" s="76"/>
      <c r="D387" s="135"/>
      <c r="E387" s="136"/>
    </row>
    <row r="388" spans="2:11" ht="15" customHeight="1" x14ac:dyDescent="0.35">
      <c r="B388" s="128">
        <f>IF(ISBLANK(C388),"",MAX($B$381:B387)+1)</f>
        <v>3</v>
      </c>
      <c r="C388" s="76" t="s">
        <v>36</v>
      </c>
      <c r="D388" s="93">
        <f>'RJA-6 (2025 rates)'!D54</f>
        <v>4.0000000000000002E-4</v>
      </c>
      <c r="E388" s="137">
        <f>'RJA-6 (2025 rates)'!G54</f>
        <v>1.1000000000000001E-3</v>
      </c>
    </row>
    <row r="389" spans="2:11" ht="15" customHeight="1" x14ac:dyDescent="0.35">
      <c r="B389" s="128" t="str">
        <f>IF(ISBLANK(C389),"",MAX($B$381:B388)+1)</f>
        <v/>
      </c>
      <c r="C389" s="76"/>
      <c r="D389" s="135"/>
      <c r="E389" s="136"/>
      <c r="J389" s="158" t="s">
        <v>92</v>
      </c>
    </row>
    <row r="390" spans="2:11" ht="15" customHeight="1" x14ac:dyDescent="0.35">
      <c r="B390" s="128">
        <f>IF(ISBLANK(C390),"",MAX($B$381:B389)+1)</f>
        <v>4</v>
      </c>
      <c r="C390" s="159" t="s">
        <v>101</v>
      </c>
      <c r="D390" s="93">
        <f>SUM('RJA-6 (2025 rates)'!D56:E56)</f>
        <v>6.6020000000000009E-2</v>
      </c>
      <c r="E390" s="137">
        <f>SUM('RJA-6 (2025 rates)'!G56:H56)</f>
        <v>6.7739999999999995E-2</v>
      </c>
      <c r="J390" s="160">
        <v>100000</v>
      </c>
      <c r="K390" s="122">
        <f>J390+K389</f>
        <v>100000</v>
      </c>
    </row>
    <row r="391" spans="2:11" ht="15" customHeight="1" x14ac:dyDescent="0.35">
      <c r="B391" s="128">
        <f>IF(ISBLANK(C391),"",MAX($B$381:B390)+1)</f>
        <v>5</v>
      </c>
      <c r="C391" s="159" t="s">
        <v>102</v>
      </c>
      <c r="D391" s="93">
        <f>SUM('RJA-6 (2025 rates)'!D57:E57)</f>
        <v>2.681E-2</v>
      </c>
      <c r="E391" s="137">
        <f>SUM('RJA-6 (2025 rates)'!G57:H57)</f>
        <v>2.751E-2</v>
      </c>
      <c r="J391" s="161">
        <v>200000</v>
      </c>
      <c r="K391" s="122">
        <f t="shared" ref="K391:K392" si="62">J391+K390</f>
        <v>300000</v>
      </c>
    </row>
    <row r="392" spans="2:11" ht="15" customHeight="1" x14ac:dyDescent="0.35">
      <c r="B392" s="128">
        <f>IF(ISBLANK(C392),"",MAX($B$381:B391)+1)</f>
        <v>6</v>
      </c>
      <c r="C392" s="159" t="s">
        <v>102</v>
      </c>
      <c r="D392" s="93">
        <f>SUM('RJA-6 (2025 rates)'!D58:E58)</f>
        <v>1.7979999999999999E-2</v>
      </c>
      <c r="E392" s="137">
        <f>SUM('RJA-6 (2025 rates)'!G58:H58)</f>
        <v>1.8450000000000001E-2</v>
      </c>
      <c r="J392" s="161">
        <v>200000</v>
      </c>
      <c r="K392" s="122">
        <f t="shared" si="62"/>
        <v>500000</v>
      </c>
    </row>
    <row r="393" spans="2:11" ht="15" customHeight="1" x14ac:dyDescent="0.35">
      <c r="B393" s="128">
        <f>IF(ISBLANK(C393),"",MAX($B$381:B392)+1)</f>
        <v>7</v>
      </c>
      <c r="C393" s="159" t="s">
        <v>103</v>
      </c>
      <c r="D393" s="93">
        <f>SUM('RJA-6 (2025 rates)'!D59:E59)</f>
        <v>1.0800000000000001E-2</v>
      </c>
      <c r="E393" s="137">
        <f>SUM('RJA-6 (2025 rates)'!G59:H59)</f>
        <v>1.108E-2</v>
      </c>
      <c r="J393" s="161"/>
      <c r="K393" s="122"/>
    </row>
    <row r="394" spans="2:11" ht="15" customHeight="1" x14ac:dyDescent="0.35">
      <c r="B394" s="128" t="str">
        <f>IF(ISBLANK(C394),"",MAX($B$381:B393)+1)</f>
        <v/>
      </c>
      <c r="C394" s="76"/>
      <c r="D394" s="135"/>
      <c r="E394" s="77"/>
    </row>
    <row r="395" spans="2:11" ht="15" customHeight="1" x14ac:dyDescent="0.35">
      <c r="B395" s="128">
        <f>IF(ISBLANK(C395),"",MAX($B$381:B394)+1)</f>
        <v>8</v>
      </c>
      <c r="C395" s="138" t="str">
        <f>$C$54</f>
        <v>Pass-Through Rates</v>
      </c>
      <c r="D395" s="140">
        <v>2.0100000000000001E-3</v>
      </c>
      <c r="E395" s="141">
        <f>D395</f>
        <v>2.0100000000000001E-3</v>
      </c>
    </row>
    <row r="396" spans="2:11" ht="15" customHeight="1" x14ac:dyDescent="0.35">
      <c r="B396" s="128" t="str">
        <f>IF(ISBLANK(C396),"",MAX($B$381:B395)+1)</f>
        <v/>
      </c>
    </row>
    <row r="397" spans="2:11" ht="15" customHeight="1" x14ac:dyDescent="0.35">
      <c r="B397" s="128" t="str">
        <f>IF(ISBLANK(C397),"",MAX($B$381:B396)+1)</f>
        <v/>
      </c>
      <c r="C397" s="128"/>
      <c r="D397" s="128"/>
      <c r="E397" s="128"/>
    </row>
    <row r="398" spans="2:11" ht="15" customHeight="1" x14ac:dyDescent="0.5">
      <c r="B398" s="128"/>
      <c r="C398" s="128" t="s">
        <v>89</v>
      </c>
      <c r="D398" s="128" t="s">
        <v>63</v>
      </c>
      <c r="E398" s="128" t="s">
        <v>63</v>
      </c>
      <c r="F398" s="142" t="s">
        <v>90</v>
      </c>
      <c r="G398" s="142"/>
    </row>
    <row r="399" spans="2:11" ht="15" customHeight="1" x14ac:dyDescent="0.5">
      <c r="B399" s="128"/>
      <c r="C399" s="129" t="s">
        <v>104</v>
      </c>
      <c r="D399" s="129" t="s">
        <v>8</v>
      </c>
      <c r="E399" s="129" t="s">
        <v>9</v>
      </c>
      <c r="F399" s="129" t="s">
        <v>69</v>
      </c>
      <c r="G399" s="129" t="s">
        <v>70</v>
      </c>
    </row>
    <row r="400" spans="2:11" ht="15" customHeight="1" x14ac:dyDescent="0.35">
      <c r="B400" s="128" t="str">
        <f>IF(ISBLANK(C400),"",MAX($B$381:B399)+1)</f>
        <v/>
      </c>
    </row>
    <row r="401" spans="2:11" ht="15" customHeight="1" x14ac:dyDescent="0.35">
      <c r="B401" s="128">
        <f>IF(ISBLANK(C401),"",MAX($B$381:B400)+1)</f>
        <v>9</v>
      </c>
      <c r="C401" s="163" t="s">
        <v>105</v>
      </c>
      <c r="D401" s="1"/>
      <c r="E401" s="1"/>
      <c r="F401" s="1"/>
      <c r="G401" s="156"/>
      <c r="K401" s="92"/>
    </row>
    <row r="402" spans="2:11" ht="15" customHeight="1" x14ac:dyDescent="0.35">
      <c r="B402" s="128">
        <f>IF(ISBLANK(C402),"",MAX($B$381:B401)+1)</f>
        <v>10</v>
      </c>
      <c r="C402" s="157">
        <f>'RJA-6 (2025 rates)'!C53/'RJA-6 (2025 rates)'!C55</f>
        <v>18293.160621761657</v>
      </c>
      <c r="D402" s="1">
        <f>$C402*D$384</f>
        <v>3658.6321243523316</v>
      </c>
      <c r="E402" s="1">
        <f>$C402*E$384</f>
        <v>7317.2642487046633</v>
      </c>
      <c r="F402" s="1">
        <f t="shared" ref="F402" si="63">E402-D402</f>
        <v>3658.6321243523316</v>
      </c>
      <c r="G402" s="156">
        <f t="shared" ref="G402" si="64">F402/D402</f>
        <v>1</v>
      </c>
      <c r="K402" s="92"/>
    </row>
    <row r="403" spans="2:11" ht="15" customHeight="1" x14ac:dyDescent="0.35">
      <c r="B403" s="128" t="str">
        <f>IF(ISBLANK(C403),"",MAX($B$381:B402)+1)</f>
        <v/>
      </c>
      <c r="C403" s="157"/>
      <c r="D403" s="1"/>
      <c r="E403" s="1"/>
      <c r="F403" s="1"/>
      <c r="G403" s="156"/>
      <c r="K403" s="92"/>
    </row>
    <row r="404" spans="2:11" ht="15" customHeight="1" x14ac:dyDescent="0.35">
      <c r="B404" s="128">
        <f>IF(ISBLANK(C404),"",MAX($B$381:B403)+1)</f>
        <v>11</v>
      </c>
      <c r="C404" s="163" t="s">
        <v>106</v>
      </c>
      <c r="D404" s="1"/>
      <c r="E404" s="1"/>
      <c r="F404" s="1"/>
      <c r="G404" s="156"/>
      <c r="K404" s="92"/>
    </row>
    <row r="405" spans="2:11" ht="15" customHeight="1" x14ac:dyDescent="0.35">
      <c r="B405" s="128">
        <f>IF(ISBLANK(C405),"",MAX($B$381:B404)+1)</f>
        <v>12</v>
      </c>
      <c r="C405" s="157">
        <f>'RJA-6 (2025 rates)'!C55/'RJA-6 (2025 rates)'!C55</f>
        <v>1</v>
      </c>
      <c r="D405" s="1">
        <f>$C405*D$386</f>
        <v>625</v>
      </c>
      <c r="E405" s="1">
        <f>$C405*E$386</f>
        <v>1000</v>
      </c>
      <c r="F405" s="1">
        <f>E405-D405</f>
        <v>375</v>
      </c>
      <c r="G405" s="156">
        <f>F405/D405</f>
        <v>0.6</v>
      </c>
      <c r="K405" s="92"/>
    </row>
    <row r="406" spans="2:11" ht="15" customHeight="1" x14ac:dyDescent="0.35">
      <c r="B406" s="128" t="str">
        <f>IF(ISBLANK(C406),"",MAX($B$381:B405)+1)</f>
        <v/>
      </c>
      <c r="C406" s="157"/>
      <c r="D406" s="1"/>
      <c r="E406" s="1"/>
      <c r="F406" s="1"/>
      <c r="G406" s="156"/>
      <c r="K406" s="92"/>
    </row>
    <row r="407" spans="2:11" ht="15" customHeight="1" x14ac:dyDescent="0.35">
      <c r="B407" s="128">
        <f>IF(ISBLANK(C407),"",MAX($B$381:B406)+1)</f>
        <v>13</v>
      </c>
      <c r="C407" s="163" t="s">
        <v>107</v>
      </c>
      <c r="D407" s="1"/>
      <c r="E407" s="1"/>
      <c r="F407" s="1"/>
      <c r="G407" s="156"/>
      <c r="K407" s="92"/>
    </row>
    <row r="408" spans="2:11" ht="15" customHeight="1" x14ac:dyDescent="0.35">
      <c r="B408" s="128">
        <f>IF(ISBLANK(C408),"",MAX($B$381:B407)+1)</f>
        <v>14</v>
      </c>
      <c r="C408" s="157">
        <f>'RJA-6 (2025 rates)'!C54/'RJA-6 (2025 rates)'!C55</f>
        <v>369145.53981482139</v>
      </c>
      <c r="D408" s="1">
        <f>$C408*D$388</f>
        <v>147.65821592592857</v>
      </c>
      <c r="E408" s="1">
        <f>$C408*E$388</f>
        <v>406.06009379630353</v>
      </c>
      <c r="F408" s="1">
        <f t="shared" ref="F408:F413" si="65">E408-D408</f>
        <v>258.40187787037496</v>
      </c>
      <c r="G408" s="156">
        <f t="shared" ref="G408:G413" si="66">F408/D408</f>
        <v>1.7499999999999998</v>
      </c>
    </row>
    <row r="409" spans="2:11" ht="15" customHeight="1" x14ac:dyDescent="0.35">
      <c r="B409" s="128" t="str">
        <f>IF(ISBLANK(C409),"",MAX($B$381:B408)+1)</f>
        <v/>
      </c>
      <c r="C409" s="163"/>
      <c r="F409" s="1"/>
      <c r="G409" s="156"/>
    </row>
    <row r="410" spans="2:11" ht="15" customHeight="1" x14ac:dyDescent="0.35">
      <c r="B410" s="128">
        <f>IF(ISBLANK(C410),"",MAX($B$381:B409)+1)</f>
        <v>15</v>
      </c>
      <c r="C410" s="163" t="s">
        <v>108</v>
      </c>
      <c r="F410" s="1"/>
      <c r="G410" s="156"/>
    </row>
    <row r="411" spans="2:11" ht="15" customHeight="1" x14ac:dyDescent="0.35">
      <c r="B411" s="128">
        <f>IF(ISBLANK(C411),"",MAX($B$381:B410)+1)</f>
        <v>16</v>
      </c>
      <c r="C411" s="157">
        <f>C408</f>
        <v>369145.53981482139</v>
      </c>
      <c r="D411" s="1">
        <f>$J$390*D390+$J$391*D391+($C$411-$K$391)*D392+$C$411*D395</f>
        <v>13949.21934089828</v>
      </c>
      <c r="E411" s="1">
        <f>$J$390*E390+$J$391*E391+($C$411-$K$391)*E392+$C$411*E395</f>
        <v>14293.717744611246</v>
      </c>
      <c r="F411" s="1">
        <f t="shared" si="65"/>
        <v>344.49840371296523</v>
      </c>
      <c r="G411" s="156">
        <f t="shared" si="66"/>
        <v>2.4696608125080982E-2</v>
      </c>
    </row>
    <row r="412" spans="2:11" ht="15" customHeight="1" x14ac:dyDescent="0.35">
      <c r="B412" s="128" t="str">
        <f>IF(ISBLANK(C412),"",MAX($B$381:B411)+1)</f>
        <v/>
      </c>
      <c r="C412" s="163"/>
      <c r="F412" s="1"/>
      <c r="G412" s="156"/>
    </row>
    <row r="413" spans="2:11" ht="15" customHeight="1" x14ac:dyDescent="0.35">
      <c r="B413" s="128">
        <f>IF(ISBLANK(C413),"",MAX($B$381:B412)+1)</f>
        <v>17</v>
      </c>
      <c r="C413" s="163" t="s">
        <v>109</v>
      </c>
      <c r="D413" s="1">
        <f>SUM(D402:D411)</f>
        <v>18380.50968117654</v>
      </c>
      <c r="E413" s="1">
        <f>SUM(E402:E411)</f>
        <v>23017.042087112211</v>
      </c>
      <c r="F413" s="1">
        <f t="shared" si="65"/>
        <v>4636.5324059356717</v>
      </c>
      <c r="G413" s="156">
        <f t="shared" si="66"/>
        <v>0.25225265710035993</v>
      </c>
    </row>
    <row r="414" spans="2:11" ht="15" customHeight="1" x14ac:dyDescent="0.35">
      <c r="C414" s="163"/>
    </row>
    <row r="415" spans="2:11" ht="15" customHeight="1" x14ac:dyDescent="0.35">
      <c r="C415" s="163"/>
    </row>
  </sheetData>
  <printOptions horizontalCentered="1"/>
  <pageMargins left="0.7" right="0.7" top="0.75" bottom="0.5" header="0.3" footer="0.3"/>
  <pageSetup scale="65" orientation="portrait" r:id="rId1"/>
  <rowBreaks count="6" manualBreakCount="6">
    <brk id="40" max="7" man="1"/>
    <brk id="94" max="7" man="1"/>
    <brk id="159" max="7" man="1"/>
    <brk id="230" max="7" man="1"/>
    <brk id="302" max="7" man="1"/>
    <brk id="37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97B5-DE54-4E24-812A-4DE4D20505DC}">
  <sheetPr codeName="Sheet4"/>
  <dimension ref="A1:K412"/>
  <sheetViews>
    <sheetView workbookViewId="0"/>
  </sheetViews>
  <sheetFormatPr defaultColWidth="9.26953125" defaultRowHeight="15" customHeight="1" x14ac:dyDescent="0.35"/>
  <cols>
    <col min="1" max="1" width="4.7265625" style="40" customWidth="1"/>
    <col min="2" max="2" width="11.1796875" style="40" customWidth="1"/>
    <col min="3" max="3" width="22.54296875" style="40" customWidth="1"/>
    <col min="4" max="7" width="20.7265625" style="40" customWidth="1"/>
    <col min="8" max="8" width="4.54296875" style="40" customWidth="1"/>
    <col min="9" max="9" width="9.26953125" style="40" customWidth="1"/>
    <col min="10" max="10" width="11" style="40" bestFit="1" customWidth="1"/>
    <col min="11" max="16382" width="9.26953125" style="40" customWidth="1"/>
    <col min="16383" max="16384" width="9.26953125" style="40"/>
  </cols>
  <sheetData>
    <row r="1" spans="1:8" ht="15" customHeight="1" x14ac:dyDescent="0.35">
      <c r="A1" s="42" t="str">
        <f>'RJA-6 (2025 rates)'!A2</f>
        <v>Cascade Natural Gas Corp.</v>
      </c>
      <c r="H1" s="41" t="s">
        <v>139</v>
      </c>
    </row>
    <row r="2" spans="1:8" ht="15" customHeight="1" x14ac:dyDescent="0.35">
      <c r="A2" s="42" t="str">
        <f>'RJA-6 (2025 rates)'!A3</f>
        <v>Washington Jurisdiction</v>
      </c>
      <c r="H2" s="41" t="s">
        <v>140</v>
      </c>
    </row>
    <row r="3" spans="1:8" ht="15" customHeight="1" x14ac:dyDescent="0.35">
      <c r="A3" s="126" t="s">
        <v>110</v>
      </c>
      <c r="H3" s="41" t="s">
        <v>49</v>
      </c>
    </row>
    <row r="4" spans="1:8" ht="15" customHeight="1" x14ac:dyDescent="0.35">
      <c r="A4" s="126"/>
    </row>
    <row r="5" spans="1:8" ht="15" customHeight="1" x14ac:dyDescent="0.35">
      <c r="A5" s="126"/>
    </row>
    <row r="6" spans="1:8" ht="15" customHeight="1" x14ac:dyDescent="0.35">
      <c r="A6" s="127" t="str">
        <f>'RJA-6 (2025 rates)'!B11</f>
        <v>Residential - 503</v>
      </c>
    </row>
    <row r="8" spans="1:8" ht="15" customHeight="1" x14ac:dyDescent="0.35">
      <c r="A8" s="128" t="s">
        <v>50</v>
      </c>
    </row>
    <row r="9" spans="1:8" ht="15" customHeight="1" x14ac:dyDescent="0.5">
      <c r="A9" s="129" t="s">
        <v>51</v>
      </c>
      <c r="B9" s="129" t="s">
        <v>52</v>
      </c>
      <c r="C9" s="129" t="s">
        <v>53</v>
      </c>
      <c r="D9" s="129" t="s">
        <v>54</v>
      </c>
      <c r="E9" s="129" t="s">
        <v>55</v>
      </c>
      <c r="F9" s="129" t="s">
        <v>56</v>
      </c>
      <c r="G9" s="129" t="s">
        <v>57</v>
      </c>
    </row>
    <row r="10" spans="1:8" ht="15" customHeight="1" x14ac:dyDescent="0.35">
      <c r="A10" s="128"/>
      <c r="B10" s="130"/>
      <c r="C10" s="131"/>
      <c r="D10" s="132" t="s">
        <v>59</v>
      </c>
      <c r="E10" s="133" t="s">
        <v>111</v>
      </c>
    </row>
    <row r="11" spans="1:8" ht="15" customHeight="1" x14ac:dyDescent="0.5">
      <c r="A11" s="128"/>
      <c r="B11" s="76"/>
      <c r="D11" s="129" t="s">
        <v>60</v>
      </c>
      <c r="E11" s="134" t="s">
        <v>9</v>
      </c>
    </row>
    <row r="12" spans="1:8" ht="15" customHeight="1" x14ac:dyDescent="0.35">
      <c r="A12" s="128">
        <f>IF(ISBLANK(B12),"",MAX($A$10:A11)+1)</f>
        <v>1</v>
      </c>
      <c r="B12" s="76" t="s">
        <v>18</v>
      </c>
      <c r="D12" s="135">
        <f>'RJA-6 (2026 rates)'!D12</f>
        <v>10</v>
      </c>
      <c r="E12" s="136">
        <f>'RJA-6 (2026 rates)'!G12</f>
        <v>11.5</v>
      </c>
    </row>
    <row r="13" spans="1:8" ht="15" customHeight="1" x14ac:dyDescent="0.35">
      <c r="A13" s="128" t="str">
        <f>IF(ISBLANK(B13),"",MAX($A$10:A12)+1)</f>
        <v/>
      </c>
      <c r="B13" s="76"/>
      <c r="D13" s="135"/>
      <c r="E13" s="136"/>
    </row>
    <row r="14" spans="1:8" ht="15" customHeight="1" x14ac:dyDescent="0.35">
      <c r="A14" s="128">
        <f>IF(ISBLANK(B14),"",MAX($A$10:A13)+1)</f>
        <v>2</v>
      </c>
      <c r="B14" s="76" t="s">
        <v>19</v>
      </c>
      <c r="D14" s="93">
        <f>'RJA-6 (2026 rates)'!D13</f>
        <v>0.42874000000000001</v>
      </c>
      <c r="E14" s="137">
        <f>'RJA-6 (2026 rates)'!G13</f>
        <v>0.43267</v>
      </c>
    </row>
    <row r="15" spans="1:8" ht="15" customHeight="1" x14ac:dyDescent="0.35">
      <c r="A15" s="128" t="str">
        <f>IF(ISBLANK(B15),"",MAX($A$10:A14)+1)</f>
        <v/>
      </c>
      <c r="B15" s="76"/>
      <c r="D15" s="135"/>
      <c r="E15" s="77"/>
    </row>
    <row r="16" spans="1:8" ht="15" customHeight="1" x14ac:dyDescent="0.35">
      <c r="A16" s="128">
        <f>IF(ISBLANK(B16),"",MAX($A$10:A15)+1)</f>
        <v>3</v>
      </c>
      <c r="B16" s="138" t="s">
        <v>61</v>
      </c>
      <c r="C16" s="139"/>
      <c r="D16" s="140">
        <f>'RJA-7 Bill Impact (2025)'!D16</f>
        <v>0.95769999999999977</v>
      </c>
      <c r="E16" s="141">
        <f>D16</f>
        <v>0.95769999999999977</v>
      </c>
    </row>
    <row r="17" spans="1:11" ht="15" customHeight="1" x14ac:dyDescent="0.35">
      <c r="A17" s="128" t="str">
        <f>IF(ISBLANK(B17),"",MAX($A$10:A16)+1)</f>
        <v/>
      </c>
      <c r="D17" s="93"/>
      <c r="E17" s="93"/>
    </row>
    <row r="18" spans="1:11" ht="15" customHeight="1" x14ac:dyDescent="0.35">
      <c r="A18" s="128"/>
    </row>
    <row r="19" spans="1:11" ht="15" customHeight="1" x14ac:dyDescent="0.5">
      <c r="A19" s="128"/>
      <c r="B19" s="128"/>
      <c r="C19" s="128" t="s">
        <v>62</v>
      </c>
      <c r="D19" s="128" t="s">
        <v>63</v>
      </c>
      <c r="E19" s="128" t="s">
        <v>63</v>
      </c>
      <c r="F19" s="142" t="s">
        <v>64</v>
      </c>
      <c r="G19" s="142"/>
    </row>
    <row r="20" spans="1:11" ht="15" customHeight="1" x14ac:dyDescent="0.35">
      <c r="A20" s="128"/>
      <c r="B20" s="128"/>
      <c r="C20" s="128" t="s">
        <v>65</v>
      </c>
      <c r="D20" s="128" t="s">
        <v>58</v>
      </c>
      <c r="E20" s="128" t="s">
        <v>66</v>
      </c>
      <c r="F20" s="128"/>
      <c r="G20" s="128"/>
    </row>
    <row r="21" spans="1:11" ht="15" customHeight="1" x14ac:dyDescent="0.5">
      <c r="A21" s="128"/>
      <c r="B21" s="129" t="s">
        <v>67</v>
      </c>
      <c r="C21" s="129" t="s">
        <v>68</v>
      </c>
      <c r="D21" s="129" t="s">
        <v>60</v>
      </c>
      <c r="E21" s="129" t="s">
        <v>60</v>
      </c>
      <c r="F21" s="129" t="s">
        <v>69</v>
      </c>
      <c r="G21" s="129" t="s">
        <v>70</v>
      </c>
    </row>
    <row r="22" spans="1:11" ht="15" customHeight="1" x14ac:dyDescent="0.35">
      <c r="A22" s="128" t="str">
        <f>IF(ISBLANK(B22),"",MAX($A$10:A21)+1)</f>
        <v/>
      </c>
      <c r="K22" s="143" t="s">
        <v>71</v>
      </c>
    </row>
    <row r="23" spans="1:11" ht="15" customHeight="1" x14ac:dyDescent="0.35">
      <c r="A23" s="128">
        <f>IF(ISBLANK(B23),"",MAX($A$10:A22)+1)</f>
        <v>4</v>
      </c>
      <c r="B23" s="128" t="s">
        <v>72</v>
      </c>
      <c r="C23" s="144">
        <f t="shared" ref="C23:C34" si="0">ROUND(J23/$K$23,0)</f>
        <v>108</v>
      </c>
      <c r="D23" s="16">
        <f>D$12+(D$14+D$16)*$C23</f>
        <v>159.73551999999998</v>
      </c>
      <c r="E23" s="16">
        <f>E$12+(E$14+E$16)*$C23</f>
        <v>161.65995999999998</v>
      </c>
      <c r="F23" s="16">
        <f>E23-D23</f>
        <v>1.9244400000000041</v>
      </c>
      <c r="G23" s="89">
        <f>F23/D23</f>
        <v>1.2047664789897728E-2</v>
      </c>
      <c r="J23" s="145">
        <v>22102360.038374364</v>
      </c>
      <c r="K23" s="45">
        <f>'Test year 2023'!C12/12</f>
        <v>204516</v>
      </c>
    </row>
    <row r="24" spans="1:11" ht="15" customHeight="1" x14ac:dyDescent="0.35">
      <c r="A24" s="128">
        <f>IF(ISBLANK(B24),"",MAX($A$10:A23)+1)</f>
        <v>5</v>
      </c>
      <c r="B24" s="128" t="s">
        <v>73</v>
      </c>
      <c r="C24" s="144">
        <f t="shared" si="0"/>
        <v>85</v>
      </c>
      <c r="D24" s="16">
        <f t="shared" ref="D24:E34" si="1">D$12+(D$14+D$16)*$C24</f>
        <v>127.84739999999999</v>
      </c>
      <c r="E24" s="16">
        <f t="shared" si="1"/>
        <v>129.68144999999998</v>
      </c>
      <c r="F24" s="16">
        <f t="shared" ref="F24:F34" si="2">E24-D24</f>
        <v>1.8340499999999906</v>
      </c>
      <c r="G24" s="89">
        <f t="shared" ref="G24:G37" si="3">F24/D24</f>
        <v>1.4345618291807192E-2</v>
      </c>
      <c r="J24" s="146">
        <v>17345794.337006759</v>
      </c>
      <c r="K24" s="77"/>
    </row>
    <row r="25" spans="1:11" ht="15" customHeight="1" x14ac:dyDescent="0.35">
      <c r="A25" s="128">
        <f>IF(ISBLANK(B25),"",MAX($A$10:A24)+1)</f>
        <v>6</v>
      </c>
      <c r="B25" s="128" t="s">
        <v>74</v>
      </c>
      <c r="C25" s="144">
        <f t="shared" si="0"/>
        <v>72</v>
      </c>
      <c r="D25" s="16">
        <f t="shared" si="1"/>
        <v>109.82368</v>
      </c>
      <c r="E25" s="16">
        <f t="shared" si="1"/>
        <v>111.60664</v>
      </c>
      <c r="F25" s="16">
        <f t="shared" si="2"/>
        <v>1.7829600000000028</v>
      </c>
      <c r="G25" s="89">
        <f t="shared" si="3"/>
        <v>1.6234750101253234E-2</v>
      </c>
      <c r="J25" s="146">
        <v>14813182.928166313</v>
      </c>
      <c r="K25" s="77"/>
    </row>
    <row r="26" spans="1:11" ht="15" customHeight="1" x14ac:dyDescent="0.35">
      <c r="A26" s="128">
        <f>IF(ISBLANK(B26),"",MAX($A$10:A25)+1)</f>
        <v>7</v>
      </c>
      <c r="B26" s="128" t="s">
        <v>75</v>
      </c>
      <c r="C26" s="144">
        <f t="shared" si="0"/>
        <v>47</v>
      </c>
      <c r="D26" s="16">
        <f t="shared" si="1"/>
        <v>75.162679999999995</v>
      </c>
      <c r="E26" s="16">
        <f t="shared" si="1"/>
        <v>76.84738999999999</v>
      </c>
      <c r="F26" s="16">
        <f t="shared" si="2"/>
        <v>1.6847099999999955</v>
      </c>
      <c r="G26" s="89">
        <f t="shared" si="3"/>
        <v>2.2414182144649387E-2</v>
      </c>
      <c r="J26" s="146">
        <v>9574436.7302607335</v>
      </c>
      <c r="K26" s="77"/>
    </row>
    <row r="27" spans="1:11" ht="15" customHeight="1" x14ac:dyDescent="0.35">
      <c r="A27" s="128">
        <f>IF(ISBLANK(B27),"",MAX($A$10:A26)+1)</f>
        <v>8</v>
      </c>
      <c r="B27" s="128" t="s">
        <v>76</v>
      </c>
      <c r="C27" s="144">
        <f t="shared" si="0"/>
        <v>30</v>
      </c>
      <c r="D27" s="16">
        <f t="shared" si="1"/>
        <v>51.593199999999996</v>
      </c>
      <c r="E27" s="16">
        <f t="shared" si="1"/>
        <v>53.211099999999995</v>
      </c>
      <c r="F27" s="16">
        <f t="shared" si="2"/>
        <v>1.6178999999999988</v>
      </c>
      <c r="G27" s="89">
        <f t="shared" si="3"/>
        <v>3.1358783715683444E-2</v>
      </c>
      <c r="J27" s="146">
        <v>6071209.5928084478</v>
      </c>
      <c r="K27" s="77"/>
    </row>
    <row r="28" spans="1:11" ht="15" customHeight="1" x14ac:dyDescent="0.35">
      <c r="A28" s="128">
        <f>IF(ISBLANK(B28),"",MAX($A$10:A27)+1)</f>
        <v>9</v>
      </c>
      <c r="B28" s="128" t="s">
        <v>77</v>
      </c>
      <c r="C28" s="144">
        <f t="shared" si="0"/>
        <v>15</v>
      </c>
      <c r="D28" s="16">
        <f t="shared" si="1"/>
        <v>30.796599999999998</v>
      </c>
      <c r="E28" s="16">
        <f t="shared" si="1"/>
        <v>32.355549999999994</v>
      </c>
      <c r="F28" s="16">
        <f t="shared" si="2"/>
        <v>1.5589499999999958</v>
      </c>
      <c r="G28" s="89">
        <f t="shared" si="3"/>
        <v>5.0620847755920975E-2</v>
      </c>
      <c r="J28" s="146">
        <v>3158886.2100451053</v>
      </c>
      <c r="K28" s="77"/>
    </row>
    <row r="29" spans="1:11" ht="15" customHeight="1" x14ac:dyDescent="0.35">
      <c r="A29" s="128">
        <f>IF(ISBLANK(B29),"",MAX($A$10:A28)+1)</f>
        <v>10</v>
      </c>
      <c r="B29" s="128" t="s">
        <v>78</v>
      </c>
      <c r="C29" s="144">
        <f t="shared" si="0"/>
        <v>16</v>
      </c>
      <c r="D29" s="16">
        <f t="shared" si="1"/>
        <v>32.183039999999998</v>
      </c>
      <c r="E29" s="16">
        <f t="shared" si="1"/>
        <v>33.745919999999998</v>
      </c>
      <c r="F29" s="16">
        <f t="shared" si="2"/>
        <v>1.5628799999999998</v>
      </c>
      <c r="G29" s="89">
        <f t="shared" si="3"/>
        <v>4.8562224078272279E-2</v>
      </c>
      <c r="J29" s="146">
        <v>3263572.0050519761</v>
      </c>
      <c r="K29" s="77"/>
    </row>
    <row r="30" spans="1:11" ht="15" customHeight="1" x14ac:dyDescent="0.35">
      <c r="A30" s="128">
        <f>IF(ISBLANK(B30),"",MAX($A$10:A29)+1)</f>
        <v>11</v>
      </c>
      <c r="B30" s="128" t="s">
        <v>79</v>
      </c>
      <c r="C30" s="144">
        <f t="shared" si="0"/>
        <v>8</v>
      </c>
      <c r="D30" s="16">
        <f t="shared" si="1"/>
        <v>21.091519999999999</v>
      </c>
      <c r="E30" s="16">
        <f t="shared" si="1"/>
        <v>22.622959999999999</v>
      </c>
      <c r="F30" s="16">
        <f t="shared" si="2"/>
        <v>1.5314399999999999</v>
      </c>
      <c r="G30" s="89">
        <f t="shared" si="3"/>
        <v>7.2609276145104762E-2</v>
      </c>
      <c r="J30" s="146">
        <v>1712901.0639956377</v>
      </c>
      <c r="K30" s="77"/>
    </row>
    <row r="31" spans="1:11" ht="15" customHeight="1" x14ac:dyDescent="0.35">
      <c r="A31" s="128">
        <f>IF(ISBLANK(B31),"",MAX($A$10:A30)+1)</f>
        <v>12</v>
      </c>
      <c r="B31" s="128" t="s">
        <v>80</v>
      </c>
      <c r="C31" s="144">
        <f t="shared" si="0"/>
        <v>18</v>
      </c>
      <c r="D31" s="16">
        <f t="shared" si="1"/>
        <v>34.955919999999999</v>
      </c>
      <c r="E31" s="16">
        <f t="shared" si="1"/>
        <v>36.52666</v>
      </c>
      <c r="F31" s="16">
        <f t="shared" si="2"/>
        <v>1.5707400000000007</v>
      </c>
      <c r="G31" s="89">
        <f t="shared" si="3"/>
        <v>4.4934877983471774E-2</v>
      </c>
      <c r="J31" s="146">
        <v>3730497.8331289045</v>
      </c>
      <c r="K31" s="77"/>
    </row>
    <row r="32" spans="1:11" ht="15" customHeight="1" x14ac:dyDescent="0.35">
      <c r="A32" s="128">
        <f>IF(ISBLANK(B32),"",MAX($A$10:A31)+1)</f>
        <v>13</v>
      </c>
      <c r="B32" s="128" t="s">
        <v>81</v>
      </c>
      <c r="C32" s="144">
        <f t="shared" si="0"/>
        <v>44</v>
      </c>
      <c r="D32" s="16">
        <f t="shared" si="1"/>
        <v>71.003359999999986</v>
      </c>
      <c r="E32" s="16">
        <f t="shared" si="1"/>
        <v>72.676279999999991</v>
      </c>
      <c r="F32" s="16">
        <f t="shared" si="2"/>
        <v>1.6729200000000048</v>
      </c>
      <c r="G32" s="89">
        <f t="shared" si="3"/>
        <v>2.3561138515135131E-2</v>
      </c>
      <c r="J32" s="146">
        <v>9082145.6496453453</v>
      </c>
      <c r="K32" s="77"/>
    </row>
    <row r="33" spans="1:11" ht="15" customHeight="1" x14ac:dyDescent="0.35">
      <c r="A33" s="128">
        <f>IF(ISBLANK(B33),"",MAX($A$10:A32)+1)</f>
        <v>14</v>
      </c>
      <c r="B33" s="128" t="s">
        <v>82</v>
      </c>
      <c r="C33" s="144">
        <f t="shared" si="0"/>
        <v>83</v>
      </c>
      <c r="D33" s="16">
        <f t="shared" si="1"/>
        <v>125.07451999999999</v>
      </c>
      <c r="E33" s="16">
        <f t="shared" si="1"/>
        <v>126.90070999999999</v>
      </c>
      <c r="F33" s="16">
        <f t="shared" si="2"/>
        <v>1.8261899999999969</v>
      </c>
      <c r="G33" s="89">
        <f t="shared" si="3"/>
        <v>1.4600815577785123E-2</v>
      </c>
      <c r="J33" s="146">
        <v>17043162.354835041</v>
      </c>
      <c r="K33" s="77"/>
    </row>
    <row r="34" spans="1:11" ht="15" customHeight="1" x14ac:dyDescent="0.5">
      <c r="A34" s="128">
        <f>IF(ISBLANK(B34),"",MAX($A$10:A33)+1)</f>
        <v>15</v>
      </c>
      <c r="B34" s="128" t="s">
        <v>83</v>
      </c>
      <c r="C34" s="147">
        <f t="shared" si="0"/>
        <v>108</v>
      </c>
      <c r="D34" s="17">
        <f t="shared" si="1"/>
        <v>159.73551999999998</v>
      </c>
      <c r="E34" s="17">
        <f t="shared" si="1"/>
        <v>161.65995999999998</v>
      </c>
      <c r="F34" s="17">
        <f t="shared" si="2"/>
        <v>1.9244400000000041</v>
      </c>
      <c r="G34" s="89">
        <f t="shared" si="3"/>
        <v>1.2047664789897728E-2</v>
      </c>
      <c r="J34" s="148">
        <v>22015297.412013046</v>
      </c>
      <c r="K34" s="149"/>
    </row>
    <row r="35" spans="1:11" ht="15" customHeight="1" x14ac:dyDescent="0.5">
      <c r="A35" s="128">
        <f>IF(ISBLANK(B35),"",MAX($A$10:A34)+1)</f>
        <v>16</v>
      </c>
      <c r="B35" s="40" t="s">
        <v>45</v>
      </c>
      <c r="C35" s="150">
        <f>SUM(C23:C34)</f>
        <v>634</v>
      </c>
      <c r="D35" s="18">
        <f>SUM(D23:D34)</f>
        <v>999.00295999999992</v>
      </c>
      <c r="E35" s="18">
        <f>SUM(E23:E34)</f>
        <v>1019.4945799999999</v>
      </c>
      <c r="F35" s="18">
        <f>SUM(F23:F34)</f>
        <v>20.491619999999994</v>
      </c>
      <c r="G35" s="89"/>
      <c r="J35" s="151">
        <f>SUM(J23:J34)/K23-C35</f>
        <v>1.2238756641615964</v>
      </c>
    </row>
    <row r="36" spans="1:11" ht="15" customHeight="1" x14ac:dyDescent="0.35">
      <c r="A36" s="128" t="str">
        <f>IF(ISBLANK(B36),"",MAX($A$10:A35)+1)</f>
        <v/>
      </c>
      <c r="J36" s="152">
        <f>SUM(J23:J34)/K23</f>
        <v>635.2238756641616</v>
      </c>
      <c r="K36" s="122"/>
    </row>
    <row r="37" spans="1:11" ht="15" customHeight="1" x14ac:dyDescent="0.35">
      <c r="A37" s="128">
        <f>IF(ISBLANK(B37),"",MAX($A$10:A36)+1)</f>
        <v>17</v>
      </c>
      <c r="B37" s="40" t="s">
        <v>84</v>
      </c>
      <c r="D37" s="153">
        <f>D35/12</f>
        <v>83.250246666666655</v>
      </c>
      <c r="E37" s="153">
        <f t="shared" ref="E37" si="4">E35/12</f>
        <v>84.957881666666665</v>
      </c>
      <c r="F37" s="153">
        <f>F35/12</f>
        <v>1.7076349999999996</v>
      </c>
      <c r="G37" s="89">
        <f t="shared" si="3"/>
        <v>2.0512071355624408E-2</v>
      </c>
    </row>
    <row r="41" spans="1:11" ht="15" customHeight="1" x14ac:dyDescent="0.35">
      <c r="A41" s="42" t="str">
        <f>A1</f>
        <v>Cascade Natural Gas Corp.</v>
      </c>
      <c r="H41" s="41" t="str">
        <f>H1</f>
        <v>Exh. RJA-7</v>
      </c>
    </row>
    <row r="42" spans="1:11" ht="15" customHeight="1" x14ac:dyDescent="0.35">
      <c r="A42" s="42" t="str">
        <f>A2</f>
        <v>Washington Jurisdiction</v>
      </c>
      <c r="H42" s="41" t="s">
        <v>141</v>
      </c>
    </row>
    <row r="43" spans="1:11" ht="15" customHeight="1" x14ac:dyDescent="0.35">
      <c r="A43" s="42" t="s">
        <v>112</v>
      </c>
      <c r="H43" s="41" t="s">
        <v>86</v>
      </c>
    </row>
    <row r="44" spans="1:11" ht="15" customHeight="1" x14ac:dyDescent="0.35">
      <c r="A44" s="42"/>
    </row>
    <row r="45" spans="1:11" ht="15" customHeight="1" x14ac:dyDescent="0.35">
      <c r="B45" s="127" t="str">
        <f>'RJA-6 (2026 rates)'!B11</f>
        <v>Residential - 503</v>
      </c>
    </row>
    <row r="47" spans="1:11" ht="15" customHeight="1" x14ac:dyDescent="0.5">
      <c r="B47" s="129" t="s">
        <v>87</v>
      </c>
      <c r="C47" s="129" t="s">
        <v>52</v>
      </c>
      <c r="D47" s="129" t="s">
        <v>53</v>
      </c>
      <c r="E47" s="129" t="s">
        <v>54</v>
      </c>
      <c r="F47" s="129" t="s">
        <v>55</v>
      </c>
      <c r="G47" s="129" t="s">
        <v>56</v>
      </c>
    </row>
    <row r="48" spans="1:11" ht="15" customHeight="1" x14ac:dyDescent="0.35">
      <c r="B48" s="128"/>
      <c r="C48" s="130"/>
      <c r="D48" s="154" t="s">
        <v>59</v>
      </c>
      <c r="E48" s="155" t="s">
        <v>111</v>
      </c>
    </row>
    <row r="49" spans="2:7" ht="15" customHeight="1" x14ac:dyDescent="0.5">
      <c r="B49" s="128"/>
      <c r="C49" s="76"/>
      <c r="D49" s="129" t="s">
        <v>60</v>
      </c>
      <c r="E49" s="134" t="s">
        <v>9</v>
      </c>
    </row>
    <row r="50" spans="2:7" ht="15" customHeight="1" x14ac:dyDescent="0.35">
      <c r="B50" s="128">
        <f>IF(ISBLANK(C50),"",MAX($B$49:B49)+1)</f>
        <v>1</v>
      </c>
      <c r="C50" s="76" t="s">
        <v>18</v>
      </c>
      <c r="D50" s="135">
        <f>'RJA-6 (2026 rates)'!D12</f>
        <v>10</v>
      </c>
      <c r="E50" s="136">
        <f>'RJA-6 (2026 rates)'!G12</f>
        <v>11.5</v>
      </c>
    </row>
    <row r="51" spans="2:7" ht="15" customHeight="1" x14ac:dyDescent="0.35">
      <c r="B51" s="128" t="str">
        <f>IF(ISBLANK(C51),"",MAX($B$49:B50)+1)</f>
        <v/>
      </c>
      <c r="C51" s="76"/>
      <c r="D51" s="135"/>
      <c r="E51" s="136"/>
    </row>
    <row r="52" spans="2:7" ht="15" customHeight="1" x14ac:dyDescent="0.35">
      <c r="B52" s="128">
        <f>IF(ISBLANK(C52),"",MAX($B$49:B51)+1)</f>
        <v>2</v>
      </c>
      <c r="C52" s="76" t="s">
        <v>88</v>
      </c>
      <c r="D52" s="93">
        <f>SUM('RJA-6 (2026 rates)'!D13:E13)</f>
        <v>0.42874000000000001</v>
      </c>
      <c r="E52" s="137">
        <f>SUM('RJA-6 (2026 rates)'!G13:H13)</f>
        <v>0.43267</v>
      </c>
    </row>
    <row r="53" spans="2:7" ht="15" customHeight="1" x14ac:dyDescent="0.35">
      <c r="B53" s="128" t="str">
        <f>IF(ISBLANK(C53),"",MAX($B$49:B52)+1)</f>
        <v/>
      </c>
      <c r="C53" s="76"/>
      <c r="D53" s="135"/>
      <c r="E53" s="77"/>
    </row>
    <row r="54" spans="2:7" ht="15" customHeight="1" x14ac:dyDescent="0.35">
      <c r="B54" s="128">
        <f>IF(ISBLANK(C54),"",MAX($B$49:B53)+1)</f>
        <v>3</v>
      </c>
      <c r="C54" s="138" t="s">
        <v>61</v>
      </c>
      <c r="D54" s="140">
        <f>D16</f>
        <v>0.95769999999999977</v>
      </c>
      <c r="E54" s="141">
        <f>D54</f>
        <v>0.95769999999999977</v>
      </c>
    </row>
    <row r="55" spans="2:7" ht="15" customHeight="1" x14ac:dyDescent="0.35">
      <c r="B55" s="128" t="str">
        <f>IF(ISBLANK(C55),"",MAX($B$49:B54)+1)</f>
        <v/>
      </c>
    </row>
    <row r="56" spans="2:7" ht="15" customHeight="1" x14ac:dyDescent="0.35">
      <c r="B56" s="128" t="str">
        <f>IF(ISBLANK(C56),"",MAX($B$49:B55)+1)</f>
        <v/>
      </c>
      <c r="C56" s="128"/>
      <c r="D56" s="128"/>
      <c r="E56" s="128"/>
    </row>
    <row r="57" spans="2:7" ht="15" customHeight="1" x14ac:dyDescent="0.5">
      <c r="B57" s="128"/>
      <c r="C57" s="128" t="s">
        <v>89</v>
      </c>
      <c r="D57" s="128" t="s">
        <v>63</v>
      </c>
      <c r="E57" s="128" t="s">
        <v>63</v>
      </c>
      <c r="F57" s="142" t="s">
        <v>90</v>
      </c>
      <c r="G57" s="142"/>
    </row>
    <row r="58" spans="2:7" ht="15" customHeight="1" x14ac:dyDescent="0.5">
      <c r="B58" s="128"/>
      <c r="C58" s="129" t="s">
        <v>91</v>
      </c>
      <c r="D58" s="129" t="s">
        <v>8</v>
      </c>
      <c r="E58" s="129" t="s">
        <v>9</v>
      </c>
      <c r="F58" s="129" t="s">
        <v>69</v>
      </c>
      <c r="G58" s="129" t="s">
        <v>70</v>
      </c>
    </row>
    <row r="59" spans="2:7" ht="15" customHeight="1" x14ac:dyDescent="0.35">
      <c r="B59" s="128">
        <f>IF(ISBLANK(C59),"",MAX($B$49:B58)+1)</f>
        <v>4</v>
      </c>
      <c r="C59" s="128">
        <v>0</v>
      </c>
      <c r="D59" s="1">
        <f>D$50+(D$52+D$54)*$C59</f>
        <v>10</v>
      </c>
      <c r="E59" s="1">
        <f>E$50+(E$52+E$54)*$C59</f>
        <v>11.5</v>
      </c>
      <c r="F59" s="1">
        <f>E59-D59</f>
        <v>1.5</v>
      </c>
      <c r="G59" s="156">
        <f>F59/D59</f>
        <v>0.15</v>
      </c>
    </row>
    <row r="60" spans="2:7" ht="15" customHeight="1" x14ac:dyDescent="0.35">
      <c r="B60" s="128" t="str">
        <f>IF(ISBLANK(C60),"",MAX($B$49:B59)+1)</f>
        <v/>
      </c>
      <c r="C60" s="128"/>
      <c r="D60" s="1"/>
      <c r="E60" s="1"/>
      <c r="F60" s="1"/>
      <c r="G60" s="156"/>
    </row>
    <row r="61" spans="2:7" ht="15" customHeight="1" x14ac:dyDescent="0.35">
      <c r="B61" s="128">
        <f>IF(ISBLANK(C61),"",MAX($B$49:B60)+1)</f>
        <v>5</v>
      </c>
      <c r="C61" s="128">
        <v>25</v>
      </c>
      <c r="D61" s="1">
        <f>D$50+(D$52+D$54)*$C61</f>
        <v>44.660999999999994</v>
      </c>
      <c r="E61" s="1">
        <f>E$50+(E$52+E$54)*$C61</f>
        <v>46.259249999999994</v>
      </c>
      <c r="F61" s="1">
        <f>E61-D61</f>
        <v>1.5982500000000002</v>
      </c>
      <c r="G61" s="156">
        <f>F61/D61</f>
        <v>3.5786256465372479E-2</v>
      </c>
    </row>
    <row r="62" spans="2:7" ht="15" customHeight="1" x14ac:dyDescent="0.35">
      <c r="B62" s="128" t="str">
        <f>IF(ISBLANK(C62),"",MAX($B$49:B61)+1)</f>
        <v/>
      </c>
      <c r="C62" s="128"/>
      <c r="D62" s="1"/>
      <c r="E62" s="1"/>
      <c r="F62" s="1"/>
      <c r="G62" s="156"/>
    </row>
    <row r="63" spans="2:7" ht="15" customHeight="1" x14ac:dyDescent="0.35">
      <c r="B63" s="128">
        <f>IF(ISBLANK(C63),"",MAX($B$49:B62)+1)</f>
        <v>6</v>
      </c>
      <c r="C63" s="128">
        <v>30</v>
      </c>
      <c r="D63" s="1">
        <f t="shared" ref="D63:E67" si="5">D$50+(D$52+D$54)*$C63</f>
        <v>51.593199999999996</v>
      </c>
      <c r="E63" s="1">
        <f t="shared" si="5"/>
        <v>53.211099999999995</v>
      </c>
      <c r="F63" s="1">
        <f>E63-D63</f>
        <v>1.6178999999999988</v>
      </c>
      <c r="G63" s="156">
        <f>F63/D63</f>
        <v>3.1358783715683444E-2</v>
      </c>
    </row>
    <row r="64" spans="2:7" ht="15" customHeight="1" x14ac:dyDescent="0.35">
      <c r="B64" s="128">
        <f>IF(ISBLANK(C64),"",MAX($B$49:B63)+1)</f>
        <v>7</v>
      </c>
      <c r="C64" s="128">
        <v>35</v>
      </c>
      <c r="D64" s="1">
        <f t="shared" si="5"/>
        <v>58.525399999999998</v>
      </c>
      <c r="E64" s="1">
        <f t="shared" si="5"/>
        <v>60.162949999999995</v>
      </c>
      <c r="F64" s="1">
        <f>E64-D64</f>
        <v>1.6375499999999974</v>
      </c>
      <c r="G64" s="156">
        <f>F64/D64</f>
        <v>2.7980159042056911E-2</v>
      </c>
    </row>
    <row r="65" spans="2:7" ht="15" customHeight="1" x14ac:dyDescent="0.35">
      <c r="B65" s="128">
        <f>IF(ISBLANK(C65),"",MAX($B$49:B64)+1)</f>
        <v>8</v>
      </c>
      <c r="C65" s="128">
        <v>40</v>
      </c>
      <c r="D65" s="1">
        <f t="shared" si="5"/>
        <v>65.457599999999999</v>
      </c>
      <c r="E65" s="1">
        <f t="shared" si="5"/>
        <v>67.114800000000002</v>
      </c>
      <c r="F65" s="1">
        <f>E65-D65</f>
        <v>1.6572000000000031</v>
      </c>
      <c r="G65" s="156">
        <f>F65/D65</f>
        <v>2.531715186624629E-2</v>
      </c>
    </row>
    <row r="66" spans="2:7" ht="15" customHeight="1" x14ac:dyDescent="0.35">
      <c r="B66" s="128">
        <f>IF(ISBLANK(C66),"",MAX($B$49:B65)+1)</f>
        <v>9</v>
      </c>
      <c r="C66" s="128">
        <v>45</v>
      </c>
      <c r="D66" s="1">
        <f t="shared" si="5"/>
        <v>72.389799999999994</v>
      </c>
      <c r="E66" s="1">
        <f t="shared" si="5"/>
        <v>74.066649999999996</v>
      </c>
      <c r="F66" s="1">
        <f>E66-D66</f>
        <v>1.6768500000000017</v>
      </c>
      <c r="G66" s="156">
        <f>F66/D66</f>
        <v>2.3164175063337678E-2</v>
      </c>
    </row>
    <row r="67" spans="2:7" ht="15" customHeight="1" x14ac:dyDescent="0.35">
      <c r="B67" s="128">
        <f>IF(ISBLANK(C67),"",MAX($B$49:B66)+1)</f>
        <v>10</v>
      </c>
      <c r="C67" s="128">
        <v>50</v>
      </c>
      <c r="D67" s="1">
        <f t="shared" si="5"/>
        <v>79.321999999999989</v>
      </c>
      <c r="E67" s="1">
        <f t="shared" si="5"/>
        <v>81.018499999999989</v>
      </c>
      <c r="F67" s="1">
        <f>E67-D67</f>
        <v>1.6965000000000003</v>
      </c>
      <c r="G67" s="156">
        <f>F67/D67</f>
        <v>2.1387509139961177E-2</v>
      </c>
    </row>
    <row r="68" spans="2:7" ht="15" customHeight="1" x14ac:dyDescent="0.35">
      <c r="B68" s="128" t="str">
        <f>IF(ISBLANK(C68),"",MAX($B$49:B67)+1)</f>
        <v/>
      </c>
      <c r="C68" s="128"/>
      <c r="D68" s="1"/>
      <c r="E68" s="1"/>
      <c r="F68" s="1"/>
      <c r="G68" s="156"/>
    </row>
    <row r="69" spans="2:7" ht="15" customHeight="1" x14ac:dyDescent="0.35">
      <c r="B69" s="128">
        <f>IF(ISBLANK(C69),"",MAX($B$49:B68)+1)</f>
        <v>11</v>
      </c>
      <c r="C69" s="128">
        <v>60</v>
      </c>
      <c r="D69" s="1">
        <f t="shared" ref="D69:E73" si="6">D$50+(D$52+D$54)*$C69</f>
        <v>93.186399999999992</v>
      </c>
      <c r="E69" s="1">
        <f t="shared" si="6"/>
        <v>94.922199999999989</v>
      </c>
      <c r="F69" s="1">
        <f>E69-D69</f>
        <v>1.7357999999999976</v>
      </c>
      <c r="G69" s="156">
        <f>F69/D69</f>
        <v>1.8627181648824268E-2</v>
      </c>
    </row>
    <row r="70" spans="2:7" ht="15" customHeight="1" x14ac:dyDescent="0.35">
      <c r="B70" s="128">
        <f>IF(ISBLANK(C70),"",MAX($B$49:B69)+1)</f>
        <v>12</v>
      </c>
      <c r="C70" s="128">
        <v>70</v>
      </c>
      <c r="D70" s="1">
        <f t="shared" si="6"/>
        <v>107.0508</v>
      </c>
      <c r="E70" s="1">
        <f t="shared" si="6"/>
        <v>108.82589999999999</v>
      </c>
      <c r="F70" s="1">
        <f>E70-D70</f>
        <v>1.7750999999999948</v>
      </c>
      <c r="G70" s="156">
        <f>F70/D70</f>
        <v>1.6581847123048075E-2</v>
      </c>
    </row>
    <row r="71" spans="2:7" ht="15" customHeight="1" x14ac:dyDescent="0.35">
      <c r="B71" s="128">
        <f>IF(ISBLANK(C71),"",MAX($B$49:B70)+1)</f>
        <v>13</v>
      </c>
      <c r="C71" s="128">
        <v>80</v>
      </c>
      <c r="D71" s="1">
        <f t="shared" si="6"/>
        <v>120.9152</v>
      </c>
      <c r="E71" s="1">
        <f t="shared" si="6"/>
        <v>122.72959999999999</v>
      </c>
      <c r="F71" s="1">
        <f>E71-D71</f>
        <v>1.814399999999992</v>
      </c>
      <c r="G71" s="156">
        <f>F71/D71</f>
        <v>1.500555761393102E-2</v>
      </c>
    </row>
    <row r="72" spans="2:7" ht="15" customHeight="1" x14ac:dyDescent="0.35">
      <c r="B72" s="128">
        <f>IF(ISBLANK(C72),"",MAX($B$49:B71)+1)</f>
        <v>14</v>
      </c>
      <c r="C72" s="128">
        <v>90</v>
      </c>
      <c r="D72" s="1">
        <f t="shared" si="6"/>
        <v>134.77959999999999</v>
      </c>
      <c r="E72" s="1">
        <f t="shared" si="6"/>
        <v>136.63329999999999</v>
      </c>
      <c r="F72" s="1">
        <f>E72-D72</f>
        <v>1.8537000000000035</v>
      </c>
      <c r="G72" s="156">
        <f>F72/D72</f>
        <v>1.3753565079581804E-2</v>
      </c>
    </row>
    <row r="73" spans="2:7" ht="15" customHeight="1" x14ac:dyDescent="0.35">
      <c r="B73" s="128">
        <f>IF(ISBLANK(C73),"",MAX($B$49:B72)+1)</f>
        <v>15</v>
      </c>
      <c r="C73" s="128">
        <v>100</v>
      </c>
      <c r="D73" s="1">
        <f t="shared" si="6"/>
        <v>148.64399999999998</v>
      </c>
      <c r="E73" s="1">
        <f t="shared" si="6"/>
        <v>150.53699999999998</v>
      </c>
      <c r="F73" s="1">
        <f>E73-D73</f>
        <v>1.8930000000000007</v>
      </c>
      <c r="G73" s="156">
        <f>F73/D73</f>
        <v>1.2735125534834914E-2</v>
      </c>
    </row>
    <row r="74" spans="2:7" ht="15" customHeight="1" x14ac:dyDescent="0.35">
      <c r="B74" s="128" t="str">
        <f>IF(ISBLANK(C74),"",MAX($B$49:B73)+1)</f>
        <v/>
      </c>
      <c r="C74" s="128"/>
      <c r="D74" s="1"/>
      <c r="E74" s="1"/>
      <c r="F74" s="1"/>
      <c r="G74" s="156"/>
    </row>
    <row r="75" spans="2:7" ht="15" customHeight="1" x14ac:dyDescent="0.35">
      <c r="B75" s="128">
        <f>IF(ISBLANK(C75),"",MAX($B$49:B74)+1)</f>
        <v>16</v>
      </c>
      <c r="C75" s="128">
        <v>110</v>
      </c>
      <c r="D75" s="1">
        <f t="shared" ref="D75:E79" si="7">D$50+(D$52+D$54)*$C75</f>
        <v>162.50839999999999</v>
      </c>
      <c r="E75" s="1">
        <f t="shared" si="7"/>
        <v>164.44069999999999</v>
      </c>
      <c r="F75" s="1">
        <f>E75-D75</f>
        <v>1.9322999999999979</v>
      </c>
      <c r="G75" s="156">
        <f>F75/D75</f>
        <v>1.189046227764225E-2</v>
      </c>
    </row>
    <row r="76" spans="2:7" ht="15" customHeight="1" x14ac:dyDescent="0.35">
      <c r="B76" s="128">
        <f>IF(ISBLANK(C76),"",MAX($B$49:B75)+1)</f>
        <v>17</v>
      </c>
      <c r="C76" s="128">
        <v>120</v>
      </c>
      <c r="D76" s="1">
        <f t="shared" si="7"/>
        <v>176.37279999999998</v>
      </c>
      <c r="E76" s="1">
        <f t="shared" si="7"/>
        <v>178.34439999999998</v>
      </c>
      <c r="F76" s="1">
        <f>E76-D76</f>
        <v>1.9715999999999951</v>
      </c>
      <c r="G76" s="156">
        <f>F76/D76</f>
        <v>1.1178594431794446E-2</v>
      </c>
    </row>
    <row r="77" spans="2:7" ht="15" customHeight="1" x14ac:dyDescent="0.35">
      <c r="B77" s="128">
        <f>IF(ISBLANK(C77),"",MAX($B$49:B76)+1)</f>
        <v>18</v>
      </c>
      <c r="C77" s="128">
        <v>130</v>
      </c>
      <c r="D77" s="1">
        <f t="shared" si="7"/>
        <v>190.23719999999997</v>
      </c>
      <c r="E77" s="1">
        <f t="shared" si="7"/>
        <v>192.24809999999999</v>
      </c>
      <c r="F77" s="1">
        <f>E77-D77</f>
        <v>2.0109000000000208</v>
      </c>
      <c r="G77" s="156">
        <f>F77/D77</f>
        <v>1.0570487791031518E-2</v>
      </c>
    </row>
    <row r="78" spans="2:7" ht="15" customHeight="1" x14ac:dyDescent="0.35">
      <c r="B78" s="128">
        <f>IF(ISBLANK(C78),"",MAX($B$49:B77)+1)</f>
        <v>19</v>
      </c>
      <c r="C78" s="128">
        <v>140</v>
      </c>
      <c r="D78" s="1">
        <f t="shared" si="7"/>
        <v>204.10159999999999</v>
      </c>
      <c r="E78" s="1">
        <f t="shared" si="7"/>
        <v>206.15179999999998</v>
      </c>
      <c r="F78" s="1">
        <f>E78-D78</f>
        <v>2.0501999999999896</v>
      </c>
      <c r="G78" s="156">
        <f>F78/D78</f>
        <v>1.0044997197474148E-2</v>
      </c>
    </row>
    <row r="79" spans="2:7" ht="15" customHeight="1" x14ac:dyDescent="0.35">
      <c r="B79" s="128">
        <f>IF(ISBLANK(C79),"",MAX($B$49:B78)+1)</f>
        <v>20</v>
      </c>
      <c r="C79" s="128">
        <v>150</v>
      </c>
      <c r="D79" s="1">
        <f t="shared" si="7"/>
        <v>217.96599999999998</v>
      </c>
      <c r="E79" s="1">
        <f t="shared" si="7"/>
        <v>220.05549999999999</v>
      </c>
      <c r="F79" s="1">
        <f>E79-D79</f>
        <v>2.0895000000000152</v>
      </c>
      <c r="G79" s="156">
        <f>F79/D79</f>
        <v>9.5863575052990632E-3</v>
      </c>
    </row>
    <row r="80" spans="2:7" ht="15" customHeight="1" x14ac:dyDescent="0.35">
      <c r="B80" s="128" t="str">
        <f>IF(ISBLANK(C80),"",MAX($B$49:B79)+1)</f>
        <v/>
      </c>
      <c r="C80" s="128"/>
      <c r="D80" s="1"/>
      <c r="E80" s="1"/>
      <c r="F80" s="1"/>
      <c r="G80" s="156"/>
    </row>
    <row r="81" spans="1:8" ht="15" customHeight="1" x14ac:dyDescent="0.35">
      <c r="B81" s="128">
        <f>IF(ISBLANK(C81),"",MAX($B$49:B80)+1)</f>
        <v>21</v>
      </c>
      <c r="C81" s="128">
        <v>160</v>
      </c>
      <c r="D81" s="1">
        <f t="shared" ref="D81:E85" si="8">D$50+(D$52+D$54)*$C81</f>
        <v>231.8304</v>
      </c>
      <c r="E81" s="1">
        <f t="shared" si="8"/>
        <v>233.95919999999998</v>
      </c>
      <c r="F81" s="1">
        <f>E81-D81</f>
        <v>2.128799999999984</v>
      </c>
      <c r="G81" s="156">
        <f>F81/D81</f>
        <v>9.1825748478197161E-3</v>
      </c>
    </row>
    <row r="82" spans="1:8" ht="15" customHeight="1" x14ac:dyDescent="0.35">
      <c r="B82" s="128">
        <f>IF(ISBLANK(C82),"",MAX($B$49:B81)+1)</f>
        <v>22</v>
      </c>
      <c r="C82" s="128">
        <v>170</v>
      </c>
      <c r="D82" s="1">
        <f t="shared" si="8"/>
        <v>245.69479999999999</v>
      </c>
      <c r="E82" s="1">
        <f t="shared" si="8"/>
        <v>247.86289999999997</v>
      </c>
      <c r="F82" s="1">
        <f>E82-D82</f>
        <v>2.1680999999999813</v>
      </c>
      <c r="G82" s="156">
        <f>F82/D82</f>
        <v>8.8243625831722176E-3</v>
      </c>
    </row>
    <row r="83" spans="1:8" ht="15" customHeight="1" x14ac:dyDescent="0.35">
      <c r="B83" s="128">
        <f>IF(ISBLANK(C83),"",MAX($B$49:B82)+1)</f>
        <v>23</v>
      </c>
      <c r="C83" s="128">
        <v>180</v>
      </c>
      <c r="D83" s="1">
        <f t="shared" si="8"/>
        <v>259.55919999999998</v>
      </c>
      <c r="E83" s="1">
        <f t="shared" si="8"/>
        <v>261.76659999999998</v>
      </c>
      <c r="F83" s="1">
        <f>E83-D83</f>
        <v>2.2074000000000069</v>
      </c>
      <c r="G83" s="156">
        <f>F83/D83</f>
        <v>8.5044182598806254E-3</v>
      </c>
    </row>
    <row r="84" spans="1:8" ht="15" customHeight="1" x14ac:dyDescent="0.35">
      <c r="B84" s="128">
        <f>IF(ISBLANK(C84),"",MAX($B$49:B83)+1)</f>
        <v>24</v>
      </c>
      <c r="C84" s="128">
        <v>190</v>
      </c>
      <c r="D84" s="1">
        <f t="shared" si="8"/>
        <v>273.42359999999996</v>
      </c>
      <c r="E84" s="1">
        <f t="shared" si="8"/>
        <v>275.6703</v>
      </c>
      <c r="F84" s="1">
        <f>E84-D84</f>
        <v>2.2467000000000326</v>
      </c>
      <c r="G84" s="156">
        <f>F84/D84</f>
        <v>8.2169205584303358E-3</v>
      </c>
    </row>
    <row r="85" spans="1:8" ht="15" customHeight="1" x14ac:dyDescent="0.35">
      <c r="B85" s="128">
        <f>IF(ISBLANK(C85),"",MAX($B$49:B84)+1)</f>
        <v>25</v>
      </c>
      <c r="C85" s="128">
        <v>200</v>
      </c>
      <c r="D85" s="1">
        <f t="shared" si="8"/>
        <v>287.28799999999995</v>
      </c>
      <c r="E85" s="1">
        <f t="shared" si="8"/>
        <v>289.57399999999996</v>
      </c>
      <c r="F85" s="1">
        <f>E85-D85</f>
        <v>2.2860000000000014</v>
      </c>
      <c r="G85" s="156">
        <f>F85/D85</f>
        <v>7.9571718971902811E-3</v>
      </c>
    </row>
    <row r="86" spans="1:8" ht="15" customHeight="1" x14ac:dyDescent="0.35">
      <c r="B86" s="128" t="str">
        <f>IF(ISBLANK(C86),"",MAX($B$49:B85)+1)</f>
        <v/>
      </c>
      <c r="C86" s="128"/>
      <c r="D86" s="1"/>
      <c r="E86" s="1"/>
      <c r="F86" s="1"/>
      <c r="G86" s="156"/>
    </row>
    <row r="87" spans="1:8" ht="15" customHeight="1" x14ac:dyDescent="0.35">
      <c r="B87" s="128">
        <f>IF(ISBLANK(C87),"",MAX($B$49:B86)+1)</f>
        <v>26</v>
      </c>
      <c r="C87" s="128">
        <v>210</v>
      </c>
      <c r="D87" s="1">
        <f t="shared" ref="D87:E91" si="9">D$50+(D$52+D$54)*$C87</f>
        <v>301.1524</v>
      </c>
      <c r="E87" s="1">
        <f t="shared" si="9"/>
        <v>303.47769999999997</v>
      </c>
      <c r="F87" s="1">
        <f>E87-D87</f>
        <v>2.3252999999999702</v>
      </c>
      <c r="G87" s="156">
        <f>F87/D87</f>
        <v>7.7213397602010486E-3</v>
      </c>
    </row>
    <row r="88" spans="1:8" ht="15" customHeight="1" x14ac:dyDescent="0.35">
      <c r="B88" s="128">
        <f>IF(ISBLANK(C88),"",MAX($B$49:B87)+1)</f>
        <v>27</v>
      </c>
      <c r="C88" s="128">
        <v>220</v>
      </c>
      <c r="D88" s="1">
        <f t="shared" si="9"/>
        <v>315.01679999999999</v>
      </c>
      <c r="E88" s="1">
        <f t="shared" si="9"/>
        <v>317.38139999999999</v>
      </c>
      <c r="F88" s="1">
        <f>E88-D88</f>
        <v>2.3645999999999958</v>
      </c>
      <c r="G88" s="156">
        <f>F88/D88</f>
        <v>7.5062663324622558E-3</v>
      </c>
    </row>
    <row r="89" spans="1:8" ht="15" customHeight="1" x14ac:dyDescent="0.35">
      <c r="B89" s="128">
        <f>IF(ISBLANK(C89),"",MAX($B$49:B88)+1)</f>
        <v>28</v>
      </c>
      <c r="C89" s="128">
        <v>230</v>
      </c>
      <c r="D89" s="1">
        <f t="shared" si="9"/>
        <v>328.88119999999998</v>
      </c>
      <c r="E89" s="1">
        <f t="shared" si="9"/>
        <v>331.2851</v>
      </c>
      <c r="F89" s="1">
        <f>E89-D89</f>
        <v>2.4039000000000215</v>
      </c>
      <c r="G89" s="156">
        <f>F89/D89</f>
        <v>7.3093262856010668E-3</v>
      </c>
    </row>
    <row r="90" spans="1:8" ht="15" customHeight="1" x14ac:dyDescent="0.35">
      <c r="B90" s="128">
        <f>IF(ISBLANK(C90),"",MAX($B$49:B89)+1)</f>
        <v>29</v>
      </c>
      <c r="C90" s="128">
        <v>240</v>
      </c>
      <c r="D90" s="1">
        <f t="shared" si="9"/>
        <v>342.74559999999997</v>
      </c>
      <c r="E90" s="1">
        <f t="shared" si="9"/>
        <v>345.18879999999996</v>
      </c>
      <c r="F90" s="1">
        <f>E90-D90</f>
        <v>2.4431999999999903</v>
      </c>
      <c r="G90" s="156">
        <f>F90/D90</f>
        <v>7.1283190798072694E-3</v>
      </c>
    </row>
    <row r="91" spans="1:8" ht="15" customHeight="1" x14ac:dyDescent="0.35">
      <c r="B91" s="128">
        <f>IF(ISBLANK(C91),"",MAX($B$49:B90)+1)</f>
        <v>30</v>
      </c>
      <c r="C91" s="128">
        <v>250</v>
      </c>
      <c r="D91" s="1">
        <f t="shared" si="9"/>
        <v>356.60999999999996</v>
      </c>
      <c r="E91" s="1">
        <f t="shared" si="9"/>
        <v>359.09249999999997</v>
      </c>
      <c r="F91" s="1">
        <f>E91-D91</f>
        <v>2.4825000000000159</v>
      </c>
      <c r="G91" s="156">
        <f>F91/D91</f>
        <v>6.9613863884916746E-3</v>
      </c>
    </row>
    <row r="92" spans="1:8" ht="15" customHeight="1" x14ac:dyDescent="0.35">
      <c r="B92" s="128" t="str">
        <f>IF(ISBLANK(C92),"",MAX($B$49:B91)+1)</f>
        <v/>
      </c>
      <c r="C92" s="128"/>
      <c r="D92" s="1"/>
      <c r="E92" s="1"/>
      <c r="F92" s="1"/>
      <c r="G92" s="156"/>
    </row>
    <row r="93" spans="1:8" ht="15" customHeight="1" x14ac:dyDescent="0.35">
      <c r="B93" s="128" t="str">
        <f>IF(ISBLANK(C93),"",MAX($B$49:B92)+1)</f>
        <v/>
      </c>
      <c r="C93" s="128"/>
      <c r="D93" s="2"/>
      <c r="E93" s="2"/>
      <c r="F93" s="2"/>
      <c r="G93" s="89"/>
    </row>
    <row r="94" spans="1:8" ht="15" customHeight="1" x14ac:dyDescent="0.35">
      <c r="B94" s="128"/>
      <c r="C94" s="128"/>
      <c r="D94" s="2"/>
      <c r="E94" s="2"/>
      <c r="F94" s="2"/>
      <c r="G94" s="89"/>
    </row>
    <row r="95" spans="1:8" ht="15" customHeight="1" x14ac:dyDescent="0.35">
      <c r="A95" s="42" t="str">
        <f>$A$41</f>
        <v>Cascade Natural Gas Corp.</v>
      </c>
      <c r="H95" s="41" t="str">
        <f>$H$41</f>
        <v>Exh. RJA-7</v>
      </c>
    </row>
    <row r="96" spans="1:8" ht="15" customHeight="1" x14ac:dyDescent="0.35">
      <c r="A96" s="42" t="str">
        <f>$A$42</f>
        <v>Washington Jurisdiction</v>
      </c>
      <c r="H96" s="41" t="s">
        <v>146</v>
      </c>
    </row>
    <row r="97" spans="1:8" ht="15" customHeight="1" x14ac:dyDescent="0.35">
      <c r="A97" s="42" t="str">
        <f>$A$43</f>
        <v>Estimated Monthly Bill Impacts March 1, 2026</v>
      </c>
      <c r="H97" s="41" t="str">
        <f>$H$43</f>
        <v>Impact of Recommended Rate Changes</v>
      </c>
    </row>
    <row r="98" spans="1:8" ht="15" customHeight="1" x14ac:dyDescent="0.35">
      <c r="A98" s="42"/>
    </row>
    <row r="99" spans="1:8" ht="15" customHeight="1" x14ac:dyDescent="0.35">
      <c r="B99" s="127" t="str">
        <f>'RJA-6 (2026 rates)'!B18</f>
        <v>Commercial - 504</v>
      </c>
    </row>
    <row r="101" spans="1:8" ht="15" customHeight="1" x14ac:dyDescent="0.5">
      <c r="B101" s="129" t="s">
        <v>87</v>
      </c>
      <c r="C101" s="129" t="s">
        <v>52</v>
      </c>
      <c r="D101" s="129" t="s">
        <v>53</v>
      </c>
      <c r="E101" s="129" t="s">
        <v>55</v>
      </c>
      <c r="F101" s="129" t="s">
        <v>56</v>
      </c>
      <c r="G101" s="129" t="s">
        <v>57</v>
      </c>
    </row>
    <row r="102" spans="1:8" ht="15" customHeight="1" x14ac:dyDescent="0.35">
      <c r="B102" s="128"/>
      <c r="C102" s="130"/>
      <c r="D102" s="154" t="s">
        <v>58</v>
      </c>
      <c r="E102" s="155" t="s">
        <v>66</v>
      </c>
    </row>
    <row r="103" spans="1:8" ht="15" customHeight="1" x14ac:dyDescent="0.5">
      <c r="B103" s="128"/>
      <c r="C103" s="76"/>
      <c r="D103" s="129" t="s">
        <v>60</v>
      </c>
      <c r="E103" s="134" t="s">
        <v>60</v>
      </c>
    </row>
    <row r="104" spans="1:8" ht="15" customHeight="1" x14ac:dyDescent="0.35">
      <c r="B104" s="128">
        <f>IF(ISBLANK(C104),"",MAX($B$97:B103)+1)</f>
        <v>1</v>
      </c>
      <c r="C104" s="76" t="s">
        <v>18</v>
      </c>
      <c r="D104" s="135">
        <f>'RJA-6 (2026 rates)'!D19</f>
        <v>20</v>
      </c>
      <c r="E104" s="136">
        <f>'RJA-6 (2026 rates)'!G19</f>
        <v>25.5</v>
      </c>
    </row>
    <row r="105" spans="1:8" ht="15" customHeight="1" x14ac:dyDescent="0.35">
      <c r="B105" s="128" t="str">
        <f>IF(ISBLANK(C105),"",MAX($B$97:B104)+1)</f>
        <v/>
      </c>
      <c r="C105" s="76"/>
      <c r="D105" s="135"/>
      <c r="E105" s="136"/>
    </row>
    <row r="106" spans="1:8" ht="15" customHeight="1" x14ac:dyDescent="0.35">
      <c r="B106" s="128">
        <f>IF(ISBLANK(C106),"",MAX($B$97:B105)+1)</f>
        <v>2</v>
      </c>
      <c r="C106" s="76" t="s">
        <v>88</v>
      </c>
      <c r="D106" s="93">
        <f>SUM('RJA-6 (2026 rates)'!D20:E20)</f>
        <v>0.35576000000000002</v>
      </c>
      <c r="E106" s="137">
        <f>SUM('RJA-6 (2026 rates)'!G20:H20)</f>
        <v>0.35894999999999999</v>
      </c>
    </row>
    <row r="107" spans="1:8" ht="15" customHeight="1" x14ac:dyDescent="0.35">
      <c r="B107" s="128" t="str">
        <f>IF(ISBLANK(C107),"",MAX($B$97:B106)+1)</f>
        <v/>
      </c>
      <c r="C107" s="76"/>
      <c r="D107" s="135"/>
      <c r="E107" s="77"/>
    </row>
    <row r="108" spans="1:8" ht="15" customHeight="1" x14ac:dyDescent="0.35">
      <c r="B108" s="128">
        <f>IF(ISBLANK(C108),"",MAX($B$97:B107)+1)</f>
        <v>3</v>
      </c>
      <c r="C108" s="138" t="str">
        <f>$C$54</f>
        <v>Pass-Through Rates</v>
      </c>
      <c r="D108" s="140">
        <f>'RJA-7 Bill Impact (2025)'!D108</f>
        <v>0.93957999999999986</v>
      </c>
      <c r="E108" s="141">
        <f>D108</f>
        <v>0.93957999999999986</v>
      </c>
    </row>
    <row r="109" spans="1:8" ht="15" customHeight="1" x14ac:dyDescent="0.35">
      <c r="B109" s="128" t="str">
        <f>IF(ISBLANK(C109),"",MAX($B$97:B108)+1)</f>
        <v/>
      </c>
    </row>
    <row r="110" spans="1:8" ht="15" customHeight="1" x14ac:dyDescent="0.35">
      <c r="B110" s="128"/>
      <c r="C110" s="128"/>
      <c r="D110" s="128"/>
      <c r="E110" s="128"/>
    </row>
    <row r="111" spans="1:8" ht="15" customHeight="1" x14ac:dyDescent="0.5">
      <c r="B111" s="128"/>
      <c r="C111" s="128" t="s">
        <v>89</v>
      </c>
      <c r="D111" s="128" t="s">
        <v>63</v>
      </c>
      <c r="E111" s="128" t="s">
        <v>63</v>
      </c>
      <c r="F111" s="142" t="s">
        <v>90</v>
      </c>
      <c r="G111" s="142"/>
    </row>
    <row r="112" spans="1:8" ht="15" customHeight="1" x14ac:dyDescent="0.5">
      <c r="B112" s="128"/>
      <c r="C112" s="129" t="s">
        <v>91</v>
      </c>
      <c r="D112" s="129" t="s">
        <v>8</v>
      </c>
      <c r="E112" s="129" t="s">
        <v>9</v>
      </c>
      <c r="F112" s="129" t="s">
        <v>69</v>
      </c>
      <c r="G112" s="129" t="s">
        <v>70</v>
      </c>
    </row>
    <row r="113" spans="2:7" ht="15" customHeight="1" x14ac:dyDescent="0.35">
      <c r="B113" s="128">
        <f>IF(ISBLANK(C113),"",MAX($B$97:B112)+1)</f>
        <v>4</v>
      </c>
      <c r="C113" s="157">
        <v>0</v>
      </c>
      <c r="D113" s="1">
        <f>D$104+(D$106+D$108)*C113</f>
        <v>20</v>
      </c>
      <c r="E113" s="1">
        <f>E$104+(E$106+E$108)*C113</f>
        <v>25.5</v>
      </c>
      <c r="F113" s="1">
        <f>E113-D113</f>
        <v>5.5</v>
      </c>
      <c r="G113" s="156">
        <f>F113/D113</f>
        <v>0.27500000000000002</v>
      </c>
    </row>
    <row r="114" spans="2:7" ht="15" customHeight="1" x14ac:dyDescent="0.35">
      <c r="B114" s="128" t="str">
        <f>IF(ISBLANK(C114),"",MAX($B$97:B113)+1)</f>
        <v/>
      </c>
      <c r="C114" s="157"/>
      <c r="D114" s="1"/>
      <c r="E114" s="1"/>
      <c r="F114" s="1"/>
      <c r="G114" s="156"/>
    </row>
    <row r="115" spans="2:7" ht="15" customHeight="1" x14ac:dyDescent="0.35">
      <c r="B115" s="128">
        <f>IF(ISBLANK(C115),"",MAX($B$97:B114)+1)</f>
        <v>5</v>
      </c>
      <c r="C115" s="157">
        <v>50</v>
      </c>
      <c r="D115" s="1">
        <f t="shared" ref="D115:D155" si="10">D$104+(D$106+D$108)*C115</f>
        <v>84.766999999999996</v>
      </c>
      <c r="E115" s="1">
        <f>E$104+(E$106+E$108)*C115</f>
        <v>90.426500000000004</v>
      </c>
      <c r="F115" s="1">
        <f>E115-D115</f>
        <v>5.6595000000000084</v>
      </c>
      <c r="G115" s="156">
        <f>F115/D115</f>
        <v>6.6765368598629291E-2</v>
      </c>
    </row>
    <row r="116" spans="2:7" ht="15" customHeight="1" x14ac:dyDescent="0.35">
      <c r="B116" s="128" t="str">
        <f>IF(ISBLANK(C116),"",MAX($B$97:B115)+1)</f>
        <v/>
      </c>
      <c r="C116" s="157"/>
      <c r="D116" s="1"/>
      <c r="E116" s="1"/>
      <c r="F116" s="1"/>
      <c r="G116" s="156"/>
    </row>
    <row r="117" spans="2:7" ht="15" customHeight="1" x14ac:dyDescent="0.35">
      <c r="B117" s="128">
        <f>IF(ISBLANK(C117),"",MAX($B$97:B116)+1)</f>
        <v>6</v>
      </c>
      <c r="C117" s="157">
        <v>60</v>
      </c>
      <c r="D117" s="1">
        <f t="shared" si="10"/>
        <v>97.720399999999998</v>
      </c>
      <c r="E117" s="1">
        <f>E$104+(E$106+E$108)*C117</f>
        <v>103.4118</v>
      </c>
      <c r="F117" s="1">
        <f>E117-D117</f>
        <v>5.6914000000000016</v>
      </c>
      <c r="G117" s="156">
        <f>F117/D117</f>
        <v>5.8241677275164667E-2</v>
      </c>
    </row>
    <row r="118" spans="2:7" ht="15" customHeight="1" x14ac:dyDescent="0.35">
      <c r="B118" s="128">
        <f>IF(ISBLANK(C118),"",MAX($B$97:B117)+1)</f>
        <v>7</v>
      </c>
      <c r="C118" s="157">
        <v>70</v>
      </c>
      <c r="D118" s="1">
        <f t="shared" si="10"/>
        <v>110.6738</v>
      </c>
      <c r="E118" s="1">
        <f>E$104+(E$106+E$108)*C118</f>
        <v>116.39709999999999</v>
      </c>
      <c r="F118" s="1">
        <f>E118-D118</f>
        <v>5.7232999999999947</v>
      </c>
      <c r="G118" s="156">
        <f>F118/D118</f>
        <v>5.1713232942213916E-2</v>
      </c>
    </row>
    <row r="119" spans="2:7" ht="15" customHeight="1" x14ac:dyDescent="0.35">
      <c r="B119" s="128">
        <f>IF(ISBLANK(C119),"",MAX($B$97:B118)+1)</f>
        <v>8</v>
      </c>
      <c r="C119" s="157">
        <v>80</v>
      </c>
      <c r="D119" s="1">
        <f t="shared" si="10"/>
        <v>123.62719999999999</v>
      </c>
      <c r="E119" s="1">
        <f>E$104+(E$106+E$108)*C119</f>
        <v>129.38239999999999</v>
      </c>
      <c r="F119" s="1">
        <f>E119-D119</f>
        <v>5.7552000000000021</v>
      </c>
      <c r="G119" s="156">
        <f>F119/D119</f>
        <v>4.6552862153312564E-2</v>
      </c>
    </row>
    <row r="120" spans="2:7" ht="15" customHeight="1" x14ac:dyDescent="0.35">
      <c r="B120" s="128">
        <f>IF(ISBLANK(C120),"",MAX($B$97:B119)+1)</f>
        <v>9</v>
      </c>
      <c r="C120" s="157">
        <v>90</v>
      </c>
      <c r="D120" s="1">
        <f t="shared" si="10"/>
        <v>136.5806</v>
      </c>
      <c r="E120" s="1">
        <f>E$104+(E$106+E$108)*C120</f>
        <v>142.36770000000001</v>
      </c>
      <c r="F120" s="1">
        <f>E120-D120</f>
        <v>5.7871000000000095</v>
      </c>
      <c r="G120" s="156">
        <f>F120/D120</f>
        <v>4.237131774205128E-2</v>
      </c>
    </row>
    <row r="121" spans="2:7" ht="15" customHeight="1" x14ac:dyDescent="0.35">
      <c r="B121" s="128">
        <f>IF(ISBLANK(C121),"",MAX($B$97:B120)+1)</f>
        <v>10</v>
      </c>
      <c r="C121" s="157">
        <v>100</v>
      </c>
      <c r="D121" s="1">
        <f t="shared" si="10"/>
        <v>149.53399999999999</v>
      </c>
      <c r="E121" s="1">
        <f>E$104+(E$106+E$108)*C121</f>
        <v>155.35300000000001</v>
      </c>
      <c r="F121" s="1">
        <f>E121-D121</f>
        <v>5.8190000000000168</v>
      </c>
      <c r="G121" s="156">
        <f>F121/D121</f>
        <v>3.8914226864793407E-2</v>
      </c>
    </row>
    <row r="122" spans="2:7" ht="15" customHeight="1" x14ac:dyDescent="0.35">
      <c r="B122" s="128" t="str">
        <f>IF(ISBLANK(C122),"",MAX($B$97:B121)+1)</f>
        <v/>
      </c>
      <c r="C122" s="157"/>
      <c r="D122" s="1"/>
      <c r="E122" s="1"/>
      <c r="F122" s="1"/>
      <c r="G122" s="156"/>
    </row>
    <row r="123" spans="2:7" ht="15" customHeight="1" x14ac:dyDescent="0.35">
      <c r="B123" s="128">
        <f>IF(ISBLANK(C123),"",MAX($B$97:B122)+1)</f>
        <v>11</v>
      </c>
      <c r="C123" s="157">
        <v>110</v>
      </c>
      <c r="D123" s="1">
        <f t="shared" si="10"/>
        <v>162.48739999999998</v>
      </c>
      <c r="E123" s="1">
        <f>E$104+(E$106+E$108)*C123</f>
        <v>168.3383</v>
      </c>
      <c r="F123" s="1">
        <f>E123-D123</f>
        <v>5.8509000000000242</v>
      </c>
      <c r="G123" s="156">
        <f>F123/D123</f>
        <v>3.6008330492087542E-2</v>
      </c>
    </row>
    <row r="124" spans="2:7" ht="15" customHeight="1" x14ac:dyDescent="0.35">
      <c r="B124" s="128">
        <f>IF(ISBLANK(C124),"",MAX($B$97:B123)+1)</f>
        <v>12</v>
      </c>
      <c r="C124" s="157">
        <v>120</v>
      </c>
      <c r="D124" s="1">
        <f t="shared" si="10"/>
        <v>175.4408</v>
      </c>
      <c r="E124" s="1">
        <f>E$104+(E$106+E$108)*C124</f>
        <v>181.3236</v>
      </c>
      <c r="F124" s="1">
        <f>E124-D124</f>
        <v>5.8828000000000031</v>
      </c>
      <c r="G124" s="156">
        <f>F124/D124</f>
        <v>3.3531538843872138E-2</v>
      </c>
    </row>
    <row r="125" spans="2:7" ht="15" customHeight="1" x14ac:dyDescent="0.35">
      <c r="B125" s="128">
        <f>IF(ISBLANK(C125),"",MAX($B$97:B124)+1)</f>
        <v>13</v>
      </c>
      <c r="C125" s="157">
        <v>130</v>
      </c>
      <c r="D125" s="1">
        <f t="shared" si="10"/>
        <v>188.39419999999998</v>
      </c>
      <c r="E125" s="1">
        <f>E$104+(E$106+E$108)*C125</f>
        <v>194.30889999999999</v>
      </c>
      <c r="F125" s="1">
        <f>E125-D125</f>
        <v>5.9147000000000105</v>
      </c>
      <c r="G125" s="156">
        <f>F125/D125</f>
        <v>3.1395340196248137E-2</v>
      </c>
    </row>
    <row r="126" spans="2:7" ht="15" customHeight="1" x14ac:dyDescent="0.35">
      <c r="B126" s="128">
        <f>IF(ISBLANK(C126),"",MAX($B$97:B125)+1)</f>
        <v>14</v>
      </c>
      <c r="C126" s="157">
        <v>140</v>
      </c>
      <c r="D126" s="1">
        <f t="shared" si="10"/>
        <v>201.3476</v>
      </c>
      <c r="E126" s="1">
        <f>E$104+(E$106+E$108)*C126</f>
        <v>207.29419999999999</v>
      </c>
      <c r="F126" s="1">
        <f>E126-D126</f>
        <v>5.9465999999999894</v>
      </c>
      <c r="G126" s="156">
        <f>F126/D126</f>
        <v>2.9533999908615695E-2</v>
      </c>
    </row>
    <row r="127" spans="2:7" ht="15" customHeight="1" x14ac:dyDescent="0.35">
      <c r="B127" s="128">
        <f>IF(ISBLANK(C127),"",MAX($B$97:B126)+1)</f>
        <v>15</v>
      </c>
      <c r="C127" s="157">
        <v>150</v>
      </c>
      <c r="D127" s="1">
        <f t="shared" si="10"/>
        <v>214.30099999999999</v>
      </c>
      <c r="E127" s="1">
        <f>E$104+(E$106+E$108)*C127</f>
        <v>220.27949999999998</v>
      </c>
      <c r="F127" s="1">
        <f>E127-D127</f>
        <v>5.9784999999999968</v>
      </c>
      <c r="G127" s="156">
        <f>F127/D127</f>
        <v>2.7897676632400208E-2</v>
      </c>
    </row>
    <row r="128" spans="2:7" ht="15" customHeight="1" x14ac:dyDescent="0.35">
      <c r="B128" s="128" t="str">
        <f>IF(ISBLANK(C128),"",MAX($B$97:B127)+1)</f>
        <v/>
      </c>
      <c r="C128" s="157"/>
      <c r="D128" s="1"/>
      <c r="E128" s="1"/>
      <c r="F128" s="1"/>
      <c r="G128" s="156"/>
    </row>
    <row r="129" spans="2:7" ht="15" customHeight="1" x14ac:dyDescent="0.35">
      <c r="B129" s="128">
        <f>IF(ISBLANK(C129),"",MAX($B$97:B128)+1)</f>
        <v>16</v>
      </c>
      <c r="C129" s="157">
        <v>160</v>
      </c>
      <c r="D129" s="1">
        <f t="shared" si="10"/>
        <v>227.25439999999998</v>
      </c>
      <c r="E129" s="1">
        <f>E$104+(E$106+E$108)*C129</f>
        <v>233.26479999999998</v>
      </c>
      <c r="F129" s="1">
        <f>E129-D129</f>
        <v>6.0104000000000042</v>
      </c>
      <c r="G129" s="156">
        <f>F129/D129</f>
        <v>2.6447892758072033E-2</v>
      </c>
    </row>
    <row r="130" spans="2:7" ht="15" customHeight="1" x14ac:dyDescent="0.35">
      <c r="B130" s="128">
        <f>IF(ISBLANK(C130),"",MAX($B$97:B129)+1)</f>
        <v>17</v>
      </c>
      <c r="C130" s="157">
        <v>170</v>
      </c>
      <c r="D130" s="1">
        <f t="shared" si="10"/>
        <v>240.20779999999999</v>
      </c>
      <c r="E130" s="1">
        <f>E$104+(E$106+E$108)*C130</f>
        <v>246.2501</v>
      </c>
      <c r="F130" s="1">
        <f>E130-D130</f>
        <v>6.0423000000000116</v>
      </c>
      <c r="G130" s="156">
        <f>F130/D130</f>
        <v>2.5154470421027177E-2</v>
      </c>
    </row>
    <row r="131" spans="2:7" ht="15" customHeight="1" x14ac:dyDescent="0.35">
      <c r="B131" s="128">
        <f>IF(ISBLANK(C131),"",MAX($B$97:B130)+1)</f>
        <v>18</v>
      </c>
      <c r="C131" s="157">
        <v>180</v>
      </c>
      <c r="D131" s="1">
        <f t="shared" si="10"/>
        <v>253.16119999999998</v>
      </c>
      <c r="E131" s="1">
        <f>E$104+(E$106+E$108)*C131</f>
        <v>259.23540000000003</v>
      </c>
      <c r="F131" s="1">
        <f>E131-D131</f>
        <v>6.0742000000000473</v>
      </c>
      <c r="G131" s="156">
        <f>F131/D131</f>
        <v>2.3993408152592294E-2</v>
      </c>
    </row>
    <row r="132" spans="2:7" ht="15" customHeight="1" x14ac:dyDescent="0.35">
      <c r="B132" s="128">
        <f>IF(ISBLANK(C132),"",MAX($B$97:B131)+1)</f>
        <v>19</v>
      </c>
      <c r="C132" s="157">
        <v>190</v>
      </c>
      <c r="D132" s="1">
        <f t="shared" si="10"/>
        <v>266.1146</v>
      </c>
      <c r="E132" s="1">
        <f>E$104+(E$106+E$108)*C132</f>
        <v>272.22069999999997</v>
      </c>
      <c r="F132" s="1">
        <f>E132-D132</f>
        <v>6.1060999999999694</v>
      </c>
      <c r="G132" s="156">
        <f>F132/D132</f>
        <v>2.2945377668117304E-2</v>
      </c>
    </row>
    <row r="133" spans="2:7" ht="15" customHeight="1" x14ac:dyDescent="0.35">
      <c r="B133" s="128">
        <f>IF(ISBLANK(C133),"",MAX($B$97:B132)+1)</f>
        <v>20</v>
      </c>
      <c r="C133" s="157">
        <v>200</v>
      </c>
      <c r="D133" s="1">
        <f t="shared" si="10"/>
        <v>279.06799999999998</v>
      </c>
      <c r="E133" s="1">
        <f>E$104+(E$106+E$108)*C133</f>
        <v>285.20600000000002</v>
      </c>
      <c r="F133" s="1">
        <f>E133-D133</f>
        <v>6.1380000000000337</v>
      </c>
      <c r="G133" s="156">
        <f>F133/D133</f>
        <v>2.1994639299382352E-2</v>
      </c>
    </row>
    <row r="134" spans="2:7" ht="15" customHeight="1" x14ac:dyDescent="0.35">
      <c r="B134" s="128" t="str">
        <f>IF(ISBLANK(C134),"",MAX($B$97:B133)+1)</f>
        <v/>
      </c>
      <c r="C134" s="157"/>
      <c r="D134" s="1"/>
      <c r="E134" s="1"/>
      <c r="F134" s="1"/>
      <c r="G134" s="156"/>
    </row>
    <row r="135" spans="2:7" ht="15" customHeight="1" x14ac:dyDescent="0.35">
      <c r="B135" s="128">
        <f>IF(ISBLANK(C135),"",MAX($B$97:B134)+1)</f>
        <v>21</v>
      </c>
      <c r="C135" s="157">
        <v>250</v>
      </c>
      <c r="D135" s="1">
        <f t="shared" si="10"/>
        <v>343.83499999999998</v>
      </c>
      <c r="E135" s="1">
        <f>E$104+(E$106+E$108)*C135</f>
        <v>350.13249999999999</v>
      </c>
      <c r="F135" s="1">
        <f>E135-D135</f>
        <v>6.2975000000000136</v>
      </c>
      <c r="G135" s="156">
        <f>F135/D135</f>
        <v>1.8315471083513935E-2</v>
      </c>
    </row>
    <row r="136" spans="2:7" ht="15" customHeight="1" x14ac:dyDescent="0.35">
      <c r="B136" s="128">
        <f>IF(ISBLANK(C136),"",MAX($B$97:B135)+1)</f>
        <v>22</v>
      </c>
      <c r="C136" s="157">
        <v>300</v>
      </c>
      <c r="D136" s="1">
        <f t="shared" si="10"/>
        <v>408.60199999999998</v>
      </c>
      <c r="E136" s="1">
        <f>E$104+(E$106+E$108)*C136</f>
        <v>415.05899999999997</v>
      </c>
      <c r="F136" s="1">
        <f>E136-D136</f>
        <v>6.4569999999999936</v>
      </c>
      <c r="G136" s="156">
        <f>F136/D136</f>
        <v>1.5802663716770828E-2</v>
      </c>
    </row>
    <row r="137" spans="2:7" ht="15" customHeight="1" x14ac:dyDescent="0.35">
      <c r="B137" s="128">
        <f>IF(ISBLANK(C137),"",MAX($B$97:B136)+1)</f>
        <v>23</v>
      </c>
      <c r="C137" s="157">
        <v>350</v>
      </c>
      <c r="D137" s="1">
        <f t="shared" si="10"/>
        <v>473.36899999999997</v>
      </c>
      <c r="E137" s="1">
        <f>E$104+(E$106+E$108)*C137</f>
        <v>479.9855</v>
      </c>
      <c r="F137" s="1">
        <f>E137-D137</f>
        <v>6.6165000000000305</v>
      </c>
      <c r="G137" s="156">
        <f>F137/D137</f>
        <v>1.3977467895024877E-2</v>
      </c>
    </row>
    <row r="138" spans="2:7" ht="15" customHeight="1" x14ac:dyDescent="0.35">
      <c r="B138" s="128">
        <f>IF(ISBLANK(C138),"",MAX($B$97:B137)+1)</f>
        <v>24</v>
      </c>
      <c r="C138" s="157">
        <v>400</v>
      </c>
      <c r="D138" s="1">
        <f t="shared" si="10"/>
        <v>538.13599999999997</v>
      </c>
      <c r="E138" s="1">
        <f>E$104+(E$106+E$108)*C138</f>
        <v>544.91200000000003</v>
      </c>
      <c r="F138" s="1">
        <f>E138-D138</f>
        <v>6.7760000000000673</v>
      </c>
      <c r="G138" s="156">
        <f>F138/D138</f>
        <v>1.2591612529174907E-2</v>
      </c>
    </row>
    <row r="139" spans="2:7" ht="15" customHeight="1" x14ac:dyDescent="0.35">
      <c r="B139" s="128">
        <f>IF(ISBLANK(C139),"",MAX($B$97:B138)+1)</f>
        <v>25</v>
      </c>
      <c r="C139" s="157">
        <v>450</v>
      </c>
      <c r="D139" s="1">
        <f t="shared" si="10"/>
        <v>602.90300000000002</v>
      </c>
      <c r="E139" s="1">
        <f>E$104+(E$106+E$108)*C139</f>
        <v>609.83849999999995</v>
      </c>
      <c r="F139" s="1">
        <f>E139-D139</f>
        <v>6.9354999999999336</v>
      </c>
      <c r="G139" s="156">
        <f>F139/D139</f>
        <v>1.1503508856316742E-2</v>
      </c>
    </row>
    <row r="140" spans="2:7" ht="15" customHeight="1" x14ac:dyDescent="0.35">
      <c r="B140" s="128" t="str">
        <f>IF(ISBLANK(C140),"",MAX($B$97:B139)+1)</f>
        <v/>
      </c>
      <c r="C140" s="157"/>
      <c r="D140" s="1"/>
      <c r="E140" s="1"/>
      <c r="F140" s="1"/>
      <c r="G140" s="156"/>
    </row>
    <row r="141" spans="2:7" ht="15" customHeight="1" x14ac:dyDescent="0.35">
      <c r="B141" s="128">
        <f>IF(ISBLANK(C141),"",MAX($B$97:B140)+1)</f>
        <v>26</v>
      </c>
      <c r="C141" s="157">
        <v>500</v>
      </c>
      <c r="D141" s="1">
        <f t="shared" si="10"/>
        <v>667.67</v>
      </c>
      <c r="E141" s="1">
        <f>E$104+(E$106+E$108)*C141</f>
        <v>674.76499999999999</v>
      </c>
      <c r="F141" s="1">
        <f>E141-D141</f>
        <v>7.0950000000000273</v>
      </c>
      <c r="G141" s="156">
        <f>F141/D141</f>
        <v>1.0626507106804302E-2</v>
      </c>
    </row>
    <row r="142" spans="2:7" ht="15" customHeight="1" x14ac:dyDescent="0.35">
      <c r="B142" s="128">
        <f>IF(ISBLANK(C142),"",MAX($B$97:B141)+1)</f>
        <v>27</v>
      </c>
      <c r="C142" s="157">
        <v>600</v>
      </c>
      <c r="D142" s="1">
        <f t="shared" si="10"/>
        <v>797.20399999999995</v>
      </c>
      <c r="E142" s="1">
        <f>E$104+(E$106+E$108)*C142</f>
        <v>804.61799999999994</v>
      </c>
      <c r="F142" s="1">
        <f>E142-D142</f>
        <v>7.4139999999999873</v>
      </c>
      <c r="G142" s="156">
        <f>F142/D142</f>
        <v>9.3000035122753864E-3</v>
      </c>
    </row>
    <row r="143" spans="2:7" ht="15" customHeight="1" x14ac:dyDescent="0.35">
      <c r="B143" s="128">
        <f>IF(ISBLANK(C143),"",MAX($B$97:B142)+1)</f>
        <v>28</v>
      </c>
      <c r="C143" s="157">
        <v>700</v>
      </c>
      <c r="D143" s="1">
        <f t="shared" si="10"/>
        <v>926.73799999999994</v>
      </c>
      <c r="E143" s="1">
        <f>E$104+(E$106+E$108)*C143</f>
        <v>934.471</v>
      </c>
      <c r="F143" s="1">
        <f>E143-D143</f>
        <v>7.7330000000000609</v>
      </c>
      <c r="G143" s="156">
        <f>F143/D143</f>
        <v>8.3443216960997196E-3</v>
      </c>
    </row>
    <row r="144" spans="2:7" ht="15" customHeight="1" x14ac:dyDescent="0.35">
      <c r="B144" s="128">
        <f>IF(ISBLANK(C144),"",MAX($B$97:B143)+1)</f>
        <v>29</v>
      </c>
      <c r="C144" s="157">
        <v>800</v>
      </c>
      <c r="D144" s="1">
        <f t="shared" si="10"/>
        <v>1056.2719999999999</v>
      </c>
      <c r="E144" s="1">
        <f>E$104+(E$106+E$108)*C144</f>
        <v>1064.3240000000001</v>
      </c>
      <c r="F144" s="1">
        <f>E144-D144</f>
        <v>8.0520000000001346</v>
      </c>
      <c r="G144" s="156">
        <f>F144/D144</f>
        <v>7.6230364906010335E-3</v>
      </c>
    </row>
    <row r="145" spans="1:8" ht="15" customHeight="1" x14ac:dyDescent="0.35">
      <c r="B145" s="128">
        <f>IF(ISBLANK(C145),"",MAX($B$97:B144)+1)</f>
        <v>30</v>
      </c>
      <c r="C145" s="157">
        <v>1000</v>
      </c>
      <c r="D145" s="1">
        <f t="shared" si="10"/>
        <v>1315.34</v>
      </c>
      <c r="E145" s="1">
        <f>E$104+(E$106+E$108)*C145</f>
        <v>1324.03</v>
      </c>
      <c r="F145" s="1">
        <f>E145-D145</f>
        <v>8.6900000000000546</v>
      </c>
      <c r="G145" s="156">
        <f>F145/D145</f>
        <v>6.6066568339745273E-3</v>
      </c>
    </row>
    <row r="146" spans="1:8" ht="15" customHeight="1" x14ac:dyDescent="0.35">
      <c r="B146" s="128" t="str">
        <f>IF(ISBLANK(C146),"",MAX($B$97:B145)+1)</f>
        <v/>
      </c>
      <c r="C146" s="157"/>
      <c r="D146" s="1"/>
      <c r="E146" s="1"/>
      <c r="F146" s="1"/>
      <c r="G146" s="156"/>
    </row>
    <row r="147" spans="1:8" ht="15" customHeight="1" x14ac:dyDescent="0.35">
      <c r="B147" s="128">
        <f>IF(ISBLANK(C147),"",MAX($B$97:B146)+1)</f>
        <v>31</v>
      </c>
      <c r="C147" s="157">
        <v>1250</v>
      </c>
      <c r="D147" s="1">
        <f t="shared" si="10"/>
        <v>1639.175</v>
      </c>
      <c r="E147" s="1">
        <f>E$104+(E$106+E$108)*C147</f>
        <v>1648.6624999999999</v>
      </c>
      <c r="F147" s="1">
        <f>E147-D147</f>
        <v>9.4874999999999545</v>
      </c>
      <c r="G147" s="156">
        <f>F147/D147</f>
        <v>5.7879726081717662E-3</v>
      </c>
    </row>
    <row r="148" spans="1:8" ht="15" customHeight="1" x14ac:dyDescent="0.35">
      <c r="B148" s="128">
        <f>IF(ISBLANK(C148),"",MAX($B$97:B147)+1)</f>
        <v>32</v>
      </c>
      <c r="C148" s="157">
        <v>1500</v>
      </c>
      <c r="D148" s="1">
        <f t="shared" si="10"/>
        <v>1963.01</v>
      </c>
      <c r="E148" s="1">
        <f>E$104+(E$106+E$108)*C148</f>
        <v>1973.2949999999998</v>
      </c>
      <c r="F148" s="1">
        <f>E148-D148</f>
        <v>10.284999999999854</v>
      </c>
      <c r="G148" s="156">
        <f>F148/D148</f>
        <v>5.239402753933935E-3</v>
      </c>
    </row>
    <row r="149" spans="1:8" ht="15" customHeight="1" x14ac:dyDescent="0.35">
      <c r="B149" s="128">
        <f>IF(ISBLANK(C149),"",MAX($B$97:B148)+1)</f>
        <v>33</v>
      </c>
      <c r="C149" s="157">
        <v>1750</v>
      </c>
      <c r="D149" s="1">
        <f t="shared" si="10"/>
        <v>2286.8449999999998</v>
      </c>
      <c r="E149" s="1">
        <f>E$104+(E$106+E$108)*C149</f>
        <v>2297.9274999999998</v>
      </c>
      <c r="F149" s="1">
        <f>E149-D149</f>
        <v>11.082499999999982</v>
      </c>
      <c r="G149" s="156">
        <f>F149/D149</f>
        <v>4.8461963972197429E-3</v>
      </c>
    </row>
    <row r="150" spans="1:8" ht="15" customHeight="1" x14ac:dyDescent="0.35">
      <c r="B150" s="128">
        <f>IF(ISBLANK(C150),"",MAX($B$97:B149)+1)</f>
        <v>34</v>
      </c>
      <c r="C150" s="157">
        <v>2000</v>
      </c>
      <c r="D150" s="1">
        <f t="shared" si="10"/>
        <v>2610.6799999999998</v>
      </c>
      <c r="E150" s="1">
        <f>E$104+(E$106+E$108)*C150</f>
        <v>2622.56</v>
      </c>
      <c r="F150" s="1">
        <f>E150-D150</f>
        <v>11.880000000000109</v>
      </c>
      <c r="G150" s="156">
        <f>F150/D150</f>
        <v>4.5505385570043478E-3</v>
      </c>
    </row>
    <row r="151" spans="1:8" ht="15" customHeight="1" x14ac:dyDescent="0.35">
      <c r="B151" s="128" t="str">
        <f>IF(ISBLANK(C151),"",MAX($B$97:B150)+1)</f>
        <v/>
      </c>
      <c r="C151" s="157"/>
      <c r="D151" s="1"/>
      <c r="E151" s="1"/>
      <c r="F151" s="1"/>
      <c r="G151" s="156"/>
    </row>
    <row r="152" spans="1:8" ht="15" customHeight="1" x14ac:dyDescent="0.35">
      <c r="B152" s="128">
        <f>IF(ISBLANK(C152),"",MAX($B$97:B151)+1)</f>
        <v>35</v>
      </c>
      <c r="C152" s="157">
        <v>2500</v>
      </c>
      <c r="D152" s="1">
        <f t="shared" si="10"/>
        <v>3258.35</v>
      </c>
      <c r="E152" s="1">
        <f>E$104+(E$106+E$108)*C152</f>
        <v>3271.8249999999998</v>
      </c>
      <c r="F152" s="1">
        <f>E152-D152</f>
        <v>13.474999999999909</v>
      </c>
      <c r="G152" s="156">
        <f>F152/D152</f>
        <v>4.135528718523151E-3</v>
      </c>
    </row>
    <row r="153" spans="1:8" ht="15" customHeight="1" x14ac:dyDescent="0.35">
      <c r="B153" s="128">
        <f>IF(ISBLANK(C153),"",MAX($B$97:B152)+1)</f>
        <v>36</v>
      </c>
      <c r="C153" s="157">
        <v>3000</v>
      </c>
      <c r="D153" s="1">
        <f t="shared" si="10"/>
        <v>3906.02</v>
      </c>
      <c r="E153" s="1">
        <f>E$104+(E$106+E$108)*C153</f>
        <v>3921.0899999999997</v>
      </c>
      <c r="F153" s="1">
        <f>E153-D153</f>
        <v>15.069999999999709</v>
      </c>
      <c r="G153" s="156">
        <f>F153/D153</f>
        <v>3.8581471677051598E-3</v>
      </c>
    </row>
    <row r="154" spans="1:8" ht="15" customHeight="1" x14ac:dyDescent="0.35">
      <c r="B154" s="128">
        <f>IF(ISBLANK(C154),"",MAX($B$97:B153)+1)</f>
        <v>37</v>
      </c>
      <c r="C154" s="157">
        <v>3500</v>
      </c>
      <c r="D154" s="1">
        <f t="shared" si="10"/>
        <v>4553.6899999999996</v>
      </c>
      <c r="E154" s="1">
        <f>E$104+(E$106+E$108)*C154</f>
        <v>4570.3549999999996</v>
      </c>
      <c r="F154" s="1">
        <f>E154-D154</f>
        <v>16.664999999999964</v>
      </c>
      <c r="G154" s="156">
        <f>F154/D154</f>
        <v>3.6596694109612129E-3</v>
      </c>
    </row>
    <row r="155" spans="1:8" ht="15" customHeight="1" x14ac:dyDescent="0.35">
      <c r="B155" s="128">
        <f>IF(ISBLANK(C155),"",MAX($B$97:B154)+1)</f>
        <v>38</v>
      </c>
      <c r="C155" s="157">
        <v>4000</v>
      </c>
      <c r="D155" s="1">
        <f t="shared" si="10"/>
        <v>5201.3599999999997</v>
      </c>
      <c r="E155" s="1">
        <f>E$104+(E$106+E$108)*C155</f>
        <v>5219.62</v>
      </c>
      <c r="F155" s="1">
        <f>E155-D155</f>
        <v>18.260000000000218</v>
      </c>
      <c r="G155" s="156">
        <f>F155/D155</f>
        <v>3.5106202993063773E-3</v>
      </c>
    </row>
    <row r="156" spans="1:8" ht="15" customHeight="1" x14ac:dyDescent="0.35">
      <c r="D156" s="128"/>
      <c r="E156" s="128"/>
      <c r="F156" s="128"/>
      <c r="G156" s="128"/>
    </row>
    <row r="160" spans="1:8" ht="15" customHeight="1" x14ac:dyDescent="0.35">
      <c r="A160" s="42" t="str">
        <f>$A$41</f>
        <v>Cascade Natural Gas Corp.</v>
      </c>
      <c r="H160" s="41" t="str">
        <f>$H$41</f>
        <v>Exh. RJA-7</v>
      </c>
    </row>
    <row r="161" spans="1:10" ht="15" customHeight="1" x14ac:dyDescent="0.35">
      <c r="A161" s="42" t="str">
        <f>$A$42</f>
        <v>Washington Jurisdiction</v>
      </c>
      <c r="H161" s="41" t="s">
        <v>145</v>
      </c>
    </row>
    <row r="162" spans="1:10" ht="15" customHeight="1" x14ac:dyDescent="0.35">
      <c r="A162" s="42" t="str">
        <f>$A$43</f>
        <v>Estimated Monthly Bill Impacts March 1, 2026</v>
      </c>
      <c r="H162" s="41" t="str">
        <f>$H$43</f>
        <v>Impact of Recommended Rate Changes</v>
      </c>
    </row>
    <row r="163" spans="1:10" ht="15" customHeight="1" x14ac:dyDescent="0.35">
      <c r="A163" s="42"/>
    </row>
    <row r="164" spans="1:10" ht="15" customHeight="1" x14ac:dyDescent="0.35">
      <c r="B164" s="127" t="str">
        <f>'RJA-6 (2026 rates)'!B25</f>
        <v>Industrial - 505</v>
      </c>
    </row>
    <row r="166" spans="1:10" ht="15" customHeight="1" x14ac:dyDescent="0.5">
      <c r="B166" s="129" t="s">
        <v>87</v>
      </c>
      <c r="C166" s="129" t="s">
        <v>52</v>
      </c>
      <c r="D166" s="129" t="s">
        <v>53</v>
      </c>
      <c r="E166" s="129" t="s">
        <v>55</v>
      </c>
      <c r="F166" s="129" t="s">
        <v>56</v>
      </c>
      <c r="G166" s="129" t="s">
        <v>57</v>
      </c>
    </row>
    <row r="167" spans="1:10" ht="15" customHeight="1" x14ac:dyDescent="0.35">
      <c r="B167" s="128"/>
      <c r="C167" s="130"/>
      <c r="D167" s="154" t="s">
        <v>58</v>
      </c>
      <c r="E167" s="155" t="s">
        <v>66</v>
      </c>
    </row>
    <row r="168" spans="1:10" ht="15" customHeight="1" x14ac:dyDescent="0.5">
      <c r="B168" s="128"/>
      <c r="C168" s="76"/>
      <c r="D168" s="129" t="s">
        <v>60</v>
      </c>
      <c r="E168" s="134" t="s">
        <v>60</v>
      </c>
    </row>
    <row r="169" spans="1:10" ht="15" customHeight="1" x14ac:dyDescent="0.35">
      <c r="B169" s="128">
        <f>IF(ISBLANK(C169),"",MAX($B$164:B168)+1)</f>
        <v>1</v>
      </c>
      <c r="C169" s="76" t="s">
        <v>18</v>
      </c>
      <c r="D169" s="135">
        <f>'RJA-6 (2026 rates)'!D26</f>
        <v>100</v>
      </c>
      <c r="E169" s="136">
        <f>'RJA-6 (2026 rates)'!G26</f>
        <v>130</v>
      </c>
    </row>
    <row r="170" spans="1:10" ht="15" customHeight="1" x14ac:dyDescent="0.35">
      <c r="B170" s="128" t="str">
        <f>IF(ISBLANK(C170),"",MAX($B$164:B169)+1)</f>
        <v/>
      </c>
      <c r="C170" s="76"/>
      <c r="D170" s="135"/>
      <c r="E170" s="136"/>
    </row>
    <row r="171" spans="1:10" ht="15" customHeight="1" x14ac:dyDescent="0.35">
      <c r="B171" s="128">
        <f>IF(ISBLANK(C171),"",MAX($B$164:B170)+1)</f>
        <v>2</v>
      </c>
      <c r="C171" s="76" t="s">
        <v>88</v>
      </c>
      <c r="E171" s="136"/>
      <c r="J171" s="158" t="s">
        <v>92</v>
      </c>
    </row>
    <row r="172" spans="1:10" ht="15" customHeight="1" x14ac:dyDescent="0.35">
      <c r="B172" s="128">
        <f>IF(ISBLANK(C172),"",MAX($B$164:B171)+1)</f>
        <v>3</v>
      </c>
      <c r="C172" s="159" t="s">
        <v>93</v>
      </c>
      <c r="D172" s="93">
        <f>SUM('RJA-6 (2026 rates)'!D27:E27)</f>
        <v>0.29291</v>
      </c>
      <c r="E172" s="137">
        <f>SUM('RJA-6 (2026 rates)'!G27:H27)</f>
        <v>0.29576999999999998</v>
      </c>
      <c r="J172" s="160">
        <v>500</v>
      </c>
    </row>
    <row r="173" spans="1:10" ht="15" customHeight="1" x14ac:dyDescent="0.35">
      <c r="B173" s="128">
        <f>IF(ISBLANK(C173),"",MAX($B$164:B172)+1)</f>
        <v>4</v>
      </c>
      <c r="C173" s="159" t="s">
        <v>94</v>
      </c>
      <c r="D173" s="93">
        <f>SUM('RJA-6 (2026 rates)'!D28:E28)</f>
        <v>0.24251</v>
      </c>
      <c r="E173" s="137">
        <f>SUM('RJA-6 (2026 rates)'!G28:H28)</f>
        <v>0.24487999999999999</v>
      </c>
      <c r="J173" s="161">
        <v>3500</v>
      </c>
    </row>
    <row r="174" spans="1:10" ht="15" customHeight="1" x14ac:dyDescent="0.35">
      <c r="B174" s="128">
        <f>IF(ISBLANK(C174),"",MAX($B$164:B173)+1)</f>
        <v>5</v>
      </c>
      <c r="C174" s="159" t="s">
        <v>95</v>
      </c>
      <c r="D174" s="93">
        <f>SUM('RJA-6 (2026 rates)'!D29:E29)</f>
        <v>0.23488999999999999</v>
      </c>
      <c r="E174" s="137">
        <f>SUM('RJA-6 (2026 rates)'!G29:H29)</f>
        <v>0.23718</v>
      </c>
      <c r="J174" s="161"/>
    </row>
    <row r="175" spans="1:10" ht="15" customHeight="1" x14ac:dyDescent="0.35">
      <c r="B175" s="128" t="str">
        <f>IF(ISBLANK(C175),"",MAX($B$164:B174)+1)</f>
        <v/>
      </c>
      <c r="C175" s="76"/>
      <c r="D175" s="135"/>
      <c r="E175" s="77"/>
      <c r="J175" s="161"/>
    </row>
    <row r="176" spans="1:10" ht="15" customHeight="1" x14ac:dyDescent="0.35">
      <c r="B176" s="128">
        <f>IF(ISBLANK(C176),"",MAX($B$164:B175)+1)</f>
        <v>6</v>
      </c>
      <c r="C176" s="138" t="str">
        <f>$C$54</f>
        <v>Pass-Through Rates</v>
      </c>
      <c r="D176" s="140">
        <f>'RJA-7 Bill Impact (2025)'!D176</f>
        <v>0.94052053077623277</v>
      </c>
      <c r="E176" s="141">
        <f>D176</f>
        <v>0.94052053077623277</v>
      </c>
      <c r="J176" s="162"/>
    </row>
    <row r="177" spans="2:7" ht="15" customHeight="1" x14ac:dyDescent="0.35">
      <c r="B177" s="128" t="str">
        <f>IF(ISBLANK(C177),"",MAX($B$164:B176)+1)</f>
        <v/>
      </c>
    </row>
    <row r="178" spans="2:7" ht="15" customHeight="1" x14ac:dyDescent="0.35">
      <c r="B178" s="128" t="str">
        <f>IF(ISBLANK(C178),"",MAX($B$164:B177)+1)</f>
        <v/>
      </c>
      <c r="C178" s="128"/>
      <c r="D178" s="128"/>
      <c r="E178" s="128"/>
    </row>
    <row r="179" spans="2:7" ht="15" customHeight="1" x14ac:dyDescent="0.5">
      <c r="B179" s="128"/>
      <c r="C179" s="128" t="s">
        <v>89</v>
      </c>
      <c r="D179" s="128" t="s">
        <v>63</v>
      </c>
      <c r="E179" s="128" t="s">
        <v>63</v>
      </c>
      <c r="F179" s="142" t="s">
        <v>90</v>
      </c>
      <c r="G179" s="142"/>
    </row>
    <row r="180" spans="2:7" ht="15" customHeight="1" x14ac:dyDescent="0.5">
      <c r="B180" s="128"/>
      <c r="C180" s="129" t="s">
        <v>91</v>
      </c>
      <c r="D180" s="129" t="s">
        <v>8</v>
      </c>
      <c r="E180" s="129" t="s">
        <v>9</v>
      </c>
      <c r="F180" s="129" t="s">
        <v>69</v>
      </c>
      <c r="G180" s="129" t="s">
        <v>70</v>
      </c>
    </row>
    <row r="181" spans="2:7" ht="15" customHeight="1" x14ac:dyDescent="0.35">
      <c r="B181" s="128">
        <f>IF(ISBLANK(C181),"",MAX($B$164:B180)+1)</f>
        <v>7</v>
      </c>
      <c r="C181" s="157">
        <v>0</v>
      </c>
      <c r="D181" s="1">
        <f>D$169+(D$172+D$176)*$C181</f>
        <v>100</v>
      </c>
      <c r="E181" s="1">
        <f>E$169+(E$172+E$176)*$C181</f>
        <v>130</v>
      </c>
      <c r="F181" s="1">
        <f>E181-D181</f>
        <v>30</v>
      </c>
      <c r="G181" s="156">
        <f>F181/D181</f>
        <v>0.3</v>
      </c>
    </row>
    <row r="182" spans="2:7" ht="15" customHeight="1" x14ac:dyDescent="0.35">
      <c r="B182" s="128" t="str">
        <f>IF(ISBLANK(C182),"",MAX($B$164:B181)+1)</f>
        <v/>
      </c>
      <c r="C182" s="157"/>
      <c r="D182" s="1"/>
      <c r="E182" s="1"/>
      <c r="F182" s="1"/>
      <c r="G182" s="156"/>
    </row>
    <row r="183" spans="2:7" ht="15" customHeight="1" x14ac:dyDescent="0.35">
      <c r="B183" s="128">
        <f>IF(ISBLANK(C183),"",MAX($B$164:B182)+1)</f>
        <v>8</v>
      </c>
      <c r="C183" s="157">
        <v>100</v>
      </c>
      <c r="D183" s="1">
        <f>D$169+(D$172+D$176)*$C183</f>
        <v>223.34305307762327</v>
      </c>
      <c r="E183" s="1">
        <f>E$169+(E$172+E$176)*$C183</f>
        <v>253.62905307762327</v>
      </c>
      <c r="F183" s="1">
        <f>E183-D183</f>
        <v>30.286000000000001</v>
      </c>
      <c r="G183" s="156">
        <f>F183/D183</f>
        <v>0.13560305361042077</v>
      </c>
    </row>
    <row r="184" spans="2:7" ht="15" customHeight="1" x14ac:dyDescent="0.35">
      <c r="B184" s="128">
        <f>IF(ISBLANK(C184),"",MAX($B$164:B183)+1)</f>
        <v>9</v>
      </c>
      <c r="C184" s="157">
        <f>+C183+100</f>
        <v>200</v>
      </c>
      <c r="D184" s="1">
        <f t="shared" ref="D184:E187" si="11">D$169+(D$172+D$176)*$C184</f>
        <v>346.68610615524653</v>
      </c>
      <c r="E184" s="1">
        <f t="shared" si="11"/>
        <v>377.25810615524654</v>
      </c>
      <c r="F184" s="1">
        <f>E184-D184</f>
        <v>30.572000000000003</v>
      </c>
      <c r="G184" s="156">
        <f>F184/D184</f>
        <v>8.8183516608276821E-2</v>
      </c>
    </row>
    <row r="185" spans="2:7" ht="15" customHeight="1" x14ac:dyDescent="0.35">
      <c r="B185" s="128">
        <f>IF(ISBLANK(C185),"",MAX($B$164:B184)+1)</f>
        <v>10</v>
      </c>
      <c r="C185" s="157">
        <f t="shared" ref="C185:C199" si="12">+C184+100</f>
        <v>300</v>
      </c>
      <c r="D185" s="1">
        <f t="shared" si="11"/>
        <v>470.02915923286986</v>
      </c>
      <c r="E185" s="1">
        <f t="shared" si="11"/>
        <v>500.88715923286981</v>
      </c>
      <c r="F185" s="1">
        <f>E185-D185</f>
        <v>30.857999999999947</v>
      </c>
      <c r="G185" s="156">
        <f>F185/D185</f>
        <v>6.565124608516415E-2</v>
      </c>
    </row>
    <row r="186" spans="2:7" ht="15" customHeight="1" x14ac:dyDescent="0.35">
      <c r="B186" s="128">
        <f>IF(ISBLANK(C186),"",MAX($B$164:B185)+1)</f>
        <v>11</v>
      </c>
      <c r="C186" s="157">
        <f t="shared" si="12"/>
        <v>400</v>
      </c>
      <c r="D186" s="1">
        <f t="shared" si="11"/>
        <v>593.37221231049307</v>
      </c>
      <c r="E186" s="1">
        <f t="shared" si="11"/>
        <v>624.51621231049307</v>
      </c>
      <c r="F186" s="1">
        <f>E186-D186</f>
        <v>31.144000000000005</v>
      </c>
      <c r="G186" s="156">
        <f>F186/D186</f>
        <v>5.2486448394221952E-2</v>
      </c>
    </row>
    <row r="187" spans="2:7" ht="15" customHeight="1" x14ac:dyDescent="0.35">
      <c r="B187" s="128">
        <f>IF(ISBLANK(C187),"",MAX($B$164:B186)+1)</f>
        <v>12</v>
      </c>
      <c r="C187" s="157">
        <f t="shared" si="12"/>
        <v>500</v>
      </c>
      <c r="D187" s="1">
        <f t="shared" si="11"/>
        <v>716.71526538811634</v>
      </c>
      <c r="E187" s="1">
        <f t="shared" si="11"/>
        <v>748.14526538811629</v>
      </c>
      <c r="F187" s="1">
        <f>E187-D187</f>
        <v>31.42999999999995</v>
      </c>
      <c r="G187" s="156">
        <f>F187/D187</f>
        <v>4.385284019725734E-2</v>
      </c>
    </row>
    <row r="188" spans="2:7" ht="15" customHeight="1" x14ac:dyDescent="0.35">
      <c r="B188" s="128" t="str">
        <f>IF(ISBLANK(C188),"",MAX($B$164:B187)+1)</f>
        <v/>
      </c>
      <c r="C188" s="157"/>
      <c r="D188" s="1"/>
      <c r="E188" s="1"/>
      <c r="F188" s="1"/>
      <c r="G188" s="156"/>
    </row>
    <row r="189" spans="2:7" ht="15" customHeight="1" x14ac:dyDescent="0.35">
      <c r="B189" s="128">
        <f>IF(ISBLANK(C189),"",MAX($B$164:B188)+1)</f>
        <v>13</v>
      </c>
      <c r="C189" s="157">
        <f>+C187+100</f>
        <v>600</v>
      </c>
      <c r="D189" s="1">
        <f t="shared" ref="D189:E193" si="13">D$169+(D$176*$C189)+D$173*($C189-$J$172)+D$172*$J$172</f>
        <v>835.01831846573964</v>
      </c>
      <c r="E189" s="1">
        <f t="shared" si="13"/>
        <v>866.68531846573956</v>
      </c>
      <c r="F189" s="1">
        <f>E189-D189</f>
        <v>31.666999999999916</v>
      </c>
      <c r="G189" s="156">
        <f>F189/D189</f>
        <v>3.7923718916951156E-2</v>
      </c>
    </row>
    <row r="190" spans="2:7" ht="15" customHeight="1" x14ac:dyDescent="0.35">
      <c r="B190" s="128">
        <f>IF(ISBLANK(C190),"",MAX($B$164:B189)+1)</f>
        <v>14</v>
      </c>
      <c r="C190" s="157">
        <f t="shared" si="12"/>
        <v>700</v>
      </c>
      <c r="D190" s="1">
        <f t="shared" si="13"/>
        <v>953.32137154336294</v>
      </c>
      <c r="E190" s="1">
        <f t="shared" si="13"/>
        <v>985.22537154336294</v>
      </c>
      <c r="F190" s="1">
        <f>E190-D190</f>
        <v>31.903999999999996</v>
      </c>
      <c r="G190" s="156">
        <f>F190/D190</f>
        <v>3.346615417668606E-2</v>
      </c>
    </row>
    <row r="191" spans="2:7" ht="15" customHeight="1" x14ac:dyDescent="0.35">
      <c r="B191" s="128">
        <f>IF(ISBLANK(C191),"",MAX($B$164:B190)+1)</f>
        <v>15</v>
      </c>
      <c r="C191" s="157">
        <f t="shared" si="12"/>
        <v>800</v>
      </c>
      <c r="D191" s="1">
        <f t="shared" si="13"/>
        <v>1071.6244246209862</v>
      </c>
      <c r="E191" s="1">
        <f t="shared" si="13"/>
        <v>1103.7654246209861</v>
      </c>
      <c r="F191" s="1">
        <f>E191-D191</f>
        <v>32.140999999999849</v>
      </c>
      <c r="G191" s="156">
        <f>F191/D191</f>
        <v>2.9992784096319499E-2</v>
      </c>
    </row>
    <row r="192" spans="2:7" ht="15" customHeight="1" x14ac:dyDescent="0.35">
      <c r="B192" s="128">
        <f>IF(ISBLANK(C192),"",MAX($B$164:B191)+1)</f>
        <v>16</v>
      </c>
      <c r="C192" s="157">
        <f t="shared" si="12"/>
        <v>900</v>
      </c>
      <c r="D192" s="1">
        <f t="shared" si="13"/>
        <v>1189.9274776986094</v>
      </c>
      <c r="E192" s="1">
        <f t="shared" si="13"/>
        <v>1222.3054776986094</v>
      </c>
      <c r="F192" s="1">
        <f>E192-D192</f>
        <v>32.377999999999929</v>
      </c>
      <c r="G192" s="156">
        <f>F192/D192</f>
        <v>2.7210061627134543E-2</v>
      </c>
    </row>
    <row r="193" spans="2:7" ht="15" customHeight="1" x14ac:dyDescent="0.35">
      <c r="B193" s="128">
        <f>IF(ISBLANK(C193),"",MAX($B$164:B192)+1)</f>
        <v>17</v>
      </c>
      <c r="C193" s="157">
        <f t="shared" si="12"/>
        <v>1000</v>
      </c>
      <c r="D193" s="1">
        <f t="shared" si="13"/>
        <v>1308.2305307762326</v>
      </c>
      <c r="E193" s="1">
        <f t="shared" si="13"/>
        <v>1340.8455307762329</v>
      </c>
      <c r="F193" s="1">
        <f>E193-D193</f>
        <v>32.615000000000236</v>
      </c>
      <c r="G193" s="156">
        <f>F193/D193</f>
        <v>2.4930621349012756E-2</v>
      </c>
    </row>
    <row r="194" spans="2:7" ht="15" customHeight="1" x14ac:dyDescent="0.35">
      <c r="B194" s="128" t="str">
        <f>IF(ISBLANK(C194),"",MAX($B$164:B193)+1)</f>
        <v/>
      </c>
      <c r="C194" s="157"/>
      <c r="D194" s="1"/>
      <c r="E194" s="1"/>
      <c r="F194" s="1"/>
      <c r="G194" s="156"/>
    </row>
    <row r="195" spans="2:7" ht="15" customHeight="1" x14ac:dyDescent="0.35">
      <c r="B195" s="128">
        <f>IF(ISBLANK(C195),"",MAX($B$164:B194)+1)</f>
        <v>18</v>
      </c>
      <c r="C195" s="157">
        <f>+C193+100</f>
        <v>1100</v>
      </c>
      <c r="D195" s="1">
        <f t="shared" ref="D195:E199" si="14">D$169+(D$176*$C195)+D$173*($C195-$J$172)+D$172*$J$172</f>
        <v>1426.533583853856</v>
      </c>
      <c r="E195" s="1">
        <f t="shared" si="14"/>
        <v>1459.3855838538559</v>
      </c>
      <c r="F195" s="1">
        <f>E195-D195</f>
        <v>32.851999999999862</v>
      </c>
      <c r="G195" s="156">
        <f>F195/D195</f>
        <v>2.3029251026287403E-2</v>
      </c>
    </row>
    <row r="196" spans="2:7" ht="15" customHeight="1" x14ac:dyDescent="0.35">
      <c r="B196" s="128">
        <f>IF(ISBLANK(C196),"",MAX($B$164:B195)+1)</f>
        <v>19</v>
      </c>
      <c r="C196" s="157">
        <f t="shared" si="12"/>
        <v>1200</v>
      </c>
      <c r="D196" s="1">
        <f t="shared" si="14"/>
        <v>1544.8366369314792</v>
      </c>
      <c r="E196" s="1">
        <f t="shared" si="14"/>
        <v>1577.9256369314792</v>
      </c>
      <c r="F196" s="1">
        <f>E196-D196</f>
        <v>33.088999999999942</v>
      </c>
      <c r="G196" s="156">
        <f>F196/D196</f>
        <v>2.1419093261359257E-2</v>
      </c>
    </row>
    <row r="197" spans="2:7" ht="15" customHeight="1" x14ac:dyDescent="0.35">
      <c r="B197" s="128">
        <f>IF(ISBLANK(C197),"",MAX($B$164:B196)+1)</f>
        <v>20</v>
      </c>
      <c r="C197" s="157">
        <f t="shared" si="12"/>
        <v>1300</v>
      </c>
      <c r="D197" s="1">
        <f t="shared" si="14"/>
        <v>1663.1396900091027</v>
      </c>
      <c r="E197" s="1">
        <f t="shared" si="14"/>
        <v>1696.4656900091027</v>
      </c>
      <c r="F197" s="1">
        <f>E197-D197</f>
        <v>33.326000000000022</v>
      </c>
      <c r="G197" s="156">
        <f>F197/D197</f>
        <v>2.0038004143727473E-2</v>
      </c>
    </row>
    <row r="198" spans="2:7" ht="15" customHeight="1" x14ac:dyDescent="0.35">
      <c r="B198" s="128">
        <f>IF(ISBLANK(C198),"",MAX($B$164:B197)+1)</f>
        <v>21</v>
      </c>
      <c r="C198" s="157">
        <f t="shared" si="12"/>
        <v>1400</v>
      </c>
      <c r="D198" s="1">
        <f t="shared" si="14"/>
        <v>1781.4427430867258</v>
      </c>
      <c r="E198" s="1">
        <f t="shared" si="14"/>
        <v>1815.0057430867259</v>
      </c>
      <c r="F198" s="1">
        <f>E198-D198</f>
        <v>33.563000000000102</v>
      </c>
      <c r="G198" s="156">
        <f>F198/D198</f>
        <v>1.8840347314135461E-2</v>
      </c>
    </row>
    <row r="199" spans="2:7" ht="15" customHeight="1" x14ac:dyDescent="0.35">
      <c r="B199" s="128">
        <f>IF(ISBLANK(C199),"",MAX($B$164:B198)+1)</f>
        <v>22</v>
      </c>
      <c r="C199" s="157">
        <f t="shared" si="12"/>
        <v>1500</v>
      </c>
      <c r="D199" s="1">
        <f t="shared" si="14"/>
        <v>1899.745796164349</v>
      </c>
      <c r="E199" s="1">
        <f t="shared" si="14"/>
        <v>1933.545796164349</v>
      </c>
      <c r="F199" s="1">
        <f>E199-D199</f>
        <v>33.799999999999955</v>
      </c>
      <c r="G199" s="156">
        <f>F199/D199</f>
        <v>1.7791854082921672E-2</v>
      </c>
    </row>
    <row r="200" spans="2:7" ht="15" customHeight="1" x14ac:dyDescent="0.35">
      <c r="B200" s="128" t="str">
        <f>IF(ISBLANK(C200),"",MAX($B$164:B199)+1)</f>
        <v/>
      </c>
      <c r="C200" s="157"/>
      <c r="D200" s="1"/>
      <c r="E200" s="1"/>
      <c r="F200" s="1"/>
      <c r="G200" s="156"/>
    </row>
    <row r="201" spans="2:7" ht="15" customHeight="1" x14ac:dyDescent="0.35">
      <c r="B201" s="128">
        <f>IF(ISBLANK(C201),"",MAX($B$164:B200)+1)</f>
        <v>23</v>
      </c>
      <c r="C201" s="157">
        <f>+C199+500</f>
        <v>2000</v>
      </c>
      <c r="D201" s="1">
        <f t="shared" ref="D201:E205" si="15">D$169+(D$176*$C201)+D$173*($C201-$J$172)+D$172*$J$172</f>
        <v>2491.2610615524654</v>
      </c>
      <c r="E201" s="1">
        <f t="shared" si="15"/>
        <v>2526.246061552466</v>
      </c>
      <c r="F201" s="1">
        <f>E201-D201</f>
        <v>34.985000000000582</v>
      </c>
      <c r="G201" s="156">
        <f>F201/D201</f>
        <v>1.4043088675017933E-2</v>
      </c>
    </row>
    <row r="202" spans="2:7" ht="15" customHeight="1" x14ac:dyDescent="0.35">
      <c r="B202" s="128">
        <f>IF(ISBLANK(C202),"",MAX($B$164:B201)+1)</f>
        <v>24</v>
      </c>
      <c r="C202" s="157">
        <f>+C201+500</f>
        <v>2500</v>
      </c>
      <c r="D202" s="1">
        <f t="shared" si="15"/>
        <v>3082.7763269405818</v>
      </c>
      <c r="E202" s="1">
        <f t="shared" si="15"/>
        <v>3118.9463269405824</v>
      </c>
      <c r="F202" s="1">
        <f>E202-D202</f>
        <v>36.170000000000528</v>
      </c>
      <c r="G202" s="156">
        <f>F202/D202</f>
        <v>1.1732930373153757E-2</v>
      </c>
    </row>
    <row r="203" spans="2:7" ht="15" customHeight="1" x14ac:dyDescent="0.35">
      <c r="B203" s="128">
        <f>IF(ISBLANK(C203),"",MAX($B$164:B202)+1)</f>
        <v>25</v>
      </c>
      <c r="C203" s="157">
        <f t="shared" ref="C203:C205" si="16">+C202+500</f>
        <v>3000</v>
      </c>
      <c r="D203" s="1">
        <f t="shared" si="15"/>
        <v>3674.2915923286982</v>
      </c>
      <c r="E203" s="1">
        <f t="shared" si="15"/>
        <v>3711.6465923286978</v>
      </c>
      <c r="F203" s="1">
        <f>E203-D203</f>
        <v>37.354999999999563</v>
      </c>
      <c r="G203" s="156">
        <f>F203/D203</f>
        <v>1.0166585601967603E-2</v>
      </c>
    </row>
    <row r="204" spans="2:7" ht="15" customHeight="1" x14ac:dyDescent="0.35">
      <c r="B204" s="128">
        <f>IF(ISBLANK(C204),"",MAX($B$164:B203)+1)</f>
        <v>26</v>
      </c>
      <c r="C204" s="157">
        <f t="shared" si="16"/>
        <v>3500</v>
      </c>
      <c r="D204" s="1">
        <f t="shared" si="15"/>
        <v>4265.8068577168142</v>
      </c>
      <c r="E204" s="1">
        <f t="shared" si="15"/>
        <v>4304.3468577168151</v>
      </c>
      <c r="F204" s="1">
        <f>E204-D204</f>
        <v>38.540000000000873</v>
      </c>
      <c r="G204" s="156">
        <f>F204/D204</f>
        <v>9.0346331386950366E-3</v>
      </c>
    </row>
    <row r="205" spans="2:7" ht="15" customHeight="1" x14ac:dyDescent="0.35">
      <c r="B205" s="128">
        <f>IF(ISBLANK(C205),"",MAX($B$164:B204)+1)</f>
        <v>27</v>
      </c>
      <c r="C205" s="157">
        <f t="shared" si="16"/>
        <v>4000</v>
      </c>
      <c r="D205" s="1">
        <f t="shared" si="15"/>
        <v>4857.3221231049311</v>
      </c>
      <c r="E205" s="1">
        <f t="shared" si="15"/>
        <v>4897.0471231049314</v>
      </c>
      <c r="F205" s="1">
        <f>E205-D205</f>
        <v>39.725000000000364</v>
      </c>
      <c r="G205" s="156">
        <f>F205/D205</f>
        <v>8.1783746256068914E-3</v>
      </c>
    </row>
    <row r="206" spans="2:7" ht="15" customHeight="1" x14ac:dyDescent="0.35">
      <c r="B206" s="128" t="str">
        <f>IF(ISBLANK(C206),"",MAX($B$164:B205)+1)</f>
        <v/>
      </c>
      <c r="C206" s="157"/>
      <c r="D206" s="1"/>
      <c r="E206" s="1"/>
      <c r="F206" s="1"/>
      <c r="G206" s="156"/>
    </row>
    <row r="207" spans="2:7" ht="15" customHeight="1" x14ac:dyDescent="0.35">
      <c r="B207" s="128">
        <f>IF(ISBLANK(C207),"",MAX($B$164:B206)+1)</f>
        <v>28</v>
      </c>
      <c r="C207" s="157">
        <f>+C205+1000</f>
        <v>5000</v>
      </c>
      <c r="D207" s="1">
        <f t="shared" ref="D207:E211" si="17">D$169+(D$176*$C207)+D$174*($C207-$J$172-$J$173)+D$172*$J$172+D$173*$J$173</f>
        <v>6032.732653881164</v>
      </c>
      <c r="E207" s="1">
        <f t="shared" si="17"/>
        <v>6074.7476538811643</v>
      </c>
      <c r="F207" s="1">
        <f>E207-D207</f>
        <v>42.015000000000327</v>
      </c>
      <c r="G207" s="156">
        <f>F207/D207</f>
        <v>6.9645055417746618E-3</v>
      </c>
    </row>
    <row r="208" spans="2:7" ht="15" customHeight="1" x14ac:dyDescent="0.35">
      <c r="B208" s="128">
        <f>IF(ISBLANK(C208),"",MAX($B$164:B207)+1)</f>
        <v>29</v>
      </c>
      <c r="C208" s="157">
        <f>+C207+1000</f>
        <v>6000</v>
      </c>
      <c r="D208" s="1">
        <f t="shared" si="17"/>
        <v>7208.143184657396</v>
      </c>
      <c r="E208" s="1">
        <f t="shared" si="17"/>
        <v>7252.4481846573963</v>
      </c>
      <c r="F208" s="1">
        <f>E208-D208</f>
        <v>44.305000000000291</v>
      </c>
      <c r="G208" s="156">
        <f>F208/D208</f>
        <v>6.1465205206111782E-3</v>
      </c>
    </row>
    <row r="209" spans="2:7" ht="15" customHeight="1" x14ac:dyDescent="0.35">
      <c r="B209" s="128">
        <f>IF(ISBLANK(C209),"",MAX($B$164:B208)+1)</f>
        <v>30</v>
      </c>
      <c r="C209" s="157">
        <f t="shared" ref="C209:C211" si="18">+C208+1000</f>
        <v>7000</v>
      </c>
      <c r="D209" s="1">
        <f t="shared" si="17"/>
        <v>8383.5537154336289</v>
      </c>
      <c r="E209" s="1">
        <f t="shared" si="17"/>
        <v>8430.1487154336282</v>
      </c>
      <c r="F209" s="1">
        <f>E209-D209</f>
        <v>46.594999999999345</v>
      </c>
      <c r="G209" s="156">
        <f>F209/D209</f>
        <v>5.5579055829535267E-3</v>
      </c>
    </row>
    <row r="210" spans="2:7" ht="15" customHeight="1" x14ac:dyDescent="0.35">
      <c r="B210" s="128">
        <f>IF(ISBLANK(C210),"",MAX($B$164:B209)+1)</f>
        <v>31</v>
      </c>
      <c r="C210" s="157">
        <f t="shared" si="18"/>
        <v>8000</v>
      </c>
      <c r="D210" s="1">
        <f t="shared" si="17"/>
        <v>9558.9642462098618</v>
      </c>
      <c r="E210" s="1">
        <f t="shared" si="17"/>
        <v>9607.849246209862</v>
      </c>
      <c r="F210" s="1">
        <f>E210-D210</f>
        <v>48.885000000000218</v>
      </c>
      <c r="G210" s="156">
        <f>F210/D210</f>
        <v>5.1140477922995862E-3</v>
      </c>
    </row>
    <row r="211" spans="2:7" ht="15" customHeight="1" x14ac:dyDescent="0.35">
      <c r="B211" s="128">
        <f>IF(ISBLANK(C211),"",MAX($B$164:B210)+1)</f>
        <v>32</v>
      </c>
      <c r="C211" s="157">
        <f t="shared" si="18"/>
        <v>9000</v>
      </c>
      <c r="D211" s="1">
        <f t="shared" si="17"/>
        <v>10734.374776986095</v>
      </c>
      <c r="E211" s="1">
        <f t="shared" si="17"/>
        <v>10785.549776986094</v>
      </c>
      <c r="F211" s="1">
        <f>E211-D211</f>
        <v>51.174999999999272</v>
      </c>
      <c r="G211" s="156">
        <f>F211/D211</f>
        <v>4.7673945677502933E-3</v>
      </c>
    </row>
    <row r="212" spans="2:7" ht="15" customHeight="1" x14ac:dyDescent="0.35">
      <c r="B212" s="128" t="str">
        <f>IF(ISBLANK(C212),"",MAX($B$164:B211)+1)</f>
        <v/>
      </c>
      <c r="C212" s="157"/>
      <c r="D212" s="1"/>
      <c r="E212" s="1"/>
      <c r="F212" s="1"/>
      <c r="G212" s="156"/>
    </row>
    <row r="213" spans="2:7" ht="15" customHeight="1" x14ac:dyDescent="0.35">
      <c r="B213" s="128">
        <f>IF(ISBLANK(C213),"",MAX($B$164:B212)+1)</f>
        <v>33</v>
      </c>
      <c r="C213" s="157">
        <f>+C211+1000</f>
        <v>10000</v>
      </c>
      <c r="D213" s="1">
        <f t="shared" ref="D213:E217" si="19">D$169+(D$176*$C213)+D$174*($C213-$J$172-$J$173)+D$172*$J$172+D$173*$J$173</f>
        <v>11909.785307762328</v>
      </c>
      <c r="E213" s="1">
        <f t="shared" si="19"/>
        <v>11963.250307762328</v>
      </c>
      <c r="F213" s="1">
        <f>E213-D213</f>
        <v>53.465000000000146</v>
      </c>
      <c r="G213" s="156">
        <f>F213/D213</f>
        <v>4.4891657253597825E-3</v>
      </c>
    </row>
    <row r="214" spans="2:7" ht="15" customHeight="1" x14ac:dyDescent="0.35">
      <c r="B214" s="128">
        <f>IF(ISBLANK(C214),"",MAX($B$164:B213)+1)</f>
        <v>34</v>
      </c>
      <c r="C214" s="157">
        <f>+C213+2500</f>
        <v>12500</v>
      </c>
      <c r="D214" s="1">
        <f t="shared" si="19"/>
        <v>14848.31163470291</v>
      </c>
      <c r="E214" s="1">
        <f t="shared" si="19"/>
        <v>14907.50163470291</v>
      </c>
      <c r="F214" s="1">
        <f>E214-D214</f>
        <v>59.190000000000509</v>
      </c>
      <c r="G214" s="156">
        <f>F214/D214</f>
        <v>3.986311808115873E-3</v>
      </c>
    </row>
    <row r="215" spans="2:7" ht="15" customHeight="1" x14ac:dyDescent="0.35">
      <c r="B215" s="128">
        <f>IF(ISBLANK(C215),"",MAX($B$164:B214)+1)</f>
        <v>35</v>
      </c>
      <c r="C215" s="157">
        <f t="shared" ref="C215:C217" si="20">+C214+2500</f>
        <v>15000</v>
      </c>
      <c r="D215" s="1">
        <f t="shared" si="19"/>
        <v>17786.837961643494</v>
      </c>
      <c r="E215" s="1">
        <f t="shared" si="19"/>
        <v>17851.752961643491</v>
      </c>
      <c r="F215" s="1">
        <f>E215-D215</f>
        <v>64.914999999997235</v>
      </c>
      <c r="G215" s="156">
        <f>F215/D215</f>
        <v>3.6496087803792598E-3</v>
      </c>
    </row>
    <row r="216" spans="2:7" ht="15" customHeight="1" x14ac:dyDescent="0.35">
      <c r="B216" s="128">
        <f>IF(ISBLANK(C216),"",MAX($B$164:B215)+1)</f>
        <v>36</v>
      </c>
      <c r="C216" s="157">
        <f t="shared" si="20"/>
        <v>17500</v>
      </c>
      <c r="D216" s="1">
        <f t="shared" si="19"/>
        <v>20725.364288584075</v>
      </c>
      <c r="E216" s="1">
        <f t="shared" si="19"/>
        <v>20796.004288584074</v>
      </c>
      <c r="F216" s="1">
        <f>E216-D216</f>
        <v>70.639999999999418</v>
      </c>
      <c r="G216" s="156">
        <f>F216/D216</f>
        <v>3.40838399829282E-3</v>
      </c>
    </row>
    <row r="217" spans="2:7" ht="15" customHeight="1" x14ac:dyDescent="0.35">
      <c r="B217" s="128">
        <f>IF(ISBLANK(C217),"",MAX($B$164:B216)+1)</f>
        <v>37</v>
      </c>
      <c r="C217" s="157">
        <f t="shared" si="20"/>
        <v>20000</v>
      </c>
      <c r="D217" s="1">
        <f t="shared" si="19"/>
        <v>23663.890615524655</v>
      </c>
      <c r="E217" s="1">
        <f t="shared" si="19"/>
        <v>23740.255615524657</v>
      </c>
      <c r="F217" s="1">
        <f>E217-D217</f>
        <v>76.365000000001601</v>
      </c>
      <c r="G217" s="156">
        <f>F217/D217</f>
        <v>3.2270686693380195E-3</v>
      </c>
    </row>
    <row r="218" spans="2:7" ht="15" customHeight="1" x14ac:dyDescent="0.35">
      <c r="B218" s="128" t="str">
        <f>IF(ISBLANK(C218),"",MAX($B$164:B217)+1)</f>
        <v/>
      </c>
      <c r="C218" s="157"/>
      <c r="D218" s="1"/>
      <c r="E218" s="1"/>
      <c r="F218" s="1"/>
      <c r="G218" s="156"/>
    </row>
    <row r="219" spans="2:7" ht="15" customHeight="1" x14ac:dyDescent="0.35">
      <c r="B219" s="128">
        <f>IF(ISBLANK(C219),"",MAX($B$164:B218)+1)</f>
        <v>38</v>
      </c>
      <c r="C219" s="157">
        <f>+C217+5000</f>
        <v>25000</v>
      </c>
      <c r="D219" s="1">
        <f t="shared" ref="D219:E223" si="21">D$169+(D$176*$C219)+D$174*($C219-$J$172-$J$173)+D$172*$J$172+D$173*$J$173</f>
        <v>29540.94326940582</v>
      </c>
      <c r="E219" s="1">
        <f t="shared" si="21"/>
        <v>29628.758269405815</v>
      </c>
      <c r="F219" s="1">
        <f>E219-D219</f>
        <v>87.814999999995052</v>
      </c>
      <c r="G219" s="156">
        <f>F219/D219</f>
        <v>2.9726538925702131E-3</v>
      </c>
    </row>
    <row r="220" spans="2:7" ht="15" customHeight="1" x14ac:dyDescent="0.35">
      <c r="B220" s="128">
        <f>IF(ISBLANK(C220),"",MAX($B$164:B219)+1)</f>
        <v>39</v>
      </c>
      <c r="C220" s="157">
        <f t="shared" ref="C220:C223" si="22">+C219+5000</f>
        <v>30000</v>
      </c>
      <c r="D220" s="1">
        <f t="shared" si="21"/>
        <v>35417.995923286988</v>
      </c>
      <c r="E220" s="1">
        <f t="shared" si="21"/>
        <v>35517.260923286987</v>
      </c>
      <c r="F220" s="1">
        <f>E220-D220</f>
        <v>99.264999999999418</v>
      </c>
      <c r="G220" s="156">
        <f>F220/D220</f>
        <v>2.8026712808652634E-3</v>
      </c>
    </row>
    <row r="221" spans="2:7" ht="15" customHeight="1" x14ac:dyDescent="0.35">
      <c r="B221" s="128">
        <f>IF(ISBLANK(C221),"",MAX($B$164:B220)+1)</f>
        <v>40</v>
      </c>
      <c r="C221" s="157">
        <f t="shared" si="22"/>
        <v>35000</v>
      </c>
      <c r="D221" s="1">
        <f t="shared" si="21"/>
        <v>41295.048577168149</v>
      </c>
      <c r="E221" s="1">
        <f t="shared" si="21"/>
        <v>41405.763577168153</v>
      </c>
      <c r="F221" s="1">
        <f>E221-D221</f>
        <v>110.71500000000378</v>
      </c>
      <c r="G221" s="156">
        <f>F221/D221</f>
        <v>2.6810720368353707E-3</v>
      </c>
    </row>
    <row r="222" spans="2:7" ht="15" customHeight="1" x14ac:dyDescent="0.35">
      <c r="B222" s="128">
        <f>IF(ISBLANK(C222),"",MAX($B$164:B221)+1)</f>
        <v>41</v>
      </c>
      <c r="C222" s="157">
        <f t="shared" si="22"/>
        <v>40000</v>
      </c>
      <c r="D222" s="1">
        <f t="shared" si="21"/>
        <v>47172.101231049317</v>
      </c>
      <c r="E222" s="1">
        <f t="shared" si="21"/>
        <v>47294.266231049311</v>
      </c>
      <c r="F222" s="1">
        <f>E222-D222</f>
        <v>122.1649999999936</v>
      </c>
      <c r="G222" s="156">
        <f>F222/D222</f>
        <v>2.5897722766604881E-3</v>
      </c>
    </row>
    <row r="223" spans="2:7" ht="15" customHeight="1" x14ac:dyDescent="0.35">
      <c r="B223" s="128">
        <f>IF(ISBLANK(C223),"",MAX($B$164:B222)+1)</f>
        <v>42</v>
      </c>
      <c r="C223" s="157">
        <f t="shared" si="22"/>
        <v>45000</v>
      </c>
      <c r="D223" s="1">
        <f t="shared" si="21"/>
        <v>53049.153884930478</v>
      </c>
      <c r="E223" s="1">
        <f t="shared" si="21"/>
        <v>53182.768884930476</v>
      </c>
      <c r="F223" s="1">
        <f>E223-D223</f>
        <v>133.61499999999796</v>
      </c>
      <c r="G223" s="156">
        <f>F223/D223</f>
        <v>2.5187018117164275E-3</v>
      </c>
    </row>
    <row r="224" spans="2:7" ht="15" customHeight="1" x14ac:dyDescent="0.35">
      <c r="B224" s="128" t="str">
        <f>IF(ISBLANK(C224),"",MAX($B$164:B223)+1)</f>
        <v/>
      </c>
      <c r="C224" s="157"/>
      <c r="D224" s="1"/>
      <c r="E224" s="1"/>
      <c r="F224" s="1"/>
      <c r="G224" s="156"/>
    </row>
    <row r="225" spans="1:8" ht="15" customHeight="1" x14ac:dyDescent="0.35">
      <c r="B225" s="128">
        <f>IF(ISBLANK(C225),"",MAX($B$164:B224)+1)</f>
        <v>43</v>
      </c>
      <c r="C225" s="157">
        <f>+C223+5000</f>
        <v>50000</v>
      </c>
      <c r="D225" s="1">
        <f t="shared" ref="D225:E230" si="23">D$169+(D$176*$C225)+D$174*($C225-$J$172-$J$173)+D$172*$J$172+D$173*$J$173</f>
        <v>58926.206538811646</v>
      </c>
      <c r="E225" s="1">
        <f t="shared" si="23"/>
        <v>59071.271538811641</v>
      </c>
      <c r="F225" s="1">
        <f t="shared" ref="F225:F230" si="24">E225-D225</f>
        <v>145.06499999999505</v>
      </c>
      <c r="G225" s="156">
        <f t="shared" ref="G225:G230" si="25">F225/D225</f>
        <v>2.461807886860123E-3</v>
      </c>
    </row>
    <row r="226" spans="1:8" ht="15" customHeight="1" x14ac:dyDescent="0.35">
      <c r="B226" s="128">
        <f>IF(ISBLANK(C226),"",MAX($B$164:B225)+1)</f>
        <v>44</v>
      </c>
      <c r="C226" s="157">
        <f>+C225+10000</f>
        <v>60000</v>
      </c>
      <c r="D226" s="1">
        <f t="shared" si="23"/>
        <v>70680.311846573968</v>
      </c>
      <c r="E226" s="1">
        <f t="shared" si="23"/>
        <v>70848.276846573965</v>
      </c>
      <c r="F226" s="1">
        <f t="shared" si="24"/>
        <v>167.96499999999651</v>
      </c>
      <c r="G226" s="156">
        <f t="shared" si="25"/>
        <v>2.3764043424793994E-3</v>
      </c>
    </row>
    <row r="227" spans="1:8" ht="15" customHeight="1" x14ac:dyDescent="0.35">
      <c r="B227" s="128">
        <f>IF(ISBLANK(C227),"",MAX($B$164:B226)+1)</f>
        <v>45</v>
      </c>
      <c r="C227" s="157">
        <f t="shared" ref="C227:C230" si="26">+C226+10000</f>
        <v>70000</v>
      </c>
      <c r="D227" s="1">
        <f t="shared" si="23"/>
        <v>82434.417154336305</v>
      </c>
      <c r="E227" s="1">
        <f t="shared" si="23"/>
        <v>82625.282154336295</v>
      </c>
      <c r="F227" s="1">
        <f t="shared" si="24"/>
        <v>190.86499999999069</v>
      </c>
      <c r="G227" s="156">
        <f t="shared" si="25"/>
        <v>2.3153557286957854E-3</v>
      </c>
    </row>
    <row r="228" spans="1:8" ht="15" customHeight="1" x14ac:dyDescent="0.35">
      <c r="B228" s="128">
        <f>IF(ISBLANK(C228),"",MAX($B$164:B227)+1)</f>
        <v>46</v>
      </c>
      <c r="C228" s="157">
        <f t="shared" si="26"/>
        <v>80000</v>
      </c>
      <c r="D228" s="1">
        <f t="shared" si="23"/>
        <v>94188.522462098626</v>
      </c>
      <c r="E228" s="1">
        <f t="shared" si="23"/>
        <v>94402.287462098611</v>
      </c>
      <c r="F228" s="1">
        <f t="shared" si="24"/>
        <v>213.76499999998487</v>
      </c>
      <c r="G228" s="156">
        <f t="shared" si="25"/>
        <v>2.2695440422266281E-3</v>
      </c>
    </row>
    <row r="229" spans="1:8" ht="15" customHeight="1" x14ac:dyDescent="0.35">
      <c r="B229" s="128">
        <f>IF(ISBLANK(C229),"",MAX($B$164:B228)+1)</f>
        <v>47</v>
      </c>
      <c r="C229" s="157">
        <f t="shared" si="26"/>
        <v>90000</v>
      </c>
      <c r="D229" s="1">
        <f t="shared" si="23"/>
        <v>105942.62776986095</v>
      </c>
      <c r="E229" s="1">
        <f t="shared" si="23"/>
        <v>106179.29276986094</v>
      </c>
      <c r="F229" s="1">
        <f t="shared" si="24"/>
        <v>236.6649999999936</v>
      </c>
      <c r="G229" s="156">
        <f t="shared" si="25"/>
        <v>2.2338977707264417E-3</v>
      </c>
    </row>
    <row r="230" spans="1:8" ht="15" customHeight="1" x14ac:dyDescent="0.35">
      <c r="B230" s="128">
        <f>IF(ISBLANK(C230),"",MAX($B$164:B229)+1)</f>
        <v>48</v>
      </c>
      <c r="C230" s="157">
        <f t="shared" si="26"/>
        <v>100000</v>
      </c>
      <c r="D230" s="1">
        <f t="shared" si="23"/>
        <v>117696.73307762328</v>
      </c>
      <c r="E230" s="1">
        <f t="shared" si="23"/>
        <v>117956.29807762327</v>
      </c>
      <c r="F230" s="1">
        <f t="shared" si="24"/>
        <v>259.56499999998778</v>
      </c>
      <c r="G230" s="156">
        <f t="shared" si="25"/>
        <v>2.2053713235081862E-3</v>
      </c>
    </row>
    <row r="231" spans="1:8" ht="15" customHeight="1" x14ac:dyDescent="0.35">
      <c r="A231" s="42" t="str">
        <f>$A$41</f>
        <v>Cascade Natural Gas Corp.</v>
      </c>
      <c r="H231" s="41" t="str">
        <f>$H$41</f>
        <v>Exh. RJA-7</v>
      </c>
    </row>
    <row r="232" spans="1:8" ht="15" customHeight="1" x14ac:dyDescent="0.35">
      <c r="A232" s="42" t="str">
        <f>$A$42</f>
        <v>Washington Jurisdiction</v>
      </c>
      <c r="H232" s="41" t="s">
        <v>144</v>
      </c>
    </row>
    <row r="233" spans="1:8" ht="15" customHeight="1" x14ac:dyDescent="0.35">
      <c r="A233" s="42" t="str">
        <f>$A$43</f>
        <v>Estimated Monthly Bill Impacts March 1, 2026</v>
      </c>
      <c r="H233" s="41" t="str">
        <f>$H$43</f>
        <v>Impact of Recommended Rate Changes</v>
      </c>
    </row>
    <row r="234" spans="1:8" ht="15" customHeight="1" x14ac:dyDescent="0.35">
      <c r="A234" s="42"/>
    </row>
    <row r="235" spans="1:8" ht="15" customHeight="1" x14ac:dyDescent="0.35">
      <c r="B235" s="127" t="str">
        <f>'RJA-6 (2026 rates)'!B34</f>
        <v>Large Volume - 511</v>
      </c>
    </row>
    <row r="237" spans="1:8" ht="15" customHeight="1" x14ac:dyDescent="0.5">
      <c r="B237" s="129" t="s">
        <v>87</v>
      </c>
      <c r="C237" s="129" t="s">
        <v>52</v>
      </c>
      <c r="D237" s="129" t="s">
        <v>53</v>
      </c>
      <c r="E237" s="129" t="s">
        <v>55</v>
      </c>
      <c r="F237" s="129" t="s">
        <v>56</v>
      </c>
      <c r="G237" s="129" t="s">
        <v>57</v>
      </c>
    </row>
    <row r="238" spans="1:8" ht="15" customHeight="1" x14ac:dyDescent="0.35">
      <c r="B238" s="128"/>
      <c r="C238" s="130"/>
      <c r="D238" s="154" t="s">
        <v>58</v>
      </c>
      <c r="E238" s="155" t="s">
        <v>66</v>
      </c>
    </row>
    <row r="239" spans="1:8" ht="15" customHeight="1" x14ac:dyDescent="0.5">
      <c r="B239" s="128"/>
      <c r="C239" s="76"/>
      <c r="D239" s="129" t="s">
        <v>60</v>
      </c>
      <c r="E239" s="134" t="s">
        <v>60</v>
      </c>
    </row>
    <row r="240" spans="1:8" ht="15" customHeight="1" x14ac:dyDescent="0.35">
      <c r="B240" s="128">
        <f>IF(ISBLANK(C240),"",MAX($B$235:B239)+1)</f>
        <v>1</v>
      </c>
      <c r="C240" s="76" t="s">
        <v>18</v>
      </c>
      <c r="D240" s="135">
        <f>'RJA-6 (2026 rates)'!D35</f>
        <v>250</v>
      </c>
      <c r="E240" s="136">
        <f>'RJA-6 (2026 rates)'!G35</f>
        <v>350</v>
      </c>
    </row>
    <row r="241" spans="2:10" ht="15" customHeight="1" x14ac:dyDescent="0.35">
      <c r="B241" s="128" t="str">
        <f>IF(ISBLANK(C241),"",MAX($B$235:B240)+1)</f>
        <v/>
      </c>
      <c r="C241" s="76"/>
      <c r="D241" s="135"/>
      <c r="E241" s="136"/>
    </row>
    <row r="242" spans="2:10" ht="15" customHeight="1" x14ac:dyDescent="0.35">
      <c r="B242" s="128">
        <f>IF(ISBLANK(C242),"",MAX($B$235:B241)+1)</f>
        <v>2</v>
      </c>
      <c r="C242" s="76" t="s">
        <v>88</v>
      </c>
      <c r="E242" s="136"/>
      <c r="J242" s="158" t="s">
        <v>92</v>
      </c>
    </row>
    <row r="243" spans="2:10" ht="15" customHeight="1" x14ac:dyDescent="0.35">
      <c r="B243" s="128">
        <f>IF(ISBLANK(C243),"",MAX($B$235:B242)+1)</f>
        <v>3</v>
      </c>
      <c r="C243" s="159" t="s">
        <v>96</v>
      </c>
      <c r="D243" s="93">
        <f>SUM('RJA-6 (2026 rates)'!D36:E36)</f>
        <v>0.23618</v>
      </c>
      <c r="E243" s="137">
        <f>SUM('RJA-6 (2026 rates)'!G36:H36)</f>
        <v>0.24598999999999999</v>
      </c>
      <c r="J243" s="160">
        <v>20000</v>
      </c>
    </row>
    <row r="244" spans="2:10" ht="15" customHeight="1" x14ac:dyDescent="0.35">
      <c r="B244" s="128">
        <f>IF(ISBLANK(C244),"",MAX($B$235:B243)+1)</f>
        <v>4</v>
      </c>
      <c r="C244" s="159" t="s">
        <v>97</v>
      </c>
      <c r="D244" s="93">
        <f>SUM('RJA-6 (2026 rates)'!D37:E37)</f>
        <v>0.18526000000000001</v>
      </c>
      <c r="E244" s="137">
        <f>SUM('RJA-6 (2026 rates)'!G37:H37)</f>
        <v>0.19295999999999999</v>
      </c>
      <c r="J244" s="161">
        <v>80000</v>
      </c>
    </row>
    <row r="245" spans="2:10" ht="15" customHeight="1" x14ac:dyDescent="0.35">
      <c r="B245" s="128">
        <f>IF(ISBLANK(C245),"",MAX($B$235:B244)+1)</f>
        <v>5</v>
      </c>
      <c r="C245" s="159" t="s">
        <v>98</v>
      </c>
      <c r="D245" s="93">
        <f>SUM('RJA-6 (2026 rates)'!D38:E38)</f>
        <v>5.9299999999999999E-2</v>
      </c>
      <c r="E245" s="137">
        <f>SUM('RJA-6 (2026 rates)'!G38:H38)</f>
        <v>6.1760000000000002E-2</v>
      </c>
      <c r="J245" s="161"/>
    </row>
    <row r="246" spans="2:10" ht="15" customHeight="1" x14ac:dyDescent="0.35">
      <c r="B246" s="128" t="str">
        <f>IF(ISBLANK(C246),"",MAX($B$235:B245)+1)</f>
        <v/>
      </c>
      <c r="C246" s="76"/>
      <c r="D246" s="135"/>
      <c r="E246" s="77"/>
      <c r="J246" s="161"/>
    </row>
    <row r="247" spans="2:10" ht="15" customHeight="1" x14ac:dyDescent="0.35">
      <c r="B247" s="128">
        <f>IF(ISBLANK(C247),"",MAX($B$235:B246)+1)</f>
        <v>6</v>
      </c>
      <c r="C247" s="138" t="str">
        <f>$C$54</f>
        <v>Pass-Through Rates</v>
      </c>
      <c r="D247" s="140">
        <f>'RJA-7 Bill Impact (2025)'!D248</f>
        <v>0.94288053077623279</v>
      </c>
      <c r="E247" s="141">
        <f>D247</f>
        <v>0.94288053077623279</v>
      </c>
      <c r="J247" s="162"/>
    </row>
    <row r="248" spans="2:10" ht="15" customHeight="1" x14ac:dyDescent="0.35">
      <c r="B248" s="128" t="str">
        <f>IF(ISBLANK(C248),"",MAX($B$235:B247)+1)</f>
        <v/>
      </c>
    </row>
    <row r="249" spans="2:10" ht="15" customHeight="1" x14ac:dyDescent="0.35">
      <c r="B249" s="128" t="str">
        <f>IF(ISBLANK(C249),"",MAX($B$235:B248)+1)</f>
        <v/>
      </c>
      <c r="C249" s="128"/>
      <c r="D249" s="128"/>
      <c r="E249" s="128"/>
    </row>
    <row r="250" spans="2:10" ht="15" customHeight="1" x14ac:dyDescent="0.5">
      <c r="B250" s="128"/>
      <c r="C250" s="128" t="s">
        <v>89</v>
      </c>
      <c r="D250" s="128" t="s">
        <v>63</v>
      </c>
      <c r="E250" s="128" t="s">
        <v>63</v>
      </c>
      <c r="F250" s="142" t="s">
        <v>90</v>
      </c>
      <c r="G250" s="142"/>
    </row>
    <row r="251" spans="2:10" ht="15" customHeight="1" x14ac:dyDescent="0.5">
      <c r="B251" s="128"/>
      <c r="C251" s="129" t="s">
        <v>91</v>
      </c>
      <c r="D251" s="129" t="s">
        <v>8</v>
      </c>
      <c r="E251" s="129" t="s">
        <v>9</v>
      </c>
      <c r="F251" s="129" t="s">
        <v>69</v>
      </c>
      <c r="G251" s="129" t="s">
        <v>70</v>
      </c>
    </row>
    <row r="252" spans="2:10" ht="15" customHeight="1" x14ac:dyDescent="0.35">
      <c r="B252" s="128">
        <f>IF(ISBLANK(C252),"",MAX($B$235:B251)+1)</f>
        <v>7</v>
      </c>
      <c r="C252" s="157">
        <v>0</v>
      </c>
      <c r="D252" s="1">
        <f>D$240+(D$243+D$247)*$C252</f>
        <v>250</v>
      </c>
      <c r="E252" s="1">
        <f>E$240+(E$243+E$247)*$C252</f>
        <v>350</v>
      </c>
      <c r="F252" s="1">
        <f>E252-D252</f>
        <v>100</v>
      </c>
      <c r="G252" s="156">
        <f>F252/D252</f>
        <v>0.4</v>
      </c>
    </row>
    <row r="253" spans="2:10" ht="15" customHeight="1" x14ac:dyDescent="0.35">
      <c r="B253" s="128" t="str">
        <f>IF(ISBLANK(C253),"",MAX($B$235:B252)+1)</f>
        <v/>
      </c>
      <c r="C253" s="157"/>
      <c r="D253" s="1"/>
      <c r="E253" s="1"/>
      <c r="F253" s="1"/>
      <c r="G253" s="156"/>
    </row>
    <row r="254" spans="2:10" ht="15" customHeight="1" x14ac:dyDescent="0.35">
      <c r="B254" s="128">
        <f>IF(ISBLANK(C254),"",MAX($B$235:B253)+1)</f>
        <v>8</v>
      </c>
      <c r="C254" s="157">
        <v>1000</v>
      </c>
      <c r="D254" s="1">
        <f t="shared" ref="D254:E264" si="27">D$240+(D$243+D$247)*$C254</f>
        <v>1429.0605307762328</v>
      </c>
      <c r="E254" s="1">
        <f t="shared" si="27"/>
        <v>1538.8705307762327</v>
      </c>
      <c r="F254" s="1">
        <f>E254-D254</f>
        <v>109.80999999999995</v>
      </c>
      <c r="G254" s="156">
        <f>F254/D254</f>
        <v>7.6840691933709543E-2</v>
      </c>
    </row>
    <row r="255" spans="2:10" ht="15" customHeight="1" x14ac:dyDescent="0.35">
      <c r="B255" s="128">
        <f>IF(ISBLANK(C255),"",MAX($B$235:B254)+1)</f>
        <v>9</v>
      </c>
      <c r="C255" s="157">
        <f>+C254+1000</f>
        <v>2000</v>
      </c>
      <c r="D255" s="1">
        <f t="shared" si="27"/>
        <v>2608.1210615524656</v>
      </c>
      <c r="E255" s="1">
        <f t="shared" si="27"/>
        <v>2727.7410615524655</v>
      </c>
      <c r="F255" s="1">
        <f>E255-D255</f>
        <v>119.61999999999989</v>
      </c>
      <c r="G255" s="156">
        <f>F255/D255</f>
        <v>4.586443542187299E-2</v>
      </c>
    </row>
    <row r="256" spans="2:10" ht="15" customHeight="1" x14ac:dyDescent="0.35">
      <c r="B256" s="128">
        <f>IF(ISBLANK(C256),"",MAX($B$235:B255)+1)</f>
        <v>10</v>
      </c>
      <c r="C256" s="157">
        <f t="shared" ref="C256:C258" si="28">+C255+1000</f>
        <v>3000</v>
      </c>
      <c r="D256" s="1">
        <f t="shared" si="27"/>
        <v>3787.1815923286981</v>
      </c>
      <c r="E256" s="1">
        <f t="shared" si="27"/>
        <v>3916.6115923286984</v>
      </c>
      <c r="F256" s="1">
        <f>E256-D256</f>
        <v>129.43000000000029</v>
      </c>
      <c r="G256" s="156">
        <f>F256/D256</f>
        <v>3.41758103868516E-2</v>
      </c>
    </row>
    <row r="257" spans="2:7" ht="15" customHeight="1" x14ac:dyDescent="0.35">
      <c r="B257" s="128">
        <f>IF(ISBLANK(C257),"",MAX($B$235:B256)+1)</f>
        <v>11</v>
      </c>
      <c r="C257" s="157">
        <f t="shared" si="28"/>
        <v>4000</v>
      </c>
      <c r="D257" s="1">
        <f t="shared" si="27"/>
        <v>4966.2421231049311</v>
      </c>
      <c r="E257" s="1">
        <f t="shared" si="27"/>
        <v>5105.4821231049309</v>
      </c>
      <c r="F257" s="1">
        <f>E257-D257</f>
        <v>139.23999999999978</v>
      </c>
      <c r="G257" s="156">
        <f>F257/D257</f>
        <v>2.8037295916805986E-2</v>
      </c>
    </row>
    <row r="258" spans="2:7" ht="15" customHeight="1" x14ac:dyDescent="0.35">
      <c r="B258" s="128">
        <f>IF(ISBLANK(C258),"",MAX($B$235:B257)+1)</f>
        <v>12</v>
      </c>
      <c r="C258" s="157">
        <f t="shared" si="28"/>
        <v>5000</v>
      </c>
      <c r="D258" s="1">
        <f t="shared" si="27"/>
        <v>6145.3026538811637</v>
      </c>
      <c r="E258" s="1">
        <f t="shared" si="27"/>
        <v>6294.3526538811639</v>
      </c>
      <c r="F258" s="1">
        <f>E258-D258</f>
        <v>149.05000000000018</v>
      </c>
      <c r="G258" s="156">
        <f>F258/D258</f>
        <v>2.4254297696121651E-2</v>
      </c>
    </row>
    <row r="259" spans="2:7" ht="15" customHeight="1" x14ac:dyDescent="0.35">
      <c r="B259" s="128" t="str">
        <f>IF(ISBLANK(C259),"",MAX($B$235:B258)+1)</f>
        <v/>
      </c>
      <c r="C259" s="157"/>
      <c r="D259" s="1"/>
      <c r="E259" s="1"/>
      <c r="F259" s="1"/>
      <c r="G259" s="156"/>
    </row>
    <row r="260" spans="2:7" ht="15" customHeight="1" x14ac:dyDescent="0.35">
      <c r="B260" s="128">
        <f>IF(ISBLANK(C260),"",MAX($B$235:B259)+1)</f>
        <v>13</v>
      </c>
      <c r="C260" s="157">
        <f>+C258+3000</f>
        <v>8000</v>
      </c>
      <c r="D260" s="1">
        <f t="shared" si="27"/>
        <v>9682.4842462098622</v>
      </c>
      <c r="E260" s="1">
        <f t="shared" si="27"/>
        <v>9860.9642462098618</v>
      </c>
      <c r="F260" s="1">
        <f>E260-D260</f>
        <v>178.47999999999956</v>
      </c>
      <c r="G260" s="156">
        <f>F260/D260</f>
        <v>1.8433285865645924E-2</v>
      </c>
    </row>
    <row r="261" spans="2:7" ht="15" customHeight="1" x14ac:dyDescent="0.35">
      <c r="B261" s="128">
        <f>IF(ISBLANK(C261),"",MAX($B$235:B260)+1)</f>
        <v>14</v>
      </c>
      <c r="C261" s="157">
        <f>+C260+3000</f>
        <v>11000</v>
      </c>
      <c r="D261" s="1">
        <f t="shared" si="27"/>
        <v>13219.66583853856</v>
      </c>
      <c r="E261" s="1">
        <f t="shared" si="27"/>
        <v>13427.575838538562</v>
      </c>
      <c r="F261" s="1">
        <f>E261-D261</f>
        <v>207.91000000000167</v>
      </c>
      <c r="G261" s="156">
        <f>F261/D261</f>
        <v>1.57273264346738E-2</v>
      </c>
    </row>
    <row r="262" spans="2:7" ht="15" customHeight="1" x14ac:dyDescent="0.35">
      <c r="B262" s="128">
        <f>IF(ISBLANK(C262),"",MAX($B$235:B261)+1)</f>
        <v>15</v>
      </c>
      <c r="C262" s="157">
        <f t="shared" ref="C262:C264" si="29">+C261+3000</f>
        <v>14000</v>
      </c>
      <c r="D262" s="1">
        <f t="shared" si="27"/>
        <v>16756.847430867259</v>
      </c>
      <c r="E262" s="1">
        <f t="shared" si="27"/>
        <v>16994.18743086726</v>
      </c>
      <c r="F262" s="1">
        <f>E262-D262</f>
        <v>237.34000000000015</v>
      </c>
      <c r="G262" s="156">
        <f>F262/D262</f>
        <v>1.4163762066771798E-2</v>
      </c>
    </row>
    <row r="263" spans="2:7" ht="15" customHeight="1" x14ac:dyDescent="0.35">
      <c r="B263" s="128">
        <f>IF(ISBLANK(C263),"",MAX($B$235:B262)+1)</f>
        <v>16</v>
      </c>
      <c r="C263" s="157">
        <f t="shared" si="29"/>
        <v>17000</v>
      </c>
      <c r="D263" s="1">
        <f t="shared" si="27"/>
        <v>20294.029023195955</v>
      </c>
      <c r="E263" s="1">
        <f t="shared" si="27"/>
        <v>20560.799023195959</v>
      </c>
      <c r="F263" s="1">
        <f>E263-D263</f>
        <v>266.77000000000407</v>
      </c>
      <c r="G263" s="156">
        <f>F263/D263</f>
        <v>1.3145245810730217E-2</v>
      </c>
    </row>
    <row r="264" spans="2:7" ht="15" customHeight="1" x14ac:dyDescent="0.35">
      <c r="B264" s="128">
        <f>IF(ISBLANK(C264),"",MAX($B$235:B263)+1)</f>
        <v>17</v>
      </c>
      <c r="C264" s="157">
        <f t="shared" si="29"/>
        <v>20000</v>
      </c>
      <c r="D264" s="1">
        <f t="shared" si="27"/>
        <v>23831.210615524655</v>
      </c>
      <c r="E264" s="1">
        <f t="shared" si="27"/>
        <v>24127.410615524655</v>
      </c>
      <c r="F264" s="1">
        <f>E264-D264</f>
        <v>296.20000000000073</v>
      </c>
      <c r="G264" s="156">
        <f>F264/D264</f>
        <v>1.2429079024925556E-2</v>
      </c>
    </row>
    <row r="265" spans="2:7" ht="15" customHeight="1" x14ac:dyDescent="0.35">
      <c r="B265" s="128" t="str">
        <f>IF(ISBLANK(C265),"",MAX($B$235:B264)+1)</f>
        <v/>
      </c>
      <c r="C265" s="157"/>
      <c r="D265" s="1"/>
      <c r="E265" s="1"/>
      <c r="F265" s="1"/>
      <c r="G265" s="156"/>
    </row>
    <row r="266" spans="2:7" ht="15" customHeight="1" x14ac:dyDescent="0.35">
      <c r="B266" s="128">
        <f>IF(ISBLANK(C266),"",MAX($B$235:B265)+1)</f>
        <v>18</v>
      </c>
      <c r="C266" s="157">
        <f>+C264+3000</f>
        <v>23000</v>
      </c>
      <c r="D266" s="1">
        <f t="shared" ref="D266:E270" si="30">D$240+(D$247*$C266)+D$244*($C266-$J$243)+D$243*$J$243</f>
        <v>27215.632207853356</v>
      </c>
      <c r="E266" s="1">
        <f t="shared" si="30"/>
        <v>27534.932207853355</v>
      </c>
      <c r="F266" s="1">
        <f>E266-D266</f>
        <v>319.29999999999927</v>
      </c>
      <c r="G266" s="156">
        <f>F266/D266</f>
        <v>1.1732227918183798E-2</v>
      </c>
    </row>
    <row r="267" spans="2:7" ht="15" customHeight="1" x14ac:dyDescent="0.35">
      <c r="B267" s="128">
        <f>IF(ISBLANK(C267),"",MAX($B$235:B266)+1)</f>
        <v>19</v>
      </c>
      <c r="C267" s="157">
        <f>+C266+3000</f>
        <v>26000</v>
      </c>
      <c r="D267" s="1">
        <f t="shared" si="30"/>
        <v>30600.053800182053</v>
      </c>
      <c r="E267" s="1">
        <f t="shared" si="30"/>
        <v>30942.453800182051</v>
      </c>
      <c r="F267" s="1">
        <f>E267-D267</f>
        <v>342.39999999999782</v>
      </c>
      <c r="G267" s="156">
        <f>F267/D267</f>
        <v>1.11895228105109E-2</v>
      </c>
    </row>
    <row r="268" spans="2:7" ht="15" customHeight="1" x14ac:dyDescent="0.35">
      <c r="B268" s="128">
        <f>IF(ISBLANK(C268),"",MAX($B$235:B267)+1)</f>
        <v>20</v>
      </c>
      <c r="C268" s="157">
        <f t="shared" ref="C268:C270" si="31">+C267+3000</f>
        <v>29000</v>
      </c>
      <c r="D268" s="1">
        <f t="shared" si="30"/>
        <v>33984.475392510751</v>
      </c>
      <c r="E268" s="1">
        <f t="shared" si="30"/>
        <v>34349.975392510751</v>
      </c>
      <c r="F268" s="1">
        <f>E268-D268</f>
        <v>365.5</v>
      </c>
      <c r="G268" s="156">
        <f>F268/D268</f>
        <v>1.0754910757885237E-2</v>
      </c>
    </row>
    <row r="269" spans="2:7" ht="15" customHeight="1" x14ac:dyDescent="0.35">
      <c r="B269" s="128">
        <f>IF(ISBLANK(C269),"",MAX($B$235:B268)+1)</f>
        <v>21</v>
      </c>
      <c r="C269" s="157">
        <f t="shared" si="31"/>
        <v>32000</v>
      </c>
      <c r="D269" s="1">
        <f t="shared" si="30"/>
        <v>37368.896984839448</v>
      </c>
      <c r="E269" s="1">
        <f t="shared" si="30"/>
        <v>37757.496984839454</v>
      </c>
      <c r="F269" s="1">
        <f>E269-D269</f>
        <v>388.60000000000582</v>
      </c>
      <c r="G269" s="156">
        <f>F269/D269</f>
        <v>1.0399022485401716E-2</v>
      </c>
    </row>
    <row r="270" spans="2:7" ht="15" customHeight="1" x14ac:dyDescent="0.35">
      <c r="B270" s="128">
        <f>IF(ISBLANK(C270),"",MAX($B$235:B269)+1)</f>
        <v>22</v>
      </c>
      <c r="C270" s="157">
        <f t="shared" si="31"/>
        <v>35000</v>
      </c>
      <c r="D270" s="1">
        <f t="shared" si="30"/>
        <v>40753.318577168146</v>
      </c>
      <c r="E270" s="1">
        <f t="shared" si="30"/>
        <v>41165.01857716815</v>
      </c>
      <c r="F270" s="1">
        <f>E270-D270</f>
        <v>411.70000000000437</v>
      </c>
      <c r="G270" s="156">
        <f>F270/D270</f>
        <v>1.0102244783340352E-2</v>
      </c>
    </row>
    <row r="271" spans="2:7" ht="15" customHeight="1" x14ac:dyDescent="0.35">
      <c r="B271" s="128" t="str">
        <f>IF(ISBLANK(C271),"",MAX($B$235:B270)+1)</f>
        <v/>
      </c>
      <c r="C271" s="157"/>
      <c r="D271" s="1"/>
      <c r="E271" s="1"/>
      <c r="F271" s="1"/>
      <c r="G271" s="156"/>
    </row>
    <row r="272" spans="2:7" ht="15" customHeight="1" x14ac:dyDescent="0.35">
      <c r="B272" s="128">
        <f>IF(ISBLANK(C272),"",MAX($B$235:B271)+1)</f>
        <v>23</v>
      </c>
      <c r="C272" s="157">
        <f>+C270+5000</f>
        <v>40000</v>
      </c>
      <c r="D272" s="1">
        <f t="shared" ref="D272:E276" si="32">D$240+(D$247*$C272)+D$244*($C272-$J$243)+D$243*$J$243</f>
        <v>46394.021231049308</v>
      </c>
      <c r="E272" s="1">
        <f t="shared" si="32"/>
        <v>46844.221231049312</v>
      </c>
      <c r="F272" s="1">
        <f>E272-D272</f>
        <v>450.20000000000437</v>
      </c>
      <c r="G272" s="156">
        <f>F272/D272</f>
        <v>9.7038365732071297E-3</v>
      </c>
    </row>
    <row r="273" spans="2:7" ht="15" customHeight="1" x14ac:dyDescent="0.35">
      <c r="B273" s="128">
        <f>IF(ISBLANK(C273),"",MAX($B$235:B272)+1)</f>
        <v>24</v>
      </c>
      <c r="C273" s="157">
        <f>+C272+5000</f>
        <v>45000</v>
      </c>
      <c r="D273" s="1">
        <f t="shared" si="32"/>
        <v>52034.723884930478</v>
      </c>
      <c r="E273" s="1">
        <f t="shared" si="32"/>
        <v>52523.423884930482</v>
      </c>
      <c r="F273" s="1">
        <f>E273-D273</f>
        <v>488.70000000000437</v>
      </c>
      <c r="G273" s="156">
        <f>F273/D273</f>
        <v>9.3918053852022915E-3</v>
      </c>
    </row>
    <row r="274" spans="2:7" ht="15" customHeight="1" x14ac:dyDescent="0.35">
      <c r="B274" s="128">
        <f>IF(ISBLANK(C274),"",MAX($B$235:B273)+1)</f>
        <v>25</v>
      </c>
      <c r="C274" s="157">
        <f t="shared" ref="C274:C276" si="33">+C273+5000</f>
        <v>50000</v>
      </c>
      <c r="D274" s="1">
        <f t="shared" si="32"/>
        <v>57675.42653881164</v>
      </c>
      <c r="E274" s="1">
        <f t="shared" si="32"/>
        <v>58202.626538811644</v>
      </c>
      <c r="F274" s="1">
        <f>E274-D274</f>
        <v>527.20000000000437</v>
      </c>
      <c r="G274" s="156">
        <f>F274/D274</f>
        <v>9.1408079946358883E-3</v>
      </c>
    </row>
    <row r="275" spans="2:7" ht="15" customHeight="1" x14ac:dyDescent="0.35">
      <c r="B275" s="128">
        <f>IF(ISBLANK(C275),"",MAX($B$235:B274)+1)</f>
        <v>26</v>
      </c>
      <c r="C275" s="157">
        <f t="shared" si="33"/>
        <v>55000</v>
      </c>
      <c r="D275" s="1">
        <f t="shared" si="32"/>
        <v>63316.129192692802</v>
      </c>
      <c r="E275" s="1">
        <f t="shared" si="32"/>
        <v>63881.829192692807</v>
      </c>
      <c r="F275" s="1">
        <f>E275-D275</f>
        <v>565.70000000000437</v>
      </c>
      <c r="G275" s="156">
        <f>F275/D275</f>
        <v>8.9345322781559221E-3</v>
      </c>
    </row>
    <row r="276" spans="2:7" ht="15" customHeight="1" x14ac:dyDescent="0.35">
      <c r="B276" s="128">
        <f>IF(ISBLANK(C276),"",MAX($B$235:B275)+1)</f>
        <v>27</v>
      </c>
      <c r="C276" s="157">
        <f t="shared" si="33"/>
        <v>60000</v>
      </c>
      <c r="D276" s="1">
        <f t="shared" si="32"/>
        <v>68956.831846573972</v>
      </c>
      <c r="E276" s="1">
        <f t="shared" si="32"/>
        <v>69561.031846573969</v>
      </c>
      <c r="F276" s="1">
        <f>E276-D276</f>
        <v>604.19999999999709</v>
      </c>
      <c r="G276" s="156">
        <f>F276/D276</f>
        <v>8.7620034711617337E-3</v>
      </c>
    </row>
    <row r="277" spans="2:7" ht="15" customHeight="1" x14ac:dyDescent="0.35">
      <c r="B277" s="128" t="str">
        <f>IF(ISBLANK(C277),"",MAX($B$235:B276)+1)</f>
        <v/>
      </c>
      <c r="C277" s="157"/>
      <c r="D277" s="1"/>
      <c r="E277" s="1"/>
      <c r="F277" s="1"/>
      <c r="G277" s="156"/>
    </row>
    <row r="278" spans="2:7" ht="15" customHeight="1" x14ac:dyDescent="0.35">
      <c r="B278" s="128">
        <f>IF(ISBLANK(C278),"",MAX($B$235:B277)+1)</f>
        <v>28</v>
      </c>
      <c r="C278" s="157">
        <f>+C276+7500</f>
        <v>67500</v>
      </c>
      <c r="D278" s="1">
        <f t="shared" ref="D278:E282" si="34">D$240+(D$247*$C278)+D$244*($C278-$J$243)+D$243*$J$243</f>
        <v>77417.885827395716</v>
      </c>
      <c r="E278" s="1">
        <f t="shared" si="34"/>
        <v>78079.835827395713</v>
      </c>
      <c r="F278" s="1">
        <f>E278-D278</f>
        <v>661.94999999999709</v>
      </c>
      <c r="G278" s="156">
        <f>F278/D278</f>
        <v>8.5503497405731814E-3</v>
      </c>
    </row>
    <row r="279" spans="2:7" ht="15" customHeight="1" x14ac:dyDescent="0.35">
      <c r="B279" s="128">
        <f>IF(ISBLANK(C279),"",MAX($B$235:B278)+1)</f>
        <v>29</v>
      </c>
      <c r="C279" s="157">
        <f>+C278+7500</f>
        <v>75000</v>
      </c>
      <c r="D279" s="1">
        <f t="shared" si="34"/>
        <v>85878.939808217474</v>
      </c>
      <c r="E279" s="1">
        <f t="shared" si="34"/>
        <v>86598.639808217471</v>
      </c>
      <c r="F279" s="1">
        <f>E279-D279</f>
        <v>719.69999999999709</v>
      </c>
      <c r="G279" s="156">
        <f>F279/D279</f>
        <v>8.3804015467262606E-3</v>
      </c>
    </row>
    <row r="280" spans="2:7" ht="15" customHeight="1" x14ac:dyDescent="0.35">
      <c r="B280" s="128">
        <f>IF(ISBLANK(C280),"",MAX($B$235:B279)+1)</f>
        <v>30</v>
      </c>
      <c r="C280" s="157">
        <f t="shared" ref="C280:C281" si="35">+C279+7500</f>
        <v>82500</v>
      </c>
      <c r="D280" s="1">
        <f t="shared" si="34"/>
        <v>94339.993789039218</v>
      </c>
      <c r="E280" s="1">
        <f t="shared" si="34"/>
        <v>95117.443789039215</v>
      </c>
      <c r="F280" s="1">
        <f>E280-D280</f>
        <v>777.44999999999709</v>
      </c>
      <c r="G280" s="156">
        <f>F280/D280</f>
        <v>8.2409375788015399E-3</v>
      </c>
    </row>
    <row r="281" spans="2:7" ht="15" customHeight="1" x14ac:dyDescent="0.35">
      <c r="B281" s="128">
        <f>IF(ISBLANK(C281),"",MAX($B$235:B280)+1)</f>
        <v>31</v>
      </c>
      <c r="C281" s="157">
        <f t="shared" si="35"/>
        <v>90000</v>
      </c>
      <c r="D281" s="1">
        <f t="shared" si="34"/>
        <v>102801.04776986096</v>
      </c>
      <c r="E281" s="1">
        <f t="shared" si="34"/>
        <v>103636.24776986096</v>
      </c>
      <c r="F281" s="1">
        <f>E281-D281</f>
        <v>835.19999999999709</v>
      </c>
      <c r="G281" s="156">
        <f>F281/D281</f>
        <v>8.1244308119285489E-3</v>
      </c>
    </row>
    <row r="282" spans="2:7" ht="15" customHeight="1" x14ac:dyDescent="0.35">
      <c r="B282" s="128">
        <f>IF(ISBLANK(C282),"",MAX($B$235:B281)+1)</f>
        <v>32</v>
      </c>
      <c r="C282" s="157">
        <f>+C281+10000</f>
        <v>100000</v>
      </c>
      <c r="D282" s="1">
        <f t="shared" si="34"/>
        <v>114082.45307762329</v>
      </c>
      <c r="E282" s="1">
        <f t="shared" si="34"/>
        <v>114994.65307762328</v>
      </c>
      <c r="F282" s="1">
        <f>E282-D282</f>
        <v>912.19999999999709</v>
      </c>
      <c r="G282" s="156">
        <f>F282/D282</f>
        <v>7.9959711190582799E-3</v>
      </c>
    </row>
    <row r="283" spans="2:7" ht="15" customHeight="1" x14ac:dyDescent="0.35">
      <c r="B283" s="128" t="str">
        <f>IF(ISBLANK(C283),"",MAX($B$235:B282)+1)</f>
        <v/>
      </c>
      <c r="C283" s="157"/>
      <c r="D283" s="1"/>
      <c r="E283" s="1"/>
      <c r="F283" s="1"/>
      <c r="G283" s="156"/>
    </row>
    <row r="284" spans="2:7" ht="15" customHeight="1" x14ac:dyDescent="0.35">
      <c r="B284" s="128">
        <f>IF(ISBLANK(C284),"",MAX($B$235:B283)+1)</f>
        <v>33</v>
      </c>
      <c r="C284" s="157">
        <f>+C282+10000</f>
        <v>110000</v>
      </c>
      <c r="D284" s="1">
        <f t="shared" ref="D284:E288" si="36">D$240+(D$247*$C284)+D$245*($C284-$J$243-$J$244)+D$243*$J$243+D$244*$J$244</f>
        <v>124104.25838538562</v>
      </c>
      <c r="E284" s="1">
        <f t="shared" si="36"/>
        <v>125041.05838538562</v>
      </c>
      <c r="F284" s="1">
        <f>E284-D284</f>
        <v>936.80000000000291</v>
      </c>
      <c r="G284" s="156">
        <f>F284/D284</f>
        <v>7.5484919872041995E-3</v>
      </c>
    </row>
    <row r="285" spans="2:7" ht="15" customHeight="1" x14ac:dyDescent="0.35">
      <c r="B285" s="128">
        <f>IF(ISBLANK(C285),"",MAX($B$235:B284)+1)</f>
        <v>34</v>
      </c>
      <c r="C285" s="157">
        <f>+C284+10000</f>
        <v>120000</v>
      </c>
      <c r="D285" s="1">
        <f t="shared" si="36"/>
        <v>134126.06369314794</v>
      </c>
      <c r="E285" s="1">
        <f t="shared" si="36"/>
        <v>135087.46369314793</v>
      </c>
      <c r="F285" s="1">
        <f>E285-D285</f>
        <v>961.39999999999418</v>
      </c>
      <c r="G285" s="156">
        <f>F285/D285</f>
        <v>7.1678835084542109E-3</v>
      </c>
    </row>
    <row r="286" spans="2:7" ht="15" customHeight="1" x14ac:dyDescent="0.35">
      <c r="B286" s="128">
        <f>IF(ISBLANK(C286),"",MAX($B$235:B285)+1)</f>
        <v>35</v>
      </c>
      <c r="C286" s="157">
        <f t="shared" ref="C286:C288" si="37">+C285+10000</f>
        <v>130000</v>
      </c>
      <c r="D286" s="1">
        <f t="shared" si="36"/>
        <v>144147.86900091026</v>
      </c>
      <c r="E286" s="1">
        <f t="shared" si="36"/>
        <v>145133.86900091026</v>
      </c>
      <c r="F286" s="1">
        <f>E286-D286</f>
        <v>986</v>
      </c>
      <c r="G286" s="156">
        <f>F286/D286</f>
        <v>6.8401982411115192E-3</v>
      </c>
    </row>
    <row r="287" spans="2:7" ht="15" customHeight="1" x14ac:dyDescent="0.35">
      <c r="B287" s="128">
        <f>IF(ISBLANK(C287),"",MAX($B$235:B286)+1)</f>
        <v>36</v>
      </c>
      <c r="C287" s="157">
        <f t="shared" si="37"/>
        <v>140000</v>
      </c>
      <c r="D287" s="1">
        <f t="shared" si="36"/>
        <v>154169.67430867258</v>
      </c>
      <c r="E287" s="1">
        <f t="shared" si="36"/>
        <v>155180.27430867255</v>
      </c>
      <c r="F287" s="1">
        <f>E287-D287</f>
        <v>1010.5999999999767</v>
      </c>
      <c r="G287" s="156">
        <f>F287/D287</f>
        <v>6.5551153593059576E-3</v>
      </c>
    </row>
    <row r="288" spans="2:7" ht="15" customHeight="1" x14ac:dyDescent="0.35">
      <c r="B288" s="128">
        <f>IF(ISBLANK(C288),"",MAX($B$235:B287)+1)</f>
        <v>37</v>
      </c>
      <c r="C288" s="157">
        <f t="shared" si="37"/>
        <v>150000</v>
      </c>
      <c r="D288" s="1">
        <f t="shared" si="36"/>
        <v>164191.47961643492</v>
      </c>
      <c r="E288" s="1">
        <f t="shared" si="36"/>
        <v>165226.67961643491</v>
      </c>
      <c r="F288" s="1">
        <f>E288-D288</f>
        <v>1035.1999999999825</v>
      </c>
      <c r="G288" s="156">
        <f>F288/D288</f>
        <v>6.304833858725779E-3</v>
      </c>
    </row>
    <row r="289" spans="1:8" ht="15" customHeight="1" x14ac:dyDescent="0.35">
      <c r="B289" s="128" t="str">
        <f>IF(ISBLANK(C289),"",MAX($B$235:B288)+1)</f>
        <v/>
      </c>
      <c r="C289" s="157"/>
      <c r="D289" s="1"/>
      <c r="E289" s="1"/>
      <c r="F289" s="1"/>
      <c r="G289" s="156"/>
    </row>
    <row r="290" spans="1:8" ht="15" customHeight="1" x14ac:dyDescent="0.35">
      <c r="B290" s="128">
        <f>IF(ISBLANK(C290),"",MAX($B$235:B289)+1)</f>
        <v>38</v>
      </c>
      <c r="C290" s="157">
        <f>+C288+15000</f>
        <v>165000</v>
      </c>
      <c r="D290" s="1">
        <f t="shared" ref="D290:E294" si="38">D$240+(D$247*$C290)+D$245*($C290-$J$243-$J$244)+D$243*$J$243+D$244*$J$244</f>
        <v>179224.18757807842</v>
      </c>
      <c r="E290" s="1">
        <f t="shared" si="38"/>
        <v>180296.28757807839</v>
      </c>
      <c r="F290" s="1">
        <f>E290-D290</f>
        <v>1072.0999999999767</v>
      </c>
      <c r="G290" s="156">
        <f>F290/D290</f>
        <v>5.9818934848451747E-3</v>
      </c>
    </row>
    <row r="291" spans="1:8" ht="15" customHeight="1" x14ac:dyDescent="0.35">
      <c r="B291" s="128">
        <f>IF(ISBLANK(C291),"",MAX($B$235:B290)+1)</f>
        <v>39</v>
      </c>
      <c r="C291" s="157">
        <f>+C290+15000</f>
        <v>180000</v>
      </c>
      <c r="D291" s="1">
        <f t="shared" si="38"/>
        <v>194256.89553972191</v>
      </c>
      <c r="E291" s="1">
        <f t="shared" si="38"/>
        <v>195365.89553972188</v>
      </c>
      <c r="F291" s="1">
        <f>E291-D291</f>
        <v>1108.9999999999709</v>
      </c>
      <c r="G291" s="156">
        <f>F291/D291</f>
        <v>5.7089350517969184E-3</v>
      </c>
    </row>
    <row r="292" spans="1:8" ht="15" customHeight="1" x14ac:dyDescent="0.35">
      <c r="B292" s="128">
        <f>IF(ISBLANK(C292),"",MAX($B$235:B291)+1)</f>
        <v>40</v>
      </c>
      <c r="C292" s="157">
        <f t="shared" ref="C292:C294" si="39">+C291+15000</f>
        <v>195000</v>
      </c>
      <c r="D292" s="1">
        <f t="shared" si="38"/>
        <v>209289.6035013654</v>
      </c>
      <c r="E292" s="1">
        <f t="shared" si="38"/>
        <v>210435.5035013654</v>
      </c>
      <c r="F292" s="1">
        <f>E292-D292</f>
        <v>1145.8999999999942</v>
      </c>
      <c r="G292" s="156">
        <f>F292/D292</f>
        <v>5.4751883554145023E-3</v>
      </c>
    </row>
    <row r="293" spans="1:8" ht="15" customHeight="1" x14ac:dyDescent="0.35">
      <c r="B293" s="128">
        <f>IF(ISBLANK(C293),"",MAX($B$235:B292)+1)</f>
        <v>41</v>
      </c>
      <c r="C293" s="157">
        <f t="shared" si="39"/>
        <v>210000</v>
      </c>
      <c r="D293" s="1">
        <f t="shared" si="38"/>
        <v>224322.31146300887</v>
      </c>
      <c r="E293" s="1">
        <f t="shared" si="38"/>
        <v>225505.11146300886</v>
      </c>
      <c r="F293" s="1">
        <f>E293-D293</f>
        <v>1182.7999999999884</v>
      </c>
      <c r="G293" s="156">
        <f>F293/D293</f>
        <v>5.2727702041133525E-3</v>
      </c>
    </row>
    <row r="294" spans="1:8" ht="15" customHeight="1" x14ac:dyDescent="0.35">
      <c r="B294" s="128">
        <f>IF(ISBLANK(C294),"",MAX($B$235:B293)+1)</f>
        <v>42</v>
      </c>
      <c r="C294" s="157">
        <f t="shared" si="39"/>
        <v>225000</v>
      </c>
      <c r="D294" s="1">
        <f t="shared" si="38"/>
        <v>239355.01942465236</v>
      </c>
      <c r="E294" s="1">
        <f t="shared" si="38"/>
        <v>240574.71942465234</v>
      </c>
      <c r="F294" s="1">
        <f>E294-D294</f>
        <v>1219.6999999999825</v>
      </c>
      <c r="G294" s="156">
        <f>F294/D294</f>
        <v>5.095777823802594E-3</v>
      </c>
    </row>
    <row r="295" spans="1:8" ht="15" customHeight="1" x14ac:dyDescent="0.35">
      <c r="B295" s="128" t="str">
        <f>IF(ISBLANK(C295),"",MAX($B$235:B294)+1)</f>
        <v/>
      </c>
      <c r="C295" s="157"/>
      <c r="D295" s="1"/>
      <c r="E295" s="1"/>
      <c r="F295" s="1"/>
      <c r="G295" s="156"/>
    </row>
    <row r="296" spans="1:8" ht="15" customHeight="1" x14ac:dyDescent="0.35">
      <c r="B296" s="128">
        <f>IF(ISBLANK(C296),"",MAX($B$235:B295)+1)</f>
        <v>43</v>
      </c>
      <c r="C296" s="157">
        <f>+C294+25000</f>
        <v>250000</v>
      </c>
      <c r="D296" s="1">
        <f t="shared" ref="D296:E301" si="40">D$240+(D$247*$C296)+D$245*($C296-$J$243-$J$244)+D$243*$J$243+D$244*$J$244</f>
        <v>264409.5326940582</v>
      </c>
      <c r="E296" s="1">
        <f t="shared" si="40"/>
        <v>265690.73269405821</v>
      </c>
      <c r="F296" s="1">
        <f t="shared" ref="F296:F301" si="41">E296-D296</f>
        <v>1281.2000000000116</v>
      </c>
      <c r="G296" s="156">
        <f t="shared" ref="G296:G301" si="42">F296/D296</f>
        <v>4.8455136505326261E-3</v>
      </c>
    </row>
    <row r="297" spans="1:8" ht="15" customHeight="1" x14ac:dyDescent="0.35">
      <c r="B297" s="128">
        <f>IF(ISBLANK(C297),"",MAX($B$235:B296)+1)</f>
        <v>44</v>
      </c>
      <c r="C297" s="157">
        <f>+C296+25000</f>
        <v>275000</v>
      </c>
      <c r="D297" s="1">
        <f t="shared" si="40"/>
        <v>289464.04596346401</v>
      </c>
      <c r="E297" s="1">
        <f t="shared" si="40"/>
        <v>290806.74596346403</v>
      </c>
      <c r="F297" s="1">
        <f t="shared" si="41"/>
        <v>1342.7000000000116</v>
      </c>
      <c r="G297" s="156">
        <f t="shared" si="42"/>
        <v>4.6385726266311034E-3</v>
      </c>
    </row>
    <row r="298" spans="1:8" ht="15" customHeight="1" x14ac:dyDescent="0.35">
      <c r="B298" s="128">
        <f>IF(ISBLANK(C298),"",MAX($B$235:B297)+1)</f>
        <v>45</v>
      </c>
      <c r="C298" s="157">
        <f t="shared" ref="C298:C301" si="43">+C297+25000</f>
        <v>300000</v>
      </c>
      <c r="D298" s="1">
        <f t="shared" si="40"/>
        <v>314518.55923286983</v>
      </c>
      <c r="E298" s="1">
        <f t="shared" si="40"/>
        <v>315922.75923286984</v>
      </c>
      <c r="F298" s="1">
        <f t="shared" si="41"/>
        <v>1404.2000000000116</v>
      </c>
      <c r="G298" s="156">
        <f t="shared" si="42"/>
        <v>4.4646014003909404E-3</v>
      </c>
    </row>
    <row r="299" spans="1:8" ht="15" customHeight="1" x14ac:dyDescent="0.35">
      <c r="B299" s="128">
        <f>IF(ISBLANK(C299),"",MAX($B$235:B298)+1)</f>
        <v>46</v>
      </c>
      <c r="C299" s="157">
        <f t="shared" si="43"/>
        <v>325000</v>
      </c>
      <c r="D299" s="1">
        <f t="shared" si="40"/>
        <v>339573.07250227564</v>
      </c>
      <c r="E299" s="1">
        <f t="shared" si="40"/>
        <v>341038.77250227565</v>
      </c>
      <c r="F299" s="1">
        <f t="shared" si="41"/>
        <v>1465.7000000000116</v>
      </c>
      <c r="G299" s="156">
        <f t="shared" si="42"/>
        <v>4.3163022002876547E-3</v>
      </c>
    </row>
    <row r="300" spans="1:8" ht="15" customHeight="1" x14ac:dyDescent="0.35">
      <c r="B300" s="128">
        <f>IF(ISBLANK(C300),"",MAX($B$235:B299)+1)</f>
        <v>47</v>
      </c>
      <c r="C300" s="157">
        <f t="shared" si="43"/>
        <v>350000</v>
      </c>
      <c r="D300" s="1">
        <f t="shared" si="40"/>
        <v>364627.58577168145</v>
      </c>
      <c r="E300" s="1">
        <f t="shared" si="40"/>
        <v>366154.78577168146</v>
      </c>
      <c r="F300" s="1">
        <f t="shared" si="41"/>
        <v>1527.2000000000116</v>
      </c>
      <c r="G300" s="156">
        <f t="shared" si="42"/>
        <v>4.1883830505251383E-3</v>
      </c>
    </row>
    <row r="301" spans="1:8" ht="15" customHeight="1" x14ac:dyDescent="0.35">
      <c r="B301" s="128">
        <f>IF(ISBLANK(C301),"",MAX($B$235:B300)+1)</f>
        <v>48</v>
      </c>
      <c r="C301" s="157">
        <f t="shared" si="43"/>
        <v>375000</v>
      </c>
      <c r="D301" s="1">
        <f t="shared" si="40"/>
        <v>389682.09904108726</v>
      </c>
      <c r="E301" s="1">
        <f t="shared" si="40"/>
        <v>391270.79904108727</v>
      </c>
      <c r="F301" s="1">
        <f t="shared" si="41"/>
        <v>1588.7000000000116</v>
      </c>
      <c r="G301" s="156">
        <f t="shared" si="42"/>
        <v>4.0769129603577259E-3</v>
      </c>
    </row>
    <row r="302" spans="1:8" ht="15" customHeight="1" x14ac:dyDescent="0.35">
      <c r="A302" s="42" t="str">
        <f>$A$41</f>
        <v>Cascade Natural Gas Corp.</v>
      </c>
      <c r="H302" s="41" t="str">
        <f>$H$41</f>
        <v>Exh. RJA-7</v>
      </c>
    </row>
    <row r="303" spans="1:8" ht="15" customHeight="1" x14ac:dyDescent="0.35">
      <c r="A303" s="42" t="str">
        <f>$A$42</f>
        <v>Washington Jurisdiction</v>
      </c>
      <c r="H303" s="41" t="s">
        <v>143</v>
      </c>
    </row>
    <row r="304" spans="1:8" ht="15" customHeight="1" x14ac:dyDescent="0.35">
      <c r="A304" s="42" t="str">
        <f>$A$43</f>
        <v>Estimated Monthly Bill Impacts March 1, 2026</v>
      </c>
      <c r="H304" s="41" t="str">
        <f>$H$43</f>
        <v>Impact of Recommended Rate Changes</v>
      </c>
    </row>
    <row r="305" spans="1:10" ht="15" customHeight="1" x14ac:dyDescent="0.35">
      <c r="A305" s="42"/>
    </row>
    <row r="306" spans="1:10" ht="15" customHeight="1" x14ac:dyDescent="0.35">
      <c r="B306" s="127" t="str">
        <f>'RJA-6 (2026 rates)'!B43</f>
        <v>Interruptible - 570</v>
      </c>
    </row>
    <row r="308" spans="1:10" ht="15" customHeight="1" x14ac:dyDescent="0.5">
      <c r="B308" s="129" t="s">
        <v>87</v>
      </c>
      <c r="C308" s="129" t="s">
        <v>52</v>
      </c>
      <c r="D308" s="129" t="s">
        <v>53</v>
      </c>
      <c r="E308" s="129" t="s">
        <v>55</v>
      </c>
      <c r="F308" s="129" t="s">
        <v>56</v>
      </c>
      <c r="G308" s="129" t="s">
        <v>57</v>
      </c>
    </row>
    <row r="309" spans="1:10" ht="15" customHeight="1" x14ac:dyDescent="0.35">
      <c r="B309" s="128"/>
      <c r="C309" s="130"/>
      <c r="D309" s="154" t="s">
        <v>58</v>
      </c>
      <c r="E309" s="155" t="s">
        <v>66</v>
      </c>
    </row>
    <row r="310" spans="1:10" ht="15" customHeight="1" x14ac:dyDescent="0.5">
      <c r="B310" s="128"/>
      <c r="C310" s="76"/>
      <c r="D310" s="129" t="s">
        <v>60</v>
      </c>
      <c r="E310" s="134" t="s">
        <v>60</v>
      </c>
    </row>
    <row r="311" spans="1:10" ht="15" customHeight="1" x14ac:dyDescent="0.35">
      <c r="B311" s="128">
        <f>IF(ISBLANK(C311),"",MAX($B$307:B310)+1)</f>
        <v>1</v>
      </c>
      <c r="C311" s="76" t="s">
        <v>18</v>
      </c>
      <c r="D311" s="135">
        <f>'RJA-6 (2026 rates)'!D44</f>
        <v>300</v>
      </c>
      <c r="E311" s="136">
        <f>'RJA-6 (2026 rates)'!G44</f>
        <v>400</v>
      </c>
    </row>
    <row r="312" spans="1:10" ht="15" customHeight="1" x14ac:dyDescent="0.35">
      <c r="B312" s="128" t="str">
        <f>IF(ISBLANK(C312),"",MAX($B$307:B311)+1)</f>
        <v/>
      </c>
      <c r="C312" s="76"/>
      <c r="D312" s="135"/>
      <c r="E312" s="136"/>
    </row>
    <row r="313" spans="1:10" ht="15" customHeight="1" x14ac:dyDescent="0.35">
      <c r="B313" s="128">
        <f>IF(ISBLANK(C313),"",MAX($B$307:B312)+1)</f>
        <v>2</v>
      </c>
      <c r="C313" s="76" t="s">
        <v>88</v>
      </c>
      <c r="E313" s="136"/>
      <c r="J313" s="158" t="s">
        <v>92</v>
      </c>
    </row>
    <row r="314" spans="1:10" ht="15" customHeight="1" x14ac:dyDescent="0.35">
      <c r="B314" s="128">
        <f>IF(ISBLANK(C314),"",MAX($B$307:B313)+1)</f>
        <v>3</v>
      </c>
      <c r="C314" s="159" t="s">
        <v>99</v>
      </c>
      <c r="D314" s="93">
        <f>SUM('RJA-6 (2026 rates)'!D45:E45)</f>
        <v>0.14122000000000001</v>
      </c>
      <c r="E314" s="137">
        <f>SUM('RJA-6 (2026 rates)'!G45:H45)</f>
        <v>0.14662</v>
      </c>
      <c r="J314" s="160">
        <v>30000</v>
      </c>
    </row>
    <row r="315" spans="1:10" ht="15" customHeight="1" x14ac:dyDescent="0.35">
      <c r="B315" s="128">
        <f>IF(ISBLANK(C315),"",MAX($B$307:B314)+1)</f>
        <v>4</v>
      </c>
      <c r="C315" s="159" t="s">
        <v>100</v>
      </c>
      <c r="D315" s="93">
        <f>SUM('RJA-6 (2026 rates)'!D46:E46)</f>
        <v>5.289E-2</v>
      </c>
      <c r="E315" s="137">
        <f>SUM('RJA-6 (2026 rates)'!G46:H46)</f>
        <v>5.491E-2</v>
      </c>
      <c r="J315" s="161"/>
    </row>
    <row r="316" spans="1:10" ht="15" customHeight="1" x14ac:dyDescent="0.35">
      <c r="B316" s="128" t="str">
        <f>IF(ISBLANK(C316),"",MAX($B$307:B315)+1)</f>
        <v/>
      </c>
      <c r="C316" s="76"/>
      <c r="D316" s="135"/>
      <c r="E316" s="77"/>
      <c r="J316" s="161"/>
    </row>
    <row r="317" spans="1:10" ht="15" customHeight="1" x14ac:dyDescent="0.35">
      <c r="B317" s="128">
        <f>IF(ISBLANK(C317),"",MAX($B$307:B316)+1)</f>
        <v>5</v>
      </c>
      <c r="C317" s="138" t="str">
        <f>$C$54</f>
        <v>Pass-Through Rates</v>
      </c>
      <c r="D317" s="140">
        <f>'RJA-7 Bill Impact (2025)'!D319</f>
        <v>0.91599263421115962</v>
      </c>
      <c r="E317" s="141">
        <f>D317</f>
        <v>0.91599263421115962</v>
      </c>
      <c r="J317" s="162"/>
    </row>
    <row r="318" spans="1:10" ht="15" customHeight="1" x14ac:dyDescent="0.35">
      <c r="B318" s="128" t="str">
        <f>IF(ISBLANK(C318),"",MAX($B$307:B317)+1)</f>
        <v/>
      </c>
    </row>
    <row r="319" spans="1:10" ht="15" customHeight="1" x14ac:dyDescent="0.35">
      <c r="B319" s="128" t="str">
        <f>IF(ISBLANK(C319),"",MAX($B$307:B318)+1)</f>
        <v/>
      </c>
      <c r="C319" s="128"/>
      <c r="D319" s="128"/>
      <c r="E319" s="128"/>
    </row>
    <row r="320" spans="1:10" ht="15" customHeight="1" x14ac:dyDescent="0.5">
      <c r="B320" s="128"/>
      <c r="C320" s="128" t="s">
        <v>89</v>
      </c>
      <c r="D320" s="128" t="s">
        <v>63</v>
      </c>
      <c r="E320" s="128" t="s">
        <v>63</v>
      </c>
      <c r="F320" s="142" t="s">
        <v>90</v>
      </c>
      <c r="G320" s="142"/>
    </row>
    <row r="321" spans="2:7" ht="15" customHeight="1" x14ac:dyDescent="0.5">
      <c r="B321" s="128"/>
      <c r="C321" s="129" t="s">
        <v>91</v>
      </c>
      <c r="D321" s="129" t="s">
        <v>8</v>
      </c>
      <c r="E321" s="129" t="s">
        <v>9</v>
      </c>
      <c r="F321" s="129" t="s">
        <v>69</v>
      </c>
      <c r="G321" s="129" t="s">
        <v>70</v>
      </c>
    </row>
    <row r="322" spans="2:7" ht="15" customHeight="1" x14ac:dyDescent="0.35">
      <c r="B322" s="128">
        <f>IF(ISBLANK(C322),"",MAX($B$307:B321)+1)</f>
        <v>6</v>
      </c>
      <c r="C322" s="157">
        <v>0</v>
      </c>
      <c r="D322" s="1">
        <f>D$311+(D$314+D$317)*$C322</f>
        <v>300</v>
      </c>
      <c r="E322" s="1">
        <f>E$311+(E$314+E$317)*$C322</f>
        <v>400</v>
      </c>
      <c r="F322" s="1">
        <f>E322-D322</f>
        <v>100</v>
      </c>
      <c r="G322" s="156">
        <f>F322/D322</f>
        <v>0.33333333333333331</v>
      </c>
    </row>
    <row r="323" spans="2:7" ht="15" customHeight="1" x14ac:dyDescent="0.35">
      <c r="B323" s="128" t="str">
        <f>IF(ISBLANK(C323),"",MAX($B$307:B322)+1)</f>
        <v/>
      </c>
      <c r="C323" s="157"/>
      <c r="D323" s="1"/>
      <c r="E323" s="1"/>
      <c r="F323" s="1"/>
      <c r="G323" s="156"/>
    </row>
    <row r="324" spans="2:7" ht="15" customHeight="1" x14ac:dyDescent="0.35">
      <c r="B324" s="128">
        <f>IF(ISBLANK(C324),"",MAX($B$307:B323)+1)</f>
        <v>7</v>
      </c>
      <c r="C324" s="157">
        <v>5000</v>
      </c>
      <c r="D324" s="1">
        <f>D$311+(D$314+D$317)*$C324</f>
        <v>5586.0631710557982</v>
      </c>
      <c r="E324" s="1">
        <f>E$311+(E$314+E$317)*$C324</f>
        <v>5713.0631710557982</v>
      </c>
      <c r="F324" s="1">
        <f>E324-D324</f>
        <v>127</v>
      </c>
      <c r="G324" s="156">
        <f>F324/D324</f>
        <v>2.2735152845755641E-2</v>
      </c>
    </row>
    <row r="325" spans="2:7" ht="15" customHeight="1" x14ac:dyDescent="0.35">
      <c r="B325" s="128">
        <f>IF(ISBLANK(C325),"",MAX($B$307:B324)+1)</f>
        <v>8</v>
      </c>
      <c r="C325" s="157">
        <f>+C324+500</f>
        <v>5500</v>
      </c>
      <c r="D325" s="1">
        <f t="shared" ref="D325:E328" si="44">D$311+(D$314+D$317)*$C325</f>
        <v>6114.6694881613776</v>
      </c>
      <c r="E325" s="1">
        <f t="shared" si="44"/>
        <v>6244.3694881613783</v>
      </c>
      <c r="F325" s="1">
        <f>E325-D325</f>
        <v>129.70000000000073</v>
      </c>
      <c r="G325" s="156">
        <f>F325/D325</f>
        <v>2.1211285458864641E-2</v>
      </c>
    </row>
    <row r="326" spans="2:7" ht="15" customHeight="1" x14ac:dyDescent="0.35">
      <c r="B326" s="128">
        <f>IF(ISBLANK(C326),"",MAX($B$307:B325)+1)</f>
        <v>9</v>
      </c>
      <c r="C326" s="157">
        <f t="shared" ref="C326:C328" si="45">+C325+500</f>
        <v>6000</v>
      </c>
      <c r="D326" s="1">
        <f t="shared" si="44"/>
        <v>6643.2758052669578</v>
      </c>
      <c r="E326" s="1">
        <f t="shared" si="44"/>
        <v>6775.6758052669584</v>
      </c>
      <c r="F326" s="1">
        <f>E326-D326</f>
        <v>132.40000000000055</v>
      </c>
      <c r="G326" s="156">
        <f>F326/D326</f>
        <v>1.9929926723052875E-2</v>
      </c>
    </row>
    <row r="327" spans="2:7" ht="15" customHeight="1" x14ac:dyDescent="0.35">
      <c r="B327" s="128">
        <f>IF(ISBLANK(C327),"",MAX($B$307:B326)+1)</f>
        <v>10</v>
      </c>
      <c r="C327" s="157">
        <f t="shared" si="45"/>
        <v>6500</v>
      </c>
      <c r="D327" s="1">
        <f t="shared" si="44"/>
        <v>7171.8821223725372</v>
      </c>
      <c r="E327" s="1">
        <f t="shared" si="44"/>
        <v>7306.9821223725385</v>
      </c>
      <c r="F327" s="1">
        <f>E327-D327</f>
        <v>135.10000000000127</v>
      </c>
      <c r="G327" s="156">
        <f>F327/D327</f>
        <v>1.8837454059452488E-2</v>
      </c>
    </row>
    <row r="328" spans="2:7" ht="15" customHeight="1" x14ac:dyDescent="0.35">
      <c r="B328" s="128">
        <f>IF(ISBLANK(C328),"",MAX($B$307:B327)+1)</f>
        <v>11</v>
      </c>
      <c r="C328" s="157">
        <f t="shared" si="45"/>
        <v>7000</v>
      </c>
      <c r="D328" s="1">
        <f t="shared" si="44"/>
        <v>7700.4884394781175</v>
      </c>
      <c r="E328" s="1">
        <f t="shared" si="44"/>
        <v>7838.2884394781177</v>
      </c>
      <c r="F328" s="1">
        <f>E328-D328</f>
        <v>137.80000000000018</v>
      </c>
      <c r="G328" s="156">
        <f>F328/D328</f>
        <v>1.7894968752052209E-2</v>
      </c>
    </row>
    <row r="329" spans="2:7" ht="15" customHeight="1" x14ac:dyDescent="0.35">
      <c r="B329" s="128" t="str">
        <f>IF(ISBLANK(C329),"",MAX($B$307:B328)+1)</f>
        <v/>
      </c>
      <c r="C329" s="157"/>
      <c r="D329" s="1"/>
      <c r="E329" s="1"/>
      <c r="F329" s="1"/>
      <c r="G329" s="156"/>
    </row>
    <row r="330" spans="2:7" ht="15" customHeight="1" x14ac:dyDescent="0.35">
      <c r="B330" s="128">
        <f>IF(ISBLANK(C330),"",MAX($B$307:B329)+1)</f>
        <v>12</v>
      </c>
      <c r="C330" s="157">
        <f>+C328+500</f>
        <v>7500</v>
      </c>
      <c r="D330" s="1">
        <f>D$311+(D$314+D$317)*$C330</f>
        <v>8229.0947565836977</v>
      </c>
      <c r="E330" s="1">
        <f>E$311+(E$314+E$317)*$C330</f>
        <v>8369.5947565836977</v>
      </c>
      <c r="F330" s="1">
        <f>E330-D330</f>
        <v>140.5</v>
      </c>
      <c r="G330" s="156">
        <f>F330/D330</f>
        <v>1.7073566917866975E-2</v>
      </c>
    </row>
    <row r="331" spans="2:7" ht="15" customHeight="1" x14ac:dyDescent="0.35">
      <c r="B331" s="128">
        <f>IF(ISBLANK(C331),"",MAX($B$307:B330)+1)</f>
        <v>13</v>
      </c>
      <c r="C331" s="157">
        <f>+C330+500</f>
        <v>8000</v>
      </c>
      <c r="D331" s="1">
        <f t="shared" ref="D331:E334" si="46">D$311+(D$314+D$317)*$C331</f>
        <v>8757.7010736892771</v>
      </c>
      <c r="E331" s="1">
        <f t="shared" si="46"/>
        <v>8900.9010736892778</v>
      </c>
      <c r="F331" s="1">
        <f>E331-D331</f>
        <v>143.20000000000073</v>
      </c>
      <c r="G331" s="156">
        <f>F331/D331</f>
        <v>1.6351323114945755E-2</v>
      </c>
    </row>
    <row r="332" spans="2:7" ht="15" customHeight="1" x14ac:dyDescent="0.35">
      <c r="B332" s="128">
        <f>IF(ISBLANK(C332),"",MAX($B$307:B331)+1)</f>
        <v>14</v>
      </c>
      <c r="C332" s="157">
        <f t="shared" ref="C332:C334" si="47">+C331+500</f>
        <v>8500</v>
      </c>
      <c r="D332" s="1">
        <f t="shared" si="46"/>
        <v>9286.3073907948565</v>
      </c>
      <c r="E332" s="1">
        <f t="shared" si="46"/>
        <v>9432.2073907948579</v>
      </c>
      <c r="F332" s="1">
        <f>E332-D332</f>
        <v>145.90000000000146</v>
      </c>
      <c r="G332" s="156">
        <f>F332/D332</f>
        <v>1.5711304166457624E-2</v>
      </c>
    </row>
    <row r="333" spans="2:7" ht="15" customHeight="1" x14ac:dyDescent="0.35">
      <c r="B333" s="128">
        <f>IF(ISBLANK(C333),"",MAX($B$307:B332)+1)</f>
        <v>15</v>
      </c>
      <c r="C333" s="157">
        <f t="shared" si="47"/>
        <v>9000</v>
      </c>
      <c r="D333" s="1">
        <f t="shared" si="46"/>
        <v>9814.9137079004358</v>
      </c>
      <c r="E333" s="1">
        <f t="shared" si="46"/>
        <v>9963.513707900438</v>
      </c>
      <c r="F333" s="1">
        <f>E333-D333</f>
        <v>148.60000000000218</v>
      </c>
      <c r="G333" s="156">
        <f>F333/D333</f>
        <v>1.5140224807110409E-2</v>
      </c>
    </row>
    <row r="334" spans="2:7" ht="15" customHeight="1" x14ac:dyDescent="0.35">
      <c r="B334" s="128">
        <f>IF(ISBLANK(C334),"",MAX($B$307:B333)+1)</f>
        <v>16</v>
      </c>
      <c r="C334" s="157">
        <f t="shared" si="47"/>
        <v>9500</v>
      </c>
      <c r="D334" s="1">
        <f t="shared" si="46"/>
        <v>10343.520025006017</v>
      </c>
      <c r="E334" s="1">
        <f t="shared" si="46"/>
        <v>10494.820025006016</v>
      </c>
      <c r="F334" s="1">
        <f>E334-D334</f>
        <v>151.29999999999927</v>
      </c>
      <c r="G334" s="156">
        <f>F334/D334</f>
        <v>1.4627515549273688E-2</v>
      </c>
    </row>
    <row r="335" spans="2:7" ht="15" customHeight="1" x14ac:dyDescent="0.35">
      <c r="B335" s="128" t="str">
        <f>IF(ISBLANK(C335),"",MAX($B$307:B334)+1)</f>
        <v/>
      </c>
      <c r="C335" s="157"/>
      <c r="D335" s="1"/>
      <c r="E335" s="1"/>
      <c r="F335" s="1"/>
      <c r="G335" s="156"/>
    </row>
    <row r="336" spans="2:7" ht="15" customHeight="1" x14ac:dyDescent="0.35">
      <c r="B336" s="128">
        <f>IF(ISBLANK(C336),"",MAX($B$307:B335)+1)</f>
        <v>17</v>
      </c>
      <c r="C336" s="157">
        <f>+C334+1000</f>
        <v>10500</v>
      </c>
      <c r="D336" s="1">
        <f>D$311+(D$314+D$317)*$C336</f>
        <v>11400.732659217176</v>
      </c>
      <c r="E336" s="1">
        <f>E$311+(E$314+E$317)*$C336</f>
        <v>11557.432659217176</v>
      </c>
      <c r="F336" s="1">
        <f>E336-D336</f>
        <v>156.70000000000073</v>
      </c>
      <c r="G336" s="156">
        <f>F336/D336</f>
        <v>1.3744730683892769E-2</v>
      </c>
    </row>
    <row r="337" spans="2:7" ht="15" customHeight="1" x14ac:dyDescent="0.35">
      <c r="B337" s="128">
        <f>IF(ISBLANK(C337),"",MAX($B$307:B336)+1)</f>
        <v>18</v>
      </c>
      <c r="C337" s="157">
        <f>+C336+1000</f>
        <v>11500</v>
      </c>
      <c r="D337" s="1">
        <f t="shared" ref="D337:E340" si="48">D$311+(D$314+D$317)*$C337</f>
        <v>12457.945293428336</v>
      </c>
      <c r="E337" s="1">
        <f t="shared" si="48"/>
        <v>12620.045293428337</v>
      </c>
      <c r="F337" s="1">
        <f>E337-D337</f>
        <v>162.10000000000036</v>
      </c>
      <c r="G337" s="156">
        <f>F337/D337</f>
        <v>1.301177651546675E-2</v>
      </c>
    </row>
    <row r="338" spans="2:7" ht="15" customHeight="1" x14ac:dyDescent="0.35">
      <c r="B338" s="128">
        <f>IF(ISBLANK(C338),"",MAX($B$307:B337)+1)</f>
        <v>19</v>
      </c>
      <c r="C338" s="157">
        <f t="shared" ref="C338:C339" si="49">+C337+1000</f>
        <v>12500</v>
      </c>
      <c r="D338" s="1">
        <f t="shared" si="48"/>
        <v>13515.157927639495</v>
      </c>
      <c r="E338" s="1">
        <f t="shared" si="48"/>
        <v>13682.657927639497</v>
      </c>
      <c r="F338" s="1">
        <f>E338-D338</f>
        <v>167.50000000000182</v>
      </c>
      <c r="G338" s="156">
        <f>F338/D338</f>
        <v>1.2393491877549722E-2</v>
      </c>
    </row>
    <row r="339" spans="2:7" ht="15" customHeight="1" x14ac:dyDescent="0.35">
      <c r="B339" s="128">
        <f>IF(ISBLANK(C339),"",MAX($B$307:B338)+1)</f>
        <v>20</v>
      </c>
      <c r="C339" s="157">
        <f t="shared" si="49"/>
        <v>13500</v>
      </c>
      <c r="D339" s="1">
        <f t="shared" si="48"/>
        <v>14572.370561850656</v>
      </c>
      <c r="E339" s="1">
        <f t="shared" si="48"/>
        <v>14745.270561850655</v>
      </c>
      <c r="F339" s="1">
        <f>E339-D339</f>
        <v>172.89999999999964</v>
      </c>
      <c r="G339" s="156">
        <f>F339/D339</f>
        <v>1.1864919250175982E-2</v>
      </c>
    </row>
    <row r="340" spans="2:7" ht="15" customHeight="1" x14ac:dyDescent="0.35">
      <c r="B340" s="128">
        <f>IF(ISBLANK(C340),"",MAX($B$307:B339)+1)</f>
        <v>21</v>
      </c>
      <c r="C340" s="157">
        <f>+C339+1000</f>
        <v>14500</v>
      </c>
      <c r="D340" s="1">
        <f t="shared" si="48"/>
        <v>15629.583196061814</v>
      </c>
      <c r="E340" s="1">
        <f t="shared" si="48"/>
        <v>15807.883196061815</v>
      </c>
      <c r="F340" s="1">
        <f>E340-D340</f>
        <v>178.30000000000109</v>
      </c>
      <c r="G340" s="156">
        <f>F340/D340</f>
        <v>1.140785379644208E-2</v>
      </c>
    </row>
    <row r="341" spans="2:7" ht="15" customHeight="1" x14ac:dyDescent="0.35">
      <c r="B341" s="128" t="str">
        <f>IF(ISBLANK(C341),"",MAX($B$307:B340)+1)</f>
        <v/>
      </c>
      <c r="C341" s="157"/>
      <c r="D341" s="1"/>
      <c r="E341" s="1"/>
      <c r="F341" s="1"/>
      <c r="G341" s="156"/>
    </row>
    <row r="342" spans="2:7" ht="15" customHeight="1" x14ac:dyDescent="0.35">
      <c r="B342" s="128">
        <f>IF(ISBLANK(C342),"",MAX($B$307:B341)+1)</f>
        <v>22</v>
      </c>
      <c r="C342" s="157">
        <f>+C340+1500</f>
        <v>16000</v>
      </c>
      <c r="D342" s="1">
        <f>D$311+(D$314+D$317)*$C342</f>
        <v>17215.402147378554</v>
      </c>
      <c r="E342" s="1">
        <f>E$311+(E$314+E$317)*$C342</f>
        <v>17401.802147378556</v>
      </c>
      <c r="F342" s="1">
        <f>E342-D342</f>
        <v>186.40000000000146</v>
      </c>
      <c r="G342" s="156">
        <f>F342/D342</f>
        <v>1.082751354887084E-2</v>
      </c>
    </row>
    <row r="343" spans="2:7" ht="15" customHeight="1" x14ac:dyDescent="0.35">
      <c r="B343" s="128">
        <f>IF(ISBLANK(C343),"",MAX($B$307:B342)+1)</f>
        <v>23</v>
      </c>
      <c r="C343" s="157">
        <f>+C342+1000</f>
        <v>17000</v>
      </c>
      <c r="D343" s="1">
        <f t="shared" ref="D343:E346" si="50">D$311+(D$314+D$317)*$C343</f>
        <v>18272.614781589713</v>
      </c>
      <c r="E343" s="1">
        <f t="shared" si="50"/>
        <v>18464.414781589716</v>
      </c>
      <c r="F343" s="1">
        <f>E343-D343</f>
        <v>191.80000000000291</v>
      </c>
      <c r="G343" s="156">
        <f>F343/D343</f>
        <v>1.0496582032323475E-2</v>
      </c>
    </row>
    <row r="344" spans="2:7" ht="15" customHeight="1" x14ac:dyDescent="0.35">
      <c r="B344" s="128">
        <f>IF(ISBLANK(C344),"",MAX($B$307:B343)+1)</f>
        <v>24</v>
      </c>
      <c r="C344" s="157">
        <f t="shared" ref="C344:C345" si="51">+C343+1000</f>
        <v>18000</v>
      </c>
      <c r="D344" s="1">
        <f t="shared" si="50"/>
        <v>19329.827415800872</v>
      </c>
      <c r="E344" s="1">
        <f t="shared" si="50"/>
        <v>19527.027415800876</v>
      </c>
      <c r="F344" s="1">
        <f>E344-D344</f>
        <v>197.20000000000437</v>
      </c>
      <c r="G344" s="156">
        <f>F344/D344</f>
        <v>1.0201850009214581E-2</v>
      </c>
    </row>
    <row r="345" spans="2:7" ht="15" customHeight="1" x14ac:dyDescent="0.35">
      <c r="B345" s="128">
        <f>IF(ISBLANK(C345),"",MAX($B$307:B344)+1)</f>
        <v>25</v>
      </c>
      <c r="C345" s="157">
        <f t="shared" si="51"/>
        <v>19000</v>
      </c>
      <c r="D345" s="1">
        <f t="shared" si="50"/>
        <v>20387.040050012034</v>
      </c>
      <c r="E345" s="1">
        <f t="shared" si="50"/>
        <v>20589.640050012033</v>
      </c>
      <c r="F345" s="1">
        <f>E345-D345</f>
        <v>202.59999999999854</v>
      </c>
      <c r="G345" s="156">
        <f>F345/D345</f>
        <v>9.9376858780379426E-3</v>
      </c>
    </row>
    <row r="346" spans="2:7" ht="15" customHeight="1" x14ac:dyDescent="0.35">
      <c r="B346" s="128">
        <f>IF(ISBLANK(C346),"",MAX($B$307:B345)+1)</f>
        <v>26</v>
      </c>
      <c r="C346" s="157">
        <f>+C345+1000</f>
        <v>20000</v>
      </c>
      <c r="D346" s="1">
        <f t="shared" si="50"/>
        <v>21444.252684223193</v>
      </c>
      <c r="E346" s="1">
        <f t="shared" si="50"/>
        <v>21652.252684223193</v>
      </c>
      <c r="F346" s="1">
        <f>E346-D346</f>
        <v>208</v>
      </c>
      <c r="G346" s="156">
        <f>F346/D346</f>
        <v>9.6995686006362079E-3</v>
      </c>
    </row>
    <row r="347" spans="2:7" ht="15" customHeight="1" x14ac:dyDescent="0.35">
      <c r="B347" s="128" t="str">
        <f>IF(ISBLANK(C347),"",MAX($B$307:B346)+1)</f>
        <v/>
      </c>
      <c r="C347" s="157"/>
      <c r="D347" s="1"/>
      <c r="E347" s="1"/>
      <c r="F347" s="1"/>
      <c r="G347" s="156"/>
    </row>
    <row r="348" spans="2:7" ht="15" customHeight="1" x14ac:dyDescent="0.35">
      <c r="B348" s="128">
        <f>IF(ISBLANK(C348),"",MAX($B$307:B347)+1)</f>
        <v>27</v>
      </c>
      <c r="C348" s="157">
        <f>+C346+2000</f>
        <v>22000</v>
      </c>
      <c r="D348" s="1">
        <f>D$311+(D$314+D$317)*$C348</f>
        <v>23558.67795264551</v>
      </c>
      <c r="E348" s="1">
        <f>E$311+(E$314+E$317)*$C348</f>
        <v>23777.477952645513</v>
      </c>
      <c r="F348" s="1">
        <f>E348-D348</f>
        <v>218.80000000000291</v>
      </c>
      <c r="G348" s="156">
        <f>F348/D348</f>
        <v>9.2874481513693288E-3</v>
      </c>
    </row>
    <row r="349" spans="2:7" ht="15" customHeight="1" x14ac:dyDescent="0.35">
      <c r="B349" s="128">
        <f>IF(ISBLANK(C349),"",MAX($B$307:B348)+1)</f>
        <v>28</v>
      </c>
      <c r="C349" s="157">
        <f>+C348+2000</f>
        <v>24000</v>
      </c>
      <c r="D349" s="1">
        <f t="shared" ref="D349:E352" si="52">D$311+(D$314+D$317)*$C349</f>
        <v>25673.103221067831</v>
      </c>
      <c r="E349" s="1">
        <f t="shared" si="52"/>
        <v>25902.703221067834</v>
      </c>
      <c r="F349" s="1">
        <f>E349-D349</f>
        <v>229.60000000000218</v>
      </c>
      <c r="G349" s="156">
        <f>F349/D349</f>
        <v>8.9432118128823668E-3</v>
      </c>
    </row>
    <row r="350" spans="2:7" ht="15" customHeight="1" x14ac:dyDescent="0.35">
      <c r="B350" s="128">
        <f>IF(ISBLANK(C350),"",MAX($B$307:B349)+1)</f>
        <v>29</v>
      </c>
      <c r="C350" s="157">
        <f t="shared" ref="C350:C352" si="53">+C349+2000</f>
        <v>26000</v>
      </c>
      <c r="D350" s="1">
        <f t="shared" si="52"/>
        <v>27787.528489490149</v>
      </c>
      <c r="E350" s="1">
        <f t="shared" si="52"/>
        <v>28027.928489490154</v>
      </c>
      <c r="F350" s="1">
        <f>E350-D350</f>
        <v>240.40000000000509</v>
      </c>
      <c r="G350" s="156">
        <f>F350/D350</f>
        <v>8.6513631498724205E-3</v>
      </c>
    </row>
    <row r="351" spans="2:7" ht="15" customHeight="1" x14ac:dyDescent="0.35">
      <c r="B351" s="128">
        <f>IF(ISBLANK(C351),"",MAX($B$307:B350)+1)</f>
        <v>30</v>
      </c>
      <c r="C351" s="157">
        <f t="shared" si="53"/>
        <v>28000</v>
      </c>
      <c r="D351" s="1">
        <f t="shared" si="52"/>
        <v>29901.95375791247</v>
      </c>
      <c r="E351" s="1">
        <f t="shared" si="52"/>
        <v>30153.153757912471</v>
      </c>
      <c r="F351" s="1">
        <f>E351-D351</f>
        <v>251.20000000000073</v>
      </c>
      <c r="G351" s="156">
        <f>F351/D351</f>
        <v>8.4007888592741112E-3</v>
      </c>
    </row>
    <row r="352" spans="2:7" ht="15" customHeight="1" x14ac:dyDescent="0.35">
      <c r="B352" s="128">
        <f>IF(ISBLANK(C352),"",MAX($B$307:B351)+1)</f>
        <v>31</v>
      </c>
      <c r="C352" s="157">
        <f t="shared" si="53"/>
        <v>30000</v>
      </c>
      <c r="D352" s="1">
        <f t="shared" si="52"/>
        <v>32016.379026334787</v>
      </c>
      <c r="E352" s="1">
        <f t="shared" si="52"/>
        <v>32278.379026334791</v>
      </c>
      <c r="F352" s="1">
        <f>E352-D352</f>
        <v>262.00000000000364</v>
      </c>
      <c r="G352" s="156">
        <f>F352/D352</f>
        <v>8.183311416462738E-3</v>
      </c>
    </row>
    <row r="353" spans="2:7" ht="15" customHeight="1" x14ac:dyDescent="0.35">
      <c r="B353" s="128" t="str">
        <f>IF(ISBLANK(C353),"",MAX($B$307:B352)+1)</f>
        <v/>
      </c>
      <c r="C353" s="157"/>
      <c r="D353" s="1"/>
      <c r="E353" s="1"/>
      <c r="F353" s="1"/>
      <c r="G353" s="156"/>
    </row>
    <row r="354" spans="2:7" ht="15" customHeight="1" x14ac:dyDescent="0.35">
      <c r="B354" s="128">
        <f>IF(ISBLANK(C354),"",MAX($B$307:B353)+1)</f>
        <v>32</v>
      </c>
      <c r="C354" s="157">
        <f>+C352+5000</f>
        <v>35000</v>
      </c>
      <c r="D354" s="1">
        <f t="shared" ref="D354:E358" si="54">D$311+(D$317*$C354)+D$315*($C354-$J$314)+D$314*$J$314</f>
        <v>36860.79219739059</v>
      </c>
      <c r="E354" s="1">
        <f t="shared" si="54"/>
        <v>37132.892197390589</v>
      </c>
      <c r="F354" s="1">
        <f>E354-D354</f>
        <v>272.09999999999854</v>
      </c>
      <c r="G354" s="156">
        <f>F354/D354</f>
        <v>7.381827241880622E-3</v>
      </c>
    </row>
    <row r="355" spans="2:7" ht="15" customHeight="1" x14ac:dyDescent="0.35">
      <c r="B355" s="128">
        <f>IF(ISBLANK(C355),"",MAX($B$307:B354)+1)</f>
        <v>33</v>
      </c>
      <c r="C355" s="157">
        <f>+C354+5000</f>
        <v>40000</v>
      </c>
      <c r="D355" s="1">
        <f t="shared" si="54"/>
        <v>41705.205368446383</v>
      </c>
      <c r="E355" s="1">
        <f t="shared" si="54"/>
        <v>41987.40536844638</v>
      </c>
      <c r="F355" s="1">
        <f>E355-D355</f>
        <v>282.19999999999709</v>
      </c>
      <c r="G355" s="156">
        <f>F355/D355</f>
        <v>6.7665414306652943E-3</v>
      </c>
    </row>
    <row r="356" spans="2:7" ht="15" customHeight="1" x14ac:dyDescent="0.35">
      <c r="B356" s="128">
        <f>IF(ISBLANK(C356),"",MAX($B$307:B355)+1)</f>
        <v>34</v>
      </c>
      <c r="C356" s="157">
        <f t="shared" ref="C356:C358" si="55">+C355+5000</f>
        <v>45000</v>
      </c>
      <c r="D356" s="1">
        <f t="shared" si="54"/>
        <v>46549.618539502182</v>
      </c>
      <c r="E356" s="1">
        <f t="shared" si="54"/>
        <v>46841.918539502185</v>
      </c>
      <c r="F356" s="1">
        <f>E356-D356</f>
        <v>292.30000000000291</v>
      </c>
      <c r="G356" s="156">
        <f>F356/D356</f>
        <v>6.2793210593542464E-3</v>
      </c>
    </row>
    <row r="357" spans="2:7" ht="15" customHeight="1" x14ac:dyDescent="0.35">
      <c r="B357" s="128">
        <f>IF(ISBLANK(C357),"",MAX($B$307:B356)+1)</f>
        <v>35</v>
      </c>
      <c r="C357" s="157">
        <f t="shared" si="55"/>
        <v>50000</v>
      </c>
      <c r="D357" s="1">
        <f t="shared" si="54"/>
        <v>51394.031710557982</v>
      </c>
      <c r="E357" s="1">
        <f t="shared" si="54"/>
        <v>51696.431710557976</v>
      </c>
      <c r="F357" s="1">
        <f>E357-D357</f>
        <v>302.39999999999418</v>
      </c>
      <c r="G357" s="156">
        <f>F357/D357</f>
        <v>5.8839516950734095E-3</v>
      </c>
    </row>
    <row r="358" spans="2:7" ht="15" customHeight="1" x14ac:dyDescent="0.35">
      <c r="B358" s="128">
        <f>IF(ISBLANK(C358),"",MAX($B$307:B357)+1)</f>
        <v>36</v>
      </c>
      <c r="C358" s="157">
        <f t="shared" si="55"/>
        <v>55000</v>
      </c>
      <c r="D358" s="1">
        <f t="shared" si="54"/>
        <v>56238.444881613781</v>
      </c>
      <c r="E358" s="1">
        <f t="shared" si="54"/>
        <v>56550.944881613781</v>
      </c>
      <c r="F358" s="1">
        <f>E358-D358</f>
        <v>312.5</v>
      </c>
      <c r="G358" s="156">
        <f>F358/D358</f>
        <v>5.5566970363038369E-3</v>
      </c>
    </row>
    <row r="359" spans="2:7" ht="15" customHeight="1" x14ac:dyDescent="0.35">
      <c r="B359" s="128" t="str">
        <f>IF(ISBLANK(C359),"",MAX($B$307:B358)+1)</f>
        <v/>
      </c>
      <c r="C359" s="157"/>
      <c r="D359" s="1"/>
      <c r="E359" s="1"/>
      <c r="F359" s="1"/>
      <c r="G359" s="156"/>
    </row>
    <row r="360" spans="2:7" ht="15" customHeight="1" x14ac:dyDescent="0.35">
      <c r="B360" s="128">
        <f>IF(ISBLANK(C360),"",MAX($B$307:B359)+1)</f>
        <v>37</v>
      </c>
      <c r="C360" s="157">
        <f>+C358+10000</f>
        <v>65000</v>
      </c>
      <c r="D360" s="1">
        <f t="shared" ref="D360:E364" si="56">D$311+(D$317*$C360)+D$315*($C360-$J$314)+D$314*$J$314</f>
        <v>65927.271223725373</v>
      </c>
      <c r="E360" s="1">
        <f t="shared" si="56"/>
        <v>66259.97122372537</v>
      </c>
      <c r="F360" s="1">
        <f>E360-D360</f>
        <v>332.69999999999709</v>
      </c>
      <c r="G360" s="156">
        <f>F360/D360</f>
        <v>5.0464700544175971E-3</v>
      </c>
    </row>
    <row r="361" spans="2:7" ht="15" customHeight="1" x14ac:dyDescent="0.35">
      <c r="B361" s="128">
        <f>IF(ISBLANK(C361),"",MAX($B$307:B360)+1)</f>
        <v>38</v>
      </c>
      <c r="C361" s="157">
        <f>+C360+10000</f>
        <v>75000</v>
      </c>
      <c r="D361" s="1">
        <f t="shared" si="56"/>
        <v>75616.097565836986</v>
      </c>
      <c r="E361" s="1">
        <f t="shared" si="56"/>
        <v>75968.99756583698</v>
      </c>
      <c r="F361" s="1">
        <f>E361-D361</f>
        <v>352.89999999999418</v>
      </c>
      <c r="G361" s="156">
        <f>F361/D361</f>
        <v>4.6669956710306722E-3</v>
      </c>
    </row>
    <row r="362" spans="2:7" ht="15" customHeight="1" x14ac:dyDescent="0.35">
      <c r="B362" s="128">
        <f>IF(ISBLANK(C362),"",MAX($B$307:B361)+1)</f>
        <v>39</v>
      </c>
      <c r="C362" s="157">
        <f t="shared" ref="C362:C364" si="57">+C361+10000</f>
        <v>85000</v>
      </c>
      <c r="D362" s="1">
        <f t="shared" si="56"/>
        <v>85304.923907948571</v>
      </c>
      <c r="E362" s="1">
        <f t="shared" si="56"/>
        <v>85678.023907948576</v>
      </c>
      <c r="F362" s="1">
        <f>E362-D362</f>
        <v>373.10000000000582</v>
      </c>
      <c r="G362" s="156">
        <f>F362/D362</f>
        <v>4.3737217373596531E-3</v>
      </c>
    </row>
    <row r="363" spans="2:7" ht="15" customHeight="1" x14ac:dyDescent="0.35">
      <c r="B363" s="128">
        <f>IF(ISBLANK(C363),"",MAX($B$307:B362)+1)</f>
        <v>40</v>
      </c>
      <c r="C363" s="157">
        <f t="shared" si="57"/>
        <v>95000</v>
      </c>
      <c r="D363" s="1">
        <f t="shared" si="56"/>
        <v>94993.750250060169</v>
      </c>
      <c r="E363" s="1">
        <f t="shared" si="56"/>
        <v>95387.050250060158</v>
      </c>
      <c r="F363" s="1">
        <f>E363-D363</f>
        <v>393.29999999998836</v>
      </c>
      <c r="G363" s="156">
        <f>F363/D363</f>
        <v>4.1402723754422914E-3</v>
      </c>
    </row>
    <row r="364" spans="2:7" ht="15" customHeight="1" x14ac:dyDescent="0.35">
      <c r="B364" s="128">
        <f>IF(ISBLANK(C364),"",MAX($B$307:B363)+1)</f>
        <v>41</v>
      </c>
      <c r="C364" s="157">
        <f t="shared" si="57"/>
        <v>105000</v>
      </c>
      <c r="D364" s="1">
        <f t="shared" si="56"/>
        <v>104682.57659217177</v>
      </c>
      <c r="E364" s="1">
        <f t="shared" si="56"/>
        <v>105096.07659217177</v>
      </c>
      <c r="F364" s="1">
        <f>E364-D364</f>
        <v>413.5</v>
      </c>
      <c r="G364" s="156">
        <f>F364/D364</f>
        <v>3.9500365147768233E-3</v>
      </c>
    </row>
    <row r="365" spans="2:7" ht="15" customHeight="1" x14ac:dyDescent="0.35">
      <c r="B365" s="128" t="str">
        <f>IF(ISBLANK(C365),"",MAX($B$307:B364)+1)</f>
        <v/>
      </c>
      <c r="C365" s="157"/>
      <c r="D365" s="1"/>
      <c r="E365" s="1"/>
      <c r="F365" s="1"/>
      <c r="G365" s="156"/>
    </row>
    <row r="366" spans="2:7" ht="15" customHeight="1" x14ac:dyDescent="0.35">
      <c r="B366" s="128">
        <f>IF(ISBLANK(C366),"",MAX($B$307:B365)+1)</f>
        <v>42</v>
      </c>
      <c r="C366" s="157">
        <f>+C364+15000</f>
        <v>120000</v>
      </c>
      <c r="D366" s="1">
        <f t="shared" ref="D366:E371" si="58">D$311+(D$317*$C366)+D$315*($C366-$J$314)+D$314*$J$314</f>
        <v>119215.81610533917</v>
      </c>
      <c r="E366" s="1">
        <f t="shared" si="58"/>
        <v>119659.61610533916</v>
      </c>
      <c r="F366" s="1">
        <f t="shared" ref="F366:F371" si="59">E366-D366</f>
        <v>443.79999999998836</v>
      </c>
      <c r="G366" s="156">
        <f t="shared" ref="G366:G371" si="60">F366/D366</f>
        <v>3.7226604195524393E-3</v>
      </c>
    </row>
    <row r="367" spans="2:7" ht="15" customHeight="1" x14ac:dyDescent="0.35">
      <c r="B367" s="128">
        <f>IF(ISBLANK(C367),"",MAX($B$307:B366)+1)</f>
        <v>43</v>
      </c>
      <c r="C367" s="157">
        <f>+C366+15000</f>
        <v>135000</v>
      </c>
      <c r="D367" s="1">
        <f t="shared" si="58"/>
        <v>133749.05561850654</v>
      </c>
      <c r="E367" s="1">
        <f t="shared" si="58"/>
        <v>134223.15561850654</v>
      </c>
      <c r="F367" s="1">
        <f t="shared" si="59"/>
        <v>474.10000000000582</v>
      </c>
      <c r="G367" s="156">
        <f t="shared" si="60"/>
        <v>3.5446979255859936E-3</v>
      </c>
    </row>
    <row r="368" spans="2:7" ht="15" customHeight="1" x14ac:dyDescent="0.35">
      <c r="B368" s="128">
        <f>IF(ISBLANK(C368),"",MAX($B$307:B367)+1)</f>
        <v>44</v>
      </c>
      <c r="C368" s="157">
        <f t="shared" ref="C368:C371" si="61">+C367+15000</f>
        <v>150000</v>
      </c>
      <c r="D368" s="1">
        <f t="shared" si="58"/>
        <v>148282.29513167395</v>
      </c>
      <c r="E368" s="1">
        <f t="shared" si="58"/>
        <v>148786.69513167397</v>
      </c>
      <c r="F368" s="1">
        <f t="shared" si="59"/>
        <v>504.40000000002328</v>
      </c>
      <c r="G368" s="156">
        <f t="shared" si="60"/>
        <v>3.4016198599577823E-3</v>
      </c>
    </row>
    <row r="369" spans="1:8" ht="15" customHeight="1" x14ac:dyDescent="0.35">
      <c r="B369" s="128">
        <f>IF(ISBLANK(C369),"",MAX($B$307:B368)+1)</f>
        <v>45</v>
      </c>
      <c r="C369" s="157">
        <f t="shared" si="61"/>
        <v>165000</v>
      </c>
      <c r="D369" s="1">
        <f t="shared" si="58"/>
        <v>162815.53464484133</v>
      </c>
      <c r="E369" s="1">
        <f t="shared" si="58"/>
        <v>163350.23464484134</v>
      </c>
      <c r="F369" s="1">
        <f t="shared" si="59"/>
        <v>534.70000000001164</v>
      </c>
      <c r="G369" s="156">
        <f t="shared" si="60"/>
        <v>3.2840846616164899E-3</v>
      </c>
    </row>
    <row r="370" spans="1:8" ht="15" customHeight="1" x14ac:dyDescent="0.35">
      <c r="B370" s="128">
        <f>IF(ISBLANK(C370),"",MAX($B$307:B369)+1)</f>
        <v>46</v>
      </c>
      <c r="C370" s="157">
        <f t="shared" si="61"/>
        <v>180000</v>
      </c>
      <c r="D370" s="1">
        <f t="shared" si="58"/>
        <v>177348.77415800875</v>
      </c>
      <c r="E370" s="1">
        <f t="shared" si="58"/>
        <v>177913.77415800875</v>
      </c>
      <c r="F370" s="1">
        <f t="shared" si="59"/>
        <v>565</v>
      </c>
      <c r="G370" s="156">
        <f t="shared" si="60"/>
        <v>3.185812829451044E-3</v>
      </c>
    </row>
    <row r="371" spans="1:8" ht="15" customHeight="1" x14ac:dyDescent="0.35">
      <c r="B371" s="128">
        <f>IF(ISBLANK(C371),"",MAX($B$307:B370)+1)</f>
        <v>47</v>
      </c>
      <c r="C371" s="157">
        <f t="shared" si="61"/>
        <v>195000</v>
      </c>
      <c r="D371" s="1">
        <f t="shared" si="58"/>
        <v>191882.01367117613</v>
      </c>
      <c r="E371" s="1">
        <f t="shared" si="58"/>
        <v>192477.31367117612</v>
      </c>
      <c r="F371" s="1">
        <f t="shared" si="59"/>
        <v>595.29999999998836</v>
      </c>
      <c r="G371" s="156">
        <f t="shared" si="60"/>
        <v>3.1024273125470764E-3</v>
      </c>
    </row>
    <row r="372" spans="1:8" ht="15" customHeight="1" x14ac:dyDescent="0.35">
      <c r="B372" s="128"/>
      <c r="C372" s="157"/>
      <c r="D372" s="1"/>
      <c r="E372" s="1"/>
      <c r="F372" s="1"/>
      <c r="G372" s="156"/>
    </row>
    <row r="373" spans="1:8" ht="15" customHeight="1" x14ac:dyDescent="0.35">
      <c r="A373" s="42" t="str">
        <f>$A$41</f>
        <v>Cascade Natural Gas Corp.</v>
      </c>
      <c r="H373" s="41" t="str">
        <f>$H$41</f>
        <v>Exh. RJA-7</v>
      </c>
    </row>
    <row r="374" spans="1:8" ht="15" customHeight="1" x14ac:dyDescent="0.35">
      <c r="A374" s="42" t="str">
        <f>$A$42</f>
        <v>Washington Jurisdiction</v>
      </c>
      <c r="H374" s="41" t="s">
        <v>142</v>
      </c>
    </row>
    <row r="375" spans="1:8" ht="15" customHeight="1" x14ac:dyDescent="0.35">
      <c r="A375" s="42" t="str">
        <f>$A$43</f>
        <v>Estimated Monthly Bill Impacts March 1, 2026</v>
      </c>
      <c r="H375" s="41" t="str">
        <f>$H$43</f>
        <v>Impact of Recommended Rate Changes</v>
      </c>
    </row>
    <row r="376" spans="1:8" ht="15" customHeight="1" x14ac:dyDescent="0.35">
      <c r="A376" s="42"/>
      <c r="H376" s="41"/>
    </row>
    <row r="377" spans="1:8" ht="15" customHeight="1" x14ac:dyDescent="0.35">
      <c r="B377" s="127" t="str">
        <f>'RJA-6 (2026 rates)'!B52</f>
        <v>Transport - 663</v>
      </c>
    </row>
    <row r="379" spans="1:8" ht="15" customHeight="1" x14ac:dyDescent="0.5">
      <c r="B379" s="129" t="s">
        <v>87</v>
      </c>
      <c r="C379" s="129" t="s">
        <v>52</v>
      </c>
      <c r="D379" s="129" t="s">
        <v>53</v>
      </c>
      <c r="E379" s="129" t="s">
        <v>55</v>
      </c>
      <c r="F379" s="129" t="s">
        <v>56</v>
      </c>
      <c r="G379" s="129" t="s">
        <v>57</v>
      </c>
    </row>
    <row r="380" spans="1:8" ht="15" customHeight="1" x14ac:dyDescent="0.35">
      <c r="B380" s="128"/>
      <c r="C380" s="130"/>
      <c r="D380" s="154" t="s">
        <v>58</v>
      </c>
      <c r="E380" s="155" t="s">
        <v>66</v>
      </c>
    </row>
    <row r="381" spans="1:8" ht="15" customHeight="1" x14ac:dyDescent="0.5">
      <c r="B381" s="128"/>
      <c r="C381" s="76"/>
      <c r="D381" s="129" t="s">
        <v>60</v>
      </c>
      <c r="E381" s="134" t="s">
        <v>60</v>
      </c>
    </row>
    <row r="382" spans="1:8" ht="15" customHeight="1" x14ac:dyDescent="0.35">
      <c r="B382" s="128">
        <f>IF(ISBLANK(C382),"",MAX($B$379:B381)+1)</f>
        <v>1</v>
      </c>
      <c r="C382" s="76" t="s">
        <v>35</v>
      </c>
      <c r="D382" s="135">
        <f>'RJA-6 (2026 rates)'!D53</f>
        <v>0.4</v>
      </c>
      <c r="E382" s="136">
        <f>'RJA-6 (2026 rates)'!G53</f>
        <v>0.45</v>
      </c>
    </row>
    <row r="383" spans="1:8" ht="15" customHeight="1" x14ac:dyDescent="0.35">
      <c r="B383" s="128" t="str">
        <f>IF(ISBLANK(C383),"",MAX($B$379:B382)+1)</f>
        <v/>
      </c>
      <c r="C383" s="76"/>
      <c r="D383" s="135"/>
      <c r="E383" s="136"/>
    </row>
    <row r="384" spans="1:8" ht="15" customHeight="1" x14ac:dyDescent="0.35">
      <c r="B384" s="128">
        <f>IF(ISBLANK(C384),"",MAX($B$379:B383)+1)</f>
        <v>2</v>
      </c>
      <c r="C384" s="76" t="s">
        <v>18</v>
      </c>
      <c r="D384" s="135">
        <f>'RJA-6 (2026 rates)'!D55</f>
        <v>1000</v>
      </c>
      <c r="E384" s="136">
        <f>'RJA-6 (2026 rates)'!G55</f>
        <v>1200</v>
      </c>
    </row>
    <row r="385" spans="2:11" ht="15" customHeight="1" x14ac:dyDescent="0.35">
      <c r="B385" s="128" t="str">
        <f>IF(ISBLANK(C385),"",MAX($B$379:B384)+1)</f>
        <v/>
      </c>
      <c r="C385" s="76"/>
      <c r="D385" s="135"/>
      <c r="E385" s="136"/>
    </row>
    <row r="386" spans="2:11" ht="15" customHeight="1" x14ac:dyDescent="0.35">
      <c r="B386" s="128">
        <f>IF(ISBLANK(C386),"",MAX($B$379:B385)+1)</f>
        <v>3</v>
      </c>
      <c r="C386" s="76" t="s">
        <v>36</v>
      </c>
      <c r="D386" s="93">
        <f>'RJA-6 (2026 rates)'!D54</f>
        <v>1.1000000000000001E-3</v>
      </c>
      <c r="E386" s="137">
        <f>'RJA-6 (2026 rates)'!G54</f>
        <v>1.1000000000000001E-3</v>
      </c>
    </row>
    <row r="387" spans="2:11" ht="15" customHeight="1" x14ac:dyDescent="0.35">
      <c r="B387" s="128" t="str">
        <f>IF(ISBLANK(C387),"",MAX($B$379:B386)+1)</f>
        <v/>
      </c>
      <c r="C387" s="76"/>
      <c r="D387" s="135"/>
      <c r="E387" s="136"/>
      <c r="J387" s="158" t="s">
        <v>92</v>
      </c>
    </row>
    <row r="388" spans="2:11" ht="15" customHeight="1" x14ac:dyDescent="0.35">
      <c r="B388" s="128">
        <f>IF(ISBLANK(C388),"",MAX($B$379:B387)+1)</f>
        <v>4</v>
      </c>
      <c r="C388" s="159" t="s">
        <v>101</v>
      </c>
      <c r="D388" s="93">
        <f>SUM('RJA-6 (2026 rates)'!D56:E56)</f>
        <v>6.7739999999999995E-2</v>
      </c>
      <c r="E388" s="137">
        <f>SUM('RJA-6 (2026 rates)'!G56:H56)</f>
        <v>6.7780000000000007E-2</v>
      </c>
      <c r="J388" s="160">
        <v>100000</v>
      </c>
      <c r="K388" s="122">
        <f>J388+K387</f>
        <v>100000</v>
      </c>
    </row>
    <row r="389" spans="2:11" ht="15" customHeight="1" x14ac:dyDescent="0.35">
      <c r="B389" s="128">
        <f>IF(ISBLANK(C389),"",MAX($B$379:B388)+1)</f>
        <v>5</v>
      </c>
      <c r="C389" s="159" t="s">
        <v>102</v>
      </c>
      <c r="D389" s="93">
        <f>SUM('RJA-6 (2026 rates)'!D57:E57)</f>
        <v>2.751E-2</v>
      </c>
      <c r="E389" s="137">
        <f>SUM('RJA-6 (2026 rates)'!G57:H57)</f>
        <v>2.7529999999999999E-2</v>
      </c>
      <c r="J389" s="161">
        <v>200000</v>
      </c>
      <c r="K389" s="122">
        <f t="shared" ref="K389:K390" si="62">J389+K388</f>
        <v>300000</v>
      </c>
    </row>
    <row r="390" spans="2:11" ht="15" customHeight="1" x14ac:dyDescent="0.35">
      <c r="B390" s="128">
        <f>IF(ISBLANK(C390),"",MAX($B$379:B389)+1)</f>
        <v>6</v>
      </c>
      <c r="C390" s="159" t="s">
        <v>102</v>
      </c>
      <c r="D390" s="93">
        <f>SUM('RJA-6 (2026 rates)'!D58:E58)</f>
        <v>1.8450000000000001E-2</v>
      </c>
      <c r="E390" s="137">
        <f>SUM('RJA-6 (2026 rates)'!G58:H58)</f>
        <v>1.8460000000000001E-2</v>
      </c>
      <c r="J390" s="161">
        <v>200000</v>
      </c>
      <c r="K390" s="122">
        <f t="shared" si="62"/>
        <v>500000</v>
      </c>
    </row>
    <row r="391" spans="2:11" ht="15" customHeight="1" x14ac:dyDescent="0.35">
      <c r="B391" s="128">
        <f>IF(ISBLANK(C391),"",MAX($B$379:B390)+1)</f>
        <v>7</v>
      </c>
      <c r="C391" s="159" t="s">
        <v>103</v>
      </c>
      <c r="D391" s="93">
        <f>SUM('RJA-6 (2026 rates)'!D59:E59)</f>
        <v>1.108E-2</v>
      </c>
      <c r="E391" s="137">
        <f>SUM('RJA-6 (2026 rates)'!G59:H59)</f>
        <v>1.1089999999999999E-2</v>
      </c>
      <c r="J391" s="161"/>
      <c r="K391" s="122"/>
    </row>
    <row r="392" spans="2:11" ht="15" customHeight="1" x14ac:dyDescent="0.35">
      <c r="B392" s="128" t="str">
        <f>IF(ISBLANK(C392),"",MAX($B$379:B391)+1)</f>
        <v/>
      </c>
      <c r="C392" s="76"/>
      <c r="D392" s="135"/>
      <c r="E392" s="77"/>
    </row>
    <row r="393" spans="2:11" ht="15" customHeight="1" x14ac:dyDescent="0.35">
      <c r="B393" s="128">
        <f>IF(ISBLANK(C393),"",MAX($B$379:B392)+1)</f>
        <v>8</v>
      </c>
      <c r="C393" s="138" t="str">
        <f>$C$54</f>
        <v>Pass-Through Rates</v>
      </c>
      <c r="D393" s="140">
        <v>2.0100000000000001E-3</v>
      </c>
      <c r="E393" s="141">
        <f>D393</f>
        <v>2.0100000000000001E-3</v>
      </c>
    </row>
    <row r="394" spans="2:11" ht="15" customHeight="1" x14ac:dyDescent="0.35">
      <c r="B394" s="128" t="str">
        <f>IF(ISBLANK(C394),"",MAX($B$379:B393)+1)</f>
        <v/>
      </c>
    </row>
    <row r="395" spans="2:11" ht="15" customHeight="1" x14ac:dyDescent="0.35">
      <c r="B395" s="128" t="str">
        <f>IF(ISBLANK(C395),"",MAX($B$379:B394)+1)</f>
        <v/>
      </c>
      <c r="C395" s="128"/>
      <c r="D395" s="128"/>
      <c r="E395" s="128"/>
    </row>
    <row r="396" spans="2:11" ht="15" customHeight="1" x14ac:dyDescent="0.5">
      <c r="B396" s="128"/>
      <c r="C396" s="128" t="s">
        <v>89</v>
      </c>
      <c r="D396" s="128" t="s">
        <v>63</v>
      </c>
      <c r="E396" s="128" t="s">
        <v>63</v>
      </c>
      <c r="F396" s="142" t="s">
        <v>90</v>
      </c>
      <c r="G396" s="142"/>
    </row>
    <row r="397" spans="2:11" ht="15" customHeight="1" x14ac:dyDescent="0.5">
      <c r="B397" s="128"/>
      <c r="C397" s="129" t="s">
        <v>104</v>
      </c>
      <c r="D397" s="129" t="s">
        <v>8</v>
      </c>
      <c r="E397" s="129" t="s">
        <v>9</v>
      </c>
      <c r="F397" s="129" t="s">
        <v>69</v>
      </c>
      <c r="G397" s="129" t="s">
        <v>70</v>
      </c>
    </row>
    <row r="398" spans="2:11" ht="15" customHeight="1" x14ac:dyDescent="0.35">
      <c r="B398" s="128" t="str">
        <f>IF(ISBLANK(C398),"",MAX($B$379:B397)+1)</f>
        <v/>
      </c>
    </row>
    <row r="399" spans="2:11" ht="15" customHeight="1" x14ac:dyDescent="0.35">
      <c r="B399" s="128">
        <f>IF(ISBLANK(C399),"",MAX($B$379:B398)+1)</f>
        <v>9</v>
      </c>
      <c r="C399" s="163" t="s">
        <v>105</v>
      </c>
      <c r="D399" s="1"/>
      <c r="E399" s="1"/>
      <c r="F399" s="1"/>
      <c r="G399" s="156"/>
      <c r="K399" s="92"/>
    </row>
    <row r="400" spans="2:11" ht="15" customHeight="1" x14ac:dyDescent="0.35">
      <c r="B400" s="128">
        <f>IF(ISBLANK(C400),"",MAX($B$379:B399)+1)</f>
        <v>10</v>
      </c>
      <c r="C400" s="157">
        <f>'RJA-6 (2026 rates)'!C53/'RJA-6 (2026 rates)'!C55</f>
        <v>18293.160621761657</v>
      </c>
      <c r="D400" s="1">
        <f>$C400*D$382</f>
        <v>7317.2642487046633</v>
      </c>
      <c r="E400" s="1">
        <f>$C400*E$382</f>
        <v>8231.9222797927468</v>
      </c>
      <c r="F400" s="1">
        <f t="shared" ref="F400" si="63">E400-D400</f>
        <v>914.65803108808359</v>
      </c>
      <c r="G400" s="156">
        <f t="shared" ref="G400" si="64">F400/D400</f>
        <v>0.12500000000000008</v>
      </c>
      <c r="K400" s="92"/>
    </row>
    <row r="401" spans="2:11" ht="15" customHeight="1" x14ac:dyDescent="0.35">
      <c r="B401" s="128" t="str">
        <f>IF(ISBLANK(C401),"",MAX($B$379:B400)+1)</f>
        <v/>
      </c>
      <c r="C401" s="157"/>
      <c r="D401" s="1"/>
      <c r="E401" s="1"/>
      <c r="F401" s="1"/>
      <c r="G401" s="156"/>
      <c r="K401" s="92"/>
    </row>
    <row r="402" spans="2:11" ht="15" customHeight="1" x14ac:dyDescent="0.35">
      <c r="B402" s="128">
        <f>IF(ISBLANK(C402),"",MAX($B$379:B401)+1)</f>
        <v>11</v>
      </c>
      <c r="C402" s="163" t="s">
        <v>106</v>
      </c>
      <c r="D402" s="1"/>
      <c r="E402" s="1"/>
      <c r="F402" s="1"/>
      <c r="G402" s="156"/>
      <c r="K402" s="92"/>
    </row>
    <row r="403" spans="2:11" ht="15" customHeight="1" x14ac:dyDescent="0.35">
      <c r="B403" s="128">
        <f>IF(ISBLANK(C403),"",MAX($B$379:B402)+1)</f>
        <v>12</v>
      </c>
      <c r="C403" s="157">
        <v>1</v>
      </c>
      <c r="D403" s="1">
        <f>$C403*D$384</f>
        <v>1000</v>
      </c>
      <c r="E403" s="1">
        <f>$C403*E$384</f>
        <v>1200</v>
      </c>
      <c r="F403" s="1">
        <f>E403-D403</f>
        <v>200</v>
      </c>
      <c r="G403" s="156">
        <f>F403/D403</f>
        <v>0.2</v>
      </c>
      <c r="K403" s="92"/>
    </row>
    <row r="404" spans="2:11" ht="15" customHeight="1" x14ac:dyDescent="0.35">
      <c r="B404" s="128" t="str">
        <f>IF(ISBLANK(C404),"",MAX($B$379:B403)+1)</f>
        <v/>
      </c>
      <c r="C404" s="157"/>
      <c r="D404" s="1"/>
      <c r="E404" s="1"/>
      <c r="F404" s="1"/>
      <c r="G404" s="156"/>
      <c r="K404" s="92"/>
    </row>
    <row r="405" spans="2:11" ht="15" customHeight="1" x14ac:dyDescent="0.35">
      <c r="B405" s="128">
        <f>IF(ISBLANK(C405),"",MAX($B$379:B404)+1)</f>
        <v>13</v>
      </c>
      <c r="C405" s="163" t="s">
        <v>107</v>
      </c>
      <c r="D405" s="1"/>
      <c r="E405" s="1"/>
      <c r="F405" s="1"/>
      <c r="G405" s="156"/>
      <c r="K405" s="92"/>
    </row>
    <row r="406" spans="2:11" ht="15" customHeight="1" x14ac:dyDescent="0.35">
      <c r="B406" s="128">
        <f>IF(ISBLANK(C406),"",MAX($B$379:B405)+1)</f>
        <v>14</v>
      </c>
      <c r="C406" s="157">
        <f>'RJA-6 (2026 rates)'!C54/'RJA-6 (2026 rates)'!C55</f>
        <v>369145.53981482139</v>
      </c>
      <c r="D406" s="1">
        <f>$C406*D$386</f>
        <v>406.06009379630353</v>
      </c>
      <c r="E406" s="1">
        <f>$C406*E$386</f>
        <v>406.06009379630353</v>
      </c>
      <c r="F406" s="1">
        <f t="shared" ref="F406:F411" si="65">E406-D406</f>
        <v>0</v>
      </c>
      <c r="G406" s="156">
        <f t="shared" ref="G406:G411" si="66">F406/D406</f>
        <v>0</v>
      </c>
    </row>
    <row r="407" spans="2:11" ht="15" customHeight="1" x14ac:dyDescent="0.35">
      <c r="B407" s="128" t="str">
        <f>IF(ISBLANK(C407),"",MAX($B$379:B406)+1)</f>
        <v/>
      </c>
      <c r="C407" s="163"/>
      <c r="F407" s="1"/>
      <c r="G407" s="156"/>
    </row>
    <row r="408" spans="2:11" ht="15" customHeight="1" x14ac:dyDescent="0.35">
      <c r="B408" s="128">
        <f>IF(ISBLANK(C408),"",MAX($B$379:B407)+1)</f>
        <v>15</v>
      </c>
      <c r="C408" s="163" t="s">
        <v>108</v>
      </c>
      <c r="F408" s="1"/>
      <c r="G408" s="156"/>
    </row>
    <row r="409" spans="2:11" ht="15" customHeight="1" x14ac:dyDescent="0.35">
      <c r="B409" s="128">
        <f>IF(ISBLANK(C409),"",MAX($B$379:B408)+1)</f>
        <v>16</v>
      </c>
      <c r="C409" s="157">
        <f>C406</f>
        <v>369145.53981482139</v>
      </c>
      <c r="D409" s="1">
        <f>$J$388*D388+$J$389*D389+($C$409-$K$389)*D390+$C$409*D393</f>
        <v>14293.717744611246</v>
      </c>
      <c r="E409" s="1">
        <f>$J$388*E388+$J$389*E389+($C$409-$K$389)*E390+$C$409*E393</f>
        <v>14302.409200009395</v>
      </c>
      <c r="F409" s="1">
        <f t="shared" si="65"/>
        <v>8.6914553981496283</v>
      </c>
      <c r="G409" s="156">
        <f t="shared" si="66"/>
        <v>6.0806121636383377E-4</v>
      </c>
    </row>
    <row r="410" spans="2:11" ht="15" customHeight="1" x14ac:dyDescent="0.35">
      <c r="B410" s="128" t="str">
        <f>IF(ISBLANK(C410),"",MAX($B$379:B409)+1)</f>
        <v/>
      </c>
      <c r="C410" s="163"/>
      <c r="F410" s="1"/>
      <c r="G410" s="156"/>
    </row>
    <row r="411" spans="2:11" ht="15" customHeight="1" x14ac:dyDescent="0.35">
      <c r="B411" s="128">
        <f>IF(ISBLANK(C411),"",MAX($B$379:B410)+1)</f>
        <v>17</v>
      </c>
      <c r="C411" s="163" t="s">
        <v>109</v>
      </c>
      <c r="D411" s="1">
        <f>SUM(D400:D409)</f>
        <v>23017.042087112211</v>
      </c>
      <c r="E411" s="1">
        <f>SUM(E400:E409)</f>
        <v>24140.391573598445</v>
      </c>
      <c r="F411" s="1">
        <f t="shared" si="65"/>
        <v>1123.3494864862332</v>
      </c>
      <c r="G411" s="156">
        <f t="shared" si="66"/>
        <v>4.8805119364804188E-2</v>
      </c>
    </row>
    <row r="412" spans="2:11" ht="15" customHeight="1" x14ac:dyDescent="0.35">
      <c r="C412" s="163"/>
    </row>
  </sheetData>
  <printOptions horizontalCentered="1"/>
  <pageMargins left="0.7" right="0.7" top="0.75" bottom="0.5" header="0.3" footer="0.3"/>
  <pageSetup scale="65" orientation="portrait" r:id="rId1"/>
  <rowBreaks count="6" manualBreakCount="6">
    <brk id="40" max="7" man="1"/>
    <brk id="94" max="7" man="1"/>
    <brk id="159" max="7" man="1"/>
    <brk id="230" max="7" man="1"/>
    <brk id="301" max="7" man="1"/>
    <brk id="37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3900-F6FF-4DCD-B3C9-45D3DF7197A9}">
  <dimension ref="A1:N34"/>
  <sheetViews>
    <sheetView workbookViewId="0"/>
  </sheetViews>
  <sheetFormatPr defaultColWidth="9.1796875" defaultRowHeight="14.5" x14ac:dyDescent="0.35"/>
  <cols>
    <col min="1" max="1" width="2.7265625" style="40" customWidth="1"/>
    <col min="2" max="2" width="4.7265625" style="40" customWidth="1"/>
    <col min="3" max="3" width="34.7265625" style="40" bestFit="1" customWidth="1"/>
    <col min="4" max="8" width="16.7265625" style="40" customWidth="1"/>
    <col min="9" max="9" width="19.7265625" style="40" customWidth="1"/>
    <col min="10" max="11" width="16.7265625" style="40" customWidth="1"/>
    <col min="12" max="12" width="2.7265625" style="40" customWidth="1"/>
    <col min="13" max="13" width="9.1796875" style="40"/>
    <col min="14" max="14" width="10.7265625" style="40" bestFit="1" customWidth="1"/>
    <col min="15" max="16384" width="9.1796875" style="40"/>
  </cols>
  <sheetData>
    <row r="1" spans="1:14" x14ac:dyDescent="0.35">
      <c r="A1" s="42" t="s">
        <v>113</v>
      </c>
      <c r="L1" s="109"/>
    </row>
    <row r="2" spans="1:14" x14ac:dyDescent="0.35">
      <c r="A2" s="42" t="s">
        <v>1</v>
      </c>
      <c r="E2" s="228" t="s">
        <v>195</v>
      </c>
      <c r="L2" s="109" t="s">
        <v>114</v>
      </c>
    </row>
    <row r="3" spans="1:14" x14ac:dyDescent="0.35">
      <c r="A3" s="42"/>
      <c r="E3" s="224"/>
      <c r="L3" s="109"/>
    </row>
    <row r="4" spans="1:14" ht="15" thickBot="1" x14ac:dyDescent="0.4"/>
    <row r="5" spans="1:14" ht="29.5" thickBot="1" x14ac:dyDescent="0.4">
      <c r="B5" s="110" t="s">
        <v>115</v>
      </c>
      <c r="C5" s="110"/>
      <c r="D5" s="110" t="s">
        <v>116</v>
      </c>
      <c r="E5" s="111" t="s">
        <v>17</v>
      </c>
      <c r="F5" s="112" t="s">
        <v>22</v>
      </c>
      <c r="G5" s="112" t="s">
        <v>23</v>
      </c>
      <c r="H5" s="113" t="s">
        <v>27</v>
      </c>
      <c r="I5" s="113" t="s">
        <v>31</v>
      </c>
      <c r="J5" s="114" t="s">
        <v>34</v>
      </c>
      <c r="K5" s="115" t="s">
        <v>117</v>
      </c>
    </row>
    <row r="6" spans="1:14" x14ac:dyDescent="0.35">
      <c r="B6" s="116"/>
      <c r="C6" s="71"/>
      <c r="D6" s="71"/>
      <c r="E6" s="71"/>
      <c r="F6" s="71"/>
      <c r="G6" s="71"/>
      <c r="H6" s="71"/>
      <c r="I6" s="71"/>
      <c r="J6" s="71"/>
      <c r="K6" s="117"/>
    </row>
    <row r="7" spans="1:14" x14ac:dyDescent="0.35">
      <c r="B7" s="118">
        <v>1</v>
      </c>
      <c r="C7" s="42" t="s">
        <v>118</v>
      </c>
      <c r="D7" s="12">
        <f>SUM(E7:K7)</f>
        <v>125366415.42627013</v>
      </c>
      <c r="E7" s="12">
        <f>'Test year 2023'!F15</f>
        <v>58676042.966684461</v>
      </c>
      <c r="F7" s="12">
        <f>'Test year 2023'!F22</f>
        <v>31458385.280462097</v>
      </c>
      <c r="G7" s="12">
        <f>'Test year 2023'!F31</f>
        <v>2700980.2054416006</v>
      </c>
      <c r="H7" s="12">
        <f>'Test year 2023'!F40</f>
        <v>2740306.8195457892</v>
      </c>
      <c r="I7" s="12">
        <f>'Test year 2023'!F48</f>
        <v>166822.89697999999</v>
      </c>
      <c r="J7" s="12">
        <f>'Test year 2023'!F61</f>
        <v>26475874.907156188</v>
      </c>
      <c r="K7" s="13">
        <f>'Test year 2023'!F69</f>
        <v>3148002.3499999996</v>
      </c>
    </row>
    <row r="8" spans="1:14" x14ac:dyDescent="0.35">
      <c r="B8" s="119"/>
      <c r="C8" s="120"/>
      <c r="D8" s="12"/>
      <c r="E8" s="12"/>
      <c r="F8" s="12"/>
      <c r="G8" s="12"/>
      <c r="H8" s="12"/>
      <c r="I8" s="12"/>
      <c r="J8" s="12"/>
      <c r="K8" s="13"/>
    </row>
    <row r="9" spans="1:14" x14ac:dyDescent="0.35">
      <c r="B9" s="119"/>
      <c r="C9" s="120" t="s">
        <v>119</v>
      </c>
      <c r="D9" s="12">
        <f>SUM(E9:K9)</f>
        <v>30458349.959045287</v>
      </c>
      <c r="E9" s="223">
        <f>E7/SUM($E7:$J7)*$M9</f>
        <v>14622800.328588545</v>
      </c>
      <c r="F9" s="223">
        <f t="shared" ref="F9:J9" si="0">F7/SUM($E7:$J7)*$M9</f>
        <v>7839821.2176167713</v>
      </c>
      <c r="G9" s="223">
        <f t="shared" si="0"/>
        <v>673117.89000611159</v>
      </c>
      <c r="H9" s="223">
        <f t="shared" si="0"/>
        <v>682918.57179325121</v>
      </c>
      <c r="I9" s="223">
        <f t="shared" si="0"/>
        <v>41574.342601124423</v>
      </c>
      <c r="J9" s="223">
        <f t="shared" si="0"/>
        <v>6598117.6084394874</v>
      </c>
      <c r="K9" s="13">
        <v>0</v>
      </c>
      <c r="M9" s="40">
        <v>30458349.959045291</v>
      </c>
      <c r="N9" s="122">
        <f>D9-M9</f>
        <v>0</v>
      </c>
    </row>
    <row r="10" spans="1:14" x14ac:dyDescent="0.35">
      <c r="B10" s="118">
        <v>2</v>
      </c>
      <c r="C10" s="42" t="s">
        <v>120</v>
      </c>
      <c r="D10" s="12">
        <f>SUM(E10:K10)</f>
        <v>155824765.38531542</v>
      </c>
      <c r="E10" s="12">
        <f>SUM(E9,E7)</f>
        <v>73298843.295273006</v>
      </c>
      <c r="F10" s="12">
        <f t="shared" ref="F10:K10" si="1">SUM(F9,F7)</f>
        <v>39298206.498078868</v>
      </c>
      <c r="G10" s="12">
        <f t="shared" si="1"/>
        <v>3374098.0954477121</v>
      </c>
      <c r="H10" s="12">
        <f t="shared" si="1"/>
        <v>3423225.3913390404</v>
      </c>
      <c r="I10" s="12">
        <f t="shared" si="1"/>
        <v>208397.23958112442</v>
      </c>
      <c r="J10" s="12">
        <f t="shared" si="1"/>
        <v>33073992.515595675</v>
      </c>
      <c r="K10" s="13">
        <f t="shared" si="1"/>
        <v>3148002.3499999996</v>
      </c>
    </row>
    <row r="11" spans="1:14" x14ac:dyDescent="0.35">
      <c r="B11" s="118"/>
      <c r="C11" s="42"/>
      <c r="D11" s="12"/>
      <c r="E11" s="12"/>
      <c r="F11" s="12"/>
      <c r="G11" s="12"/>
      <c r="H11" s="12"/>
      <c r="I11" s="12"/>
      <c r="J11" s="12"/>
      <c r="K11" s="13"/>
    </row>
    <row r="12" spans="1:14" x14ac:dyDescent="0.35">
      <c r="B12" s="118"/>
      <c r="C12" s="42" t="s">
        <v>121</v>
      </c>
      <c r="D12" s="12">
        <v>13371323</v>
      </c>
      <c r="E12" s="12">
        <f>E10/SUM($E10:$J10)*$D12</f>
        <v>6419460.8907235852</v>
      </c>
      <c r="F12" s="12">
        <f>F10/SUM($E10:$J10)*$D12</f>
        <v>3441709.1504944074</v>
      </c>
      <c r="G12" s="12">
        <f t="shared" ref="G12:I12" si="2">G10/SUM($E10:$J10)*$D12</f>
        <v>295501.12650397519</v>
      </c>
      <c r="H12" s="12">
        <f t="shared" si="2"/>
        <v>299803.66035667143</v>
      </c>
      <c r="I12" s="12">
        <f t="shared" si="2"/>
        <v>18251.282954584567</v>
      </c>
      <c r="J12" s="12">
        <f>J10/SUM($E10:$J10)*$D12</f>
        <v>2896596.888966776</v>
      </c>
      <c r="K12" s="13"/>
    </row>
    <row r="13" spans="1:14" x14ac:dyDescent="0.35">
      <c r="B13" s="118">
        <v>3</v>
      </c>
      <c r="C13" s="42" t="s">
        <v>122</v>
      </c>
      <c r="D13" s="14">
        <f>SUM(E13:K13)</f>
        <v>169196088.38531542</v>
      </c>
      <c r="E13" s="14">
        <f>SUM(E12,E10)</f>
        <v>79718304.185996592</v>
      </c>
      <c r="F13" s="14">
        <f t="shared" ref="F13:K13" si="3">SUM(F12,F10)</f>
        <v>42739915.648573272</v>
      </c>
      <c r="G13" s="14">
        <f t="shared" si="3"/>
        <v>3669599.2219516872</v>
      </c>
      <c r="H13" s="14">
        <f t="shared" si="3"/>
        <v>3723029.0516957119</v>
      </c>
      <c r="I13" s="14">
        <f t="shared" si="3"/>
        <v>226648.52253570899</v>
      </c>
      <c r="J13" s="14">
        <f t="shared" si="3"/>
        <v>35970589.404562451</v>
      </c>
      <c r="K13" s="15">
        <f t="shared" si="3"/>
        <v>3148002.3499999996</v>
      </c>
    </row>
    <row r="14" spans="1:14" x14ac:dyDescent="0.35">
      <c r="B14" s="118"/>
      <c r="C14" s="42"/>
      <c r="D14" s="12"/>
      <c r="E14" s="12"/>
      <c r="F14" s="12"/>
      <c r="G14" s="12"/>
      <c r="H14" s="12"/>
      <c r="I14" s="12"/>
      <c r="J14" s="12"/>
      <c r="K14" s="13"/>
    </row>
    <row r="15" spans="1:14" x14ac:dyDescent="0.35">
      <c r="B15" s="118"/>
      <c r="C15" s="42" t="s">
        <v>123</v>
      </c>
      <c r="D15" s="12">
        <v>11669242</v>
      </c>
      <c r="E15" s="12">
        <f>E10/SUM($E10:$J10)*$D15</f>
        <v>5602305.9680324132</v>
      </c>
      <c r="F15" s="12">
        <f>F10/SUM($E10:$J10)*$D15</f>
        <v>3003602.33394509</v>
      </c>
      <c r="G15" s="12">
        <f t="shared" ref="G15:I15" si="4">G10/SUM($E10:$J10)*$D15</f>
        <v>257885.78710180739</v>
      </c>
      <c r="H15" s="12">
        <f t="shared" si="4"/>
        <v>261640.63684556907</v>
      </c>
      <c r="I15" s="12">
        <f t="shared" si="4"/>
        <v>15928.015321110881</v>
      </c>
      <c r="J15" s="12">
        <f>J10/SUM($E10:$J10)*$D15</f>
        <v>2527879.2587540094</v>
      </c>
      <c r="K15" s="13"/>
    </row>
    <row r="16" spans="1:14" x14ac:dyDescent="0.35">
      <c r="B16" s="118">
        <v>4</v>
      </c>
      <c r="C16" s="42" t="s">
        <v>124</v>
      </c>
      <c r="D16" s="14">
        <f>SUM(E16:K16)</f>
        <v>180865330.38531542</v>
      </c>
      <c r="E16" s="14">
        <f>SUM(E15,E13)</f>
        <v>85320610.154029012</v>
      </c>
      <c r="F16" s="14">
        <f t="shared" ref="F16:K16" si="5">SUM(F15,F13)</f>
        <v>45743517.98251836</v>
      </c>
      <c r="G16" s="14">
        <f t="shared" si="5"/>
        <v>3927485.0090534948</v>
      </c>
      <c r="H16" s="14">
        <f t="shared" si="5"/>
        <v>3984669.688541281</v>
      </c>
      <c r="I16" s="14">
        <f t="shared" si="5"/>
        <v>242576.53785681986</v>
      </c>
      <c r="J16" s="14">
        <f t="shared" si="5"/>
        <v>38498468.663316458</v>
      </c>
      <c r="K16" s="15">
        <f t="shared" si="5"/>
        <v>3148002.3499999996</v>
      </c>
    </row>
    <row r="17" spans="2:11" x14ac:dyDescent="0.35">
      <c r="B17" s="118"/>
      <c r="C17" s="42"/>
      <c r="D17" s="14"/>
      <c r="E17" s="14"/>
      <c r="F17" s="14"/>
      <c r="G17" s="14"/>
      <c r="H17" s="14"/>
      <c r="I17" s="14"/>
      <c r="J17" s="14"/>
      <c r="K17" s="15"/>
    </row>
    <row r="18" spans="2:11" x14ac:dyDescent="0.35">
      <c r="B18" s="118"/>
      <c r="C18" s="109"/>
      <c r="D18" s="12"/>
      <c r="E18" s="12"/>
      <c r="F18" s="12"/>
      <c r="G18" s="12"/>
      <c r="H18" s="12"/>
      <c r="I18" s="12"/>
      <c r="J18" s="12"/>
      <c r="K18" s="15"/>
    </row>
    <row r="19" spans="2:11" ht="14.9" customHeight="1" x14ac:dyDescent="0.35">
      <c r="B19" s="121"/>
      <c r="C19" s="42"/>
      <c r="D19" s="122"/>
      <c r="E19" s="123"/>
      <c r="F19" s="123"/>
      <c r="G19" s="123"/>
      <c r="K19" s="15"/>
    </row>
    <row r="20" spans="2:11" ht="14.9" customHeight="1" x14ac:dyDescent="0.35">
      <c r="B20" s="121"/>
      <c r="C20" s="109"/>
      <c r="E20" s="11"/>
      <c r="F20" s="11"/>
      <c r="G20" s="11"/>
      <c r="H20" s="11"/>
      <c r="I20" s="11"/>
      <c r="J20" s="11"/>
      <c r="K20" s="15"/>
    </row>
    <row r="21" spans="2:11" x14ac:dyDescent="0.35">
      <c r="B21" s="118">
        <v>5</v>
      </c>
      <c r="C21" s="42"/>
      <c r="D21" s="12"/>
      <c r="E21" s="11"/>
      <c r="F21" s="11"/>
      <c r="G21" s="11"/>
      <c r="H21" s="11"/>
      <c r="I21" s="11"/>
      <c r="J21" s="11"/>
      <c r="K21" s="13"/>
    </row>
    <row r="22" spans="2:11" ht="14.9" customHeight="1" thickBot="1" x14ac:dyDescent="0.4">
      <c r="B22" s="124"/>
      <c r="C22" s="125"/>
      <c r="D22" s="125"/>
      <c r="E22" s="125"/>
      <c r="F22" s="125"/>
      <c r="G22" s="125"/>
      <c r="H22" s="125"/>
      <c r="I22" s="125"/>
      <c r="J22" s="125"/>
      <c r="K22" s="87"/>
    </row>
    <row r="24" spans="2:11" ht="14.9" customHeight="1" x14ac:dyDescent="0.35">
      <c r="C24" s="40" t="s">
        <v>168</v>
      </c>
      <c r="D24" s="225">
        <f>D9/D7</f>
        <v>0.24295462110391361</v>
      </c>
      <c r="E24" s="225">
        <f t="shared" ref="E24:K24" si="6">E9/E7</f>
        <v>0.24921244837337092</v>
      </c>
      <c r="F24" s="225">
        <f t="shared" si="6"/>
        <v>0.24921244837337089</v>
      </c>
      <c r="G24" s="225">
        <f t="shared" si="6"/>
        <v>0.24921244837337089</v>
      </c>
      <c r="H24" s="225">
        <f t="shared" si="6"/>
        <v>0.24921244837337089</v>
      </c>
      <c r="I24" s="225">
        <f t="shared" si="6"/>
        <v>0.24921244837337092</v>
      </c>
      <c r="J24" s="225">
        <f t="shared" si="6"/>
        <v>0.24921244837337089</v>
      </c>
      <c r="K24" s="225">
        <f t="shared" si="6"/>
        <v>0</v>
      </c>
    </row>
    <row r="25" spans="2:11" ht="14.9" customHeight="1" x14ac:dyDescent="0.35">
      <c r="E25" s="217">
        <f>E24/$D24</f>
        <v>1.025757185605376</v>
      </c>
      <c r="F25" s="217">
        <f t="shared" ref="F25:K25" si="7">F24/$D24</f>
        <v>1.025757185605376</v>
      </c>
      <c r="G25" s="217">
        <f t="shared" si="7"/>
        <v>1.025757185605376</v>
      </c>
      <c r="H25" s="217">
        <f t="shared" si="7"/>
        <v>1.025757185605376</v>
      </c>
      <c r="I25" s="217">
        <f t="shared" si="7"/>
        <v>1.025757185605376</v>
      </c>
      <c r="J25" s="217">
        <f t="shared" si="7"/>
        <v>1.025757185605376</v>
      </c>
      <c r="K25" s="217">
        <f t="shared" si="7"/>
        <v>0</v>
      </c>
    </row>
    <row r="26" spans="2:11" ht="14.9" customHeight="1" x14ac:dyDescent="0.35">
      <c r="D26" s="40" t="s">
        <v>194</v>
      </c>
      <c r="E26" s="218" t="s">
        <v>169</v>
      </c>
      <c r="F26" s="221" t="s">
        <v>172</v>
      </c>
      <c r="G26" s="219" t="s">
        <v>170</v>
      </c>
      <c r="H26" s="219"/>
      <c r="I26" s="219"/>
      <c r="J26" s="220" t="s">
        <v>171</v>
      </c>
    </row>
    <row r="28" spans="2:11" ht="14.9" customHeight="1" x14ac:dyDescent="0.35">
      <c r="C28" s="40" t="s">
        <v>173</v>
      </c>
      <c r="D28" s="216">
        <f>D12/D10</f>
        <v>8.5809999244575053E-2</v>
      </c>
      <c r="E28" s="216">
        <f t="shared" ref="E28:K28" si="8">E12/E10</f>
        <v>8.7579293234734748E-2</v>
      </c>
      <c r="F28" s="216">
        <f t="shared" si="8"/>
        <v>8.7579293234734734E-2</v>
      </c>
      <c r="G28" s="216">
        <f t="shared" si="8"/>
        <v>8.7579293234734748E-2</v>
      </c>
      <c r="H28" s="216">
        <f t="shared" si="8"/>
        <v>8.7579293234734748E-2</v>
      </c>
      <c r="I28" s="216">
        <f t="shared" si="8"/>
        <v>8.7579293234734748E-2</v>
      </c>
      <c r="J28" s="216">
        <f t="shared" si="8"/>
        <v>8.7579293234734748E-2</v>
      </c>
      <c r="K28" s="216">
        <f t="shared" si="8"/>
        <v>0</v>
      </c>
    </row>
    <row r="29" spans="2:11" ht="14.9" customHeight="1" x14ac:dyDescent="0.35">
      <c r="E29" s="222" t="s">
        <v>174</v>
      </c>
      <c r="F29" s="222"/>
      <c r="G29" s="222"/>
      <c r="H29" s="222"/>
      <c r="I29" s="222"/>
      <c r="J29" s="222"/>
    </row>
    <row r="31" spans="2:11" ht="14.9" customHeight="1" x14ac:dyDescent="0.35">
      <c r="C31" s="40" t="s">
        <v>175</v>
      </c>
      <c r="D31" s="216">
        <f>D15/D13</f>
        <v>6.8968745739708112E-2</v>
      </c>
      <c r="E31" s="216">
        <f t="shared" ref="E31:K31" si="9">E15/E13</f>
        <v>7.0276281278654207E-2</v>
      </c>
      <c r="F31" s="216">
        <f t="shared" si="9"/>
        <v>7.0276281278654207E-2</v>
      </c>
      <c r="G31" s="216">
        <f t="shared" si="9"/>
        <v>7.0276281278654207E-2</v>
      </c>
      <c r="H31" s="216">
        <f t="shared" si="9"/>
        <v>7.0276281278654207E-2</v>
      </c>
      <c r="I31" s="216">
        <f t="shared" si="9"/>
        <v>7.0276281278654207E-2</v>
      </c>
      <c r="J31" s="216">
        <f t="shared" si="9"/>
        <v>7.0276281278654207E-2</v>
      </c>
      <c r="K31" s="216">
        <f t="shared" si="9"/>
        <v>0</v>
      </c>
    </row>
    <row r="32" spans="2:11" ht="14.9" customHeight="1" x14ac:dyDescent="0.35">
      <c r="E32" s="222" t="s">
        <v>174</v>
      </c>
      <c r="F32" s="222"/>
      <c r="G32" s="222"/>
      <c r="H32" s="222"/>
      <c r="I32" s="222"/>
      <c r="J32" s="222"/>
    </row>
    <row r="34" spans="5:10" ht="14.9" customHeight="1" x14ac:dyDescent="0.35">
      <c r="E34" s="217"/>
      <c r="F34" s="217"/>
      <c r="G34" s="217"/>
      <c r="H34" s="217"/>
      <c r="I34" s="217"/>
      <c r="J34" s="2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4"/>
  <sheetViews>
    <sheetView workbookViewId="0">
      <selection activeCell="K9" sqref="K9"/>
    </sheetView>
  </sheetViews>
  <sheetFormatPr defaultColWidth="9.1796875" defaultRowHeight="14.9" customHeight="1" x14ac:dyDescent="0.35"/>
  <cols>
    <col min="1" max="1" width="2.7265625" style="40" customWidth="1"/>
    <col min="2" max="2" width="4.7265625" style="40" customWidth="1"/>
    <col min="3" max="3" width="34.7265625" style="40" bestFit="1" customWidth="1"/>
    <col min="4" max="8" width="16.7265625" style="40" customWidth="1"/>
    <col min="9" max="9" width="19.7265625" style="40" customWidth="1"/>
    <col min="10" max="11" width="16.7265625" style="40" customWidth="1"/>
    <col min="12" max="12" width="2.7265625" style="40" customWidth="1"/>
    <col min="13" max="13" width="9.1796875" style="40" customWidth="1"/>
    <col min="14" max="14" width="10.7265625" style="40" bestFit="1" customWidth="1"/>
    <col min="15" max="16384" width="9.1796875" style="40"/>
  </cols>
  <sheetData>
    <row r="1" spans="1:14" ht="14.5" x14ac:dyDescent="0.35">
      <c r="A1" s="42" t="s">
        <v>113</v>
      </c>
      <c r="L1" s="109"/>
    </row>
    <row r="2" spans="1:14" ht="14.5" x14ac:dyDescent="0.35">
      <c r="A2" s="42" t="s">
        <v>1</v>
      </c>
      <c r="E2" s="228" t="s">
        <v>195</v>
      </c>
      <c r="L2" s="109" t="s">
        <v>114</v>
      </c>
    </row>
    <row r="3" spans="1:14" ht="14.5" x14ac:dyDescent="0.35">
      <c r="A3" s="42"/>
      <c r="E3" s="224"/>
      <c r="L3" s="109"/>
    </row>
    <row r="4" spans="1:14" ht="15" thickBot="1" x14ac:dyDescent="0.4"/>
    <row r="5" spans="1:14" ht="29.5" thickBot="1" x14ac:dyDescent="0.4">
      <c r="B5" s="110" t="s">
        <v>115</v>
      </c>
      <c r="C5" s="110"/>
      <c r="D5" s="110" t="s">
        <v>116</v>
      </c>
      <c r="E5" s="111" t="s">
        <v>17</v>
      </c>
      <c r="F5" s="112" t="s">
        <v>22</v>
      </c>
      <c r="G5" s="112" t="s">
        <v>23</v>
      </c>
      <c r="H5" s="113" t="s">
        <v>27</v>
      </c>
      <c r="I5" s="113" t="s">
        <v>31</v>
      </c>
      <c r="J5" s="114" t="s">
        <v>34</v>
      </c>
      <c r="K5" s="115" t="s">
        <v>117</v>
      </c>
    </row>
    <row r="6" spans="1:14" ht="14.5" x14ac:dyDescent="0.35">
      <c r="B6" s="116"/>
      <c r="C6" s="71"/>
      <c r="D6" s="71"/>
      <c r="E6" s="71"/>
      <c r="F6" s="71"/>
      <c r="G6" s="71"/>
      <c r="H6" s="71"/>
      <c r="I6" s="71"/>
      <c r="J6" s="71"/>
      <c r="K6" s="117"/>
    </row>
    <row r="7" spans="1:14" ht="14.5" x14ac:dyDescent="0.35">
      <c r="B7" s="118">
        <v>1</v>
      </c>
      <c r="C7" s="42" t="s">
        <v>118</v>
      </c>
      <c r="D7" s="12">
        <f>SUM(E7:K7)</f>
        <v>125366415.42627013</v>
      </c>
      <c r="E7" s="12">
        <f>'Test year 2023'!F15</f>
        <v>58676042.966684461</v>
      </c>
      <c r="F7" s="12">
        <f>'Test year 2023'!F22</f>
        <v>31458385.280462097</v>
      </c>
      <c r="G7" s="12">
        <f>'Test year 2023'!F31</f>
        <v>2700980.2054416006</v>
      </c>
      <c r="H7" s="12">
        <f>'Test year 2023'!F40</f>
        <v>2740306.8195457892</v>
      </c>
      <c r="I7" s="12">
        <f>'Test year 2023'!F48</f>
        <v>166822.89697999999</v>
      </c>
      <c r="J7" s="12">
        <f>'Test year 2023'!F61</f>
        <v>26475874.907156188</v>
      </c>
      <c r="K7" s="13">
        <f>'Test year 2023'!F69</f>
        <v>3148002.3499999996</v>
      </c>
    </row>
    <row r="8" spans="1:14" ht="14.5" x14ac:dyDescent="0.35">
      <c r="B8" s="119"/>
      <c r="C8" s="120"/>
      <c r="D8" s="12"/>
      <c r="E8" s="12"/>
      <c r="F8" s="12"/>
      <c r="G8" s="12"/>
      <c r="H8" s="12"/>
      <c r="I8" s="12"/>
      <c r="J8" s="12"/>
      <c r="K8" s="13"/>
    </row>
    <row r="9" spans="1:14" ht="14.5" x14ac:dyDescent="0.35">
      <c r="B9" s="119"/>
      <c r="C9" s="120" t="s">
        <v>119</v>
      </c>
      <c r="D9" s="12">
        <f>SUM(E9:K9)</f>
        <v>30458349.959045291</v>
      </c>
      <c r="E9" s="223">
        <f>E7/SUM($E7:$K7)*$M9*1.15</f>
        <v>16393958.154874945</v>
      </c>
      <c r="F9" s="223">
        <f>M9-SUM(E9,G9:J9)</f>
        <v>5298494.4439784177</v>
      </c>
      <c r="G9" s="223">
        <f>G7/SUM($E7:$K7)*$M9</f>
        <v>656215.62242223497</v>
      </c>
      <c r="H9" s="223">
        <f>H7/SUM($E7:$K7)*$M9</f>
        <v>665770.20505121781</v>
      </c>
      <c r="I9" s="223">
        <f>I7/SUM($E7:$K7)*$M9*1.15</f>
        <v>46609.952786318077</v>
      </c>
      <c r="J9" s="223">
        <f>J7/SUM($E7:$K7)*$M9*1.15</f>
        <v>7397301.5799321579</v>
      </c>
      <c r="K9" s="13">
        <v>0</v>
      </c>
      <c r="M9" s="40">
        <v>30458349.959045291</v>
      </c>
      <c r="N9" s="122">
        <f>D9-M9</f>
        <v>0</v>
      </c>
    </row>
    <row r="10" spans="1:14" ht="14.5" x14ac:dyDescent="0.35">
      <c r="B10" s="118">
        <v>2</v>
      </c>
      <c r="C10" s="42" t="s">
        <v>120</v>
      </c>
      <c r="D10" s="12">
        <f>SUM(E10:K10)</f>
        <v>155824765.38531542</v>
      </c>
      <c r="E10" s="12">
        <f>SUM(E9,E7)</f>
        <v>75070001.121559411</v>
      </c>
      <c r="F10" s="12">
        <f t="shared" ref="F10:K10" si="0">SUM(F9,F7)</f>
        <v>36756879.724440515</v>
      </c>
      <c r="G10" s="12">
        <f t="shared" si="0"/>
        <v>3357195.8278638357</v>
      </c>
      <c r="H10" s="12">
        <f t="shared" si="0"/>
        <v>3406077.0245970068</v>
      </c>
      <c r="I10" s="12">
        <f t="shared" si="0"/>
        <v>213432.84976631808</v>
      </c>
      <c r="J10" s="12">
        <f t="shared" si="0"/>
        <v>33873176.487088345</v>
      </c>
      <c r="K10" s="13">
        <f t="shared" si="0"/>
        <v>3148002.3499999996</v>
      </c>
    </row>
    <row r="11" spans="1:14" ht="14.5" x14ac:dyDescent="0.35">
      <c r="B11" s="118"/>
      <c r="C11" s="42"/>
      <c r="D11" s="12"/>
      <c r="E11" s="12"/>
      <c r="F11" s="12"/>
      <c r="G11" s="12"/>
      <c r="H11" s="12"/>
      <c r="I11" s="12"/>
      <c r="J11" s="12"/>
      <c r="K11" s="13"/>
    </row>
    <row r="12" spans="1:14" ht="14.5" x14ac:dyDescent="0.35">
      <c r="B12" s="118"/>
      <c r="C12" s="42" t="s">
        <v>121</v>
      </c>
      <c r="D12" s="12">
        <v>13371323</v>
      </c>
      <c r="E12" s="12">
        <f>E10/SUM($E10:$J10)*$D12</f>
        <v>6574577.641356918</v>
      </c>
      <c r="F12" s="12">
        <f>F10/SUM($E10:$J10)*$D12</f>
        <v>3219141.5477806521</v>
      </c>
      <c r="G12" s="12">
        <f t="shared" ref="G12:I12" si="1">G10/SUM($E10:$J10)*$D12</f>
        <v>294020.83785491495</v>
      </c>
      <c r="H12" s="12">
        <f t="shared" si="1"/>
        <v>298301.81851727411</v>
      </c>
      <c r="I12" s="12">
        <f t="shared" si="1"/>
        <v>18692.298135609461</v>
      </c>
      <c r="J12" s="12">
        <f>J10/SUM($E10:$J10)*$D12</f>
        <v>2966588.8563546324</v>
      </c>
      <c r="K12" s="13"/>
    </row>
    <row r="13" spans="1:14" ht="14.5" x14ac:dyDescent="0.35">
      <c r="B13" s="118">
        <v>3</v>
      </c>
      <c r="C13" s="42" t="s">
        <v>122</v>
      </c>
      <c r="D13" s="14">
        <f>SUM(E13:K13)</f>
        <v>169196088.38531545</v>
      </c>
      <c r="E13" s="14">
        <f>SUM(E12,E10)</f>
        <v>81644578.762916327</v>
      </c>
      <c r="F13" s="14">
        <f t="shared" ref="F13:K13" si="2">SUM(F12,F10)</f>
        <v>39976021.27222117</v>
      </c>
      <c r="G13" s="14">
        <f t="shared" si="2"/>
        <v>3651216.6657187506</v>
      </c>
      <c r="H13" s="14">
        <f t="shared" si="2"/>
        <v>3704378.8431142811</v>
      </c>
      <c r="I13" s="14">
        <f t="shared" si="2"/>
        <v>232125.14790192753</v>
      </c>
      <c r="J13" s="14">
        <f t="shared" si="2"/>
        <v>36839765.343442976</v>
      </c>
      <c r="K13" s="15">
        <f t="shared" si="2"/>
        <v>3148002.3499999996</v>
      </c>
    </row>
    <row r="14" spans="1:14" ht="14.5" x14ac:dyDescent="0.35">
      <c r="B14" s="118"/>
      <c r="C14" s="42"/>
      <c r="D14" s="12"/>
      <c r="E14" s="12"/>
      <c r="F14" s="12"/>
      <c r="G14" s="12"/>
      <c r="H14" s="12"/>
      <c r="I14" s="12"/>
      <c r="J14" s="12"/>
      <c r="K14" s="13"/>
    </row>
    <row r="15" spans="1:14" ht="14.5" x14ac:dyDescent="0.35">
      <c r="B15" s="118"/>
      <c r="C15" s="42" t="s">
        <v>123</v>
      </c>
      <c r="D15" s="12">
        <v>11669242</v>
      </c>
      <c r="E15" s="12">
        <f>E10/SUM($E10:$J10)*$D15</f>
        <v>5737677.3820199454</v>
      </c>
      <c r="F15" s="12">
        <f>F10/SUM($E10:$J10)*$D15</f>
        <v>2809366.1153280786</v>
      </c>
      <c r="G15" s="12">
        <f t="shared" ref="G15:I15" si="3">G10/SUM($E10:$J10)*$D15</f>
        <v>256593.92940936089</v>
      </c>
      <c r="H15" s="12">
        <f t="shared" si="3"/>
        <v>260329.96954139488</v>
      </c>
      <c r="I15" s="12">
        <f t="shared" si="3"/>
        <v>16312.892185805069</v>
      </c>
      <c r="J15" s="12">
        <f>J10/SUM($E10:$J10)*$D15</f>
        <v>2588961.7115154159</v>
      </c>
      <c r="K15" s="13"/>
    </row>
    <row r="16" spans="1:14" ht="14.5" x14ac:dyDescent="0.35">
      <c r="B16" s="118">
        <v>4</v>
      </c>
      <c r="C16" s="42" t="s">
        <v>124</v>
      </c>
      <c r="D16" s="14">
        <f>SUM(E16:K16)</f>
        <v>180865330.38531545</v>
      </c>
      <c r="E16" s="14">
        <f>SUM(E15,E13)</f>
        <v>87382256.144936278</v>
      </c>
      <c r="F16" s="14">
        <f t="shared" ref="F16" si="4">SUM(F15,F13)</f>
        <v>42785387.387549251</v>
      </c>
      <c r="G16" s="14">
        <f t="shared" ref="G16" si="5">SUM(G15,G13)</f>
        <v>3907810.5951281115</v>
      </c>
      <c r="H16" s="14">
        <f t="shared" ref="H16" si="6">SUM(H15,H13)</f>
        <v>3964708.8126556762</v>
      </c>
      <c r="I16" s="14">
        <f t="shared" ref="I16" si="7">SUM(I15,I13)</f>
        <v>248438.0400877326</v>
      </c>
      <c r="J16" s="14">
        <f t="shared" ref="J16" si="8">SUM(J15,J13)</f>
        <v>39428727.054958396</v>
      </c>
      <c r="K16" s="15">
        <f t="shared" ref="K16" si="9">SUM(K15,K13)</f>
        <v>3148002.3499999996</v>
      </c>
    </row>
    <row r="17" spans="2:11" ht="14.5" x14ac:dyDescent="0.35">
      <c r="B17" s="118"/>
      <c r="C17" s="42"/>
      <c r="D17" s="14"/>
      <c r="E17" s="14"/>
      <c r="F17" s="14"/>
      <c r="G17" s="14"/>
      <c r="H17" s="14"/>
      <c r="I17" s="14"/>
      <c r="J17" s="14"/>
      <c r="K17" s="15"/>
    </row>
    <row r="18" spans="2:11" ht="14.5" x14ac:dyDescent="0.35">
      <c r="B18" s="118"/>
      <c r="C18" s="109"/>
      <c r="D18" s="12"/>
      <c r="E18" s="12"/>
      <c r="F18" s="12"/>
      <c r="G18" s="12"/>
      <c r="H18" s="12"/>
      <c r="I18" s="12"/>
      <c r="J18" s="12"/>
      <c r="K18" s="15"/>
    </row>
    <row r="19" spans="2:11" ht="14.9" customHeight="1" x14ac:dyDescent="0.35">
      <c r="B19" s="121"/>
      <c r="C19" s="42"/>
      <c r="D19" s="122"/>
      <c r="E19" s="123"/>
      <c r="F19" s="123"/>
      <c r="G19" s="123"/>
      <c r="K19" s="15"/>
    </row>
    <row r="20" spans="2:11" ht="14.9" customHeight="1" x14ac:dyDescent="0.35">
      <c r="B20" s="121"/>
      <c r="C20" s="109"/>
      <c r="E20" s="11"/>
      <c r="F20" s="11"/>
      <c r="G20" s="11"/>
      <c r="H20" s="11"/>
      <c r="I20" s="11"/>
      <c r="J20" s="11"/>
      <c r="K20" s="15"/>
    </row>
    <row r="21" spans="2:11" ht="14.5" x14ac:dyDescent="0.35">
      <c r="B21" s="118">
        <v>5</v>
      </c>
      <c r="C21" s="42"/>
      <c r="D21" s="12"/>
      <c r="E21" s="11"/>
      <c r="F21" s="11"/>
      <c r="G21" s="11"/>
      <c r="H21" s="11"/>
      <c r="I21" s="11"/>
      <c r="J21" s="11"/>
      <c r="K21" s="13"/>
    </row>
    <row r="22" spans="2:11" ht="14.9" customHeight="1" thickBot="1" x14ac:dyDescent="0.4">
      <c r="B22" s="124"/>
      <c r="C22" s="125"/>
      <c r="D22" s="125"/>
      <c r="E22" s="125"/>
      <c r="F22" s="125"/>
      <c r="G22" s="125"/>
      <c r="H22" s="125"/>
      <c r="I22" s="125"/>
      <c r="J22" s="125"/>
      <c r="K22" s="87"/>
    </row>
    <row r="24" spans="2:11" ht="14.9" customHeight="1" x14ac:dyDescent="0.35">
      <c r="C24" s="40" t="s">
        <v>168</v>
      </c>
      <c r="D24" s="225">
        <f>D9/D7</f>
        <v>0.24295462110391364</v>
      </c>
      <c r="E24" s="225">
        <f t="shared" ref="E24:K24" si="10">E9/E7</f>
        <v>0.27939781426950067</v>
      </c>
      <c r="F24" s="225">
        <f t="shared" si="10"/>
        <v>0.16842868433139704</v>
      </c>
      <c r="G24" s="225">
        <f t="shared" si="10"/>
        <v>0.24295462110391366</v>
      </c>
      <c r="H24" s="225">
        <f t="shared" si="10"/>
        <v>0.24295462110391364</v>
      </c>
      <c r="I24" s="225">
        <f t="shared" si="10"/>
        <v>0.27939781426950067</v>
      </c>
      <c r="J24" s="225">
        <f t="shared" si="10"/>
        <v>0.27939781426950067</v>
      </c>
      <c r="K24" s="225">
        <f t="shared" si="10"/>
        <v>0</v>
      </c>
    </row>
    <row r="25" spans="2:11" ht="14.9" customHeight="1" x14ac:dyDescent="0.35">
      <c r="E25" s="217">
        <f>E24/$D24</f>
        <v>1.1499999999999999</v>
      </c>
      <c r="F25" s="217">
        <f t="shared" ref="F25:K25" si="11">F24/$D24</f>
        <v>0.69325161861958884</v>
      </c>
      <c r="G25" s="217">
        <f t="shared" si="11"/>
        <v>1.0000000000000002</v>
      </c>
      <c r="H25" s="217">
        <f t="shared" si="11"/>
        <v>1</v>
      </c>
      <c r="I25" s="217">
        <f t="shared" si="11"/>
        <v>1.1499999999999999</v>
      </c>
      <c r="J25" s="217">
        <f t="shared" si="11"/>
        <v>1.1499999999999999</v>
      </c>
      <c r="K25" s="217">
        <f t="shared" si="11"/>
        <v>0</v>
      </c>
    </row>
    <row r="26" spans="2:11" ht="14.9" customHeight="1" x14ac:dyDescent="0.35">
      <c r="D26" s="40" t="s">
        <v>194</v>
      </c>
      <c r="E26" s="218" t="s">
        <v>169</v>
      </c>
      <c r="F26" s="221" t="s">
        <v>172</v>
      </c>
      <c r="G26" s="219" t="s">
        <v>170</v>
      </c>
      <c r="H26" s="219"/>
      <c r="I26" s="219"/>
      <c r="J26" s="220" t="s">
        <v>171</v>
      </c>
    </row>
    <row r="28" spans="2:11" ht="14.9" customHeight="1" x14ac:dyDescent="0.35">
      <c r="C28" s="40" t="s">
        <v>173</v>
      </c>
      <c r="D28" s="216">
        <f>D12/D10</f>
        <v>8.5809999244575053E-2</v>
      </c>
      <c r="E28" s="216">
        <f t="shared" ref="E28:K28" si="12">E12/E10</f>
        <v>8.7579293234734748E-2</v>
      </c>
      <c r="F28" s="216">
        <f t="shared" si="12"/>
        <v>8.7579293234734748E-2</v>
      </c>
      <c r="G28" s="216">
        <f t="shared" si="12"/>
        <v>8.7579293234734748E-2</v>
      </c>
      <c r="H28" s="216">
        <f t="shared" si="12"/>
        <v>8.7579293234734748E-2</v>
      </c>
      <c r="I28" s="216">
        <f t="shared" si="12"/>
        <v>8.7579293234734762E-2</v>
      </c>
      <c r="J28" s="216">
        <f t="shared" si="12"/>
        <v>8.7579293234734748E-2</v>
      </c>
      <c r="K28" s="216">
        <f t="shared" si="12"/>
        <v>0</v>
      </c>
    </row>
    <row r="29" spans="2:11" ht="14.9" customHeight="1" x14ac:dyDescent="0.35">
      <c r="E29" s="222" t="s">
        <v>174</v>
      </c>
      <c r="F29" s="222"/>
      <c r="G29" s="222"/>
      <c r="H29" s="222"/>
      <c r="I29" s="222"/>
      <c r="J29" s="222"/>
    </row>
    <row r="31" spans="2:11" ht="14.9" customHeight="1" x14ac:dyDescent="0.35">
      <c r="C31" s="40" t="s">
        <v>175</v>
      </c>
      <c r="D31" s="216">
        <f>D15/D13</f>
        <v>6.8968745739708098E-2</v>
      </c>
      <c r="E31" s="216">
        <f t="shared" ref="E31:K31" si="13">E15/E13</f>
        <v>7.0276281278654207E-2</v>
      </c>
      <c r="F31" s="216">
        <f t="shared" si="13"/>
        <v>7.0276281278654193E-2</v>
      </c>
      <c r="G31" s="216">
        <f t="shared" si="13"/>
        <v>7.0276281278654221E-2</v>
      </c>
      <c r="H31" s="216">
        <f t="shared" si="13"/>
        <v>7.0276281278654207E-2</v>
      </c>
      <c r="I31" s="216">
        <f t="shared" si="13"/>
        <v>7.0276281278654207E-2</v>
      </c>
      <c r="J31" s="216">
        <f t="shared" si="13"/>
        <v>7.0276281278654207E-2</v>
      </c>
      <c r="K31" s="216">
        <f t="shared" si="13"/>
        <v>0</v>
      </c>
    </row>
    <row r="32" spans="2:11" ht="14.9" customHeight="1" x14ac:dyDescent="0.35">
      <c r="E32" s="222" t="s">
        <v>174</v>
      </c>
      <c r="F32" s="222"/>
      <c r="G32" s="222"/>
      <c r="H32" s="222"/>
      <c r="I32" s="222"/>
      <c r="J32" s="222"/>
    </row>
    <row r="34" spans="5:10" ht="14.9" customHeight="1" x14ac:dyDescent="0.35">
      <c r="E34" s="217"/>
      <c r="F34" s="217"/>
      <c r="G34" s="217"/>
      <c r="H34" s="217"/>
      <c r="I34" s="217"/>
      <c r="J34" s="217"/>
    </row>
  </sheetData>
  <pageMargins left="0.7" right="0.7" top="0.75" bottom="0.75" header="0.3" footer="0.3"/>
  <pageSetup scale="64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2024-10-02T07:00:00+00:00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BC07162-F721-4ADD-B180-A9D80238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743907-1EC5-41ED-A490-4ACC1A830A32}"/>
</file>

<file path=customXml/itemProps3.xml><?xml version="1.0" encoding="utf-8"?>
<ds:datastoreItem xmlns:ds="http://schemas.openxmlformats.org/officeDocument/2006/customXml" ds:itemID="{12026D69-4B6F-4B2A-B304-C84D3DA7429D}">
  <ds:schemaRefs>
    <ds:schemaRef ds:uri="http://schemas.microsoft.com/office/2006/metadata/properties"/>
    <ds:schemaRef ds:uri="9b681777-512b-478d-8e63-5ac3e973db6b"/>
    <ds:schemaRef ds:uri="b3d3ad02-bc00-492b-a000-5c79a458eef5"/>
    <ds:schemaRef ds:uri="http://schemas.microsoft.com/office/infopath/2007/PartnerControls"/>
    <ds:schemaRef ds:uri="dc463f71-b30c-4ab2-9473-d307f9d35888"/>
    <ds:schemaRef ds:uri="http://schemas.microsoft.com/sharepoint/v3"/>
    <ds:schemaRef ds:uri="08c8d2a6-b026-4881-9b30-cdb1fe6b735d"/>
    <ds:schemaRef ds:uri="fbaf3abe-5afe-46cd-8068-c4b5a8ac1b20"/>
  </ds:schemaRefs>
</ds:datastoreItem>
</file>

<file path=customXml/itemProps4.xml><?xml version="1.0" encoding="utf-8"?>
<ds:datastoreItem xmlns:ds="http://schemas.openxmlformats.org/officeDocument/2006/customXml" ds:itemID="{711887CB-2A5B-4553-B542-FA3FDB731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Exhibit DED-4</vt:lpstr>
      <vt:lpstr>Exhibit DED-5</vt:lpstr>
      <vt:lpstr>Data &gt;</vt:lpstr>
      <vt:lpstr>RJA-6 (2025 rates)</vt:lpstr>
      <vt:lpstr>RJA-6 (2026 rates)</vt:lpstr>
      <vt:lpstr>RJA-7 Bill Impact (2025)</vt:lpstr>
      <vt:lpstr>RJA-7 Bill Ipact (2026)</vt:lpstr>
      <vt:lpstr>Revenue Spread-Equal</vt:lpstr>
      <vt:lpstr>Revenue Spread-Upper Limit</vt:lpstr>
      <vt:lpstr>Testimony table</vt:lpstr>
      <vt:lpstr>Test year 2023</vt:lpstr>
      <vt:lpstr>Index to External Links</vt:lpstr>
      <vt:lpstr>'RJA-6 (2025 rates)'!Print_Area</vt:lpstr>
      <vt:lpstr>'RJA-6 (2026 rates)'!Print_Area</vt:lpstr>
      <vt:lpstr>'RJA-7 Bill Impact (2025)'!Print_Area</vt:lpstr>
      <vt:lpstr>'RJA-7 Bill Ipact (2026)'!Print_Area</vt:lpstr>
      <vt:lpstr>'Test year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Macias</dc:creator>
  <cp:keywords/>
  <dc:description/>
  <cp:lastModifiedBy>Brandon Lombardino</cp:lastModifiedBy>
  <cp:revision/>
  <dcterms:created xsi:type="dcterms:W3CDTF">2015-10-21T18:59:16Z</dcterms:created>
  <dcterms:modified xsi:type="dcterms:W3CDTF">2024-10-01T15:32:14Z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Order">
    <vt:r8>4000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MediaServiceImageTags">
    <vt:lpwstr/>
  </property>
  <property fmtid="{D5CDD505-2E9C-101B-9397-08002B2CF9AE}" pid="7" name="_docset_NoMedatataSyncRequired">
    <vt:lpwstr>False</vt:lpwstr>
  </property>
</Properties>
</file>