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240" yWindow="80" windowWidth="15600" windowHeight="80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Sheet1!$3:$9</definedName>
  </definedNames>
  <calcPr calcId="152511"/>
</workbook>
</file>

<file path=xl/calcChain.xml><?xml version="1.0" encoding="utf-8"?>
<calcChain xmlns="http://schemas.openxmlformats.org/spreadsheetml/2006/main">
  <c r="G105" i="1" l="1"/>
  <c r="G104" i="1"/>
  <c r="G103" i="1"/>
  <c r="G102" i="1"/>
  <c r="G101" i="1"/>
  <c r="G100" i="1"/>
  <c r="G106" i="1" l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96" i="1"/>
  <c r="K96" i="1"/>
  <c r="M76" i="1"/>
  <c r="M75" i="1"/>
  <c r="M74" i="1"/>
  <c r="M73" i="1"/>
  <c r="M72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K76" i="1"/>
  <c r="K75" i="1"/>
  <c r="K74" i="1"/>
  <c r="K72" i="1"/>
  <c r="K70" i="1"/>
  <c r="K69" i="1"/>
  <c r="K68" i="1"/>
  <c r="K67" i="1"/>
  <c r="K66" i="1"/>
  <c r="K65" i="1"/>
  <c r="K64" i="1"/>
  <c r="K63" i="1"/>
  <c r="K62" i="1"/>
  <c r="K61" i="1"/>
  <c r="K59" i="1"/>
  <c r="K57" i="1"/>
  <c r="K55" i="1"/>
  <c r="K56" i="1"/>
  <c r="M55" i="1"/>
  <c r="M53" i="1"/>
  <c r="K53" i="1"/>
  <c r="M50" i="1"/>
  <c r="K50" i="1"/>
  <c r="M52" i="1"/>
  <c r="M51" i="1"/>
  <c r="K52" i="1"/>
  <c r="K51" i="1"/>
  <c r="M49" i="1"/>
  <c r="K49" i="1"/>
  <c r="M48" i="1"/>
  <c r="K48" i="1"/>
  <c r="M54" i="1" l="1"/>
  <c r="K54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26" i="1"/>
  <c r="K26" i="1"/>
  <c r="M27" i="1"/>
  <c r="K27" i="1"/>
  <c r="M31" i="1"/>
  <c r="K31" i="1"/>
  <c r="M28" i="1"/>
  <c r="K28" i="1"/>
  <c r="M15" i="1"/>
  <c r="K15" i="1"/>
  <c r="M25" i="1"/>
  <c r="K25" i="1"/>
  <c r="M30" i="1"/>
  <c r="K30" i="1"/>
  <c r="M12" i="1"/>
  <c r="K12" i="1"/>
  <c r="M11" i="1"/>
  <c r="K11" i="1"/>
  <c r="M18" i="1"/>
  <c r="K18" i="1"/>
  <c r="M13" i="1"/>
  <c r="K13" i="1"/>
  <c r="M16" i="1"/>
  <c r="K16" i="1"/>
  <c r="M14" i="1"/>
  <c r="K14" i="1"/>
  <c r="M20" i="1"/>
  <c r="K20" i="1"/>
  <c r="M10" i="1"/>
  <c r="K10" i="1"/>
  <c r="M17" i="1"/>
  <c r="K17" i="1"/>
  <c r="M21" i="1"/>
  <c r="K21" i="1"/>
  <c r="M23" i="1"/>
  <c r="K23" i="1"/>
  <c r="M22" i="1"/>
  <c r="K22" i="1"/>
  <c r="I22" i="1"/>
  <c r="M19" i="1"/>
  <c r="K19" i="1"/>
  <c r="I19" i="1"/>
</calcChain>
</file>

<file path=xl/sharedStrings.xml><?xml version="1.0" encoding="utf-8"?>
<sst xmlns="http://schemas.openxmlformats.org/spreadsheetml/2006/main" count="252" uniqueCount="119">
  <si>
    <t>Unit</t>
  </si>
  <si>
    <t>Carbon</t>
  </si>
  <si>
    <t>Fuel</t>
  </si>
  <si>
    <t>Steam Coal</t>
  </si>
  <si>
    <t>Capacity</t>
  </si>
  <si>
    <t>(MW)</t>
  </si>
  <si>
    <t>Availability</t>
  </si>
  <si>
    <t>Factor</t>
  </si>
  <si>
    <t>Fixed</t>
  </si>
  <si>
    <t>Costs</t>
  </si>
  <si>
    <t>Per KW</t>
  </si>
  <si>
    <t>Cost</t>
  </si>
  <si>
    <t>Per KWH</t>
  </si>
  <si>
    <t>Year</t>
  </si>
  <si>
    <t>Built</t>
  </si>
  <si>
    <t>Cholla</t>
  </si>
  <si>
    <t>Colstrip</t>
  </si>
  <si>
    <t>Craig</t>
  </si>
  <si>
    <t>Dave Johnston</t>
  </si>
  <si>
    <t>Hayden</t>
  </si>
  <si>
    <t>Hunter 1</t>
  </si>
  <si>
    <t>Hunter 2</t>
  </si>
  <si>
    <t>Hunter 3</t>
  </si>
  <si>
    <t>Huntington</t>
  </si>
  <si>
    <t>Jim Bridger</t>
  </si>
  <si>
    <t>Naughton</t>
  </si>
  <si>
    <t>Wyodak</t>
  </si>
  <si>
    <t>Gadsby</t>
  </si>
  <si>
    <t>Steam Gas</t>
  </si>
  <si>
    <t>Hermiston</t>
  </si>
  <si>
    <t>Combined Cycle</t>
  </si>
  <si>
    <t>Blundell</t>
  </si>
  <si>
    <t>Steam Geothermal</t>
  </si>
  <si>
    <t>Chehalis</t>
  </si>
  <si>
    <t>Gadsby Peaker</t>
  </si>
  <si>
    <t>Turbine Gas</t>
  </si>
  <si>
    <t>Current Creek</t>
  </si>
  <si>
    <t>Lake Side</t>
  </si>
  <si>
    <t>Copco 1</t>
  </si>
  <si>
    <t>Hydro Storage</t>
  </si>
  <si>
    <t>Copco 2</t>
  </si>
  <si>
    <t>Hydro Run of River</t>
  </si>
  <si>
    <t>Clearwater 1</t>
  </si>
  <si>
    <t>Clearwater 2</t>
  </si>
  <si>
    <t>Type/Fuel</t>
  </si>
  <si>
    <t>Cutler</t>
  </si>
  <si>
    <t>Fish Creek</t>
  </si>
  <si>
    <t>Grace</t>
  </si>
  <si>
    <t>Iron Gate</t>
  </si>
  <si>
    <t>JC Boyle</t>
  </si>
  <si>
    <t>Lemolo 1</t>
  </si>
  <si>
    <t>Lemolo 2</t>
  </si>
  <si>
    <t>Merwin</t>
  </si>
  <si>
    <t>Toketee</t>
  </si>
  <si>
    <t>Oneida</t>
  </si>
  <si>
    <t>Prospect 2</t>
  </si>
  <si>
    <t>Ashton</t>
  </si>
  <si>
    <t>Hydro</t>
  </si>
  <si>
    <t>N/A</t>
  </si>
  <si>
    <t>Slide Creek</t>
  </si>
  <si>
    <t>Soda</t>
  </si>
  <si>
    <t>Soda Springs</t>
  </si>
  <si>
    <t>Swift No. 1</t>
  </si>
  <si>
    <t>Yale</t>
  </si>
  <si>
    <t>Olmstead</t>
  </si>
  <si>
    <t>Bend</t>
  </si>
  <si>
    <t>Big Fork</t>
  </si>
  <si>
    <t>Eagle Point</t>
  </si>
  <si>
    <t>East Side</t>
  </si>
  <si>
    <t>Fall Creek</t>
  </si>
  <si>
    <t>Fountain Green</t>
  </si>
  <si>
    <t>Granite</t>
  </si>
  <si>
    <t>Gunlock</t>
  </si>
  <si>
    <t>Last Chance</t>
  </si>
  <si>
    <t>Paris</t>
  </si>
  <si>
    <t>Pioneer</t>
  </si>
  <si>
    <t>Prospect No. 1</t>
  </si>
  <si>
    <t>Prospect No. 4</t>
  </si>
  <si>
    <t>Prospect No. 3</t>
  </si>
  <si>
    <t>Sand Cove</t>
  </si>
  <si>
    <t>Stairs</t>
  </si>
  <si>
    <t>St. Anthony</t>
  </si>
  <si>
    <t>Veyo</t>
  </si>
  <si>
    <t>Viva Naughton</t>
  </si>
  <si>
    <t>Wallowa Falls</t>
  </si>
  <si>
    <t>Weber</t>
  </si>
  <si>
    <t>West Side</t>
  </si>
  <si>
    <t>Keno Regulating Dam</t>
  </si>
  <si>
    <t>Upper Klamath Lake</t>
  </si>
  <si>
    <t>North Umpqua</t>
  </si>
  <si>
    <t>--</t>
  </si>
  <si>
    <t>Lifton</t>
  </si>
  <si>
    <t>Dunlap Ranch</t>
  </si>
  <si>
    <t>Foote Creek</t>
  </si>
  <si>
    <t>Glenrock</t>
  </si>
  <si>
    <t>Glenrock III</t>
  </si>
  <si>
    <t>Rolling Hills</t>
  </si>
  <si>
    <t>Goodnoe Hills</t>
  </si>
  <si>
    <t>Leaning Juniper 1</t>
  </si>
  <si>
    <t>Marengo</t>
  </si>
  <si>
    <t>Marengo II</t>
  </si>
  <si>
    <t>Seven Mile Hill</t>
  </si>
  <si>
    <t>Seven Mile Hill II</t>
  </si>
  <si>
    <t>High Plains</t>
  </si>
  <si>
    <t>McFadden Ridge I</t>
  </si>
  <si>
    <t>Black Cap</t>
  </si>
  <si>
    <t>Solar</t>
  </si>
  <si>
    <t>Wind</t>
  </si>
  <si>
    <t>Summary:</t>
  </si>
  <si>
    <t xml:space="preserve">     Steam/Coal</t>
  </si>
  <si>
    <t xml:space="preserve">     Combined Cycle/Gas</t>
  </si>
  <si>
    <t xml:space="preserve">     Gas Turbine</t>
  </si>
  <si>
    <t xml:space="preserve">     Hydro</t>
  </si>
  <si>
    <t xml:space="preserve">     Wind</t>
  </si>
  <si>
    <t xml:space="preserve">     Solar</t>
  </si>
  <si>
    <t>TOTAL</t>
  </si>
  <si>
    <t>PacifiCorp</t>
  </si>
  <si>
    <t>Generation Assets Characteristics</t>
  </si>
  <si>
    <t>Source: PacifiCorp 2013 FERC Form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</si>
</sst>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0_);_(&quot;$&quot;* \(#,##0.000\);_(&quot;$&quot;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0" xfId="0" applyNumberFormat="1" applyFont="1"/>
    <xf numFmtId="165" fontId="2" fillId="0" borderId="0" xfId="1" applyNumberFormat="1" applyFont="1"/>
    <xf numFmtId="164" fontId="2" fillId="0" borderId="0" xfId="2" applyNumberFormat="1" applyFont="1"/>
    <xf numFmtId="44" fontId="2" fillId="0" borderId="0" xfId="1" applyNumberFormat="1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quotePrefix="1" applyNumberFormat="1" applyFont="1" applyAlignment="1">
      <alignment horizontal="right"/>
    </xf>
    <xf numFmtId="44" fontId="2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/>
    <xf numFmtId="44" fontId="2" fillId="0" borderId="1" xfId="0" applyNumberFormat="1" applyFont="1" applyBorder="1"/>
    <xf numFmtId="165" fontId="2" fillId="0" borderId="1" xfId="1" applyNumberFormat="1" applyFont="1" applyBorder="1"/>
    <xf numFmtId="44" fontId="4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44" fontId="3" fillId="0" borderId="1" xfId="0" applyNumberFormat="1" applyFont="1" applyBorder="1"/>
    <xf numFmtId="165" fontId="3" fillId="0" borderId="1" xfId="1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44" fontId="3" fillId="0" borderId="0" xfId="0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6" fontId="3" fillId="0" borderId="0" xfId="3" applyNumberFormat="1" applyFont="1"/>
    <xf numFmtId="166" fontId="3" fillId="0" borderId="1" xfId="3" applyNumberFormat="1" applyFont="1" applyBorder="1"/>
    <xf numFmtId="166" fontId="3" fillId="0" borderId="0" xfId="0" applyNumberFormat="1" applyFont="1"/>
    <xf numFmtId="0" fontId="3" fillId="0" borderId="0" xfId="0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tabSelected="1" view="pageLayout" zoomScaleNormal="100" workbookViewId="0">
      <selection activeCell="A4" sqref="A4:O4"/>
    </sheetView>
  </sheetViews>
  <sheetFormatPr defaultColWidth="8.81640625" defaultRowHeight="14.5" x14ac:dyDescent="0.35"/>
  <cols>
    <col min="1" max="1" width="20.1796875" style="1" bestFit="1" customWidth="1"/>
    <col min="2" max="2" width="2.7265625" style="1" customWidth="1"/>
    <col min="3" max="3" width="9.1796875" style="2" customWidth="1"/>
    <col min="4" max="4" width="2.7265625" style="1" customWidth="1"/>
    <col min="5" max="5" width="17.81640625" style="1" bestFit="1" customWidth="1"/>
    <col min="6" max="6" width="3.1796875" style="1" customWidth="1"/>
    <col min="7" max="7" width="9.54296875" style="1" bestFit="1" customWidth="1"/>
    <col min="8" max="8" width="3.1796875" style="1" customWidth="1"/>
    <col min="9" max="9" width="11" style="3" bestFit="1" customWidth="1"/>
    <col min="10" max="10" width="3" style="1" customWidth="1"/>
    <col min="11" max="11" width="12.1796875" style="3" bestFit="1" customWidth="1"/>
    <col min="12" max="12" width="3.26953125" style="1" customWidth="1"/>
    <col min="13" max="13" width="12.26953125" style="6" customWidth="1"/>
    <col min="14" max="14" width="2.453125" style="1" customWidth="1"/>
    <col min="15" max="15" width="10.1796875" style="7" bestFit="1" customWidth="1"/>
    <col min="16" max="16384" width="8.81640625" style="1"/>
  </cols>
  <sheetData>
    <row r="1" spans="1:15" x14ac:dyDescent="0.35">
      <c r="M1" s="20"/>
    </row>
    <row r="2" spans="1:15" x14ac:dyDescent="0.35">
      <c r="M2" s="20"/>
    </row>
    <row r="3" spans="1:15" x14ac:dyDescent="0.35">
      <c r="A3" s="38" t="s">
        <v>116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x14ac:dyDescent="0.35">
      <c r="A4" s="38" t="s">
        <v>117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x14ac:dyDescent="0.35">
      <c r="A5" s="21"/>
      <c r="B5" s="21"/>
      <c r="C5" s="22"/>
      <c r="D5" s="21"/>
      <c r="E5" s="21"/>
      <c r="F5" s="21"/>
      <c r="G5" s="21"/>
      <c r="H5" s="21"/>
      <c r="I5" s="23"/>
      <c r="J5" s="21"/>
      <c r="K5" s="23"/>
      <c r="L5" s="21"/>
      <c r="M5" s="24"/>
      <c r="N5" s="21"/>
      <c r="O5" s="25"/>
    </row>
    <row r="6" spans="1:15" x14ac:dyDescent="0.35">
      <c r="A6" s="26"/>
      <c r="B6" s="26"/>
      <c r="C6" s="27"/>
      <c r="D6" s="26"/>
      <c r="E6" s="26"/>
      <c r="F6" s="26"/>
      <c r="G6" s="26"/>
      <c r="H6" s="26"/>
      <c r="I6" s="28"/>
      <c r="J6" s="26"/>
      <c r="K6" s="28"/>
      <c r="L6" s="26"/>
      <c r="M6" s="29" t="s">
        <v>8</v>
      </c>
      <c r="N6" s="26"/>
      <c r="O6" s="30" t="s">
        <v>2</v>
      </c>
    </row>
    <row r="7" spans="1:15" x14ac:dyDescent="0.35">
      <c r="A7" s="27"/>
      <c r="B7" s="27"/>
      <c r="C7" s="27" t="s">
        <v>13</v>
      </c>
      <c r="D7" s="27"/>
      <c r="E7" s="27"/>
      <c r="F7" s="27"/>
      <c r="G7" s="27" t="s">
        <v>4</v>
      </c>
      <c r="H7" s="26"/>
      <c r="I7" s="31" t="s">
        <v>6</v>
      </c>
      <c r="J7" s="26"/>
      <c r="K7" s="31" t="s">
        <v>4</v>
      </c>
      <c r="L7" s="26"/>
      <c r="M7" s="29" t="s">
        <v>9</v>
      </c>
      <c r="N7" s="26"/>
      <c r="O7" s="30" t="s">
        <v>11</v>
      </c>
    </row>
    <row r="8" spans="1:15" x14ac:dyDescent="0.35">
      <c r="A8" s="22" t="s">
        <v>0</v>
      </c>
      <c r="B8" s="27"/>
      <c r="C8" s="22" t="s">
        <v>14</v>
      </c>
      <c r="D8" s="27"/>
      <c r="E8" s="22" t="s">
        <v>44</v>
      </c>
      <c r="F8" s="27"/>
      <c r="G8" s="22" t="s">
        <v>5</v>
      </c>
      <c r="H8" s="26"/>
      <c r="I8" s="32" t="s">
        <v>7</v>
      </c>
      <c r="J8" s="26"/>
      <c r="K8" s="32" t="s">
        <v>7</v>
      </c>
      <c r="L8" s="26"/>
      <c r="M8" s="33" t="s">
        <v>10</v>
      </c>
      <c r="N8" s="26"/>
      <c r="O8" s="34" t="s">
        <v>12</v>
      </c>
    </row>
    <row r="9" spans="1:15" x14ac:dyDescent="0.35">
      <c r="K9" s="4"/>
    </row>
    <row r="10" spans="1:15" x14ac:dyDescent="0.35">
      <c r="A10" s="1" t="s">
        <v>19</v>
      </c>
      <c r="C10" s="2">
        <v>1976</v>
      </c>
      <c r="E10" s="1" t="s">
        <v>3</v>
      </c>
      <c r="G10" s="1">
        <v>81.400000000000006</v>
      </c>
      <c r="I10" s="3">
        <v>1</v>
      </c>
      <c r="K10" s="3">
        <f>646108/8760/G10</f>
        <v>0.90610099514209097</v>
      </c>
      <c r="M10" s="6">
        <f>85785752/G10/1000</f>
        <v>1053.8790171990172</v>
      </c>
      <c r="O10" s="7">
        <v>2.5000000000000001E-2</v>
      </c>
    </row>
    <row r="11" spans="1:15" x14ac:dyDescent="0.35">
      <c r="A11" s="1" t="s">
        <v>25</v>
      </c>
      <c r="C11" s="2">
        <v>1971</v>
      </c>
      <c r="E11" s="1" t="s">
        <v>3</v>
      </c>
      <c r="G11" s="1">
        <v>707.2</v>
      </c>
      <c r="I11" s="3">
        <v>1</v>
      </c>
      <c r="K11" s="3">
        <f>5533895/8760/G11</f>
        <v>0.89327371820698775</v>
      </c>
      <c r="M11" s="6">
        <f>774551318/G11/1000</f>
        <v>1095.23659219457</v>
      </c>
      <c r="O11" s="7">
        <v>2.1000000000000001E-2</v>
      </c>
    </row>
    <row r="12" spans="1:15" x14ac:dyDescent="0.35">
      <c r="A12" s="1" t="s">
        <v>26</v>
      </c>
      <c r="C12" s="2">
        <v>1978</v>
      </c>
      <c r="E12" s="1" t="s">
        <v>3</v>
      </c>
      <c r="G12" s="1">
        <v>289.7</v>
      </c>
      <c r="I12" s="3">
        <v>0.93869863013698629</v>
      </c>
      <c r="K12" s="3">
        <f>1975401/8760/G12</f>
        <v>0.77839971439514666</v>
      </c>
      <c r="M12" s="6">
        <f>445356699/G12/1000</f>
        <v>1537.30306869175</v>
      </c>
      <c r="O12" s="7">
        <v>0.01</v>
      </c>
    </row>
    <row r="13" spans="1:15" x14ac:dyDescent="0.35">
      <c r="A13" s="1" t="s">
        <v>23</v>
      </c>
      <c r="C13" s="2">
        <v>1977</v>
      </c>
      <c r="E13" s="1" t="s">
        <v>3</v>
      </c>
      <c r="G13" s="1">
        <v>996</v>
      </c>
      <c r="I13" s="3">
        <v>1</v>
      </c>
      <c r="K13" s="3">
        <f>6768625/8760/G13</f>
        <v>0.77577719554015145</v>
      </c>
      <c r="M13" s="6">
        <f>828551519/G13/1000</f>
        <v>831.87903514056222</v>
      </c>
      <c r="O13" s="7">
        <v>1.6E-2</v>
      </c>
    </row>
    <row r="14" spans="1:15" x14ac:dyDescent="0.35">
      <c r="A14" s="1" t="s">
        <v>21</v>
      </c>
      <c r="C14" s="2">
        <v>1980</v>
      </c>
      <c r="E14" s="1" t="s">
        <v>3</v>
      </c>
      <c r="G14" s="1">
        <v>294.5</v>
      </c>
      <c r="I14" s="3">
        <v>0.98470319634703196</v>
      </c>
      <c r="K14" s="3">
        <f>1987634/8760/G14</f>
        <v>0.77045452783527535</v>
      </c>
      <c r="M14" s="6">
        <f>306843113/G14/1000</f>
        <v>1041.9120984719864</v>
      </c>
      <c r="O14" s="7">
        <v>1.7999999999999999E-2</v>
      </c>
    </row>
    <row r="15" spans="1:15" x14ac:dyDescent="0.35">
      <c r="A15" s="1" t="s">
        <v>31</v>
      </c>
      <c r="C15" s="2">
        <v>2007</v>
      </c>
      <c r="E15" s="1" t="s">
        <v>32</v>
      </c>
      <c r="G15" s="1">
        <v>38.1</v>
      </c>
      <c r="I15" s="3">
        <v>0.94908675799086761</v>
      </c>
      <c r="K15" s="3">
        <f>250722/8760/G15</f>
        <v>0.75121346133103228</v>
      </c>
      <c r="M15" s="6">
        <f>122574694/G15/1000</f>
        <v>3217.1835695538057</v>
      </c>
      <c r="O15" s="7">
        <v>1E-4</v>
      </c>
    </row>
    <row r="16" spans="1:15" x14ac:dyDescent="0.35">
      <c r="A16" s="1" t="s">
        <v>22</v>
      </c>
      <c r="C16" s="2">
        <v>1983</v>
      </c>
      <c r="E16" s="1" t="s">
        <v>3</v>
      </c>
      <c r="G16" s="1">
        <v>495.6</v>
      </c>
      <c r="I16" s="3">
        <v>0.95536529680365301</v>
      </c>
      <c r="K16" s="3">
        <f>3222147/8760/G16</f>
        <v>0.74218119451170295</v>
      </c>
      <c r="M16" s="6">
        <f>534165301/G16/1000</f>
        <v>1077.8153773204194</v>
      </c>
      <c r="O16" s="7">
        <v>1.9E-2</v>
      </c>
    </row>
    <row r="17" spans="1:15" x14ac:dyDescent="0.35">
      <c r="A17" s="1" t="s">
        <v>18</v>
      </c>
      <c r="C17" s="2">
        <v>1972</v>
      </c>
      <c r="E17" s="1" t="s">
        <v>3</v>
      </c>
      <c r="G17" s="1">
        <v>816.8</v>
      </c>
      <c r="I17" s="3">
        <v>1</v>
      </c>
      <c r="K17" s="3">
        <f>5308783/8760/G17</f>
        <v>0.74195085286606832</v>
      </c>
      <c r="M17" s="6">
        <f>1001402085/G17/1000</f>
        <v>1226.0064703721841</v>
      </c>
      <c r="O17" s="7">
        <v>1.2E-2</v>
      </c>
    </row>
    <row r="18" spans="1:15" x14ac:dyDescent="0.35">
      <c r="A18" s="1" t="s">
        <v>24</v>
      </c>
      <c r="C18" s="2">
        <v>1979</v>
      </c>
      <c r="E18" s="1" t="s">
        <v>3</v>
      </c>
      <c r="G18" s="1">
        <v>1550.65</v>
      </c>
      <c r="I18" s="3">
        <v>1</v>
      </c>
      <c r="K18" s="3">
        <f>9936388/8760/G18</f>
        <v>0.73149380426266963</v>
      </c>
      <c r="M18" s="6">
        <f>1101986934/G18/1000</f>
        <v>710.66129300615864</v>
      </c>
      <c r="O18" s="7">
        <v>2.1999999999999999E-2</v>
      </c>
    </row>
    <row r="19" spans="1:15" x14ac:dyDescent="0.35">
      <c r="A19" s="1" t="s">
        <v>1</v>
      </c>
      <c r="C19" s="2">
        <v>1957</v>
      </c>
      <c r="E19" s="1" t="s">
        <v>3</v>
      </c>
      <c r="G19" s="1">
        <v>188.6</v>
      </c>
      <c r="I19" s="8">
        <f>8714/8760</f>
        <v>0.99474885844748862</v>
      </c>
      <c r="K19" s="8">
        <f>1197765/8760/G19</f>
        <v>0.72497966269120695</v>
      </c>
      <c r="M19" s="9">
        <f>128037460/G19/1000</f>
        <v>678.88366914103926</v>
      </c>
      <c r="O19" s="7">
        <v>2.1000000000000001E-2</v>
      </c>
    </row>
    <row r="20" spans="1:15" x14ac:dyDescent="0.35">
      <c r="A20" s="1" t="s">
        <v>20</v>
      </c>
      <c r="C20" s="2">
        <v>1978</v>
      </c>
      <c r="E20" s="1" t="s">
        <v>3</v>
      </c>
      <c r="G20" s="1">
        <v>457.7</v>
      </c>
      <c r="I20" s="3">
        <v>0.93869863013698629</v>
      </c>
      <c r="K20" s="3">
        <f>2858108/8760/G20</f>
        <v>0.71284255304714961</v>
      </c>
      <c r="M20" s="6">
        <f>389275087/G20/1000</f>
        <v>850.50270264365304</v>
      </c>
      <c r="O20" s="7">
        <v>1.9E-2</v>
      </c>
    </row>
    <row r="21" spans="1:15" x14ac:dyDescent="0.35">
      <c r="A21" s="1" t="s">
        <v>17</v>
      </c>
      <c r="C21" s="2">
        <v>1980</v>
      </c>
      <c r="E21" s="1" t="s">
        <v>3</v>
      </c>
      <c r="G21" s="1">
        <v>172.1</v>
      </c>
      <c r="I21" s="3">
        <v>0.97910958904109591</v>
      </c>
      <c r="K21" s="3">
        <f>1017613/8760/G21</f>
        <v>0.67499051470022475</v>
      </c>
      <c r="M21" s="6">
        <f>180202220/G21/1000</f>
        <v>1047.0785589773388</v>
      </c>
      <c r="O21" s="7">
        <v>1.9E-2</v>
      </c>
    </row>
    <row r="22" spans="1:15" x14ac:dyDescent="0.35">
      <c r="A22" s="1" t="s">
        <v>15</v>
      </c>
      <c r="C22" s="2">
        <v>1981</v>
      </c>
      <c r="E22" s="1" t="s">
        <v>3</v>
      </c>
      <c r="G22" s="1">
        <v>414</v>
      </c>
      <c r="I22" s="3">
        <f>7351/8760</f>
        <v>0.83915525114155254</v>
      </c>
      <c r="K22" s="3">
        <f>2393681/8760/G22</f>
        <v>0.66002718769990953</v>
      </c>
      <c r="M22" s="6">
        <f>535743228/G22/1000</f>
        <v>1294.0657681159421</v>
      </c>
      <c r="O22" s="7">
        <v>2.3E-2</v>
      </c>
    </row>
    <row r="23" spans="1:15" x14ac:dyDescent="0.35">
      <c r="A23" s="1" t="s">
        <v>16</v>
      </c>
      <c r="C23" s="2">
        <v>1986</v>
      </c>
      <c r="E23" s="1" t="s">
        <v>3</v>
      </c>
      <c r="G23" s="1">
        <v>155.6</v>
      </c>
      <c r="I23" s="3">
        <v>0.98025114155251136</v>
      </c>
      <c r="K23" s="3">
        <f>837293/8760/G23</f>
        <v>0.61427630266107924</v>
      </c>
      <c r="M23" s="6">
        <f>223944365/G23/1000</f>
        <v>1439.2311375321337</v>
      </c>
      <c r="O23" s="7">
        <v>1.6E-2</v>
      </c>
    </row>
    <row r="25" spans="1:15" x14ac:dyDescent="0.35">
      <c r="A25" s="1" t="s">
        <v>29</v>
      </c>
      <c r="C25" s="2">
        <v>1996</v>
      </c>
      <c r="E25" s="1" t="s">
        <v>30</v>
      </c>
      <c r="G25" s="1">
        <v>279.60000000000002</v>
      </c>
      <c r="I25" s="3">
        <v>0.91484018264840183</v>
      </c>
      <c r="K25" s="3">
        <f>1293909/8760/G25</f>
        <v>0.52827792149254316</v>
      </c>
      <c r="M25" s="6">
        <f>172759356/G25/1000</f>
        <v>617.88038626609443</v>
      </c>
      <c r="O25" s="7">
        <v>4.7E-2</v>
      </c>
    </row>
    <row r="26" spans="1:15" x14ac:dyDescent="0.35">
      <c r="A26" s="1" t="s">
        <v>37</v>
      </c>
      <c r="C26" s="2">
        <v>2007</v>
      </c>
      <c r="E26" s="1" t="s">
        <v>30</v>
      </c>
      <c r="G26" s="1">
        <v>591.29999999999995</v>
      </c>
      <c r="I26" s="3">
        <v>0.89908675799086757</v>
      </c>
      <c r="K26" s="3">
        <f>2508960/8760/G26</f>
        <v>0.48437503619839267</v>
      </c>
      <c r="M26" s="6">
        <f>368585272/G26/1000</f>
        <v>623.34732284796212</v>
      </c>
      <c r="O26" s="7">
        <v>3.6999999999999998E-2</v>
      </c>
    </row>
    <row r="27" spans="1:15" x14ac:dyDescent="0.35">
      <c r="A27" s="1" t="s">
        <v>36</v>
      </c>
      <c r="C27" s="2">
        <v>2006</v>
      </c>
      <c r="E27" s="1" t="s">
        <v>30</v>
      </c>
      <c r="G27" s="1">
        <v>566.9</v>
      </c>
      <c r="I27" s="3">
        <v>0.9845890410958904</v>
      </c>
      <c r="K27" s="3">
        <f>2359924/8760/G27</f>
        <v>0.47521206014284212</v>
      </c>
      <c r="M27" s="6">
        <f>372292594/G27/1000</f>
        <v>656.71651790439228</v>
      </c>
      <c r="O27" s="7">
        <v>3.7999999999999999E-2</v>
      </c>
    </row>
    <row r="28" spans="1:15" x14ac:dyDescent="0.35">
      <c r="A28" s="1" t="s">
        <v>33</v>
      </c>
      <c r="C28" s="2">
        <v>2003</v>
      </c>
      <c r="E28" s="1" t="s">
        <v>30</v>
      </c>
      <c r="G28" s="1">
        <v>593.29999999999995</v>
      </c>
      <c r="I28" s="3">
        <v>0.50262557077625569</v>
      </c>
      <c r="K28" s="3">
        <f>1674194/8760/G28</f>
        <v>0.32212714736167264</v>
      </c>
      <c r="M28" s="6">
        <f>339864676/G28/1000</f>
        <v>572.83781560761838</v>
      </c>
      <c r="O28" s="7">
        <v>4.1000000000000002E-2</v>
      </c>
    </row>
    <row r="30" spans="1:15" x14ac:dyDescent="0.35">
      <c r="A30" s="1" t="s">
        <v>27</v>
      </c>
      <c r="C30" s="2">
        <v>1955</v>
      </c>
      <c r="E30" s="1" t="s">
        <v>28</v>
      </c>
      <c r="G30" s="1">
        <v>251.6</v>
      </c>
      <c r="I30" s="3">
        <v>0.60639269406392693</v>
      </c>
      <c r="K30" s="3">
        <f>222396/8760/G30</f>
        <v>0.10090489361238757</v>
      </c>
      <c r="M30" s="6">
        <f>82842341/G30/1000</f>
        <v>329.26208664546903</v>
      </c>
      <c r="O30" s="7">
        <v>7.4999999999999997E-2</v>
      </c>
    </row>
    <row r="31" spans="1:15" x14ac:dyDescent="0.35">
      <c r="A31" s="1" t="s">
        <v>34</v>
      </c>
      <c r="C31" s="2">
        <v>2002</v>
      </c>
      <c r="E31" s="1" t="s">
        <v>35</v>
      </c>
      <c r="G31" s="1">
        <v>181.1</v>
      </c>
      <c r="I31" s="3">
        <v>0.41255707762557076</v>
      </c>
      <c r="K31" s="3">
        <f>117464/8760/G31</f>
        <v>7.4042696963508139E-2</v>
      </c>
      <c r="M31" s="6">
        <f>81219995/G30/1000</f>
        <v>322.81397058823529</v>
      </c>
      <c r="O31" s="7">
        <v>7.4999999999999997E-2</v>
      </c>
    </row>
    <row r="33" spans="1:15" x14ac:dyDescent="0.35">
      <c r="A33" s="1" t="s">
        <v>38</v>
      </c>
      <c r="C33" s="2">
        <v>1922</v>
      </c>
      <c r="E33" s="1" t="s">
        <v>39</v>
      </c>
      <c r="G33" s="1">
        <v>20</v>
      </c>
      <c r="I33" s="3">
        <v>0.71358447488584476</v>
      </c>
      <c r="K33" s="3">
        <f>67577/8760/G33</f>
        <v>0.38571347031963471</v>
      </c>
      <c r="M33" s="6">
        <f>10041033/G33/1000</f>
        <v>502.05165</v>
      </c>
      <c r="O33" s="7">
        <v>0</v>
      </c>
    </row>
    <row r="34" spans="1:15" x14ac:dyDescent="0.35">
      <c r="A34" s="1" t="s">
        <v>40</v>
      </c>
      <c r="C34" s="2">
        <v>1925</v>
      </c>
      <c r="E34" s="1" t="s">
        <v>41</v>
      </c>
      <c r="G34" s="1">
        <v>27</v>
      </c>
      <c r="I34" s="3">
        <v>0.69406392694063923</v>
      </c>
      <c r="K34" s="3">
        <f>83609/8760/G34</f>
        <v>0.35349653306274315</v>
      </c>
      <c r="M34" s="6">
        <f>16194612/G34/1000</f>
        <v>599.80044444444445</v>
      </c>
      <c r="O34" s="7">
        <v>0</v>
      </c>
    </row>
    <row r="35" spans="1:15" x14ac:dyDescent="0.35">
      <c r="A35" s="1" t="s">
        <v>42</v>
      </c>
      <c r="C35" s="2">
        <v>1953</v>
      </c>
      <c r="E35" s="1" t="s">
        <v>41</v>
      </c>
      <c r="G35" s="1">
        <v>15</v>
      </c>
      <c r="I35" s="3">
        <v>0.93493150684931503</v>
      </c>
      <c r="K35" s="3">
        <f>37778/8760/G35</f>
        <v>0.28750380517503804</v>
      </c>
      <c r="M35" s="6">
        <f>7736361/G35/1000</f>
        <v>515.75740000000008</v>
      </c>
      <c r="O35" s="7">
        <v>0</v>
      </c>
    </row>
    <row r="36" spans="1:15" x14ac:dyDescent="0.35">
      <c r="A36" s="1" t="s">
        <v>43</v>
      </c>
      <c r="C36" s="2">
        <v>1953</v>
      </c>
      <c r="E36" s="1" t="s">
        <v>41</v>
      </c>
      <c r="G36" s="1">
        <v>26</v>
      </c>
      <c r="I36" s="3">
        <v>0.92671232876712328</v>
      </c>
      <c r="K36" s="3">
        <f>39381/8760/G36</f>
        <v>0.17290569020021074</v>
      </c>
      <c r="M36" s="6">
        <f>18707981/G36/1000</f>
        <v>719.53773076923073</v>
      </c>
      <c r="O36" s="7">
        <v>0</v>
      </c>
    </row>
    <row r="37" spans="1:15" x14ac:dyDescent="0.35">
      <c r="A37" s="1" t="s">
        <v>45</v>
      </c>
      <c r="C37" s="2">
        <v>1927</v>
      </c>
      <c r="E37" s="1" t="s">
        <v>39</v>
      </c>
      <c r="G37" s="1">
        <v>30</v>
      </c>
      <c r="I37" s="3">
        <v>0.60662100456621004</v>
      </c>
      <c r="K37" s="3">
        <f>3.63892694063927/G37</f>
        <v>0.12129756468797567</v>
      </c>
      <c r="M37" s="6">
        <f>30243478/G37/1000</f>
        <v>1008.1159333333334</v>
      </c>
      <c r="O37" s="7">
        <v>0</v>
      </c>
    </row>
    <row r="38" spans="1:15" x14ac:dyDescent="0.35">
      <c r="A38" s="1" t="s">
        <v>46</v>
      </c>
      <c r="C38" s="2">
        <v>1952</v>
      </c>
      <c r="E38" s="1" t="s">
        <v>41</v>
      </c>
      <c r="G38" s="1">
        <v>11</v>
      </c>
      <c r="I38" s="3">
        <v>0.26563926940639271</v>
      </c>
      <c r="K38" s="3">
        <f>1.79977168949772/G38</f>
        <v>0.16361560813615636</v>
      </c>
      <c r="M38" s="6">
        <f>15768473/G38/1000</f>
        <v>1433.4975454545454</v>
      </c>
      <c r="O38" s="7">
        <v>0</v>
      </c>
    </row>
    <row r="39" spans="1:15" x14ac:dyDescent="0.35">
      <c r="A39" s="1" t="s">
        <v>47</v>
      </c>
      <c r="C39" s="2">
        <v>1923</v>
      </c>
      <c r="E39" s="1" t="s">
        <v>39</v>
      </c>
      <c r="G39" s="1">
        <v>33</v>
      </c>
      <c r="I39" s="3">
        <v>0.76347031963470324</v>
      </c>
      <c r="K39" s="3">
        <f>70991/8760/G39</f>
        <v>0.24557561920575618</v>
      </c>
      <c r="M39" s="6">
        <f>17670427/G39/1000</f>
        <v>535.4674848484849</v>
      </c>
      <c r="O39" s="7">
        <v>0</v>
      </c>
    </row>
    <row r="40" spans="1:15" x14ac:dyDescent="0.35">
      <c r="A40" s="1" t="s">
        <v>48</v>
      </c>
      <c r="C40" s="2">
        <v>1962</v>
      </c>
      <c r="E40" s="1" t="s">
        <v>39</v>
      </c>
      <c r="G40" s="1">
        <v>18</v>
      </c>
      <c r="I40" s="3">
        <v>0.94657534246575348</v>
      </c>
      <c r="K40" s="3">
        <f>85349/8760/G40</f>
        <v>0.54127980720446478</v>
      </c>
      <c r="M40" s="6">
        <f>24489016/G40/1000</f>
        <v>1360.500888888889</v>
      </c>
      <c r="O40" s="7">
        <v>0</v>
      </c>
    </row>
    <row r="41" spans="1:15" x14ac:dyDescent="0.35">
      <c r="A41" s="1" t="s">
        <v>49</v>
      </c>
      <c r="C41" s="2">
        <v>1958</v>
      </c>
      <c r="E41" s="1" t="s">
        <v>39</v>
      </c>
      <c r="G41" s="1">
        <v>97.98</v>
      </c>
      <c r="I41" s="3">
        <v>0.60159817351598177</v>
      </c>
      <c r="K41" s="3">
        <f>166834/8760/G41</f>
        <v>0.19437617033016708</v>
      </c>
      <c r="M41" s="6">
        <f>34213889/G41/1000</f>
        <v>349.1925801183915</v>
      </c>
      <c r="O41" s="7">
        <v>0</v>
      </c>
    </row>
    <row r="42" spans="1:15" x14ac:dyDescent="0.35">
      <c r="A42" s="1" t="s">
        <v>50</v>
      </c>
      <c r="C42" s="2">
        <v>1955</v>
      </c>
      <c r="E42" s="1" t="s">
        <v>39</v>
      </c>
      <c r="G42" s="1">
        <v>31.99</v>
      </c>
      <c r="I42" s="3">
        <v>0.91484018264840183</v>
      </c>
      <c r="K42" s="3">
        <f>123888/8760/G42</f>
        <v>0.4420902079845157</v>
      </c>
      <c r="M42" s="6">
        <f>25167219/G42/1000</f>
        <v>786.72144420131292</v>
      </c>
      <c r="O42" s="7">
        <v>0</v>
      </c>
    </row>
    <row r="43" spans="1:15" x14ac:dyDescent="0.35">
      <c r="A43" s="1" t="s">
        <v>51</v>
      </c>
      <c r="C43" s="2">
        <v>1956</v>
      </c>
      <c r="E43" s="1" t="s">
        <v>41</v>
      </c>
      <c r="G43" s="1">
        <v>38.5</v>
      </c>
      <c r="I43" s="3">
        <v>0.94942922374429228</v>
      </c>
      <c r="K43" s="3">
        <f>150001/8760/G43</f>
        <v>0.44476368380477965</v>
      </c>
      <c r="M43" s="6">
        <f>49452138/G43/1000</f>
        <v>1284.4711168831168</v>
      </c>
      <c r="O43" s="7">
        <v>0</v>
      </c>
    </row>
    <row r="44" spans="1:15" x14ac:dyDescent="0.35">
      <c r="A44" s="1" t="s">
        <v>52</v>
      </c>
      <c r="C44" s="2">
        <v>1958</v>
      </c>
      <c r="E44" s="1" t="s">
        <v>39</v>
      </c>
      <c r="G44" s="1">
        <v>136</v>
      </c>
      <c r="I44" s="3">
        <v>1</v>
      </c>
      <c r="K44" s="3">
        <f>460852/8760/G44</f>
        <v>0.3868284985226968</v>
      </c>
      <c r="M44" s="6">
        <f>99680974/G44/1000</f>
        <v>732.94833823529405</v>
      </c>
      <c r="O44" s="7">
        <v>0</v>
      </c>
    </row>
    <row r="45" spans="1:15" x14ac:dyDescent="0.35">
      <c r="A45" s="1" t="s">
        <v>53</v>
      </c>
      <c r="C45" s="2">
        <v>1950</v>
      </c>
      <c r="E45" s="1" t="s">
        <v>39</v>
      </c>
      <c r="G45" s="1">
        <v>42.5</v>
      </c>
      <c r="I45" s="3">
        <v>0.91815068493150687</v>
      </c>
      <c r="K45" s="3">
        <f>195898/8760/G45</f>
        <v>0.52618318560300836</v>
      </c>
      <c r="M45" s="6">
        <f>20891713/G45/1000</f>
        <v>491.56971764705884</v>
      </c>
      <c r="O45" s="7">
        <v>0</v>
      </c>
    </row>
    <row r="46" spans="1:15" x14ac:dyDescent="0.35">
      <c r="A46" s="1" t="s">
        <v>54</v>
      </c>
      <c r="C46" s="2">
        <v>1920</v>
      </c>
      <c r="E46" s="1" t="s">
        <v>39</v>
      </c>
      <c r="G46" s="1">
        <v>30</v>
      </c>
      <c r="I46" s="3">
        <v>0.9496575342465754</v>
      </c>
      <c r="K46" s="3">
        <f>3.21712328767123/G46</f>
        <v>0.10723744292237433</v>
      </c>
      <c r="M46" s="6">
        <f>14138467/G46/1000</f>
        <v>471.28223333333335</v>
      </c>
      <c r="O46" s="7">
        <v>0</v>
      </c>
    </row>
    <row r="47" spans="1:15" x14ac:dyDescent="0.35">
      <c r="A47" s="1" t="s">
        <v>55</v>
      </c>
      <c r="C47" s="2">
        <v>1928</v>
      </c>
      <c r="E47" s="1" t="s">
        <v>41</v>
      </c>
      <c r="G47" s="1">
        <v>32</v>
      </c>
      <c r="I47" s="3">
        <v>0.98470319634703196</v>
      </c>
      <c r="K47" s="3">
        <f>215139/8760/G47</f>
        <v>0.76747645547945209</v>
      </c>
      <c r="M47" s="6">
        <f>40837566/G47/1000</f>
        <v>1276.1739375</v>
      </c>
      <c r="O47" s="7">
        <v>0</v>
      </c>
    </row>
    <row r="48" spans="1:15" x14ac:dyDescent="0.35">
      <c r="A48" s="1" t="s">
        <v>59</v>
      </c>
      <c r="C48" s="2">
        <v>1951</v>
      </c>
      <c r="E48" s="1" t="s">
        <v>41</v>
      </c>
      <c r="G48" s="1">
        <v>18</v>
      </c>
      <c r="I48" s="3">
        <v>0.94954337899543384</v>
      </c>
      <c r="K48" s="3">
        <f>53119/8760/G48</f>
        <v>0.33687848807711823</v>
      </c>
      <c r="M48" s="6">
        <f>26488300/G48/1000</f>
        <v>1471.5722222222223</v>
      </c>
      <c r="O48" s="7">
        <v>0</v>
      </c>
    </row>
    <row r="49" spans="1:15" x14ac:dyDescent="0.35">
      <c r="A49" s="1" t="s">
        <v>60</v>
      </c>
      <c r="C49" s="2">
        <v>1924</v>
      </c>
      <c r="E49" s="1" t="s">
        <v>39</v>
      </c>
      <c r="G49" s="1">
        <v>14</v>
      </c>
      <c r="I49" s="3">
        <v>0.83550228310502284</v>
      </c>
      <c r="K49" s="3">
        <f>1.78926940639269/G49</f>
        <v>0.12780495759947785</v>
      </c>
      <c r="M49" s="6">
        <f>15325965/G49/1000</f>
        <v>1094.7117857142857</v>
      </c>
      <c r="O49" s="7">
        <v>0</v>
      </c>
    </row>
    <row r="50" spans="1:15" x14ac:dyDescent="0.35">
      <c r="A50" s="1" t="s">
        <v>61</v>
      </c>
      <c r="C50" s="2">
        <v>1952</v>
      </c>
      <c r="E50" s="1" t="s">
        <v>39</v>
      </c>
      <c r="G50" s="1">
        <v>11</v>
      </c>
      <c r="I50" s="3">
        <v>0.96575342465753422</v>
      </c>
      <c r="K50" s="3">
        <f>45782/8760/G50</f>
        <v>0.47511415525114153</v>
      </c>
      <c r="M50" s="6">
        <f>95120701/G50/1000</f>
        <v>8647.3364545454551</v>
      </c>
      <c r="O50" s="7">
        <v>0</v>
      </c>
    </row>
    <row r="51" spans="1:15" x14ac:dyDescent="0.35">
      <c r="A51" s="1" t="s">
        <v>62</v>
      </c>
      <c r="C51" s="2">
        <v>1958</v>
      </c>
      <c r="E51" s="1" t="s">
        <v>39</v>
      </c>
      <c r="G51" s="1">
        <v>240</v>
      </c>
      <c r="I51" s="3">
        <v>0.6980593607305936</v>
      </c>
      <c r="K51" s="3">
        <f>574493/8760/G51</f>
        <v>0.27325580289193302</v>
      </c>
      <c r="M51" s="6">
        <f>150058150/G51/1000</f>
        <v>625.24229166666657</v>
      </c>
      <c r="O51" s="7">
        <v>0</v>
      </c>
    </row>
    <row r="52" spans="1:15" x14ac:dyDescent="0.35">
      <c r="A52" s="1" t="s">
        <v>63</v>
      </c>
      <c r="C52" s="2">
        <v>1953</v>
      </c>
      <c r="E52" s="1" t="s">
        <v>39</v>
      </c>
      <c r="G52" s="1">
        <v>134</v>
      </c>
      <c r="I52" s="3">
        <v>0.82968036529680367</v>
      </c>
      <c r="K52" s="3">
        <f>506285/8760/G52</f>
        <v>0.43130665167314114</v>
      </c>
      <c r="M52" s="6">
        <f>62765721/G52/1000</f>
        <v>468.40090298507459</v>
      </c>
      <c r="O52" s="7">
        <v>0</v>
      </c>
    </row>
    <row r="53" spans="1:15" x14ac:dyDescent="0.35">
      <c r="A53" s="1" t="s">
        <v>64</v>
      </c>
      <c r="C53" s="2">
        <v>1922</v>
      </c>
      <c r="E53" s="1" t="s">
        <v>41</v>
      </c>
      <c r="G53" s="1">
        <v>10.3</v>
      </c>
      <c r="I53" s="3">
        <v>0.72499999999999998</v>
      </c>
      <c r="K53" s="3">
        <f>0.938926940639269/G53</f>
        <v>9.1157955401870772E-2</v>
      </c>
      <c r="M53" s="6">
        <f>233022/G53/1000</f>
        <v>22.623495145631065</v>
      </c>
      <c r="O53" s="7">
        <v>0</v>
      </c>
    </row>
    <row r="54" spans="1:15" x14ac:dyDescent="0.35">
      <c r="A54" s="1" t="s">
        <v>56</v>
      </c>
      <c r="C54" s="2">
        <v>1917</v>
      </c>
      <c r="E54" s="1" t="s">
        <v>57</v>
      </c>
      <c r="G54" s="1">
        <v>6.7</v>
      </c>
      <c r="I54" s="10" t="s">
        <v>58</v>
      </c>
      <c r="K54" s="3">
        <f>34536/8760/G54</f>
        <v>0.58842772439173996</v>
      </c>
      <c r="M54" s="6">
        <f>32977104/G54/1000</f>
        <v>4921.9558208955223</v>
      </c>
      <c r="O54" s="7">
        <v>0</v>
      </c>
    </row>
    <row r="55" spans="1:15" x14ac:dyDescent="0.35">
      <c r="A55" s="1" t="s">
        <v>65</v>
      </c>
      <c r="C55" s="2">
        <v>1913</v>
      </c>
      <c r="E55" s="1" t="s">
        <v>57</v>
      </c>
      <c r="G55" s="11">
        <v>1.1100000000000001</v>
      </c>
      <c r="H55" s="11"/>
      <c r="I55" s="10" t="s">
        <v>58</v>
      </c>
      <c r="J55" s="11"/>
      <c r="K55" s="10">
        <f>0.219748858447489/G55</f>
        <v>0.19797194454728737</v>
      </c>
      <c r="M55" s="6">
        <f>1335093/G55/1000</f>
        <v>1202.7864864864864</v>
      </c>
      <c r="O55" s="7">
        <v>0</v>
      </c>
    </row>
    <row r="56" spans="1:15" x14ac:dyDescent="0.35">
      <c r="A56" s="1" t="s">
        <v>66</v>
      </c>
      <c r="C56" s="2">
        <v>1910</v>
      </c>
      <c r="E56" s="1" t="s">
        <v>57</v>
      </c>
      <c r="G56" s="11">
        <v>4.1500000000000004</v>
      </c>
      <c r="H56" s="11"/>
      <c r="I56" s="10" t="s">
        <v>58</v>
      </c>
      <c r="J56" s="11"/>
      <c r="K56" s="10">
        <f>3.44349315068493/G56</f>
        <v>0.82975738570721203</v>
      </c>
      <c r="M56" s="6">
        <f>7372638/G56/1000</f>
        <v>1776.5392771084337</v>
      </c>
      <c r="O56" s="7">
        <v>0</v>
      </c>
    </row>
    <row r="57" spans="1:15" x14ac:dyDescent="0.35">
      <c r="A57" s="1" t="s">
        <v>67</v>
      </c>
      <c r="C57" s="2">
        <v>1957</v>
      </c>
      <c r="E57" s="1" t="s">
        <v>57</v>
      </c>
      <c r="G57" s="11">
        <v>2.81</v>
      </c>
      <c r="H57" s="11"/>
      <c r="I57" s="10" t="s">
        <v>58</v>
      </c>
      <c r="J57" s="11"/>
      <c r="K57" s="10">
        <f>1.86461187214612/G57</f>
        <v>0.66356294382424197</v>
      </c>
      <c r="M57" s="6">
        <f>1891013/G57/1000</f>
        <v>672.95836298932375</v>
      </c>
      <c r="O57" s="7">
        <v>0</v>
      </c>
    </row>
    <row r="58" spans="1:15" x14ac:dyDescent="0.35">
      <c r="A58" s="1" t="s">
        <v>68</v>
      </c>
      <c r="C58" s="2">
        <v>1924</v>
      </c>
      <c r="E58" s="1" t="s">
        <v>57</v>
      </c>
      <c r="G58" s="11">
        <v>3.2</v>
      </c>
      <c r="H58" s="11"/>
      <c r="I58" s="10" t="s">
        <v>58</v>
      </c>
      <c r="J58" s="11"/>
      <c r="K58" s="12" t="s">
        <v>90</v>
      </c>
      <c r="M58" s="6">
        <f>1991695/G58/1000</f>
        <v>622.40468750000002</v>
      </c>
      <c r="O58" s="7">
        <v>0</v>
      </c>
    </row>
    <row r="59" spans="1:15" x14ac:dyDescent="0.35">
      <c r="A59" s="1" t="s">
        <v>69</v>
      </c>
      <c r="C59" s="2">
        <v>1903</v>
      </c>
      <c r="E59" s="1" t="s">
        <v>57</v>
      </c>
      <c r="G59" s="11">
        <v>2.2000000000000002</v>
      </c>
      <c r="H59" s="11"/>
      <c r="I59" s="10" t="s">
        <v>58</v>
      </c>
      <c r="J59" s="11"/>
      <c r="K59" s="10">
        <f>1.12602739726027/G59</f>
        <v>0.51183063511830451</v>
      </c>
      <c r="M59" s="6">
        <f>1403014/G59/1000</f>
        <v>637.73363636363638</v>
      </c>
      <c r="O59" s="7">
        <v>0</v>
      </c>
    </row>
    <row r="60" spans="1:15" x14ac:dyDescent="0.35">
      <c r="A60" s="1" t="s">
        <v>70</v>
      </c>
      <c r="C60" s="2">
        <v>1922</v>
      </c>
      <c r="E60" s="1" t="s">
        <v>57</v>
      </c>
      <c r="G60" s="11">
        <v>0.16</v>
      </c>
      <c r="H60" s="11"/>
      <c r="I60" s="10" t="s">
        <v>58</v>
      </c>
      <c r="J60" s="11"/>
      <c r="K60" s="12" t="s">
        <v>90</v>
      </c>
      <c r="M60" s="6">
        <f>594282/G60/1000</f>
        <v>3714.2624999999998</v>
      </c>
      <c r="O60" s="7">
        <v>0</v>
      </c>
    </row>
    <row r="61" spans="1:15" x14ac:dyDescent="0.35">
      <c r="A61" s="1" t="s">
        <v>71</v>
      </c>
      <c r="C61" s="2">
        <v>1896</v>
      </c>
      <c r="E61" s="1" t="s">
        <v>57</v>
      </c>
      <c r="G61" s="11">
        <v>2</v>
      </c>
      <c r="H61" s="11"/>
      <c r="I61" s="10" t="s">
        <v>58</v>
      </c>
      <c r="J61" s="11"/>
      <c r="K61" s="10">
        <f>0.647374429223744/G61</f>
        <v>0.323687214611872</v>
      </c>
      <c r="M61" s="6">
        <f>5234569/G61/1000</f>
        <v>2617.2845000000002</v>
      </c>
      <c r="O61" s="7">
        <v>0</v>
      </c>
    </row>
    <row r="62" spans="1:15" x14ac:dyDescent="0.35">
      <c r="A62" s="1" t="s">
        <v>72</v>
      </c>
      <c r="C62" s="2">
        <v>1917</v>
      </c>
      <c r="E62" s="1" t="s">
        <v>57</v>
      </c>
      <c r="G62" s="11">
        <v>0.75</v>
      </c>
      <c r="H62" s="11"/>
      <c r="I62" s="10" t="s">
        <v>58</v>
      </c>
      <c r="J62" s="11"/>
      <c r="K62" s="10">
        <f>0.120205479452055/G62</f>
        <v>0.16027397260273998</v>
      </c>
      <c r="M62" s="6">
        <f>683045/G62/1000</f>
        <v>910.72666666666657</v>
      </c>
      <c r="O62" s="7">
        <v>0</v>
      </c>
    </row>
    <row r="63" spans="1:15" x14ac:dyDescent="0.35">
      <c r="A63" s="1" t="s">
        <v>73</v>
      </c>
      <c r="C63" s="2">
        <v>1983</v>
      </c>
      <c r="E63" s="1" t="s">
        <v>57</v>
      </c>
      <c r="G63" s="11">
        <v>1.73</v>
      </c>
      <c r="H63" s="11"/>
      <c r="I63" s="10" t="s">
        <v>58</v>
      </c>
      <c r="J63" s="11"/>
      <c r="K63" s="10">
        <f>0.371803652968037/G63</f>
        <v>0.2149154063399058</v>
      </c>
      <c r="M63" s="6">
        <f>2806715/G63/1000</f>
        <v>1622.378612716763</v>
      </c>
      <c r="O63" s="7">
        <v>0</v>
      </c>
    </row>
    <row r="64" spans="1:15" x14ac:dyDescent="0.35">
      <c r="A64" s="1" t="s">
        <v>74</v>
      </c>
      <c r="C64" s="2">
        <v>1910</v>
      </c>
      <c r="E64" s="1" t="s">
        <v>57</v>
      </c>
      <c r="G64" s="11">
        <v>0.72</v>
      </c>
      <c r="H64" s="11"/>
      <c r="I64" s="10" t="s">
        <v>58</v>
      </c>
      <c r="J64" s="11"/>
      <c r="K64" s="10">
        <f>0.159817351598174/G64</f>
        <v>0.22196854388635279</v>
      </c>
      <c r="M64" s="6">
        <f>432494/G64/1000</f>
        <v>600.68611111111113</v>
      </c>
      <c r="O64" s="7">
        <v>0</v>
      </c>
    </row>
    <row r="65" spans="1:15" x14ac:dyDescent="0.35">
      <c r="A65" s="1" t="s">
        <v>75</v>
      </c>
      <c r="C65" s="2">
        <v>1897</v>
      </c>
      <c r="E65" s="1" t="s">
        <v>57</v>
      </c>
      <c r="G65" s="11">
        <v>5</v>
      </c>
      <c r="H65" s="11"/>
      <c r="I65" s="10" t="s">
        <v>58</v>
      </c>
      <c r="J65" s="11"/>
      <c r="K65" s="10">
        <f>0.881050228310502/G65</f>
        <v>0.17621004566210038</v>
      </c>
      <c r="M65" s="6">
        <f>10963262/G65/1000</f>
        <v>2192.6523999999999</v>
      </c>
      <c r="O65" s="7">
        <v>0</v>
      </c>
    </row>
    <row r="66" spans="1:15" x14ac:dyDescent="0.35">
      <c r="A66" s="1" t="s">
        <v>76</v>
      </c>
      <c r="C66" s="2">
        <v>1912</v>
      </c>
      <c r="E66" s="1" t="s">
        <v>57</v>
      </c>
      <c r="G66" s="11">
        <v>3.76</v>
      </c>
      <c r="H66" s="11"/>
      <c r="I66" s="10" t="s">
        <v>58</v>
      </c>
      <c r="J66" s="11"/>
      <c r="K66" s="10">
        <f>2.37317351598174/G66</f>
        <v>0.63116316914407977</v>
      </c>
      <c r="M66" s="6">
        <f>2589697/G66/1000</f>
        <v>688.7492021276596</v>
      </c>
      <c r="O66" s="7">
        <v>0</v>
      </c>
    </row>
    <row r="67" spans="1:15" x14ac:dyDescent="0.35">
      <c r="A67" s="1" t="s">
        <v>78</v>
      </c>
      <c r="C67" s="2">
        <v>1932</v>
      </c>
      <c r="E67" s="1" t="s">
        <v>57</v>
      </c>
      <c r="G67" s="11">
        <v>7.2</v>
      </c>
      <c r="H67" s="11"/>
      <c r="I67" s="10" t="s">
        <v>58</v>
      </c>
      <c r="J67" s="11"/>
      <c r="K67" s="10">
        <f>33745/8760/G67</f>
        <v>0.53502346524606803</v>
      </c>
      <c r="M67" s="6">
        <f>8783219/G67/1000</f>
        <v>1219.8915277777778</v>
      </c>
      <c r="O67" s="7">
        <v>0</v>
      </c>
    </row>
    <row r="68" spans="1:15" x14ac:dyDescent="0.35">
      <c r="A68" s="1" t="s">
        <v>77</v>
      </c>
      <c r="C68" s="2">
        <v>1944</v>
      </c>
      <c r="E68" s="1" t="s">
        <v>57</v>
      </c>
      <c r="G68" s="11">
        <v>1</v>
      </c>
      <c r="H68" s="11"/>
      <c r="I68" s="10" t="s">
        <v>58</v>
      </c>
      <c r="J68" s="11"/>
      <c r="K68" s="10">
        <f>0.476940639269406/G68</f>
        <v>0.476940639269406</v>
      </c>
      <c r="M68" s="6">
        <f>2410023/G68/1000</f>
        <v>2410.0230000000001</v>
      </c>
      <c r="O68" s="7">
        <v>0</v>
      </c>
    </row>
    <row r="69" spans="1:15" x14ac:dyDescent="0.35">
      <c r="A69" s="1" t="s">
        <v>79</v>
      </c>
      <c r="C69" s="2">
        <v>1926</v>
      </c>
      <c r="E69" s="1" t="s">
        <v>57</v>
      </c>
      <c r="G69" s="11">
        <v>0.8</v>
      </c>
      <c r="H69" s="11"/>
      <c r="I69" s="10" t="s">
        <v>58</v>
      </c>
      <c r="J69" s="11"/>
      <c r="K69" s="10">
        <f>0.0976027397260274/G69</f>
        <v>0.12200342465753425</v>
      </c>
      <c r="M69" s="6">
        <f>933722/G69/1000</f>
        <v>1167.1524999999999</v>
      </c>
      <c r="O69" s="7">
        <v>0</v>
      </c>
    </row>
    <row r="70" spans="1:15" x14ac:dyDescent="0.35">
      <c r="A70" s="1" t="s">
        <v>80</v>
      </c>
      <c r="C70" s="2">
        <v>1895</v>
      </c>
      <c r="E70" s="1" t="s">
        <v>57</v>
      </c>
      <c r="G70" s="11">
        <v>1</v>
      </c>
      <c r="H70" s="11"/>
      <c r="I70" s="10" t="s">
        <v>58</v>
      </c>
      <c r="J70" s="11"/>
      <c r="K70" s="10">
        <f>0.446232876712329/G70</f>
        <v>0.44623287671232897</v>
      </c>
      <c r="M70" s="6">
        <f>1721394/G70/1000</f>
        <v>1721.394</v>
      </c>
      <c r="O70" s="7">
        <v>0</v>
      </c>
    </row>
    <row r="71" spans="1:15" x14ac:dyDescent="0.35">
      <c r="A71" s="1" t="s">
        <v>81</v>
      </c>
      <c r="C71" s="2">
        <v>1915</v>
      </c>
      <c r="E71" s="1" t="s">
        <v>57</v>
      </c>
      <c r="G71" s="11">
        <v>0.5</v>
      </c>
      <c r="H71" s="11"/>
      <c r="I71" s="10" t="s">
        <v>58</v>
      </c>
      <c r="J71" s="11"/>
      <c r="K71" s="13" t="s">
        <v>58</v>
      </c>
      <c r="L71" s="11"/>
      <c r="M71" s="13" t="s">
        <v>58</v>
      </c>
      <c r="O71" s="7">
        <v>0</v>
      </c>
    </row>
    <row r="72" spans="1:15" x14ac:dyDescent="0.35">
      <c r="A72" s="1" t="s">
        <v>82</v>
      </c>
      <c r="C72" s="2">
        <v>1920</v>
      </c>
      <c r="E72" s="1" t="s">
        <v>57</v>
      </c>
      <c r="G72" s="11">
        <v>0.5</v>
      </c>
      <c r="H72" s="11"/>
      <c r="I72" s="10" t="s">
        <v>58</v>
      </c>
      <c r="J72" s="11"/>
      <c r="K72" s="10">
        <f>0.0898401826484018/G72</f>
        <v>0.17968036529680359</v>
      </c>
      <c r="M72" s="6">
        <f>893411/G72/1000</f>
        <v>1786.8219999999999</v>
      </c>
      <c r="O72" s="7">
        <v>0</v>
      </c>
    </row>
    <row r="73" spans="1:15" x14ac:dyDescent="0.35">
      <c r="A73" s="1" t="s">
        <v>83</v>
      </c>
      <c r="C73" s="2">
        <v>1986</v>
      </c>
      <c r="E73" s="1" t="s">
        <v>57</v>
      </c>
      <c r="G73" s="11">
        <v>0.74</v>
      </c>
      <c r="H73" s="11"/>
      <c r="I73" s="10" t="s">
        <v>58</v>
      </c>
      <c r="J73" s="11"/>
      <c r="K73" s="13" t="s">
        <v>58</v>
      </c>
      <c r="M73" s="6">
        <f>1194486/G73/1000</f>
        <v>1614.1702702702703</v>
      </c>
      <c r="O73" s="7">
        <v>0</v>
      </c>
    </row>
    <row r="74" spans="1:15" x14ac:dyDescent="0.35">
      <c r="A74" s="1" t="s">
        <v>84</v>
      </c>
      <c r="C74" s="2">
        <v>1921</v>
      </c>
      <c r="E74" s="1" t="s">
        <v>57</v>
      </c>
      <c r="G74" s="11">
        <v>1.1000000000000001</v>
      </c>
      <c r="H74" s="11"/>
      <c r="I74" s="10" t="s">
        <v>58</v>
      </c>
      <c r="J74" s="11"/>
      <c r="K74" s="10">
        <f>0.60958904109589/G74</f>
        <v>0.55417185554171811</v>
      </c>
      <c r="M74" s="6">
        <f>2865244/G74/1000</f>
        <v>2604.7672727272725</v>
      </c>
      <c r="O74" s="7">
        <v>0</v>
      </c>
    </row>
    <row r="75" spans="1:15" x14ac:dyDescent="0.35">
      <c r="A75" s="1" t="s">
        <v>85</v>
      </c>
      <c r="C75" s="2">
        <v>1911</v>
      </c>
      <c r="E75" s="1" t="s">
        <v>57</v>
      </c>
      <c r="G75" s="11">
        <v>3.85</v>
      </c>
      <c r="H75" s="11"/>
      <c r="I75" s="10" t="s">
        <v>58</v>
      </c>
      <c r="J75" s="11"/>
      <c r="K75" s="10">
        <f>1.01689497716895/G75</f>
        <v>0.26412856549842856</v>
      </c>
      <c r="M75" s="6">
        <f>2962109/G75/1000</f>
        <v>769.37896103896105</v>
      </c>
      <c r="O75" s="7">
        <v>0</v>
      </c>
    </row>
    <row r="76" spans="1:15" x14ac:dyDescent="0.35">
      <c r="A76" s="1" t="s">
        <v>86</v>
      </c>
      <c r="C76" s="2">
        <v>1908</v>
      </c>
      <c r="E76" s="1" t="s">
        <v>57</v>
      </c>
      <c r="G76" s="11">
        <v>0.6</v>
      </c>
      <c r="H76" s="11"/>
      <c r="I76" s="10" t="s">
        <v>58</v>
      </c>
      <c r="J76" s="11"/>
      <c r="K76" s="10">
        <f>0.105707762557078/G76</f>
        <v>0.17617960426179669</v>
      </c>
      <c r="M76" s="6">
        <f>468574/G76/1000</f>
        <v>780.95666666666671</v>
      </c>
      <c r="O76" s="7">
        <v>0</v>
      </c>
    </row>
    <row r="77" spans="1:15" x14ac:dyDescent="0.35">
      <c r="A77" s="1" t="s">
        <v>87</v>
      </c>
      <c r="C77" s="14" t="s">
        <v>90</v>
      </c>
      <c r="E77" s="1" t="s">
        <v>57</v>
      </c>
      <c r="G77" s="15" t="s">
        <v>90</v>
      </c>
      <c r="H77" s="11"/>
      <c r="I77" s="10" t="s">
        <v>58</v>
      </c>
      <c r="J77" s="11"/>
      <c r="K77" s="12" t="s">
        <v>90</v>
      </c>
      <c r="M77" s="10" t="s">
        <v>58</v>
      </c>
      <c r="O77" s="7">
        <v>0</v>
      </c>
    </row>
    <row r="78" spans="1:15" x14ac:dyDescent="0.35">
      <c r="A78" s="1" t="s">
        <v>88</v>
      </c>
      <c r="C78" s="14" t="s">
        <v>90</v>
      </c>
      <c r="E78" s="1" t="s">
        <v>57</v>
      </c>
      <c r="G78" s="15" t="s">
        <v>90</v>
      </c>
      <c r="H78" s="11"/>
      <c r="I78" s="10" t="s">
        <v>58</v>
      </c>
      <c r="J78" s="11"/>
      <c r="K78" s="12" t="s">
        <v>90</v>
      </c>
      <c r="M78" s="10" t="s">
        <v>58</v>
      </c>
      <c r="O78" s="7">
        <v>0</v>
      </c>
    </row>
    <row r="79" spans="1:15" x14ac:dyDescent="0.35">
      <c r="A79" s="1" t="s">
        <v>89</v>
      </c>
      <c r="C79" s="14" t="s">
        <v>90</v>
      </c>
      <c r="E79" s="1" t="s">
        <v>57</v>
      </c>
      <c r="G79" s="15" t="s">
        <v>90</v>
      </c>
      <c r="H79" s="11"/>
      <c r="I79" s="10" t="s">
        <v>58</v>
      </c>
      <c r="J79" s="11"/>
      <c r="K79" s="12" t="s">
        <v>90</v>
      </c>
      <c r="M79" s="10" t="s">
        <v>58</v>
      </c>
      <c r="O79" s="7">
        <v>0</v>
      </c>
    </row>
    <row r="80" spans="1:15" x14ac:dyDescent="0.35">
      <c r="A80" s="1" t="s">
        <v>91</v>
      </c>
      <c r="C80" s="2">
        <v>1917</v>
      </c>
      <c r="E80" s="1" t="s">
        <v>57</v>
      </c>
      <c r="G80" s="10" t="s">
        <v>58</v>
      </c>
      <c r="I80" s="10" t="s">
        <v>58</v>
      </c>
      <c r="K80" s="10" t="s">
        <v>58</v>
      </c>
      <c r="M80" s="10" t="s">
        <v>58</v>
      </c>
      <c r="O80" s="7">
        <v>0</v>
      </c>
    </row>
    <row r="82" spans="1:15" x14ac:dyDescent="0.35">
      <c r="A82" s="1" t="s">
        <v>92</v>
      </c>
      <c r="C82" s="2">
        <v>2010</v>
      </c>
      <c r="E82" s="1" t="s">
        <v>107</v>
      </c>
      <c r="G82" s="1">
        <v>111</v>
      </c>
      <c r="I82" s="10" t="s">
        <v>58</v>
      </c>
      <c r="K82" s="3">
        <f>409613/8760/G82</f>
        <v>0.4212565305031058</v>
      </c>
      <c r="M82" s="6">
        <f>239703012/G82/1000</f>
        <v>2159.4865945945944</v>
      </c>
      <c r="O82" s="7">
        <v>0</v>
      </c>
    </row>
    <row r="83" spans="1:15" x14ac:dyDescent="0.35">
      <c r="A83" s="1" t="s">
        <v>93</v>
      </c>
      <c r="C83" s="2">
        <v>1999</v>
      </c>
      <c r="E83" s="1" t="s">
        <v>107</v>
      </c>
      <c r="G83" s="1">
        <v>32.15</v>
      </c>
      <c r="I83" s="10" t="s">
        <v>58</v>
      </c>
      <c r="K83" s="3">
        <f>89042/8760/G83</f>
        <v>0.31616211110874404</v>
      </c>
      <c r="M83" s="6">
        <f>36515908/G84/1000</f>
        <v>368.84755555555557</v>
      </c>
      <c r="O83" s="7">
        <v>0</v>
      </c>
    </row>
    <row r="84" spans="1:15" x14ac:dyDescent="0.35">
      <c r="A84" s="1" t="s">
        <v>94</v>
      </c>
      <c r="C84" s="2">
        <v>2008</v>
      </c>
      <c r="E84" s="1" t="s">
        <v>107</v>
      </c>
      <c r="G84" s="1">
        <v>99</v>
      </c>
      <c r="I84" s="10" t="s">
        <v>58</v>
      </c>
      <c r="K84" s="3">
        <f>322390/8760/G84</f>
        <v>0.37174253955075875</v>
      </c>
      <c r="M84" s="6">
        <f>201863767/G84/1000</f>
        <v>2039.0279494949496</v>
      </c>
      <c r="O84" s="7">
        <v>0</v>
      </c>
    </row>
    <row r="85" spans="1:15" x14ac:dyDescent="0.35">
      <c r="A85" s="1" t="s">
        <v>95</v>
      </c>
      <c r="C85" s="2">
        <v>2009</v>
      </c>
      <c r="E85" s="1" t="s">
        <v>107</v>
      </c>
      <c r="G85" s="1">
        <v>39</v>
      </c>
      <c r="I85" s="10" t="s">
        <v>58</v>
      </c>
      <c r="K85" s="3">
        <f>121920/8760/G85</f>
        <v>0.35686687741482265</v>
      </c>
      <c r="M85" s="6">
        <f>87422570/G85/1000</f>
        <v>2241.604358974359</v>
      </c>
      <c r="O85" s="7">
        <v>0</v>
      </c>
    </row>
    <row r="86" spans="1:15" x14ac:dyDescent="0.35">
      <c r="A86" s="1" t="s">
        <v>96</v>
      </c>
      <c r="C86" s="2">
        <v>2009</v>
      </c>
      <c r="E86" s="1" t="s">
        <v>107</v>
      </c>
      <c r="G86" s="1">
        <v>99</v>
      </c>
      <c r="I86" s="10" t="s">
        <v>58</v>
      </c>
      <c r="K86" s="3">
        <f>294834/8760/G86</f>
        <v>0.33996817489968173</v>
      </c>
      <c r="M86" s="6">
        <f>202658156/G86/1000</f>
        <v>2047.0520808080807</v>
      </c>
      <c r="O86" s="7">
        <v>0</v>
      </c>
    </row>
    <row r="87" spans="1:15" x14ac:dyDescent="0.35">
      <c r="A87" s="1" t="s">
        <v>97</v>
      </c>
      <c r="C87" s="2">
        <v>2008</v>
      </c>
      <c r="E87" s="1" t="s">
        <v>107</v>
      </c>
      <c r="G87" s="1">
        <v>94</v>
      </c>
      <c r="I87" s="10" t="s">
        <v>58</v>
      </c>
      <c r="K87" s="3">
        <f>227258/8760/G87</f>
        <v>0.27598610706305254</v>
      </c>
      <c r="M87" s="6">
        <f>183564537/G87/1000</f>
        <v>1952.8142234042552</v>
      </c>
      <c r="O87" s="7">
        <v>0</v>
      </c>
    </row>
    <row r="88" spans="1:15" x14ac:dyDescent="0.35">
      <c r="A88" s="1" t="s">
        <v>98</v>
      </c>
      <c r="C88" s="2">
        <v>2006</v>
      </c>
      <c r="E88" s="1" t="s">
        <v>107</v>
      </c>
      <c r="G88" s="1">
        <v>100.5</v>
      </c>
      <c r="I88" s="10" t="s">
        <v>58</v>
      </c>
      <c r="K88" s="3">
        <f>206164/8760/G88</f>
        <v>0.23417615120743315</v>
      </c>
      <c r="M88" s="6">
        <f>176493722/G88/1000</f>
        <v>1756.1564378109454</v>
      </c>
      <c r="O88" s="7">
        <v>0</v>
      </c>
    </row>
    <row r="89" spans="1:15" x14ac:dyDescent="0.35">
      <c r="A89" s="1" t="s">
        <v>99</v>
      </c>
      <c r="C89" s="2">
        <v>2007</v>
      </c>
      <c r="E89" s="1" t="s">
        <v>107</v>
      </c>
      <c r="G89" s="1">
        <v>140.4</v>
      </c>
      <c r="I89" s="10" t="s">
        <v>58</v>
      </c>
      <c r="K89" s="3">
        <f>331240/8760/G89</f>
        <v>0.2693218332487739</v>
      </c>
      <c r="M89" s="6">
        <f>240176300/G89/1000</f>
        <v>1710.6574074074074</v>
      </c>
      <c r="O89" s="7">
        <v>0</v>
      </c>
    </row>
    <row r="90" spans="1:15" x14ac:dyDescent="0.35">
      <c r="A90" s="1" t="s">
        <v>100</v>
      </c>
      <c r="C90" s="2">
        <v>2008</v>
      </c>
      <c r="E90" s="1" t="s">
        <v>107</v>
      </c>
      <c r="G90" s="1">
        <v>70.2</v>
      </c>
      <c r="I90" s="10" t="s">
        <v>58</v>
      </c>
      <c r="K90" s="3">
        <f>154612/8760/G90</f>
        <v>0.25142124913814407</v>
      </c>
      <c r="M90" s="6">
        <f>129350625/G90/1000</f>
        <v>1842.6014957264958</v>
      </c>
      <c r="O90" s="7">
        <v>0</v>
      </c>
    </row>
    <row r="91" spans="1:15" x14ac:dyDescent="0.35">
      <c r="A91" s="1" t="s">
        <v>101</v>
      </c>
      <c r="C91" s="2">
        <v>2008</v>
      </c>
      <c r="E91" s="1" t="s">
        <v>107</v>
      </c>
      <c r="G91" s="1">
        <v>99</v>
      </c>
      <c r="I91" s="10" t="s">
        <v>58</v>
      </c>
      <c r="K91" s="3">
        <f>356094/8760/G91</f>
        <v>0.41060606060606059</v>
      </c>
      <c r="M91" s="6">
        <f>200853550/G91/1000</f>
        <v>2028.8237373737375</v>
      </c>
      <c r="O91" s="7">
        <v>0</v>
      </c>
    </row>
    <row r="92" spans="1:15" x14ac:dyDescent="0.35">
      <c r="A92" s="1" t="s">
        <v>102</v>
      </c>
      <c r="C92" s="2">
        <v>2008</v>
      </c>
      <c r="E92" s="1" t="s">
        <v>107</v>
      </c>
      <c r="G92" s="1">
        <v>19.5</v>
      </c>
      <c r="I92" s="10" t="s">
        <v>58</v>
      </c>
      <c r="K92" s="3">
        <f>77049/8760/G92</f>
        <v>0.45105374077976818</v>
      </c>
      <c r="M92" s="6">
        <f>42253626/G92/1000</f>
        <v>2166.8526153846155</v>
      </c>
      <c r="O92" s="7">
        <v>0</v>
      </c>
    </row>
    <row r="93" spans="1:15" x14ac:dyDescent="0.35">
      <c r="A93" s="1" t="s">
        <v>103</v>
      </c>
      <c r="C93" s="2">
        <v>2009</v>
      </c>
      <c r="E93" s="1" t="s">
        <v>107</v>
      </c>
      <c r="G93" s="1">
        <v>99</v>
      </c>
      <c r="I93" s="10" t="s">
        <v>58</v>
      </c>
      <c r="K93" s="3">
        <f>341250/8760/G93</f>
        <v>0.39348969143489693</v>
      </c>
      <c r="M93" s="6">
        <f>219781632/G93/1000</f>
        <v>2220.0164848484847</v>
      </c>
      <c r="O93" s="7">
        <v>0</v>
      </c>
    </row>
    <row r="94" spans="1:15" x14ac:dyDescent="0.35">
      <c r="A94" s="1" t="s">
        <v>104</v>
      </c>
      <c r="C94" s="2">
        <v>2009</v>
      </c>
      <c r="E94" s="1" t="s">
        <v>107</v>
      </c>
      <c r="G94" s="1">
        <v>28.5</v>
      </c>
      <c r="I94" s="10" t="s">
        <v>58</v>
      </c>
      <c r="K94" s="3">
        <f>103727/8760/G94</f>
        <v>0.41547304333894092</v>
      </c>
      <c r="M94" s="6">
        <f>56962923/G94/1000</f>
        <v>1998.699052631579</v>
      </c>
      <c r="O94" s="7">
        <v>0</v>
      </c>
    </row>
    <row r="96" spans="1:15" x14ac:dyDescent="0.35">
      <c r="A96" s="1" t="s">
        <v>105</v>
      </c>
      <c r="C96" s="2">
        <v>2012</v>
      </c>
      <c r="E96" s="1" t="s">
        <v>106</v>
      </c>
      <c r="G96" s="1">
        <v>2</v>
      </c>
      <c r="I96" s="10" t="s">
        <v>58</v>
      </c>
      <c r="K96" s="3">
        <f>0.536415525114155/G96</f>
        <v>0.26820776255707751</v>
      </c>
      <c r="M96" s="6">
        <f>74986/G96/1000</f>
        <v>37.493000000000002</v>
      </c>
      <c r="O96" s="7">
        <v>0</v>
      </c>
    </row>
    <row r="97" spans="1:15" x14ac:dyDescent="0.35">
      <c r="A97" s="16"/>
      <c r="B97" s="16"/>
      <c r="C97" s="5"/>
      <c r="D97" s="16"/>
      <c r="E97" s="16"/>
      <c r="F97" s="16"/>
      <c r="G97" s="16"/>
      <c r="H97" s="16"/>
      <c r="I97" s="17"/>
      <c r="J97" s="16"/>
      <c r="K97" s="17"/>
      <c r="L97" s="16"/>
      <c r="M97" s="18"/>
      <c r="N97" s="16"/>
      <c r="O97" s="19"/>
    </row>
    <row r="99" spans="1:15" x14ac:dyDescent="0.35">
      <c r="A99" s="26" t="s">
        <v>108</v>
      </c>
      <c r="B99" s="26"/>
      <c r="C99" s="27"/>
      <c r="D99" s="26"/>
      <c r="E99" s="26"/>
      <c r="F99" s="26"/>
      <c r="G99" s="26"/>
    </row>
    <row r="100" spans="1:15" x14ac:dyDescent="0.35">
      <c r="A100" s="26" t="s">
        <v>109</v>
      </c>
      <c r="B100" s="26"/>
      <c r="C100" s="27"/>
      <c r="D100" s="26"/>
      <c r="E100" s="26"/>
      <c r="F100" s="26"/>
      <c r="G100" s="35">
        <f>SUM(G10:G23)</f>
        <v>6657.9500000000016</v>
      </c>
    </row>
    <row r="101" spans="1:15" x14ac:dyDescent="0.35">
      <c r="A101" s="26" t="s">
        <v>110</v>
      </c>
      <c r="B101" s="26"/>
      <c r="C101" s="27"/>
      <c r="D101" s="26"/>
      <c r="E101" s="26"/>
      <c r="F101" s="26"/>
      <c r="G101" s="35">
        <f>SUM(G25:G28)</f>
        <v>2031.1</v>
      </c>
    </row>
    <row r="102" spans="1:15" x14ac:dyDescent="0.35">
      <c r="A102" s="26" t="s">
        <v>111</v>
      </c>
      <c r="B102" s="26"/>
      <c r="C102" s="27"/>
      <c r="D102" s="26"/>
      <c r="E102" s="26"/>
      <c r="F102" s="26"/>
      <c r="G102" s="35">
        <f>+G30+G31</f>
        <v>432.7</v>
      </c>
    </row>
    <row r="103" spans="1:15" x14ac:dyDescent="0.35">
      <c r="A103" s="26" t="s">
        <v>112</v>
      </c>
      <c r="B103" s="26"/>
      <c r="C103" s="27"/>
      <c r="D103" s="26"/>
      <c r="E103" s="26"/>
      <c r="F103" s="26"/>
      <c r="G103" s="35">
        <f>SUM(G33:G80)</f>
        <v>1067.8499999999999</v>
      </c>
    </row>
    <row r="104" spans="1:15" x14ac:dyDescent="0.35">
      <c r="A104" s="26" t="s">
        <v>113</v>
      </c>
      <c r="B104" s="26"/>
      <c r="C104" s="27"/>
      <c r="D104" s="26"/>
      <c r="E104" s="26"/>
      <c r="F104" s="26"/>
      <c r="G104" s="35">
        <f>SUM(G82:G94)</f>
        <v>1031.25</v>
      </c>
    </row>
    <row r="105" spans="1:15" x14ac:dyDescent="0.35">
      <c r="A105" s="26" t="s">
        <v>114</v>
      </c>
      <c r="B105" s="26"/>
      <c r="C105" s="27"/>
      <c r="D105" s="26"/>
      <c r="E105" s="26"/>
      <c r="F105" s="26"/>
      <c r="G105" s="36">
        <f>+G96</f>
        <v>2</v>
      </c>
    </row>
    <row r="106" spans="1:15" x14ac:dyDescent="0.35">
      <c r="A106" s="26" t="s">
        <v>115</v>
      </c>
      <c r="B106" s="26"/>
      <c r="C106" s="27"/>
      <c r="D106" s="26"/>
      <c r="E106" s="26"/>
      <c r="F106" s="26"/>
      <c r="G106" s="37">
        <f>SUM(G100:G105)</f>
        <v>11222.850000000002</v>
      </c>
    </row>
    <row r="107" spans="1:15" x14ac:dyDescent="0.35">
      <c r="A107" s="16"/>
      <c r="B107" s="16"/>
      <c r="C107" s="5"/>
      <c r="D107" s="16"/>
      <c r="E107" s="16"/>
      <c r="F107" s="16"/>
      <c r="G107" s="16"/>
      <c r="H107" s="16"/>
      <c r="I107" s="17"/>
      <c r="J107" s="16"/>
      <c r="K107" s="17"/>
      <c r="L107" s="16"/>
      <c r="M107" s="18"/>
      <c r="N107" s="16"/>
      <c r="O107" s="19"/>
    </row>
    <row r="109" spans="1:15" x14ac:dyDescent="0.35">
      <c r="A109" s="1" t="s">
        <v>118</v>
      </c>
    </row>
  </sheetData>
  <sortState ref="A7:O26">
    <sortCondition descending="1" ref="K7:K26"/>
  </sortState>
  <mergeCells count="2">
    <mergeCell ref="A3:O3"/>
    <mergeCell ref="A4:O4"/>
  </mergeCells>
  <printOptions horizontalCentered="1"/>
  <pageMargins left="0.7" right="0.7" top="0.75" bottom="0.75" header="0.3" footer="0.3"/>
  <pageSetup scale="73" fitToHeight="0" orientation="portrait" horizontalDpi="4294967293" r:id="rId1"/>
  <headerFooter>
    <oddHeader>&amp;RUE-140762 et al.
Exhibit No. GAW-7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77311EA-5E4B-45B5-8E63-6F20FA09333E}"/>
</file>

<file path=customXml/itemProps2.xml><?xml version="1.0" encoding="utf-8"?>
<ds:datastoreItem xmlns:ds="http://schemas.openxmlformats.org/officeDocument/2006/customXml" ds:itemID="{F0733616-A546-4D4B-921D-3133051007EE}"/>
</file>

<file path=customXml/itemProps3.xml><?xml version="1.0" encoding="utf-8"?>
<ds:datastoreItem xmlns:ds="http://schemas.openxmlformats.org/officeDocument/2006/customXml" ds:itemID="{5E0C8B31-8186-424F-968C-5FBA52395178}"/>
</file>

<file path=customXml/itemProps4.xml><?xml version="1.0" encoding="utf-8"?>
<ds:datastoreItem xmlns:ds="http://schemas.openxmlformats.org/officeDocument/2006/customXml" ds:itemID="{E00D0397-385E-4DE1-BEBC-4BD8D93EE3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Jdolen</dc:creator>
  <cp:lastModifiedBy>Jennifer Snyder</cp:lastModifiedBy>
  <cp:lastPrinted>2014-10-27T19:50:31Z</cp:lastPrinted>
  <dcterms:created xsi:type="dcterms:W3CDTF">2014-10-20T14:59:58Z</dcterms:created>
  <dcterms:modified xsi:type="dcterms:W3CDTF">2014-11-14T17:41:29Z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