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activeTab="3"/>
  </bookViews>
  <sheets>
    <sheet name="PMS-7 Res of Ops" sheetId="1" r:id="rId1"/>
    <sheet name="PMS-8 RevReq" sheetId="2" r:id="rId2"/>
    <sheet name="PMS-9 Conv Factor" sheetId="3" r:id="rId3"/>
    <sheet name="PMS-10 RA sum" sheetId="4" r:id="rId4"/>
    <sheet name="PMS-12 Pro formaSum" sheetId="5" r:id="rId5"/>
  </sheets>
  <externalReferences>
    <externalReference r:id="rId8"/>
  </externalReferences>
  <definedNames>
    <definedName name="_xlnm.Print_Area" localSheetId="3">'PMS-10 RA sum'!$F$1:$AK$72</definedName>
    <definedName name="_xlnm.Print_Area" localSheetId="4">'PMS-12 Pro formaSum'!$A$1:$AH$70</definedName>
    <definedName name="_xlnm.Print_Area" localSheetId="0">'PMS-7 Res of Ops'!$A$12:$J$75</definedName>
    <definedName name="_xlnm.Print_Area" localSheetId="1">'PMS-8 RevReq'!$A$1:$G$40</definedName>
    <definedName name="_xlnm.Print_Area" localSheetId="2">'PMS-9 Conv Factor'!$A$1:$I$39</definedName>
    <definedName name="_xlnm.Print_Titles" localSheetId="3">'PMS-10 RA sum'!$A:$E</definedName>
    <definedName name="_xlnm.Print_Titles" localSheetId="4">'PMS-12 Pro formaSum'!$A:$E,'PMS-12 Pro formaSum'!$1:$3</definedName>
    <definedName name="_xlnm.Print_Titles" localSheetId="0">'PMS-7 Res of Ops'!$1:$11</definedName>
  </definedNames>
  <calcPr fullCalcOnLoad="1"/>
</workbook>
</file>

<file path=xl/sharedStrings.xml><?xml version="1.0" encoding="utf-8"?>
<sst xmlns="http://schemas.openxmlformats.org/spreadsheetml/2006/main" count="660" uniqueCount="398">
  <si>
    <t xml:space="preserve">OOP </t>
  </si>
  <si>
    <t>Remove OOP</t>
  </si>
  <si>
    <t xml:space="preserve">Convert OPEB </t>
  </si>
  <si>
    <t>Remove</t>
  </si>
  <si>
    <t xml:space="preserve">Reclass </t>
  </si>
  <si>
    <t>OOP True-ups</t>
  </si>
  <si>
    <t>GTEDS billing</t>
  </si>
  <si>
    <t>Intercompany</t>
  </si>
  <si>
    <t xml:space="preserve">Corporate </t>
  </si>
  <si>
    <t>Deferred Tax</t>
  </si>
  <si>
    <t>OOP UNE</t>
  </si>
  <si>
    <t>OOP Collo</t>
  </si>
  <si>
    <t>Correct between-</t>
  </si>
  <si>
    <t xml:space="preserve">Occupational </t>
  </si>
  <si>
    <t>VADI SAB 101</t>
  </si>
  <si>
    <t>Interconnection</t>
  </si>
  <si>
    <t>Cellular Access</t>
  </si>
  <si>
    <t>Reconciliation</t>
  </si>
  <si>
    <t xml:space="preserve">Accruals and </t>
  </si>
  <si>
    <t>OOP</t>
  </si>
  <si>
    <t>Cellular DA</t>
  </si>
  <si>
    <t xml:space="preserve">Adjustment </t>
  </si>
  <si>
    <t>YE True-up</t>
  </si>
  <si>
    <t xml:space="preserve">Expense </t>
  </si>
  <si>
    <t xml:space="preserve">Balance </t>
  </si>
  <si>
    <t>Rate Change</t>
  </si>
  <si>
    <t>OOP Correction</t>
  </si>
  <si>
    <t>state allocation</t>
  </si>
  <si>
    <t>OOP B&amp;O tax</t>
  </si>
  <si>
    <t xml:space="preserve">RTU License </t>
  </si>
  <si>
    <t>Interco. Software</t>
  </si>
  <si>
    <t>Distributions</t>
  </si>
  <si>
    <t>Billing adjustment</t>
  </si>
  <si>
    <t xml:space="preserve">Deferral </t>
  </si>
  <si>
    <t>Billing Adj</t>
  </si>
  <si>
    <t>Rate Adjustment</t>
  </si>
  <si>
    <t>Write-Offs</t>
  </si>
  <si>
    <t>Reclass</t>
  </si>
  <si>
    <t>Revenue</t>
  </si>
  <si>
    <t>SAB 101</t>
  </si>
  <si>
    <t>affecting TY</t>
  </si>
  <si>
    <t>booked OOP</t>
  </si>
  <si>
    <t>Removal</t>
  </si>
  <si>
    <t>Restatement</t>
  </si>
  <si>
    <t>Adjustment</t>
  </si>
  <si>
    <t>Shared Services</t>
  </si>
  <si>
    <t>error - Pensions</t>
  </si>
  <si>
    <t>Assessment</t>
  </si>
  <si>
    <t>True-Up</t>
  </si>
  <si>
    <t>True-Up 12/02</t>
  </si>
  <si>
    <t>(a)</t>
  </si>
  <si>
    <t>(b)</t>
  </si>
  <si>
    <t>(e)</t>
  </si>
  <si>
    <t>(f)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</si>
  <si>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</si>
  <si>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</si>
  <si>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</si>
  <si>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</si>
  <si>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</si>
  <si>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</si>
  <si>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</si>
  <si>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</si>
  <si>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</si>
  <si>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</si>
  <si>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</si>
  <si>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</si>
  <si>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(w)</t>
  </si>
  <si>
    <t>Line</t>
  </si>
  <si>
    <t>Description</t>
  </si>
  <si>
    <t>R1-03</t>
  </si>
  <si>
    <t>R2-03</t>
  </si>
  <si>
    <t>R5-03</t>
  </si>
  <si>
    <t>R8-03</t>
  </si>
  <si>
    <t>R9-03</t>
  </si>
  <si>
    <t>R11-03</t>
  </si>
  <si>
    <t>R12-03</t>
  </si>
  <si>
    <t>R13-03</t>
  </si>
  <si>
    <t>R14-03</t>
  </si>
  <si>
    <t>R15-03</t>
  </si>
  <si>
    <t>R16-03</t>
  </si>
  <si>
    <t>R5-02</t>
  </si>
  <si>
    <t>R6-02</t>
  </si>
  <si>
    <t>R8-02</t>
  </si>
  <si>
    <t>R9-02</t>
  </si>
  <si>
    <t>R10-02</t>
  </si>
  <si>
    <t>R11-02</t>
  </si>
  <si>
    <t>R12-02</t>
  </si>
  <si>
    <t>R13-02</t>
  </si>
  <si>
    <t>R14-02</t>
  </si>
  <si>
    <t>R15-02</t>
  </si>
  <si>
    <t>Operating Revenues:</t>
  </si>
  <si>
    <t>Local Network Service</t>
  </si>
  <si>
    <t>Network Access Revenues</t>
  </si>
  <si>
    <t>Long Dist Netwk Revenues</t>
  </si>
  <si>
    <t>Miscellaneous Revenues</t>
  </si>
  <si>
    <t>Uncollectibles</t>
  </si>
  <si>
    <t>Total Operating Revenue</t>
  </si>
  <si>
    <t>Operating Expenses:</t>
  </si>
  <si>
    <t>Plant Specific Operations</t>
  </si>
  <si>
    <t>Plant Non-Spec Operations</t>
  </si>
  <si>
    <t>Access</t>
  </si>
  <si>
    <t>Customer Operations</t>
  </si>
  <si>
    <t>Corporate Operations</t>
  </si>
  <si>
    <t>Depreciation</t>
  </si>
  <si>
    <t>Other Income &amp; Expenses</t>
  </si>
  <si>
    <t>Taxes Other Than Income Taxes</t>
  </si>
  <si>
    <t>Total Operating Expenses</t>
  </si>
  <si>
    <t>Earnings Before Interest and Taxes (EBIT)</t>
  </si>
  <si>
    <t>Rate Base (Average):</t>
  </si>
  <si>
    <t>Telecomm Plant in Service</t>
  </si>
  <si>
    <t>Other Assets (SFAS 87)</t>
  </si>
  <si>
    <t>Investor Supplied Working Capital</t>
  </si>
  <si>
    <t>Depr &amp; Amort Reserve</t>
  </si>
  <si>
    <t>Deferred Income Taxes</t>
  </si>
  <si>
    <t xml:space="preserve">Other LT Liab </t>
  </si>
  <si>
    <t>Total Rate Base</t>
  </si>
  <si>
    <t>Reference</t>
  </si>
  <si>
    <t>for deferrals</t>
  </si>
  <si>
    <t>Liability to</t>
  </si>
  <si>
    <t xml:space="preserve"> PAYGO</t>
  </si>
  <si>
    <t>(c)</t>
  </si>
  <si>
    <t>(d)</t>
  </si>
  <si>
    <t>(g)</t>
  </si>
  <si>
    <t>(h)</t>
  </si>
  <si>
    <t>(i)</t>
  </si>
  <si>
    <t>(j)</t>
  </si>
  <si>
    <t>P1</t>
  </si>
  <si>
    <t>P2</t>
  </si>
  <si>
    <t>P3</t>
  </si>
  <si>
    <t>P4</t>
  </si>
  <si>
    <t>P5</t>
  </si>
  <si>
    <t>P6</t>
  </si>
  <si>
    <t>P7</t>
  </si>
  <si>
    <t>P8</t>
  </si>
  <si>
    <t>P10</t>
  </si>
  <si>
    <t>P11</t>
  </si>
  <si>
    <t>P12</t>
  </si>
  <si>
    <t>P13</t>
  </si>
  <si>
    <t>P14</t>
  </si>
  <si>
    <t>P15</t>
  </si>
  <si>
    <t>P17</t>
  </si>
  <si>
    <t>P18</t>
  </si>
  <si>
    <t>P19</t>
  </si>
  <si>
    <t>P20</t>
  </si>
  <si>
    <t>Decline</t>
  </si>
  <si>
    <t>Projected</t>
  </si>
  <si>
    <t>MOU increase</t>
  </si>
  <si>
    <t xml:space="preserve">and access </t>
  </si>
  <si>
    <t xml:space="preserve">charge </t>
  </si>
  <si>
    <t>reduction</t>
  </si>
  <si>
    <t>Toll</t>
  </si>
  <si>
    <t>Miscell.</t>
  </si>
  <si>
    <t>Declines</t>
  </si>
  <si>
    <t>Price Inc.</t>
  </si>
  <si>
    <t>Service</t>
  </si>
  <si>
    <t>Corrections</t>
  </si>
  <si>
    <t>Price</t>
  </si>
  <si>
    <t>Increase</t>
  </si>
  <si>
    <t>CentraNet</t>
  </si>
  <si>
    <t>CustoPAK</t>
  </si>
  <si>
    <t>Adjust</t>
  </si>
  <si>
    <t>to Actual</t>
  </si>
  <si>
    <t>Writeoffs</t>
  </si>
  <si>
    <t>Rate</t>
  </si>
  <si>
    <t>Case</t>
  </si>
  <si>
    <t>Expense</t>
  </si>
  <si>
    <t>OPEB Liab</t>
  </si>
  <si>
    <t>for 2004</t>
  </si>
  <si>
    <t>Actuarials</t>
  </si>
  <si>
    <t>Salary,</t>
  </si>
  <si>
    <t>Wage,</t>
  </si>
  <si>
    <t>Benefit</t>
  </si>
  <si>
    <t>Increases</t>
  </si>
  <si>
    <t>Investor</t>
  </si>
  <si>
    <t>Supplied</t>
  </si>
  <si>
    <t>Working</t>
  </si>
  <si>
    <t>Capital</t>
  </si>
  <si>
    <t>Pension</t>
  </si>
  <si>
    <t xml:space="preserve">Asset to </t>
  </si>
  <si>
    <t>PAYGO</t>
  </si>
  <si>
    <t>2004 net</t>
  </si>
  <si>
    <t>Addns to TPIS</t>
  </si>
  <si>
    <t>Rate Increase,</t>
  </si>
  <si>
    <t>Employee</t>
  </si>
  <si>
    <t>Severance</t>
  </si>
  <si>
    <t>Costs</t>
  </si>
  <si>
    <t xml:space="preserve">Effect of </t>
  </si>
  <si>
    <t>Net to Gross</t>
  </si>
  <si>
    <t>Adjustments</t>
  </si>
  <si>
    <t>MVSP</t>
  </si>
  <si>
    <t xml:space="preserve">Costs &amp; </t>
  </si>
  <si>
    <t>Savings</t>
  </si>
  <si>
    <t>Amortiz.</t>
  </si>
  <si>
    <t>Amort 2003</t>
  </si>
  <si>
    <t>Total</t>
  </si>
  <si>
    <t>Proforma</t>
  </si>
  <si>
    <t xml:space="preserve">Restating </t>
  </si>
  <si>
    <t>TAX CALCULATION</t>
  </si>
  <si>
    <t>State Income Tax Rate</t>
  </si>
  <si>
    <t>Federal Income Tax Rate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</si>
  <si>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</si>
  <si>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</si>
  <si>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</si>
  <si>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</si>
  <si>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</si>
  <si>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</si>
  <si>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</si>
  <si>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</t>
  </si>
  <si>
    <t>Taxable Income</t>
  </si>
  <si>
    <t>Adjustments to FIT</t>
  </si>
  <si>
    <t>Federal Income Tax</t>
  </si>
  <si>
    <t>Interest Expense</t>
  </si>
  <si>
    <t>SOURCE/CALC</t>
  </si>
  <si>
    <t>line 22</t>
  </si>
  <si>
    <t>Interest True-up Adjustment</t>
  </si>
  <si>
    <t>Weighted Cost of Debt</t>
  </si>
  <si>
    <t>Pro forma interest Expense</t>
  </si>
  <si>
    <t>Increase/(decrease) interest expense</t>
  </si>
  <si>
    <t>source/calc</t>
  </si>
  <si>
    <t>Adjusted Intrastate Average Rate Base</t>
  </si>
  <si>
    <t>Rate of Return</t>
  </si>
  <si>
    <t>Adjusted Intrastate Net Operating Income</t>
  </si>
  <si>
    <t>Revenue Conversion Factor</t>
  </si>
  <si>
    <t>Regulated</t>
  </si>
  <si>
    <t>Intrastate</t>
  </si>
  <si>
    <t>Net Operating Income</t>
  </si>
  <si>
    <t>Return on Rate Base (ROR)</t>
  </si>
  <si>
    <t>Restating</t>
  </si>
  <si>
    <t>Unadjusted</t>
  </si>
  <si>
    <t>Adjusted</t>
  </si>
  <si>
    <t>Results w/</t>
  </si>
  <si>
    <t>Requirement</t>
  </si>
  <si>
    <t>Revenue Req.</t>
  </si>
  <si>
    <t>Price Increases</t>
  </si>
  <si>
    <t>Cyber DS1</t>
  </si>
  <si>
    <t>Frame Relay</t>
  </si>
  <si>
    <t>P21</t>
  </si>
  <si>
    <t>Staff</t>
  </si>
  <si>
    <t>STAFF</t>
  </si>
  <si>
    <t xml:space="preserve">Directory </t>
  </si>
  <si>
    <t xml:space="preserve">Revenue </t>
  </si>
  <si>
    <t>Imputation</t>
  </si>
  <si>
    <t xml:space="preserve">Staff </t>
  </si>
  <si>
    <t>EBIT</t>
  </si>
  <si>
    <t>VERIZON NORTHWEST INC. - WASHINGTON OPERATIONS</t>
  </si>
  <si>
    <t>2004 Washington General Rate Case</t>
  </si>
  <si>
    <t>Test Year - October 2002 to September 2003</t>
  </si>
  <si>
    <t>(Thousands of Dollars)</t>
  </si>
  <si>
    <t>line 28</t>
  </si>
  <si>
    <t xml:space="preserve">Federal Tax Rate </t>
  </si>
  <si>
    <t>line 54 -  line 55</t>
  </si>
  <si>
    <t>State Tax Rate</t>
  </si>
  <si>
    <t>Tax on Pre-Tax Income</t>
  </si>
  <si>
    <t>line 57 + line 59</t>
  </si>
  <si>
    <t>Ex. PMS-7, line 38</t>
  </si>
  <si>
    <t xml:space="preserve">Ex. PMS-7, line 26 </t>
  </si>
  <si>
    <t>Gross Revenue Conversion Factor</t>
  </si>
  <si>
    <t>Calculation</t>
  </si>
  <si>
    <t>Gross Revenues</t>
  </si>
  <si>
    <t>Less Uncollectibles</t>
  </si>
  <si>
    <t>Net Revenue (Ln 1 - Ln 2)</t>
  </si>
  <si>
    <t>Regulatory Fee @ .19%</t>
  </si>
  <si>
    <t>Business &amp; Occupation Tax (B&amp;O)  @ .47%</t>
  </si>
  <si>
    <t>Net of Regulatory Fee (Ln 3 - Ln 4 - Ln 5)</t>
  </si>
  <si>
    <t xml:space="preserve">State Income Tax @ 0% </t>
  </si>
  <si>
    <t>Federal Income Tax @ 35% (Ln 6 * .35)</t>
  </si>
  <si>
    <t>Net Operating Income (Ln 6 - Ln 7 - Ln 8)</t>
  </si>
  <si>
    <t>Gross Revenue Conversion Factor (Ln 1 / Ln 9)</t>
  </si>
  <si>
    <t xml:space="preserve">Ex. PMS-9, line 10 </t>
  </si>
  <si>
    <t>Staff Revenue Requirement Calculation</t>
  </si>
  <si>
    <t>Staff Results of Operations</t>
  </si>
  <si>
    <t>ln 56 x FIT Rate (35%)</t>
  </si>
  <si>
    <t>Earnings Before Interest &amp; Taxes (EBIT)</t>
  </si>
  <si>
    <t>(f) = (c+d+e)</t>
  </si>
  <si>
    <t>(h) = (f + g)</t>
  </si>
  <si>
    <t>Adjusted Intrastate</t>
  </si>
  <si>
    <t>SR17</t>
  </si>
  <si>
    <t>SR18</t>
  </si>
  <si>
    <t>SR19</t>
  </si>
  <si>
    <t>SR20</t>
  </si>
  <si>
    <t>SR21</t>
  </si>
  <si>
    <t>SR22</t>
  </si>
  <si>
    <t>SR23</t>
  </si>
  <si>
    <t>5001 - 5060</t>
  </si>
  <si>
    <t>5084 - 5086</t>
  </si>
  <si>
    <t>5100 - 5160</t>
  </si>
  <si>
    <t>5230 - 5270</t>
  </si>
  <si>
    <t>5300</t>
  </si>
  <si>
    <t>6100 - 6400</t>
  </si>
  <si>
    <t>6512 - 6535</t>
  </si>
  <si>
    <t>6540</t>
  </si>
  <si>
    <t>6611 - 6623</t>
  </si>
  <si>
    <t>6711 - 6728</t>
  </si>
  <si>
    <t>6561 - 6564</t>
  </si>
  <si>
    <t>7110 - 7160</t>
  </si>
  <si>
    <t>7240</t>
  </si>
  <si>
    <t>CONFIDENTIAL</t>
  </si>
  <si>
    <t>Remove OSS</t>
  </si>
  <si>
    <t>Transition</t>
  </si>
  <si>
    <t>Line Sharing</t>
  </si>
  <si>
    <t>(x)</t>
  </si>
  <si>
    <t>(y)</t>
  </si>
  <si>
    <t>(z)</t>
  </si>
  <si>
    <t>(aa)</t>
  </si>
  <si>
    <t>(ab)</t>
  </si>
  <si>
    <t>(ac)</t>
  </si>
  <si>
    <t>(ad)</t>
  </si>
  <si>
    <t>Remove Affiliate</t>
  </si>
  <si>
    <t>Sales &amp;</t>
  </si>
  <si>
    <t>Marketing</t>
  </si>
  <si>
    <t>Expenses</t>
  </si>
  <si>
    <t>Extraord.</t>
  </si>
  <si>
    <t>Insurance</t>
  </si>
  <si>
    <t>Gain</t>
  </si>
  <si>
    <t xml:space="preserve">Remove </t>
  </si>
  <si>
    <t xml:space="preserve">Missing </t>
  </si>
  <si>
    <t xml:space="preserve">Plant </t>
  </si>
  <si>
    <t>SP22</t>
  </si>
  <si>
    <t>SP23</t>
  </si>
  <si>
    <t>SP24</t>
  </si>
  <si>
    <t>Special Access</t>
  </si>
  <si>
    <t>Plant Not</t>
  </si>
  <si>
    <t>Used and</t>
  </si>
  <si>
    <t>Useful</t>
  </si>
  <si>
    <t>Exhibit No. ___ (PMS-8)</t>
  </si>
  <si>
    <t>Exhibit No. ___ (PMS-9)</t>
  </si>
  <si>
    <t xml:space="preserve">Shared </t>
  </si>
  <si>
    <t xml:space="preserve">Allocated </t>
  </si>
  <si>
    <t>(ae)</t>
  </si>
  <si>
    <t>SR24</t>
  </si>
  <si>
    <t>Asset and</t>
  </si>
  <si>
    <t>Calculation of Revenue Requirement:</t>
  </si>
  <si>
    <t>Operating Expenses</t>
  </si>
  <si>
    <t>Return</t>
  </si>
  <si>
    <t>Income Taxes</t>
  </si>
  <si>
    <t>Total Revenue Requirement</t>
  </si>
  <si>
    <t>DSL Plant</t>
  </si>
  <si>
    <t xml:space="preserve">Not </t>
  </si>
  <si>
    <t xml:space="preserve">Used and </t>
  </si>
  <si>
    <t>Additional</t>
  </si>
  <si>
    <t xml:space="preserve">New </t>
  </si>
  <si>
    <t xml:space="preserve">Tariffed </t>
  </si>
  <si>
    <t>Services</t>
  </si>
  <si>
    <t>SP25</t>
  </si>
  <si>
    <t>SP26</t>
  </si>
  <si>
    <t>Synchronization</t>
  </si>
  <si>
    <t>Plus CWIP</t>
  </si>
  <si>
    <t>Interest Expense per Company</t>
  </si>
  <si>
    <t>(ag)</t>
  </si>
  <si>
    <t>SR26</t>
  </si>
  <si>
    <t>Convert Deferred</t>
  </si>
  <si>
    <t>to Partial</t>
  </si>
  <si>
    <t>Billing Adj.</t>
  </si>
  <si>
    <t xml:space="preserve">CONFIDENTIAL </t>
  </si>
  <si>
    <t>Flow-through</t>
  </si>
  <si>
    <t>Ex. JAR-3</t>
  </si>
  <si>
    <t>Sum of (c) to (z)</t>
  </si>
  <si>
    <t>Total Rate Base -  lines 30+31+32+33-34-35-36</t>
  </si>
  <si>
    <t xml:space="preserve">Acct No. </t>
  </si>
  <si>
    <t>Staff Summary of Pro forma Adjustments</t>
  </si>
  <si>
    <t>(DPK-7)</t>
  </si>
  <si>
    <t xml:space="preserve">from </t>
  </si>
  <si>
    <t>from DPK-6</t>
  </si>
  <si>
    <t>sum (c) thru (ag)</t>
  </si>
  <si>
    <t>Staff Summary of Restating Adjustments</t>
  </si>
  <si>
    <t>Staff Adjusted</t>
  </si>
  <si>
    <t>Docket No. UT-040788</t>
  </si>
  <si>
    <t>From Exhibit No. DPK-7</t>
  </si>
  <si>
    <t>Adjusted Rate Base</t>
  </si>
  <si>
    <t>Witness:  Paula Strain</t>
  </si>
  <si>
    <t>Income Deficiency /(Surplus) (Ln 3 - Ln 4)</t>
  </si>
  <si>
    <t>Revenue Requirement Deficiency / (Surplus)( Line 5 x Line 6)</t>
  </si>
  <si>
    <t>Required Net Operating Income (Ln 1 x Ln 2)</t>
  </si>
  <si>
    <t>Ex. PMS-7, col. (h), line 20</t>
  </si>
  <si>
    <t>Line 3</t>
  </si>
  <si>
    <t>Ex. PMS-7, col. (h), line 24</t>
  </si>
  <si>
    <t>Co. WP L3.1</t>
  </si>
  <si>
    <t>Co. WP L3.2</t>
  </si>
  <si>
    <t>Co. WP L3.3</t>
  </si>
  <si>
    <t>Required Percentage Decrease in Operating Revenues</t>
  </si>
  <si>
    <t>Sum Lines 9-11</t>
  </si>
  <si>
    <t>Transp.LAN</t>
  </si>
  <si>
    <t>Collect Calls</t>
  </si>
  <si>
    <t>ll. 46-47-48-49+50-51</t>
  </si>
  <si>
    <t>line 53 -  line 54</t>
  </si>
  <si>
    <t>line 55 x FIT Rate (35%)</t>
  </si>
  <si>
    <t>lines 31+32+33-34-35-36</t>
  </si>
  <si>
    <t>Line 7 / PMS-7, col.(f) line 20</t>
  </si>
  <si>
    <t>State Income Tax Rate 0%</t>
  </si>
  <si>
    <t>Federal Income Tax Rate 35%</t>
  </si>
  <si>
    <t>ll. 47-48-49-50+51-52</t>
  </si>
  <si>
    <t>ll. 48-49-50-51+52-53</t>
  </si>
  <si>
    <t>line 55 -  line 56</t>
  </si>
  <si>
    <t>line 57 x FIT Rate (35%)</t>
  </si>
  <si>
    <t>Revisions indicated by patterned cell background</t>
  </si>
  <si>
    <t>Second Revision January 13, 2005</t>
  </si>
  <si>
    <t>Second Revision January 14, 2005</t>
  </si>
  <si>
    <t>REDACTED VERSION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</si>
</sst>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_);\(#,##0.000000\)"/>
    <numFmt numFmtId="166" formatCode="#,##0.0000_);\(#,##0.0000\)"/>
    <numFmt numFmtId="167" formatCode="#,##0.000"/>
    <numFmt numFmtId="168" formatCode="0_);\(0\)"/>
    <numFmt numFmtId="169" formatCode="mmmm\ d\,\ yyyy"/>
    <numFmt numFmtId="170" formatCode="#,##0.0_);\(#,##0.0\)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Palatino Linotype"/>
      <family val="1"/>
    </font>
    <font>
      <sz val="12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bgColor indexed="8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Alignment="1">
      <alignment/>
    </xf>
    <xf numFmtId="37" fontId="2" fillId="0" borderId="0" xfId="0" applyNumberFormat="1" applyAlignment="1">
      <alignment horizontal="right"/>
    </xf>
    <xf numFmtId="0" fontId="2" fillId="0" borderId="0" xfId="0" applyBorder="1" applyAlignment="1">
      <alignment/>
    </xf>
    <xf numFmtId="0" fontId="2" fillId="0" borderId="0" xfId="0" applyAlignment="1">
      <alignment horizontal="left"/>
    </xf>
    <xf numFmtId="37" fontId="2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37" fontId="2" fillId="0" borderId="0" xfId="0" applyNumberFormat="1" applyFill="1" applyBorder="1" applyAlignment="1">
      <alignment horizontal="right"/>
    </xf>
    <xf numFmtId="165" fontId="2" fillId="0" borderId="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3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10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42" fontId="2" fillId="0" borderId="0" xfId="18" applyFont="1" applyAlignment="1">
      <alignment/>
    </xf>
    <xf numFmtId="0" fontId="2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7" fontId="2" fillId="0" borderId="3" xfId="0" applyNumberFormat="1" applyFont="1" applyBorder="1" applyAlignment="1">
      <alignment horizontal="right"/>
    </xf>
    <xf numFmtId="37" fontId="2" fillId="0" borderId="3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37" fontId="2" fillId="0" borderId="0" xfId="19" applyNumberFormat="1" applyFont="1" applyAlignment="1">
      <alignment/>
    </xf>
    <xf numFmtId="37" fontId="2" fillId="0" borderId="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Fill="1" applyAlignment="1">
      <alignment/>
    </xf>
    <xf numFmtId="37" fontId="2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37" fontId="2" fillId="0" borderId="0" xfId="16" applyNumberFormat="1" applyFont="1" applyAlignment="1">
      <alignment/>
    </xf>
    <xf numFmtId="164" fontId="0" fillId="0" borderId="0" xfId="15" applyNumberFormat="1" applyFont="1" applyBorder="1" applyAlignment="1" applyProtection="1">
      <alignment/>
      <protection/>
    </xf>
    <xf numFmtId="164" fontId="0" fillId="0" borderId="0" xfId="15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1" fontId="2" fillId="0" borderId="0" xfId="16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42" fontId="3" fillId="0" borderId="0" xfId="18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2" fillId="0" borderId="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7" fontId="3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37" fontId="2" fillId="0" borderId="3" xfId="0" applyNumberFormat="1" applyFont="1" applyBorder="1" applyAlignment="1">
      <alignment horizontal="right"/>
    </xf>
    <xf numFmtId="0" fontId="0" fillId="1" borderId="0" xfId="0" applyFill="1" applyAlignment="1">
      <alignment/>
    </xf>
    <xf numFmtId="37" fontId="2" fillId="1" borderId="5" xfId="0" applyNumberFormat="1" applyFont="1" applyFill="1" applyBorder="1" applyAlignment="1">
      <alignment/>
    </xf>
    <xf numFmtId="37" fontId="3" fillId="1" borderId="6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0" fontId="3" fillId="1" borderId="6" xfId="0" applyNumberFormat="1" applyFont="1" applyFill="1" applyBorder="1" applyAlignment="1">
      <alignment/>
    </xf>
    <xf numFmtId="37" fontId="3" fillId="1" borderId="6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19" applyNumberFormat="1" applyFont="1" applyFill="1" applyBorder="1" applyAlignment="1">
      <alignment/>
    </xf>
    <xf numFmtId="10" fontId="2" fillId="0" borderId="0" xfId="19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7" fontId="2" fillId="0" borderId="1" xfId="0" applyNumberFormat="1" applyFont="1" applyFill="1" applyBorder="1" applyAlignment="1">
      <alignment/>
    </xf>
    <xf numFmtId="37" fontId="2" fillId="0" borderId="1" xfId="0" applyNumberFormat="1" applyFont="1" applyFill="1" applyBorder="1" applyAlignment="1">
      <alignment horizontal="right"/>
    </xf>
    <xf numFmtId="37" fontId="2" fillId="0" borderId="1" xfId="0" applyNumberFormat="1" applyFont="1" applyBorder="1" applyAlignment="1">
      <alignment horizontal="right"/>
    </xf>
    <xf numFmtId="41" fontId="2" fillId="0" borderId="0" xfId="16" applyFont="1" applyFill="1" applyAlignment="1">
      <alignment/>
    </xf>
    <xf numFmtId="37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164" fontId="2" fillId="0" borderId="0" xfId="15" applyNumberFormat="1" applyFont="1" applyAlignment="1">
      <alignment/>
    </xf>
    <xf numFmtId="164" fontId="2" fillId="0" borderId="0" xfId="15" applyNumberFormat="1" applyFont="1" applyFill="1" applyAlignment="1">
      <alignment/>
    </xf>
    <xf numFmtId="10" fontId="2" fillId="0" borderId="0" xfId="0" applyNumberFormat="1" applyFont="1" applyAlignment="1" applyProtection="1">
      <alignment/>
      <protection/>
    </xf>
    <xf numFmtId="164" fontId="2" fillId="0" borderId="0" xfId="15" applyNumberFormat="1" applyFont="1" applyAlignment="1" applyProtection="1">
      <alignment/>
      <protection/>
    </xf>
    <xf numFmtId="164" fontId="2" fillId="0" borderId="0" xfId="15" applyNumberFormat="1" applyFont="1" applyAlignment="1">
      <alignment/>
    </xf>
    <xf numFmtId="164" fontId="2" fillId="0" borderId="7" xfId="15" applyNumberFormat="1" applyFont="1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2" fillId="0" borderId="0" xfId="15" applyNumberFormat="1" applyFont="1" applyFill="1" applyAlignment="1" applyProtection="1">
      <alignment/>
      <protection/>
    </xf>
    <xf numFmtId="164" fontId="2" fillId="0" borderId="8" xfId="15" applyNumberFormat="1" applyFont="1" applyBorder="1" applyAlignment="1" applyProtection="1">
      <alignment/>
      <protection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Border="1" applyAlignment="1">
      <alignment/>
    </xf>
    <xf numFmtId="37" fontId="2" fillId="0" borderId="1" xfId="0" applyNumberFormat="1" applyFont="1" applyBorder="1" applyAlignment="1">
      <alignment horizontal="right"/>
    </xf>
    <xf numFmtId="0" fontId="3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10" xfId="0" applyNumberFormat="1" applyFont="1" applyBorder="1" applyAlignment="1">
      <alignment horizontal="right"/>
    </xf>
    <xf numFmtId="41" fontId="2" fillId="0" borderId="0" xfId="16" applyFont="1" applyAlignment="1">
      <alignment/>
    </xf>
    <xf numFmtId="37" fontId="2" fillId="0" borderId="3" xfId="0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1" xfId="15" applyNumberFormat="1" applyFont="1" applyBorder="1" applyAlignment="1" applyProtection="1">
      <alignment/>
      <protection/>
    </xf>
    <xf numFmtId="164" fontId="2" fillId="0" borderId="7" xfId="15" applyNumberFormat="1" applyFont="1" applyBorder="1" applyAlignment="1" applyProtection="1">
      <alignment/>
      <protection/>
    </xf>
    <xf numFmtId="164" fontId="2" fillId="0" borderId="9" xfId="15" applyNumberFormat="1" applyFont="1" applyBorder="1" applyAlignment="1" applyProtection="1">
      <alignment/>
      <protection/>
    </xf>
    <xf numFmtId="0" fontId="2" fillId="1" borderId="11" xfId="0" applyFont="1" applyFill="1" applyBorder="1" applyAlignment="1">
      <alignment/>
    </xf>
    <xf numFmtId="0" fontId="3" fillId="0" borderId="0" xfId="0" applyFont="1" applyAlignment="1">
      <alignment horizontal="left"/>
    </xf>
    <xf numFmtId="169" fontId="2" fillId="0" borderId="0" xfId="0" applyNumberFormat="1" applyFont="1" applyAlignment="1">
      <alignment horizontal="right"/>
    </xf>
    <xf numFmtId="37" fontId="2" fillId="0" borderId="3" xfId="0" applyNumberFormat="1" applyFont="1" applyFill="1" applyBorder="1" applyAlignment="1">
      <alignment horizontal="right"/>
    </xf>
    <xf numFmtId="37" fontId="2" fillId="1" borderId="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2" fillId="0" borderId="0" xfId="15" applyNumberFormat="1" applyFont="1" applyFill="1" applyBorder="1" applyAlignment="1" applyProtection="1">
      <alignment/>
      <protection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12" fillId="0" borderId="12" xfId="0" applyFont="1" applyBorder="1" applyAlignment="1">
      <alignment/>
    </xf>
    <xf numFmtId="0" fontId="11" fillId="0" borderId="5" xfId="0" applyFont="1" applyBorder="1" applyAlignment="1">
      <alignment/>
    </xf>
    <xf numFmtId="0" fontId="2" fillId="0" borderId="11" xfId="0" applyFont="1" applyBorder="1" applyAlignment="1">
      <alignment/>
    </xf>
    <xf numFmtId="37" fontId="2" fillId="1" borderId="1" xfId="0" applyNumberFormat="1" applyFill="1" applyBorder="1" applyAlignment="1">
      <alignment horizontal="right"/>
    </xf>
    <xf numFmtId="37" fontId="2" fillId="1" borderId="12" xfId="0" applyNumberFormat="1" applyFont="1" applyFill="1" applyBorder="1" applyAlignment="1">
      <alignment/>
    </xf>
    <xf numFmtId="37" fontId="2" fillId="1" borderId="1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" fontId="2" fillId="1" borderId="6" xfId="0" applyNumberFormat="1" applyFont="1" applyFill="1" applyBorder="1" applyAlignment="1">
      <alignment/>
    </xf>
    <xf numFmtId="37" fontId="2" fillId="1" borderId="6" xfId="0" applyNumberFormat="1" applyFont="1" applyFill="1" applyBorder="1" applyAlignment="1">
      <alignment/>
    </xf>
    <xf numFmtId="164" fontId="2" fillId="1" borderId="13" xfId="15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>
      <alignment horizontal="right"/>
    </xf>
    <xf numFmtId="37" fontId="2" fillId="0" borderId="3" xfId="0" applyNumberFormat="1" applyFont="1" applyFill="1" applyBorder="1" applyAlignment="1">
      <alignment/>
    </xf>
    <xf numFmtId="37" fontId="2" fillId="1" borderId="14" xfId="0" applyNumberFormat="1" applyFont="1" applyFill="1" applyBorder="1" applyAlignment="1">
      <alignment horizontal="right"/>
    </xf>
    <xf numFmtId="37" fontId="2" fillId="1" borderId="13" xfId="0" applyNumberFormat="1" applyFont="1" applyFill="1" applyBorder="1" applyAlignment="1">
      <alignment horizontal="right"/>
    </xf>
    <xf numFmtId="37" fontId="2" fillId="1" borderId="14" xfId="0" applyNumberFormat="1" applyFont="1" applyFill="1" applyBorder="1" applyAlignment="1">
      <alignment/>
    </xf>
    <xf numFmtId="37" fontId="2" fillId="1" borderId="13" xfId="0" applyNumberFormat="1" applyFont="1" applyFill="1" applyBorder="1" applyAlignment="1">
      <alignment/>
    </xf>
    <xf numFmtId="3" fontId="2" fillId="1" borderId="12" xfId="0" applyNumberFormat="1" applyFont="1" applyFill="1" applyBorder="1" applyAlignment="1">
      <alignment/>
    </xf>
    <xf numFmtId="3" fontId="2" fillId="1" borderId="5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1" borderId="15" xfId="0" applyNumberFormat="1" applyFont="1" applyFill="1" applyBorder="1" applyAlignment="1">
      <alignment/>
    </xf>
    <xf numFmtId="3" fontId="2" fillId="1" borderId="16" xfId="0" applyNumberFormat="1" applyFont="1" applyFill="1" applyBorder="1" applyAlignment="1">
      <alignment/>
    </xf>
    <xf numFmtId="37" fontId="2" fillId="1" borderId="16" xfId="0" applyNumberFormat="1" applyFont="1" applyFill="1" applyBorder="1" applyAlignment="1">
      <alignment/>
    </xf>
    <xf numFmtId="3" fontId="2" fillId="1" borderId="17" xfId="0" applyNumberFormat="1" applyFont="1" applyFill="1" applyBorder="1" applyAlignment="1">
      <alignment/>
    </xf>
    <xf numFmtId="3" fontId="2" fillId="1" borderId="18" xfId="0" applyNumberFormat="1" applyFont="1" applyFill="1" applyBorder="1" applyAlignment="1">
      <alignment/>
    </xf>
    <xf numFmtId="37" fontId="2" fillId="1" borderId="18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4" fontId="2" fillId="0" borderId="3" xfId="15" applyNumberFormat="1" applyFont="1" applyFill="1" applyBorder="1" applyAlignment="1" applyProtection="1">
      <alignment/>
      <protection/>
    </xf>
    <xf numFmtId="41" fontId="2" fillId="0" borderId="0" xfId="16" applyFont="1" applyFill="1" applyBorder="1" applyAlignment="1">
      <alignment/>
    </xf>
    <xf numFmtId="164" fontId="2" fillId="0" borderId="19" xfId="15" applyNumberFormat="1" applyFont="1" applyFill="1" applyBorder="1" applyAlignment="1" applyProtection="1">
      <alignment/>
      <protection/>
    </xf>
    <xf numFmtId="164" fontId="2" fillId="0" borderId="19" xfId="15" applyNumberFormat="1" applyFont="1" applyFill="1" applyBorder="1" applyAlignment="1">
      <alignment/>
    </xf>
    <xf numFmtId="37" fontId="2" fillId="0" borderId="19" xfId="0" applyNumberFormat="1" applyFont="1" applyFill="1" applyBorder="1" applyAlignment="1">
      <alignment horizontal="right"/>
    </xf>
    <xf numFmtId="37" fontId="2" fillId="1" borderId="6" xfId="0" applyNumberFormat="1" applyFont="1" applyFill="1" applyBorder="1" applyAlignment="1">
      <alignment horizontal="right"/>
    </xf>
    <xf numFmtId="164" fontId="2" fillId="1" borderId="6" xfId="15" applyNumberFormat="1" applyFont="1" applyFill="1" applyBorder="1" applyAlignment="1" applyProtection="1">
      <alignment/>
      <protection/>
    </xf>
    <xf numFmtId="37" fontId="2" fillId="1" borderId="20" xfId="0" applyNumberFormat="1" applyFont="1" applyFill="1" applyBorder="1" applyAlignment="1">
      <alignment/>
    </xf>
    <xf numFmtId="37" fontId="2" fillId="0" borderId="21" xfId="0" applyNumberFormat="1" applyFont="1" applyFill="1" applyBorder="1" applyAlignment="1">
      <alignment/>
    </xf>
    <xf numFmtId="37" fontId="2" fillId="1" borderId="22" xfId="0" applyNumberFormat="1" applyFont="1" applyFill="1" applyBorder="1" applyAlignment="1">
      <alignment/>
    </xf>
    <xf numFmtId="10" fontId="2" fillId="1" borderId="12" xfId="0" applyNumberFormat="1" applyFont="1" applyFill="1" applyBorder="1" applyAlignment="1">
      <alignment/>
    </xf>
    <xf numFmtId="10" fontId="2" fillId="1" borderId="5" xfId="0" applyNumberFormat="1" applyFont="1" applyFill="1" applyBorder="1" applyAlignment="1">
      <alignment/>
    </xf>
    <xf numFmtId="10" fontId="2" fillId="1" borderId="11" xfId="0" applyNumberFormat="1" applyFont="1" applyFill="1" applyBorder="1" applyAlignment="1">
      <alignment/>
    </xf>
    <xf numFmtId="37" fontId="2" fillId="1" borderId="12" xfId="0" applyNumberFormat="1" applyFont="1" applyFill="1" applyBorder="1" applyAlignment="1">
      <alignment horizontal="right"/>
    </xf>
    <xf numFmtId="37" fontId="2" fillId="1" borderId="5" xfId="0" applyNumberFormat="1" applyFont="1" applyFill="1" applyBorder="1" applyAlignment="1">
      <alignment horizontal="right"/>
    </xf>
    <xf numFmtId="10" fontId="2" fillId="1" borderId="5" xfId="0" applyNumberFormat="1" applyFont="1" applyFill="1" applyBorder="1" applyAlignment="1">
      <alignment horizontal="right"/>
    </xf>
    <xf numFmtId="0" fontId="3" fillId="1" borderId="23" xfId="0" applyFont="1" applyFill="1" applyBorder="1" applyAlignment="1">
      <alignment horizontal="right"/>
    </xf>
    <xf numFmtId="0" fontId="2" fillId="0" borderId="0" xfId="0" applyFill="1" applyBorder="1" applyAlignment="1">
      <alignment/>
    </xf>
    <xf numFmtId="0" fontId="2" fillId="1" borderId="24" xfId="0" applyFill="1" applyBorder="1" applyAlignment="1">
      <alignment/>
    </xf>
    <xf numFmtId="0" fontId="3" fillId="1" borderId="12" xfId="0" applyFont="1" applyFill="1" applyBorder="1" applyAlignment="1">
      <alignment horizontal="left"/>
    </xf>
    <xf numFmtId="0" fontId="2" fillId="1" borderId="5" xfId="0" applyFont="1" applyFill="1" applyBorder="1" applyAlignment="1">
      <alignment/>
    </xf>
    <xf numFmtId="0" fontId="2" fillId="1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3" fillId="1" borderId="17" xfId="0" applyFont="1" applyFill="1" applyBorder="1" applyAlignment="1">
      <alignment horizontal="left"/>
    </xf>
    <xf numFmtId="0" fontId="2" fillId="1" borderId="18" xfId="0" applyFont="1" applyFill="1" applyBorder="1" applyAlignment="1">
      <alignment/>
    </xf>
    <xf numFmtId="0" fontId="2" fillId="1" borderId="20" xfId="0" applyFont="1" applyFill="1" applyBorder="1" applyAlignment="1">
      <alignment/>
    </xf>
    <xf numFmtId="37" fontId="2" fillId="0" borderId="25" xfId="0" applyNumberFormat="1" applyFont="1" applyBorder="1" applyAlignment="1">
      <alignment horizontal="right"/>
    </xf>
    <xf numFmtId="41" fontId="2" fillId="1" borderId="6" xfId="16" applyFont="1" applyFill="1" applyBorder="1" applyAlignment="1">
      <alignment/>
    </xf>
    <xf numFmtId="164" fontId="2" fillId="0" borderId="1" xfId="15" applyNumberFormat="1" applyFont="1" applyFill="1" applyBorder="1" applyAlignment="1" applyProtection="1">
      <alignment/>
      <protection/>
    </xf>
    <xf numFmtId="37" fontId="13" fillId="0" borderId="11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1" borderId="12" xfId="0" applyFill="1" applyBorder="1" applyAlignment="1">
      <alignment/>
    </xf>
    <xf numFmtId="0" fontId="0" fillId="1" borderId="5" xfId="0" applyFill="1" applyBorder="1" applyAlignment="1">
      <alignment/>
    </xf>
    <xf numFmtId="0" fontId="3" fillId="1" borderId="11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7" fontId="2" fillId="1" borderId="13" xfId="0" applyNumberFormat="1" applyFont="1" applyFill="1" applyBorder="1" applyAlignment="1">
      <alignment horizontal="right"/>
    </xf>
    <xf numFmtId="164" fontId="2" fillId="0" borderId="1" xfId="15" applyNumberFormat="1" applyFont="1" applyFill="1" applyBorder="1" applyAlignment="1">
      <alignment/>
    </xf>
    <xf numFmtId="164" fontId="2" fillId="0" borderId="1" xfId="15" applyNumberFormat="1" applyFont="1" applyBorder="1" applyAlignment="1">
      <alignment/>
    </xf>
    <xf numFmtId="10" fontId="2" fillId="0" borderId="0" xfId="19" applyNumberFormat="1" applyFont="1" applyFill="1" applyBorder="1" applyAlignment="1">
      <alignment horizontal="right"/>
    </xf>
    <xf numFmtId="0" fontId="0" fillId="1" borderId="1" xfId="0" applyFill="1" applyBorder="1" applyAlignment="1">
      <alignment/>
    </xf>
    <xf numFmtId="37" fontId="2" fillId="1" borderId="15" xfId="0" applyNumberFormat="1" applyFont="1" applyFill="1" applyBorder="1" applyAlignment="1">
      <alignment/>
    </xf>
    <xf numFmtId="37" fontId="2" fillId="1" borderId="17" xfId="0" applyNumberFormat="1" applyFont="1" applyFill="1" applyBorder="1" applyAlignment="1">
      <alignment/>
    </xf>
    <xf numFmtId="0" fontId="2" fillId="1" borderId="6" xfId="0" applyFont="1" applyFill="1" applyBorder="1" applyAlignment="1">
      <alignment/>
    </xf>
    <xf numFmtId="10" fontId="0" fillId="0" borderId="0" xfId="19" applyNumberFormat="1" applyFill="1" applyBorder="1" applyAlignment="1">
      <alignment horizontal="right"/>
    </xf>
    <xf numFmtId="42" fontId="3" fillId="1" borderId="6" xfId="18" applyNumberFormat="1" applyFont="1" applyFill="1" applyBorder="1" applyAlignment="1">
      <alignment/>
    </xf>
    <xf numFmtId="0" fontId="0" fillId="1" borderId="17" xfId="0" applyFill="1" applyBorder="1" applyAlignment="1">
      <alignment/>
    </xf>
    <xf numFmtId="0" fontId="2" fillId="1" borderId="18" xfId="0" applyFont="1" applyFill="1" applyBorder="1" applyAlignment="1">
      <alignment/>
    </xf>
    <xf numFmtId="0" fontId="0" fillId="1" borderId="18" xfId="0" applyFill="1" applyBorder="1" applyAlignment="1">
      <alignment/>
    </xf>
    <xf numFmtId="0" fontId="3" fillId="1" borderId="13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3" fillId="0" borderId="5" xfId="0" applyFont="1" applyBorder="1" applyAlignment="1">
      <alignment/>
    </xf>
    <xf numFmtId="0" fontId="0" fillId="2" borderId="0" xfId="0" applyFont="1" applyFill="1" applyAlignment="1">
      <alignment/>
    </xf>
    <xf numFmtId="37" fontId="2" fillId="3" borderId="6" xfId="0" applyNumberForma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37" fontId="2" fillId="2" borderId="0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2" fillId="2" borderId="3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64" fontId="2" fillId="2" borderId="1" xfId="15" applyNumberFormat="1" applyFont="1" applyFill="1" applyBorder="1" applyAlignment="1">
      <alignment/>
    </xf>
    <xf numFmtId="164" fontId="2" fillId="2" borderId="0" xfId="15" applyNumberFormat="1" applyFont="1" applyFill="1" applyBorder="1" applyAlignment="1" applyProtection="1">
      <alignment/>
      <protection/>
    </xf>
    <xf numFmtId="164" fontId="2" fillId="2" borderId="0" xfId="15" applyNumberFormat="1" applyFont="1" applyFill="1" applyBorder="1" applyAlignment="1">
      <alignment/>
    </xf>
    <xf numFmtId="37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2" fillId="2" borderId="3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164" fontId="2" fillId="2" borderId="0" xfId="15" applyNumberFormat="1" applyFont="1" applyFill="1" applyAlignment="1" applyProtection="1">
      <alignment/>
      <protection/>
    </xf>
    <xf numFmtId="164" fontId="2" fillId="2" borderId="7" xfId="15" applyNumberFormat="1" applyFont="1" applyFill="1" applyBorder="1" applyAlignment="1">
      <alignment/>
    </xf>
    <xf numFmtId="164" fontId="2" fillId="2" borderId="8" xfId="15" applyNumberFormat="1" applyFont="1" applyFill="1" applyBorder="1" applyAlignment="1" applyProtection="1">
      <alignment/>
      <protection/>
    </xf>
    <xf numFmtId="164" fontId="2" fillId="2" borderId="0" xfId="15" applyNumberFormat="1" applyFont="1" applyFill="1" applyAlignment="1">
      <alignment/>
    </xf>
    <xf numFmtId="164" fontId="2" fillId="2" borderId="9" xfId="15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2" fillId="2" borderId="0" xfId="16" applyFont="1" applyFill="1" applyBorder="1" applyAlignment="1">
      <alignment/>
    </xf>
    <xf numFmtId="37" fontId="2" fillId="3" borderId="0" xfId="0" applyNumberFormat="1" applyFont="1" applyFill="1" applyBorder="1" applyAlignment="1">
      <alignment/>
    </xf>
    <xf numFmtId="37" fontId="0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/>
    </xf>
    <xf numFmtId="37" fontId="10" fillId="2" borderId="0" xfId="0" applyNumberFormat="1" applyFont="1" applyFill="1" applyAlignment="1">
      <alignment/>
    </xf>
    <xf numFmtId="37" fontId="2" fillId="2" borderId="3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Alignment="1">
      <alignment horizontal="right"/>
    </xf>
    <xf numFmtId="37" fontId="2" fillId="2" borderId="3" xfId="0" applyNumberFormat="1" applyFont="1" applyFill="1" applyBorder="1" applyAlignment="1">
      <alignment/>
    </xf>
    <xf numFmtId="164" fontId="2" fillId="2" borderId="7" xfId="15" applyNumberFormat="1" applyFont="1" applyFill="1" applyBorder="1" applyAlignment="1" applyProtection="1">
      <alignment/>
      <protection/>
    </xf>
    <xf numFmtId="164" fontId="2" fillId="2" borderId="9" xfId="15" applyNumberFormat="1" applyFont="1" applyFill="1" applyBorder="1" applyAlignment="1" applyProtection="1">
      <alignment/>
      <protection/>
    </xf>
    <xf numFmtId="169" fontId="6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revenue%20requirement%201-14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S-8 RevReq"/>
    </sheetNames>
    <sheetDataSet>
      <sheetData sheetId="0">
        <row r="22">
          <cell r="D22">
            <v>-26004.13751425913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view="pageBreakPreview" zoomScale="60" zoomScaleNormal="75" workbookViewId="0" topLeftCell="A56">
      <selection activeCell="D79" sqref="D79"/>
    </sheetView>
  </sheetViews>
  <sheetFormatPr defaultColWidth="9.140625" defaultRowHeight="12.75"/>
  <cols>
    <col min="2" max="2" width="41.7109375" style="0" bestFit="1" customWidth="1"/>
    <col min="3" max="3" width="27.28125" style="0" bestFit="1" customWidth="1"/>
    <col min="4" max="4" width="16.7109375" style="0" bestFit="1" customWidth="1"/>
    <col min="5" max="5" width="14.8515625" style="0" bestFit="1" customWidth="1"/>
    <col min="6" max="6" width="15.140625" style="0" bestFit="1" customWidth="1"/>
    <col min="7" max="7" width="15.140625" style="68" bestFit="1" customWidth="1"/>
    <col min="8" max="8" width="18.28125" style="0" customWidth="1"/>
    <col min="9" max="9" width="15.421875" style="0" bestFit="1" customWidth="1"/>
    <col min="10" max="10" width="19.7109375" style="0" bestFit="1" customWidth="1"/>
  </cols>
  <sheetData>
    <row r="1" spans="1:10" ht="15.75">
      <c r="A1" s="33" t="s">
        <v>244</v>
      </c>
      <c r="B1" s="28"/>
      <c r="J1" s="105"/>
    </row>
    <row r="2" spans="1:10" ht="15.75">
      <c r="A2" s="33" t="s">
        <v>245</v>
      </c>
      <c r="B2" s="28"/>
      <c r="J2" s="105"/>
    </row>
    <row r="3" spans="1:10" ht="15.75">
      <c r="A3" s="33" t="s">
        <v>270</v>
      </c>
      <c r="B3" s="28"/>
      <c r="J3" s="105"/>
    </row>
    <row r="4" spans="1:10" ht="15.75">
      <c r="A4" s="33" t="s">
        <v>246</v>
      </c>
      <c r="B4" s="28"/>
      <c r="I4" s="308"/>
      <c r="J4" s="308"/>
    </row>
    <row r="5" spans="1:2" ht="16.5" thickBot="1">
      <c r="A5" s="33" t="s">
        <v>247</v>
      </c>
      <c r="B5" s="28"/>
    </row>
    <row r="6" spans="8:10" ht="21" thickBot="1">
      <c r="H6" s="183"/>
      <c r="I6" s="184"/>
      <c r="J6" s="250" t="s">
        <v>395</v>
      </c>
    </row>
    <row r="7" spans="7:10" ht="16.5" thickBot="1">
      <c r="G7" s="251"/>
      <c r="H7" s="252"/>
      <c r="I7" s="252"/>
      <c r="J7" s="253" t="s">
        <v>394</v>
      </c>
    </row>
    <row r="9" spans="1:13" ht="15.75">
      <c r="A9" s="37"/>
      <c r="B9" s="20" t="s">
        <v>50</v>
      </c>
      <c r="C9" s="20"/>
      <c r="D9" s="20" t="s">
        <v>51</v>
      </c>
      <c r="E9" s="38" t="s">
        <v>120</v>
      </c>
      <c r="F9" s="38" t="s">
        <v>121</v>
      </c>
      <c r="G9" s="69" t="s">
        <v>52</v>
      </c>
      <c r="H9" s="38" t="s">
        <v>273</v>
      </c>
      <c r="I9" s="38" t="s">
        <v>122</v>
      </c>
      <c r="J9" s="38" t="s">
        <v>274</v>
      </c>
      <c r="K9" s="28"/>
      <c r="L9" s="28"/>
      <c r="M9" s="28"/>
    </row>
    <row r="10" spans="1:13" ht="15.75">
      <c r="A10" s="39"/>
      <c r="B10" s="39"/>
      <c r="C10" s="39"/>
      <c r="D10" s="40"/>
      <c r="E10" s="40" t="s">
        <v>228</v>
      </c>
      <c r="F10" s="21" t="s">
        <v>227</v>
      </c>
      <c r="G10" s="70" t="s">
        <v>195</v>
      </c>
      <c r="H10" s="40" t="s">
        <v>229</v>
      </c>
      <c r="I10" s="21" t="s">
        <v>38</v>
      </c>
      <c r="J10" s="40" t="s">
        <v>230</v>
      </c>
      <c r="K10" s="28"/>
      <c r="L10" s="28"/>
      <c r="M10" s="28"/>
    </row>
    <row r="11" spans="1:13" ht="15.75">
      <c r="A11" s="41" t="s">
        <v>67</v>
      </c>
      <c r="B11" s="42" t="s">
        <v>68</v>
      </c>
      <c r="C11" s="42"/>
      <c r="D11" s="43" t="s">
        <v>223</v>
      </c>
      <c r="E11" s="43" t="s">
        <v>224</v>
      </c>
      <c r="F11" s="44" t="s">
        <v>188</v>
      </c>
      <c r="G11" s="71" t="s">
        <v>188</v>
      </c>
      <c r="H11" s="43" t="s">
        <v>224</v>
      </c>
      <c r="I11" s="44" t="s">
        <v>231</v>
      </c>
      <c r="J11" s="43" t="s">
        <v>232</v>
      </c>
      <c r="K11" s="28"/>
      <c r="L11" s="28"/>
      <c r="M11" s="28"/>
    </row>
    <row r="12" spans="1:5" ht="15">
      <c r="A12" s="18"/>
      <c r="B12" s="15"/>
      <c r="C12" s="15"/>
      <c r="D12" s="15"/>
      <c r="E12" s="19"/>
    </row>
    <row r="13" spans="1:10" ht="16.5" thickBot="1">
      <c r="A13" s="83">
        <v>1</v>
      </c>
      <c r="B13" s="33" t="s">
        <v>90</v>
      </c>
      <c r="C13" s="74"/>
      <c r="D13" s="72"/>
      <c r="E13" s="72"/>
      <c r="F13" s="74"/>
      <c r="G13" s="75"/>
      <c r="H13" s="74"/>
      <c r="I13" s="74"/>
      <c r="J13" s="74"/>
    </row>
    <row r="14" spans="1:10" ht="15.75" thickBot="1">
      <c r="A14" s="83">
        <f aca="true" t="shared" si="0" ref="A14:A77">+A13+1</f>
        <v>2</v>
      </c>
      <c r="B14" s="36" t="s">
        <v>91</v>
      </c>
      <c r="C14" s="74"/>
      <c r="D14" s="72">
        <v>260881.937</v>
      </c>
      <c r="E14" s="72">
        <v>260881.937</v>
      </c>
      <c r="F14" s="36">
        <f>'PMS-10 RA sum'!F14</f>
        <v>1967.4084210526316</v>
      </c>
      <c r="G14" s="189">
        <f>'PMS-12 Pro formaSum'!F15</f>
        <v>5226.838333333333</v>
      </c>
      <c r="H14" s="126">
        <f>G14+F14+E14</f>
        <v>268076.183754386</v>
      </c>
      <c r="I14" s="126">
        <f>'[1]PMS-8 RevReq'!D22</f>
        <v>-26004.13751425913</v>
      </c>
      <c r="J14" s="190">
        <f>I14+H14</f>
        <v>242072.04624012683</v>
      </c>
    </row>
    <row r="15" spans="1:10" ht="15">
      <c r="A15" s="83">
        <f t="shared" si="0"/>
        <v>3</v>
      </c>
      <c r="B15" s="36" t="s">
        <v>92</v>
      </c>
      <c r="C15" s="74"/>
      <c r="D15" s="72">
        <v>319551</v>
      </c>
      <c r="E15" s="72">
        <v>78092</v>
      </c>
      <c r="F15" s="36">
        <f>'PMS-10 RA sum'!F15</f>
        <v>-581</v>
      </c>
      <c r="G15" s="134">
        <f>'PMS-12 Pro formaSum'!F16</f>
        <v>-25605.262</v>
      </c>
      <c r="H15" s="36">
        <f>G15+F15+E15</f>
        <v>51905.738</v>
      </c>
      <c r="I15" s="36"/>
      <c r="J15" s="36">
        <f>I15+H15</f>
        <v>51905.738</v>
      </c>
    </row>
    <row r="16" spans="1:10" ht="15">
      <c r="A16" s="83">
        <f t="shared" si="0"/>
        <v>4</v>
      </c>
      <c r="B16" s="36" t="s">
        <v>93</v>
      </c>
      <c r="C16" s="74"/>
      <c r="D16" s="72">
        <v>22467.729</v>
      </c>
      <c r="E16" s="72">
        <v>21863</v>
      </c>
      <c r="F16" s="36">
        <f>'PMS-10 RA sum'!F16</f>
        <v>0</v>
      </c>
      <c r="G16" s="134">
        <f>'PMS-12 Pro formaSum'!F17</f>
        <v>-3489</v>
      </c>
      <c r="H16" s="36">
        <f>G16+F16+E16</f>
        <v>18374</v>
      </c>
      <c r="I16" s="36"/>
      <c r="J16" s="36">
        <f>I16+H16</f>
        <v>18374</v>
      </c>
    </row>
    <row r="17" spans="1:10" ht="15.75" thickBot="1">
      <c r="A17" s="83">
        <f t="shared" si="0"/>
        <v>5</v>
      </c>
      <c r="B17" s="36" t="s">
        <v>94</v>
      </c>
      <c r="C17" s="74"/>
      <c r="D17" s="72">
        <v>30473.02</v>
      </c>
      <c r="E17" s="72">
        <v>17586.69622479666</v>
      </c>
      <c r="F17" s="36">
        <f>'PMS-10 RA sum'!F17</f>
        <v>40656.392932510746</v>
      </c>
      <c r="G17" s="134">
        <f>'PMS-12 Pro formaSum'!F18</f>
        <v>-1095.3229999999999</v>
      </c>
      <c r="H17" s="36">
        <f>G17+F17+E17</f>
        <v>57147.76615730741</v>
      </c>
      <c r="I17" s="134"/>
      <c r="J17" s="36">
        <f>I17+H17</f>
        <v>57147.76615730741</v>
      </c>
    </row>
    <row r="18" spans="1:12" ht="15.75" thickBot="1">
      <c r="A18" s="83">
        <f t="shared" si="0"/>
        <v>6</v>
      </c>
      <c r="B18" s="36" t="s">
        <v>95</v>
      </c>
      <c r="C18" s="74"/>
      <c r="D18" s="72">
        <v>-14389.484</v>
      </c>
      <c r="E18" s="72">
        <v>-8486.559048355954</v>
      </c>
      <c r="F18" s="36">
        <f>'PMS-10 RA sum'!F18</f>
        <v>0</v>
      </c>
      <c r="G18" s="189">
        <f>'PMS-12 Pro formaSum'!F19</f>
        <v>2348.6973930042295</v>
      </c>
      <c r="H18" s="126">
        <f>G18+F18+E18</f>
        <v>-6137.861655351724</v>
      </c>
      <c r="I18" s="126">
        <f>I14*'PMS-9 Conv Factor'!H17*-1</f>
        <v>422.37844456835734</v>
      </c>
      <c r="J18" s="190">
        <f>I18+H18</f>
        <v>-5715.483210783366</v>
      </c>
      <c r="L18" s="68"/>
    </row>
    <row r="19" spans="1:10" ht="15.75" thickBot="1">
      <c r="A19" s="83">
        <f t="shared" si="0"/>
        <v>7</v>
      </c>
      <c r="B19" s="74"/>
      <c r="C19" s="74"/>
      <c r="D19" s="72"/>
      <c r="E19" s="72"/>
      <c r="F19" s="28"/>
      <c r="G19" s="133"/>
      <c r="H19" s="28"/>
      <c r="I19" s="36"/>
      <c r="J19" s="28"/>
    </row>
    <row r="20" spans="1:10" ht="15.75" thickBot="1">
      <c r="A20" s="83">
        <f t="shared" si="0"/>
        <v>8</v>
      </c>
      <c r="B20" s="84" t="s">
        <v>96</v>
      </c>
      <c r="C20" s="85"/>
      <c r="D20" s="76">
        <f aca="true" t="shared" si="1" ref="D20:J20">SUM(D13:D18)</f>
        <v>618984.202</v>
      </c>
      <c r="E20" s="76">
        <f t="shared" si="1"/>
        <v>369937.0741764407</v>
      </c>
      <c r="F20" s="124">
        <f t="shared" si="1"/>
        <v>42042.80135356338</v>
      </c>
      <c r="G20" s="189">
        <f t="shared" si="1"/>
        <v>-22614.049273662436</v>
      </c>
      <c r="H20" s="126">
        <f>G20+F20+E20</f>
        <v>389365.82625634165</v>
      </c>
      <c r="I20" s="126">
        <f t="shared" si="1"/>
        <v>-25581.759069690776</v>
      </c>
      <c r="J20" s="190">
        <f t="shared" si="1"/>
        <v>363784.0671866509</v>
      </c>
    </row>
    <row r="21" spans="1:10" ht="15">
      <c r="A21" s="83">
        <f t="shared" si="0"/>
        <v>9</v>
      </c>
      <c r="B21" s="74"/>
      <c r="C21" s="74"/>
      <c r="D21" s="46"/>
      <c r="E21" s="46"/>
      <c r="F21" s="28"/>
      <c r="G21" s="133"/>
      <c r="H21" s="28"/>
      <c r="I21" s="36"/>
      <c r="J21" s="28"/>
    </row>
    <row r="22" spans="1:10" ht="16.5" thickBot="1">
      <c r="A22" s="83">
        <f t="shared" si="0"/>
        <v>10</v>
      </c>
      <c r="B22" s="33" t="s">
        <v>97</v>
      </c>
      <c r="C22" s="74"/>
      <c r="D22" s="46"/>
      <c r="E22" s="46"/>
      <c r="F22" s="28"/>
      <c r="G22" s="133"/>
      <c r="H22" s="28"/>
      <c r="I22" s="36"/>
      <c r="J22" s="28"/>
    </row>
    <row r="23" spans="1:10" ht="15">
      <c r="A23" s="83">
        <f t="shared" si="0"/>
        <v>11</v>
      </c>
      <c r="B23" s="36" t="s">
        <v>98</v>
      </c>
      <c r="C23" s="74"/>
      <c r="D23" s="78">
        <v>73965.986</v>
      </c>
      <c r="E23" s="46">
        <v>56503.15966423216</v>
      </c>
      <c r="F23" s="199">
        <f>'PMS-10 RA sum'!F23</f>
        <v>-2675.4019832633967</v>
      </c>
      <c r="G23" s="134">
        <f>'PMS-12 Pro formaSum'!F24</f>
        <v>-4067.0214696258727</v>
      </c>
      <c r="H23" s="36">
        <f aca="true" t="shared" si="2" ref="H23:H40">G23+F23+E23</f>
        <v>49760.73621134289</v>
      </c>
      <c r="I23" s="36"/>
      <c r="J23" s="36">
        <f aca="true" t="shared" si="3" ref="J23:J40">I23+H23</f>
        <v>49760.73621134289</v>
      </c>
    </row>
    <row r="24" spans="1:10" ht="15.75" thickBot="1">
      <c r="A24" s="83">
        <f t="shared" si="0"/>
        <v>12</v>
      </c>
      <c r="B24" s="36" t="s">
        <v>99</v>
      </c>
      <c r="C24" s="74"/>
      <c r="D24" s="78">
        <v>26890.62</v>
      </c>
      <c r="E24" s="46">
        <v>20223.921548605205</v>
      </c>
      <c r="F24" s="200">
        <f>'PMS-10 RA sum'!F24</f>
        <v>2889.7231647589715</v>
      </c>
      <c r="G24" s="134">
        <f>'PMS-12 Pro formaSum'!F25</f>
        <v>151.16969764873375</v>
      </c>
      <c r="H24" s="36">
        <f t="shared" si="2"/>
        <v>23264.81441101291</v>
      </c>
      <c r="I24" s="36"/>
      <c r="J24" s="36">
        <f t="shared" si="3"/>
        <v>23264.81441101291</v>
      </c>
    </row>
    <row r="25" spans="1:10" ht="15.75" thickBot="1">
      <c r="A25" s="83">
        <f t="shared" si="0"/>
        <v>13</v>
      </c>
      <c r="B25" s="28" t="s">
        <v>100</v>
      </c>
      <c r="C25" s="74"/>
      <c r="D25" s="78">
        <v>12738</v>
      </c>
      <c r="E25" s="46">
        <v>-487.34747999999905</v>
      </c>
      <c r="F25" s="36">
        <f>'PMS-10 RA sum'!F25</f>
        <v>6715.5</v>
      </c>
      <c r="G25" s="134">
        <f>'PMS-12 Pro formaSum'!F26</f>
        <v>0</v>
      </c>
      <c r="H25" s="36">
        <f t="shared" si="2"/>
        <v>6228.152520000001</v>
      </c>
      <c r="I25" s="36"/>
      <c r="J25" s="36">
        <f t="shared" si="3"/>
        <v>6228.152520000001</v>
      </c>
    </row>
    <row r="26" spans="1:10" ht="15">
      <c r="A26" s="83">
        <f t="shared" si="0"/>
        <v>14</v>
      </c>
      <c r="B26" s="28" t="s">
        <v>101</v>
      </c>
      <c r="C26" s="74"/>
      <c r="D26" s="78">
        <v>66724.553</v>
      </c>
      <c r="E26" s="46">
        <v>53571.8033520688</v>
      </c>
      <c r="F26" s="199">
        <f>'PMS-10 RA sum'!F26</f>
        <v>-19081.689062126843</v>
      </c>
      <c r="G26" s="134">
        <f>'PMS-12 Pro formaSum'!F27</f>
        <v>-9.27951719298909</v>
      </c>
      <c r="H26" s="36">
        <f t="shared" si="2"/>
        <v>34480.83477274896</v>
      </c>
      <c r="I26" s="36"/>
      <c r="J26" s="36">
        <f t="shared" si="3"/>
        <v>34480.83477274896</v>
      </c>
    </row>
    <row r="27" spans="1:10" ht="15.75" thickBot="1">
      <c r="A27" s="83">
        <f t="shared" si="0"/>
        <v>15</v>
      </c>
      <c r="B27" s="28" t="s">
        <v>102</v>
      </c>
      <c r="C27" s="74"/>
      <c r="D27" s="78">
        <v>101738.218</v>
      </c>
      <c r="E27" s="46">
        <v>79040.10656601586</v>
      </c>
      <c r="F27" s="200">
        <f>'PMS-10 RA sum'!F27</f>
        <v>-5931.1610376060835</v>
      </c>
      <c r="G27" s="134">
        <f>'PMS-12 Pro formaSum'!F28</f>
        <v>-28398.45475512931</v>
      </c>
      <c r="H27" s="36">
        <f t="shared" si="2"/>
        <v>44710.49077328047</v>
      </c>
      <c r="I27" s="36"/>
      <c r="J27" s="36">
        <f t="shared" si="3"/>
        <v>44710.49077328047</v>
      </c>
    </row>
    <row r="28" spans="1:10" ht="15">
      <c r="A28" s="83">
        <f t="shared" si="0"/>
        <v>16</v>
      </c>
      <c r="B28" s="28" t="s">
        <v>103</v>
      </c>
      <c r="C28" s="74"/>
      <c r="D28" s="78">
        <v>166381.355</v>
      </c>
      <c r="E28" s="46">
        <v>124691.93762726165</v>
      </c>
      <c r="F28" s="36">
        <f>'PMS-10 RA sum'!F28</f>
        <v>-2823.3793761901316</v>
      </c>
      <c r="G28" s="191">
        <f>'PMS-12 Pro formaSum'!F29</f>
        <v>-9653.049586537336</v>
      </c>
      <c r="H28" s="191">
        <f t="shared" si="2"/>
        <v>112215.50866453418</v>
      </c>
      <c r="I28" s="191"/>
      <c r="J28" s="191">
        <f t="shared" si="3"/>
        <v>112215.50866453418</v>
      </c>
    </row>
    <row r="29" spans="1:10" ht="15.75" thickBot="1">
      <c r="A29" s="83">
        <f t="shared" si="0"/>
        <v>17</v>
      </c>
      <c r="B29" s="28" t="s">
        <v>104</v>
      </c>
      <c r="C29" s="74"/>
      <c r="D29" s="78">
        <f>-227.863+0.348</f>
        <v>-227.515</v>
      </c>
      <c r="E29" s="46">
        <v>-171.9807547582908</v>
      </c>
      <c r="F29" s="36">
        <f>'PMS-10 RA sum'!F29</f>
        <v>0</v>
      </c>
      <c r="G29" s="134">
        <f>'PMS-12 Pro formaSum'!F30</f>
        <v>0</v>
      </c>
      <c r="H29" s="36">
        <f t="shared" si="2"/>
        <v>-171.9807547582908</v>
      </c>
      <c r="I29" s="36"/>
      <c r="J29" s="36">
        <f t="shared" si="3"/>
        <v>-171.9807547582908</v>
      </c>
    </row>
    <row r="30" spans="1:10" ht="15.75" thickBot="1">
      <c r="A30" s="83">
        <f t="shared" si="0"/>
        <v>18</v>
      </c>
      <c r="B30" s="28" t="s">
        <v>105</v>
      </c>
      <c r="C30" s="28"/>
      <c r="D30" s="78">
        <f>11425.973+12194.934</f>
        <v>23620.907</v>
      </c>
      <c r="E30" s="132">
        <v>16166.866609410585</v>
      </c>
      <c r="F30" s="36">
        <f>'PMS-10 RA sum'!F30</f>
        <v>876.3398413225976</v>
      </c>
      <c r="G30" s="189">
        <f>'PMS-12 Pro formaSum'!F31</f>
        <v>-149.47886569890863</v>
      </c>
      <c r="H30" s="126">
        <f t="shared" si="2"/>
        <v>16893.727585034274</v>
      </c>
      <c r="I30" s="126">
        <f>I14*('PMS-9 Conv Factor'!$H$21+'PMS-9 Conv Factor'!$H$23)</f>
        <v>-171.88734896925286</v>
      </c>
      <c r="J30" s="190">
        <f t="shared" si="3"/>
        <v>16721.84023606502</v>
      </c>
    </row>
    <row r="31" spans="1:13" ht="15.75" thickBot="1">
      <c r="A31" s="83">
        <f t="shared" si="0"/>
        <v>19</v>
      </c>
      <c r="B31" s="28"/>
      <c r="C31" s="28"/>
      <c r="D31" s="46"/>
      <c r="E31" s="46"/>
      <c r="F31" s="28"/>
      <c r="G31" s="133"/>
      <c r="H31" s="28"/>
      <c r="I31" s="36"/>
      <c r="J31" s="28"/>
      <c r="M31" s="125"/>
    </row>
    <row r="32" spans="1:10" ht="15.75" thickBot="1">
      <c r="A32" s="83">
        <f t="shared" si="0"/>
        <v>20</v>
      </c>
      <c r="B32" s="31" t="s">
        <v>106</v>
      </c>
      <c r="C32" s="32"/>
      <c r="D32" s="76">
        <f aca="true" t="shared" si="4" ref="D32:I32">SUM(D23:D31)</f>
        <v>471832.12399999995</v>
      </c>
      <c r="E32" s="76">
        <f t="shared" si="4"/>
        <v>349538.46713283594</v>
      </c>
      <c r="F32" s="189">
        <f t="shared" si="4"/>
        <v>-20030.068453104886</v>
      </c>
      <c r="G32" s="126">
        <f t="shared" si="4"/>
        <v>-42126.11449653569</v>
      </c>
      <c r="H32" s="126">
        <f t="shared" si="2"/>
        <v>287382.2841831954</v>
      </c>
      <c r="I32" s="126">
        <f t="shared" si="4"/>
        <v>-171.88734896925286</v>
      </c>
      <c r="J32" s="190">
        <f t="shared" si="3"/>
        <v>287210.39683422615</v>
      </c>
    </row>
    <row r="33" spans="1:10" ht="15.75" thickBot="1">
      <c r="A33" s="83">
        <f t="shared" si="0"/>
        <v>21</v>
      </c>
      <c r="B33" s="28"/>
      <c r="C33" s="28"/>
      <c r="D33" s="46"/>
      <c r="E33" s="46"/>
      <c r="F33" s="132"/>
      <c r="G33" s="131"/>
      <c r="H33" s="132"/>
      <c r="I33" s="113"/>
      <c r="J33" s="28"/>
    </row>
    <row r="34" spans="1:10" ht="15.75" thickBot="1">
      <c r="A34" s="83">
        <f t="shared" si="0"/>
        <v>22</v>
      </c>
      <c r="B34" s="31" t="s">
        <v>272</v>
      </c>
      <c r="C34" s="32"/>
      <c r="D34" s="76">
        <f>+D20-D32</f>
        <v>147152.0780000001</v>
      </c>
      <c r="E34" s="76">
        <f>+E20-E32</f>
        <v>20398.607043604774</v>
      </c>
      <c r="F34" s="189">
        <f>+F20-F32</f>
        <v>62072.86980666827</v>
      </c>
      <c r="G34" s="126">
        <f>+G20-G32</f>
        <v>19512.06522287325</v>
      </c>
      <c r="H34" s="126">
        <f t="shared" si="2"/>
        <v>101983.5420731463</v>
      </c>
      <c r="I34" s="126">
        <f>+I20-I32</f>
        <v>-25409.871720721523</v>
      </c>
      <c r="J34" s="190">
        <f t="shared" si="3"/>
        <v>76573.67035242477</v>
      </c>
    </row>
    <row r="35" spans="1:10" ht="15.75" thickBot="1">
      <c r="A35" s="83">
        <f t="shared" si="0"/>
        <v>23</v>
      </c>
      <c r="B35" s="28"/>
      <c r="C35" s="28"/>
      <c r="D35" s="46"/>
      <c r="E35" s="46"/>
      <c r="F35" s="132"/>
      <c r="G35" s="131"/>
      <c r="H35" s="132"/>
      <c r="I35" s="113"/>
      <c r="J35" s="28"/>
    </row>
    <row r="36" spans="1:10" ht="15.75" thickBot="1">
      <c r="A36" s="83">
        <f t="shared" si="0"/>
        <v>24</v>
      </c>
      <c r="B36" s="45" t="s">
        <v>210</v>
      </c>
      <c r="C36" s="28"/>
      <c r="D36" s="226">
        <f aca="true" t="shared" si="5" ref="D36:I36">D73</f>
        <v>42880.16775000002</v>
      </c>
      <c r="E36" s="227">
        <f t="shared" si="5"/>
        <v>659.9053649161308</v>
      </c>
      <c r="F36" s="126">
        <f t="shared" si="5"/>
        <v>20131.604432333894</v>
      </c>
      <c r="G36" s="126">
        <f t="shared" si="5"/>
        <v>3985.5936515365947</v>
      </c>
      <c r="H36" s="126">
        <f t="shared" si="2"/>
        <v>24777.10344878662</v>
      </c>
      <c r="I36" s="126">
        <f t="shared" si="5"/>
        <v>-8893.455102252532</v>
      </c>
      <c r="J36" s="190">
        <f t="shared" si="3"/>
        <v>15883.648346534088</v>
      </c>
    </row>
    <row r="37" spans="1:10" ht="15.75" thickBot="1">
      <c r="A37" s="83">
        <f t="shared" si="0"/>
        <v>25</v>
      </c>
      <c r="B37" s="28"/>
      <c r="C37" s="28"/>
      <c r="D37" s="80"/>
      <c r="E37" s="79"/>
      <c r="F37" s="131"/>
      <c r="G37" s="131"/>
      <c r="H37" s="131"/>
      <c r="I37" s="113"/>
      <c r="J37" s="28"/>
    </row>
    <row r="38" spans="1:10" ht="15.75" thickBot="1">
      <c r="A38" s="83">
        <f t="shared" si="0"/>
        <v>26</v>
      </c>
      <c r="B38" s="45" t="s">
        <v>225</v>
      </c>
      <c r="C38" s="45"/>
      <c r="D38" s="226">
        <f aca="true" t="shared" si="6" ref="D38:I38">+D34-D36</f>
        <v>104271.91025000007</v>
      </c>
      <c r="E38" s="227">
        <f t="shared" si="6"/>
        <v>19738.70167868864</v>
      </c>
      <c r="F38" s="126">
        <f t="shared" si="6"/>
        <v>41941.265374334376</v>
      </c>
      <c r="G38" s="126">
        <f t="shared" si="6"/>
        <v>15526.471571336657</v>
      </c>
      <c r="H38" s="126">
        <f t="shared" si="2"/>
        <v>77206.43862435967</v>
      </c>
      <c r="I38" s="126">
        <f t="shared" si="6"/>
        <v>-16516.41661846899</v>
      </c>
      <c r="J38" s="190">
        <f t="shared" si="3"/>
        <v>60690.02200589068</v>
      </c>
    </row>
    <row r="39" spans="1:10" ht="15.75" thickBot="1">
      <c r="A39" s="83">
        <f t="shared" si="0"/>
        <v>27</v>
      </c>
      <c r="B39" s="45"/>
      <c r="C39" s="45"/>
      <c r="D39" s="46"/>
      <c r="E39" s="79"/>
      <c r="F39" s="131"/>
      <c r="G39" s="131"/>
      <c r="H39" s="131"/>
      <c r="I39" s="36"/>
      <c r="J39" s="28"/>
    </row>
    <row r="40" spans="1:10" ht="15.75" thickBot="1">
      <c r="A40" s="83">
        <f t="shared" si="0"/>
        <v>28</v>
      </c>
      <c r="B40" s="45" t="s">
        <v>211</v>
      </c>
      <c r="C40" s="45"/>
      <c r="D40" s="46">
        <f>D62</f>
        <v>26550.391</v>
      </c>
      <c r="E40" s="79">
        <f>E62</f>
        <v>19987.445</v>
      </c>
      <c r="F40" s="131">
        <f>F62</f>
        <v>0</v>
      </c>
      <c r="G40" s="189">
        <f>G62</f>
        <v>8124.65478991155</v>
      </c>
      <c r="H40" s="126">
        <f t="shared" si="2"/>
        <v>28112.09978991155</v>
      </c>
      <c r="I40" s="126"/>
      <c r="J40" s="190">
        <f t="shared" si="3"/>
        <v>28112.09978991155</v>
      </c>
    </row>
    <row r="41" spans="1:10" ht="15">
      <c r="A41" s="83">
        <f t="shared" si="0"/>
        <v>29</v>
      </c>
      <c r="B41" s="28"/>
      <c r="C41" s="28"/>
      <c r="D41" s="80"/>
      <c r="E41" s="78"/>
      <c r="F41" s="28"/>
      <c r="G41" s="133"/>
      <c r="H41" s="28"/>
      <c r="I41" s="36"/>
      <c r="J41" s="28"/>
    </row>
    <row r="42" spans="1:10" ht="15.75">
      <c r="A42" s="83">
        <f t="shared" si="0"/>
        <v>30</v>
      </c>
      <c r="B42" s="33" t="s">
        <v>108</v>
      </c>
      <c r="C42" s="28"/>
      <c r="D42" s="78"/>
      <c r="E42" s="72"/>
      <c r="F42" s="28"/>
      <c r="G42" s="133"/>
      <c r="H42" s="28"/>
      <c r="I42" s="36"/>
      <c r="J42" s="28"/>
    </row>
    <row r="43" spans="1:10" ht="15">
      <c r="A43" s="83">
        <f t="shared" si="0"/>
        <v>31</v>
      </c>
      <c r="B43" s="28" t="s">
        <v>109</v>
      </c>
      <c r="C43" s="28"/>
      <c r="D43" s="78">
        <f>2460353031/1000</f>
        <v>2460353.031</v>
      </c>
      <c r="E43" s="81">
        <f>1858467027.61435/1000</f>
        <v>1858467.02761435</v>
      </c>
      <c r="F43" s="36">
        <f>'PMS-10 RA sum'!F43</f>
        <v>-31398.664295247763</v>
      </c>
      <c r="G43" s="191">
        <f>'PMS-12 Pro formaSum'!F44</f>
        <v>-173359.77887972677</v>
      </c>
      <c r="H43" s="113">
        <f aca="true" t="shared" si="7" ref="H43:H48">G43+F43+E43</f>
        <v>1653708.5844393754</v>
      </c>
      <c r="I43" s="191"/>
      <c r="J43" s="191">
        <f aca="true" t="shared" si="8" ref="J43:J48">I43+H43</f>
        <v>1653708.5844393754</v>
      </c>
    </row>
    <row r="44" spans="1:10" ht="15">
      <c r="A44" s="83">
        <f t="shared" si="0"/>
        <v>32</v>
      </c>
      <c r="B44" s="28" t="s">
        <v>110</v>
      </c>
      <c r="C44" s="28"/>
      <c r="D44" s="78">
        <f>172465661/1000</f>
        <v>172465.661</v>
      </c>
      <c r="E44" s="81">
        <f>134135916.343719/1000</f>
        <v>134135.916343719</v>
      </c>
      <c r="F44" s="36">
        <f>'PMS-10 RA sum'!F44</f>
        <v>-134136</v>
      </c>
      <c r="G44" s="134">
        <f>'PMS-12 Pro formaSum'!F45</f>
        <v>0</v>
      </c>
      <c r="H44" s="36">
        <f t="shared" si="7"/>
        <v>-0.08365628100000322</v>
      </c>
      <c r="I44" s="36"/>
      <c r="J44" s="36">
        <f t="shared" si="8"/>
        <v>-0.08365628100000322</v>
      </c>
    </row>
    <row r="45" spans="1:10" ht="15">
      <c r="A45" s="83">
        <f t="shared" si="0"/>
        <v>33</v>
      </c>
      <c r="B45" s="28" t="s">
        <v>111</v>
      </c>
      <c r="C45" s="28"/>
      <c r="D45" s="78">
        <v>0</v>
      </c>
      <c r="E45" s="81">
        <v>0</v>
      </c>
      <c r="F45" s="36">
        <f>'PMS-10 RA sum'!F45</f>
        <v>0</v>
      </c>
      <c r="G45" s="134">
        <f>'PMS-12 Pro formaSum'!F46</f>
        <v>-20662.663</v>
      </c>
      <c r="H45" s="36">
        <f t="shared" si="7"/>
        <v>-20662.663</v>
      </c>
      <c r="I45" s="36"/>
      <c r="J45" s="36">
        <f t="shared" si="8"/>
        <v>-20662.663</v>
      </c>
    </row>
    <row r="46" spans="1:10" ht="15.75" thickBot="1">
      <c r="A46" s="83">
        <f t="shared" si="0"/>
        <v>34</v>
      </c>
      <c r="B46" s="28" t="s">
        <v>112</v>
      </c>
      <c r="C46" s="28"/>
      <c r="D46" s="78">
        <f>998652245/1000</f>
        <v>998652.245</v>
      </c>
      <c r="E46" s="81">
        <f>756207452.163382/1000</f>
        <v>756207.4521633821</v>
      </c>
      <c r="F46" s="36">
        <f>'PMS-10 RA sum'!F46</f>
        <v>-14532.11965316308</v>
      </c>
      <c r="G46" s="191">
        <f>'PMS-12 Pro formaSum'!F47</f>
        <v>-128520.0105671504</v>
      </c>
      <c r="H46" s="191">
        <f t="shared" si="7"/>
        <v>613155.3219430686</v>
      </c>
      <c r="I46" s="191"/>
      <c r="J46" s="191">
        <f t="shared" si="8"/>
        <v>613155.3219430686</v>
      </c>
    </row>
    <row r="47" spans="1:10" ht="15.75" thickBot="1">
      <c r="A47" s="83">
        <f t="shared" si="0"/>
        <v>35</v>
      </c>
      <c r="B47" s="28" t="s">
        <v>113</v>
      </c>
      <c r="C47" s="28"/>
      <c r="D47" s="78">
        <f>353397448/1000</f>
        <v>353397.448</v>
      </c>
      <c r="E47" s="81">
        <f>272387256.899417/1000</f>
        <v>272387.25689941697</v>
      </c>
      <c r="F47" s="193">
        <f>'PMS-10 RA sum'!F47</f>
        <v>-67131.07278671561</v>
      </c>
      <c r="G47" s="191">
        <f>'PMS-12 Pro formaSum'!F48</f>
        <v>14228.770798671287</v>
      </c>
      <c r="H47" s="189">
        <f t="shared" si="7"/>
        <v>219484.95491137265</v>
      </c>
      <c r="I47" s="126"/>
      <c r="J47" s="190">
        <f t="shared" si="8"/>
        <v>219484.95491137265</v>
      </c>
    </row>
    <row r="48" spans="1:10" ht="15">
      <c r="A48" s="83">
        <f t="shared" si="0"/>
        <v>36</v>
      </c>
      <c r="B48" s="28" t="s">
        <v>114</v>
      </c>
      <c r="C48" s="28"/>
      <c r="D48" s="78">
        <f>40005718/1000</f>
        <v>40005.718</v>
      </c>
      <c r="E48" s="81">
        <f>31114398.367524/1000</f>
        <v>31114.398367524</v>
      </c>
      <c r="F48" s="36">
        <f>'PMS-10 RA sum'!F48</f>
        <v>-17990.0904127996</v>
      </c>
      <c r="G48" s="134">
        <f>'PMS-12 Pro formaSum'!F49</f>
        <v>0</v>
      </c>
      <c r="H48" s="36">
        <f t="shared" si="7"/>
        <v>13124.307954724401</v>
      </c>
      <c r="I48" s="36"/>
      <c r="J48" s="36">
        <f t="shared" si="8"/>
        <v>13124.307954724401</v>
      </c>
    </row>
    <row r="49" spans="1:10" ht="15.75" thickBot="1">
      <c r="A49" s="83">
        <f t="shared" si="0"/>
        <v>37</v>
      </c>
      <c r="B49" s="28"/>
      <c r="C49" s="28"/>
      <c r="D49" s="78"/>
      <c r="E49" s="72"/>
      <c r="F49" s="28"/>
      <c r="G49" s="133"/>
      <c r="H49" s="28"/>
      <c r="I49" s="36"/>
      <c r="J49" s="28"/>
    </row>
    <row r="50" spans="1:10" ht="15.75" thickBot="1">
      <c r="A50" s="83">
        <f t="shared" si="0"/>
        <v>38</v>
      </c>
      <c r="B50" s="32" t="s">
        <v>357</v>
      </c>
      <c r="C50" s="32"/>
      <c r="D50" s="82">
        <f aca="true" t="shared" si="9" ref="D50:I50">D43+D44+D45-D46-D47-D48</f>
        <v>1240763.2809999997</v>
      </c>
      <c r="E50" s="82">
        <f t="shared" si="9"/>
        <v>932893.8365277458</v>
      </c>
      <c r="F50" s="193">
        <f t="shared" si="9"/>
        <v>-65881.38144256947</v>
      </c>
      <c r="G50" s="221">
        <f t="shared" si="9"/>
        <v>-79731.20211124767</v>
      </c>
      <c r="H50" s="193">
        <f>G50+F50+E50</f>
        <v>787281.2529739287</v>
      </c>
      <c r="I50" s="196">
        <f t="shared" si="9"/>
        <v>0</v>
      </c>
      <c r="J50" s="193">
        <f>I50+H50</f>
        <v>787281.2529739287</v>
      </c>
    </row>
    <row r="51" spans="1:10" ht="15.75" thickBot="1">
      <c r="A51" s="83">
        <f t="shared" si="0"/>
        <v>39</v>
      </c>
      <c r="B51" s="28"/>
      <c r="C51" s="28"/>
      <c r="D51" s="80"/>
      <c r="E51" s="72"/>
      <c r="F51" s="28"/>
      <c r="G51" s="133"/>
      <c r="H51" s="28"/>
      <c r="I51" s="36"/>
      <c r="J51" s="28"/>
    </row>
    <row r="52" spans="1:11" ht="15.75" thickBot="1">
      <c r="A52" s="83">
        <f t="shared" si="0"/>
        <v>40</v>
      </c>
      <c r="B52" s="28" t="s">
        <v>226</v>
      </c>
      <c r="C52" s="28"/>
      <c r="D52" s="223">
        <f>D38/D50</f>
        <v>0.0840385203581795</v>
      </c>
      <c r="E52" s="228">
        <f>+E38/E50</f>
        <v>0.021158572289593617</v>
      </c>
      <c r="F52" s="224">
        <f>+F38/F50</f>
        <v>-0.6366178798314313</v>
      </c>
      <c r="G52" s="224">
        <f>+G38/G50</f>
        <v>-0.19473519977377013</v>
      </c>
      <c r="H52" s="225">
        <f>+H38/H50</f>
        <v>0.0980671625708283</v>
      </c>
      <c r="I52" s="135"/>
      <c r="J52" s="136">
        <f>+J38/J50</f>
        <v>0.07708810768278318</v>
      </c>
      <c r="K52" s="68"/>
    </row>
    <row r="53" spans="1:10" ht="15">
      <c r="A53" s="83">
        <f t="shared" si="0"/>
        <v>41</v>
      </c>
      <c r="B53" s="28"/>
      <c r="C53" s="28"/>
      <c r="D53" s="74"/>
      <c r="E53" s="74"/>
      <c r="F53" s="28"/>
      <c r="G53" s="133"/>
      <c r="H53" s="28"/>
      <c r="I53" s="36"/>
      <c r="J53" s="28"/>
    </row>
    <row r="54" spans="1:10" ht="15.75">
      <c r="A54" s="83">
        <f t="shared" si="0"/>
        <v>42</v>
      </c>
      <c r="B54" s="35" t="s">
        <v>197</v>
      </c>
      <c r="C54" s="28"/>
      <c r="D54" s="74"/>
      <c r="E54" s="74"/>
      <c r="F54" s="28"/>
      <c r="G54" s="133"/>
      <c r="H54" s="28"/>
      <c r="I54" s="36"/>
      <c r="J54" s="28"/>
    </row>
    <row r="55" spans="1:10" ht="15">
      <c r="A55" s="83">
        <f t="shared" si="0"/>
        <v>43</v>
      </c>
      <c r="C55" s="28" t="s">
        <v>249</v>
      </c>
      <c r="D55" s="74"/>
      <c r="E55" s="63">
        <f>0.35</f>
        <v>0.35</v>
      </c>
      <c r="F55" s="28"/>
      <c r="G55" s="133"/>
      <c r="H55" s="28"/>
      <c r="I55" s="36"/>
      <c r="J55" s="28"/>
    </row>
    <row r="56" spans="1:10" ht="15">
      <c r="A56" s="83">
        <f t="shared" si="0"/>
        <v>44</v>
      </c>
      <c r="B56" s="74"/>
      <c r="C56" s="28" t="s">
        <v>251</v>
      </c>
      <c r="D56" s="74"/>
      <c r="E56" s="47">
        <f>0</f>
        <v>0</v>
      </c>
      <c r="F56" s="28"/>
      <c r="G56" s="133"/>
      <c r="H56" s="28"/>
      <c r="I56" s="36"/>
      <c r="J56" s="28"/>
    </row>
    <row r="57" spans="1:10" ht="15">
      <c r="A57" s="83">
        <f t="shared" si="0"/>
        <v>45</v>
      </c>
      <c r="B57" s="34"/>
      <c r="C57" s="28"/>
      <c r="D57" s="28"/>
      <c r="E57" s="74"/>
      <c r="F57" s="28"/>
      <c r="G57" s="133"/>
      <c r="H57" s="28"/>
      <c r="I57" s="36"/>
      <c r="J57" s="28"/>
    </row>
    <row r="58" spans="1:10" ht="15.75" thickBot="1">
      <c r="A58" s="83">
        <f t="shared" si="0"/>
        <v>46</v>
      </c>
      <c r="B58" s="34"/>
      <c r="C58" s="34" t="s">
        <v>212</v>
      </c>
      <c r="D58" s="28"/>
      <c r="E58" s="74"/>
      <c r="F58" s="28"/>
      <c r="G58" s="133"/>
      <c r="H58" s="28"/>
      <c r="I58" s="36"/>
      <c r="J58" s="28"/>
    </row>
    <row r="59" spans="1:13" ht="15.75" thickBot="1">
      <c r="A59" s="83">
        <f t="shared" si="0"/>
        <v>47</v>
      </c>
      <c r="B59" s="34" t="s">
        <v>243</v>
      </c>
      <c r="C59" s="163" t="s">
        <v>213</v>
      </c>
      <c r="D59" s="30">
        <f>D34</f>
        <v>147152.0780000001</v>
      </c>
      <c r="E59" s="30">
        <f>E34</f>
        <v>20398.607043604774</v>
      </c>
      <c r="F59" s="201">
        <f>F34</f>
        <v>62072.86980666827</v>
      </c>
      <c r="G59" s="202">
        <f>G34</f>
        <v>19512.06522287325</v>
      </c>
      <c r="H59" s="126">
        <f aca="true" t="shared" si="10" ref="H59:H64">G59+F59+E59</f>
        <v>101983.5420731463</v>
      </c>
      <c r="I59" s="126">
        <f>I34</f>
        <v>-25409.871720721523</v>
      </c>
      <c r="J59" s="190">
        <f aca="true" t="shared" si="11" ref="J59:J64">I59+H59</f>
        <v>76573.67035242477</v>
      </c>
      <c r="K59" s="30"/>
      <c r="L59" s="30"/>
      <c r="M59" s="30"/>
    </row>
    <row r="60" spans="1:10" ht="15.75" thickBot="1">
      <c r="A60" s="83">
        <f t="shared" si="0"/>
        <v>48</v>
      </c>
      <c r="B60" s="34" t="s">
        <v>201</v>
      </c>
      <c r="C60" s="28"/>
      <c r="D60" s="30"/>
      <c r="E60" s="30"/>
      <c r="F60" s="30">
        <f>'PMS-10 RA sum'!F61</f>
        <v>2637</v>
      </c>
      <c r="G60" s="203"/>
      <c r="H60" s="189">
        <f t="shared" si="10"/>
        <v>2637</v>
      </c>
      <c r="I60" s="126"/>
      <c r="J60" s="190">
        <f t="shared" si="11"/>
        <v>2637</v>
      </c>
    </row>
    <row r="61" spans="1:10" ht="15.75" thickBot="1">
      <c r="A61" s="83">
        <f t="shared" si="0"/>
        <v>49</v>
      </c>
      <c r="B61" s="34" t="s">
        <v>202</v>
      </c>
      <c r="C61" s="28"/>
      <c r="D61" s="30"/>
      <c r="E61" s="30"/>
      <c r="F61" s="30"/>
      <c r="G61" s="203"/>
      <c r="H61" s="36">
        <f t="shared" si="10"/>
        <v>0</v>
      </c>
      <c r="I61" s="36"/>
      <c r="J61" s="36">
        <f t="shared" si="11"/>
        <v>0</v>
      </c>
    </row>
    <row r="62" spans="1:10" ht="15.75" thickBot="1">
      <c r="A62" s="83">
        <f t="shared" si="0"/>
        <v>50</v>
      </c>
      <c r="B62" s="34" t="s">
        <v>203</v>
      </c>
      <c r="C62" s="28" t="s">
        <v>248</v>
      </c>
      <c r="D62" s="16">
        <v>26550.391</v>
      </c>
      <c r="E62" s="30">
        <f>F85</f>
        <v>19987.445</v>
      </c>
      <c r="F62" s="30"/>
      <c r="G62" s="201">
        <f>F86</f>
        <v>8124.65478991155</v>
      </c>
      <c r="H62" s="126">
        <f t="shared" si="10"/>
        <v>28112.09978991155</v>
      </c>
      <c r="I62" s="126">
        <f>I40</f>
        <v>0</v>
      </c>
      <c r="J62" s="190">
        <f t="shared" si="11"/>
        <v>28112.09978991155</v>
      </c>
    </row>
    <row r="63" spans="1:10" ht="15">
      <c r="A63" s="83">
        <f t="shared" si="0"/>
        <v>51</v>
      </c>
      <c r="B63" s="34" t="s">
        <v>204</v>
      </c>
      <c r="C63" s="28"/>
      <c r="D63" s="169">
        <f>3283.072+138.526</f>
        <v>3421.598</v>
      </c>
      <c r="E63" s="30">
        <f>2530+107</f>
        <v>2637</v>
      </c>
      <c r="F63" s="28">
        <f>'PMS-10 RA sum'!F64</f>
        <v>648</v>
      </c>
      <c r="G63" s="133"/>
      <c r="H63" s="260">
        <f t="shared" si="10"/>
        <v>3285</v>
      </c>
      <c r="I63" s="207"/>
      <c r="J63" s="222">
        <f t="shared" si="11"/>
        <v>3285</v>
      </c>
    </row>
    <row r="64" spans="1:10" ht="15.75" thickBot="1">
      <c r="A64" s="83">
        <f t="shared" si="0"/>
        <v>52</v>
      </c>
      <c r="B64" s="34" t="s">
        <v>205</v>
      </c>
      <c r="C64" s="45"/>
      <c r="D64" s="96"/>
      <c r="E64" s="97"/>
      <c r="F64" s="45">
        <f>'PMS-10 RA sum'!F65</f>
        <v>2565</v>
      </c>
      <c r="G64" s="163"/>
      <c r="H64" s="261">
        <f t="shared" si="10"/>
        <v>2565</v>
      </c>
      <c r="I64" s="210"/>
      <c r="J64" s="220">
        <f t="shared" si="11"/>
        <v>2565</v>
      </c>
    </row>
    <row r="65" spans="1:10" ht="15.75" thickBot="1">
      <c r="A65" s="83">
        <f t="shared" si="0"/>
        <v>53</v>
      </c>
      <c r="B65" s="98"/>
      <c r="C65" s="93"/>
      <c r="D65" s="97"/>
      <c r="E65" s="97"/>
      <c r="F65" s="45"/>
      <c r="G65" s="163"/>
      <c r="H65" s="36"/>
      <c r="I65" s="113"/>
      <c r="J65" s="36"/>
    </row>
    <row r="66" spans="1:10" ht="15.75" thickBot="1">
      <c r="A66" s="83">
        <f t="shared" si="0"/>
        <v>54</v>
      </c>
      <c r="B66" s="34" t="s">
        <v>206</v>
      </c>
      <c r="C66" s="163" t="s">
        <v>390</v>
      </c>
      <c r="D66" s="201">
        <f>D59-D60-D61-D62+D63-D64</f>
        <v>124023.28500000009</v>
      </c>
      <c r="E66" s="202">
        <f>E59-E60-E61-E62+E63-E64</f>
        <v>3048.162043604774</v>
      </c>
      <c r="F66" s="202">
        <f>F59-F60-F61-F62+F63-F64</f>
        <v>57518.86980666827</v>
      </c>
      <c r="G66" s="202">
        <f>G59-G60-G61-G62+G63-G64</f>
        <v>11387.4104329617</v>
      </c>
      <c r="H66" s="126">
        <f>G66+F66+E66</f>
        <v>71954.44228323473</v>
      </c>
      <c r="I66" s="126">
        <f>I59-I60-I61-I62+I63-I64</f>
        <v>-25409.871720721523</v>
      </c>
      <c r="J66" s="190">
        <f>I66+H66</f>
        <v>46544.57056251321</v>
      </c>
    </row>
    <row r="67" spans="1:10" ht="15.75" thickBot="1">
      <c r="A67" s="83">
        <f t="shared" si="0"/>
        <v>55</v>
      </c>
      <c r="B67" s="34" t="s">
        <v>207</v>
      </c>
      <c r="C67" s="28"/>
      <c r="D67" s="30"/>
      <c r="E67" s="30"/>
      <c r="F67" s="30"/>
      <c r="G67" s="204"/>
      <c r="H67" s="30"/>
      <c r="I67" s="36"/>
      <c r="J67" s="30"/>
    </row>
    <row r="68" spans="1:10" ht="15">
      <c r="A68" s="83">
        <f t="shared" si="0"/>
        <v>56</v>
      </c>
      <c r="B68" s="34" t="s">
        <v>208</v>
      </c>
      <c r="C68" s="163" t="s">
        <v>250</v>
      </c>
      <c r="D68" s="205">
        <f aca="true" t="shared" si="12" ref="D68:I68">D66-D67</f>
        <v>124023.28500000009</v>
      </c>
      <c r="E68" s="206">
        <f t="shared" si="12"/>
        <v>3048.162043604774</v>
      </c>
      <c r="F68" s="206">
        <f t="shared" si="12"/>
        <v>57518.86980666827</v>
      </c>
      <c r="G68" s="206">
        <f t="shared" si="12"/>
        <v>11387.4104329617</v>
      </c>
      <c r="H68" s="207">
        <f>G68+F68+E68</f>
        <v>71954.44228323473</v>
      </c>
      <c r="I68" s="207">
        <f t="shared" si="12"/>
        <v>-25409.871720721523</v>
      </c>
      <c r="J68" s="222">
        <f>I68+H68</f>
        <v>46544.57056251321</v>
      </c>
    </row>
    <row r="69" spans="1:10" ht="15.75" thickBot="1">
      <c r="A69" s="83">
        <f t="shared" si="0"/>
        <v>57</v>
      </c>
      <c r="B69" s="34" t="s">
        <v>252</v>
      </c>
      <c r="C69" s="163" t="s">
        <v>271</v>
      </c>
      <c r="D69" s="208">
        <f>D68*$E$55</f>
        <v>43408.149750000026</v>
      </c>
      <c r="E69" s="209">
        <f>E68*$E$55</f>
        <v>1066.8567152616708</v>
      </c>
      <c r="F69" s="209">
        <f>F68*$E$55</f>
        <v>20131.604432333894</v>
      </c>
      <c r="G69" s="209">
        <f>G68*$E$55</f>
        <v>3985.5936515365947</v>
      </c>
      <c r="H69" s="210">
        <f>G69+F69+E69</f>
        <v>25184.05479913216</v>
      </c>
      <c r="I69" s="210">
        <f>I68*$E$55</f>
        <v>-8893.455102252532</v>
      </c>
      <c r="J69" s="220">
        <f>I69+H69</f>
        <v>16290.599696879626</v>
      </c>
    </row>
    <row r="70" spans="1:10" ht="15.75" thickBot="1">
      <c r="A70" s="83">
        <f t="shared" si="0"/>
        <v>58</v>
      </c>
      <c r="B70" s="95"/>
      <c r="C70" s="95"/>
      <c r="D70" s="94"/>
      <c r="E70" s="94"/>
      <c r="F70" s="93"/>
      <c r="G70" s="211"/>
      <c r="H70" s="93"/>
      <c r="I70" s="64"/>
      <c r="J70" s="93"/>
    </row>
    <row r="71" spans="1:10" ht="15.75" thickBot="1">
      <c r="A71" s="83">
        <f t="shared" si="0"/>
        <v>59</v>
      </c>
      <c r="B71" s="34" t="s">
        <v>209</v>
      </c>
      <c r="C71" s="74"/>
      <c r="D71" s="169">
        <v>-527.982</v>
      </c>
      <c r="E71" s="169">
        <v>-406.95135034554</v>
      </c>
      <c r="F71" s="28"/>
      <c r="G71" s="133"/>
      <c r="H71" s="193">
        <f>G71+F71+E71</f>
        <v>-406.95135034554</v>
      </c>
      <c r="I71" s="36"/>
      <c r="J71" s="193">
        <f>I71+H71</f>
        <v>-406.95135034554</v>
      </c>
    </row>
    <row r="72" spans="1:10" ht="15.75" thickBot="1">
      <c r="A72" s="83">
        <f t="shared" si="0"/>
        <v>60</v>
      </c>
      <c r="B72" s="74"/>
      <c r="C72" s="74"/>
      <c r="D72" s="30"/>
      <c r="E72" s="30"/>
      <c r="F72" s="28"/>
      <c r="G72" s="133"/>
      <c r="H72" s="36">
        <f>G72+F72+E72</f>
        <v>0</v>
      </c>
      <c r="I72" s="36"/>
      <c r="J72" s="28"/>
    </row>
    <row r="73" spans="1:10" ht="15.75" thickBot="1">
      <c r="A73" s="83">
        <f t="shared" si="0"/>
        <v>61</v>
      </c>
      <c r="B73" s="99" t="s">
        <v>210</v>
      </c>
      <c r="C73" s="100" t="s">
        <v>253</v>
      </c>
      <c r="D73" s="201">
        <f aca="true" t="shared" si="13" ref="D73:J73">D69+D71</f>
        <v>42880.16775000002</v>
      </c>
      <c r="E73" s="202">
        <f t="shared" si="13"/>
        <v>659.9053649161308</v>
      </c>
      <c r="F73" s="202">
        <f t="shared" si="13"/>
        <v>20131.604432333894</v>
      </c>
      <c r="G73" s="202">
        <f t="shared" si="13"/>
        <v>3985.5936515365947</v>
      </c>
      <c r="H73" s="126">
        <f t="shared" si="13"/>
        <v>24777.10344878662</v>
      </c>
      <c r="I73" s="126">
        <f t="shared" si="13"/>
        <v>-8893.455102252532</v>
      </c>
      <c r="J73" s="190">
        <f t="shared" si="13"/>
        <v>15883.648346534086</v>
      </c>
    </row>
    <row r="74" spans="1:10" ht="15">
      <c r="A74" s="83">
        <f t="shared" si="0"/>
        <v>62</v>
      </c>
      <c r="B74" s="28"/>
      <c r="C74" s="28"/>
      <c r="D74" s="74"/>
      <c r="E74" s="74"/>
      <c r="F74" s="28"/>
      <c r="G74" s="133"/>
      <c r="H74" s="28"/>
      <c r="I74" s="36"/>
      <c r="J74" s="28"/>
    </row>
    <row r="75" spans="1:10" ht="15">
      <c r="A75" s="83">
        <f t="shared" si="0"/>
        <v>63</v>
      </c>
      <c r="B75" s="28"/>
      <c r="C75" s="74"/>
      <c r="D75" s="74"/>
      <c r="E75" s="74"/>
      <c r="F75" s="28"/>
      <c r="G75" s="133"/>
      <c r="H75" s="28"/>
      <c r="I75" s="28"/>
      <c r="J75" s="28"/>
    </row>
    <row r="76" spans="1:10" ht="15.75">
      <c r="A76" s="83">
        <f t="shared" si="0"/>
        <v>64</v>
      </c>
      <c r="B76" s="33" t="s">
        <v>214</v>
      </c>
      <c r="C76" s="28" t="s">
        <v>218</v>
      </c>
      <c r="D76" s="28" t="s">
        <v>275</v>
      </c>
      <c r="E76" s="28"/>
      <c r="F76" s="28"/>
      <c r="G76" s="75"/>
      <c r="H76" s="74"/>
      <c r="I76" s="74"/>
      <c r="J76" s="74"/>
    </row>
    <row r="77" spans="1:10" ht="15">
      <c r="A77" s="83">
        <f t="shared" si="0"/>
        <v>65</v>
      </c>
      <c r="B77" s="28" t="s">
        <v>367</v>
      </c>
      <c r="C77" s="28"/>
      <c r="D77" s="28"/>
      <c r="E77" s="28"/>
      <c r="F77" s="28"/>
      <c r="G77" s="75"/>
      <c r="H77" s="74"/>
      <c r="I77" s="74"/>
      <c r="J77" s="74"/>
    </row>
    <row r="78" spans="1:10" ht="15">
      <c r="A78" s="83">
        <f aca="true" t="shared" si="14" ref="A78:A86">+A77+1</f>
        <v>66</v>
      </c>
      <c r="B78" s="28"/>
      <c r="C78" s="28"/>
      <c r="D78" s="28"/>
      <c r="E78" s="28"/>
      <c r="F78" s="28"/>
      <c r="G78" s="75"/>
      <c r="H78" s="74"/>
      <c r="I78" s="74"/>
      <c r="J78" s="74"/>
    </row>
    <row r="79" spans="1:10" ht="15.75" thickBot="1">
      <c r="A79" s="83">
        <f t="shared" si="14"/>
        <v>67</v>
      </c>
      <c r="B79" s="28" t="s">
        <v>368</v>
      </c>
      <c r="C79" s="28"/>
      <c r="D79" s="36">
        <f>'PMS-8 RevReq'!D10</f>
        <v>787281.2529739287</v>
      </c>
      <c r="E79" s="28"/>
      <c r="F79" s="28"/>
      <c r="G79" s="75"/>
      <c r="H79" s="74"/>
      <c r="I79" s="74"/>
      <c r="J79" s="74"/>
    </row>
    <row r="80" spans="1:10" ht="15.75" thickBot="1">
      <c r="A80" s="83">
        <f t="shared" si="14"/>
        <v>68</v>
      </c>
      <c r="B80" s="28" t="s">
        <v>346</v>
      </c>
      <c r="C80" s="28"/>
      <c r="D80" s="28"/>
      <c r="E80" s="192">
        <v>6786.559</v>
      </c>
      <c r="F80" s="28"/>
      <c r="G80" s="75"/>
      <c r="H80" s="74"/>
      <c r="I80" s="74"/>
      <c r="J80" s="74"/>
    </row>
    <row r="81" spans="1:10" ht="15.75" thickBot="1">
      <c r="A81" s="83">
        <f t="shared" si="14"/>
        <v>69</v>
      </c>
      <c r="B81" s="28" t="s">
        <v>215</v>
      </c>
      <c r="C81" s="28"/>
      <c r="D81" s="63">
        <f>+E81</f>
        <v>0.035451</v>
      </c>
      <c r="E81" s="63">
        <f>0.035451</f>
        <v>0.035451</v>
      </c>
      <c r="F81" s="28"/>
      <c r="G81" s="75"/>
      <c r="H81" s="74"/>
      <c r="I81" s="74"/>
      <c r="J81" s="74"/>
    </row>
    <row r="82" spans="1:10" ht="15.75" thickBot="1">
      <c r="A82" s="83">
        <f t="shared" si="14"/>
        <v>70</v>
      </c>
      <c r="C82" s="28"/>
      <c r="D82" s="28"/>
      <c r="E82" s="192">
        <f>+E80*E81</f>
        <v>240.59030310900002</v>
      </c>
      <c r="F82" s="28"/>
      <c r="G82" s="75"/>
      <c r="H82" s="74"/>
      <c r="I82" s="74"/>
      <c r="J82" s="74"/>
    </row>
    <row r="83" spans="1:10" ht="15.75" thickBot="1">
      <c r="A83" s="83">
        <f t="shared" si="14"/>
        <v>71</v>
      </c>
      <c r="C83" s="28"/>
      <c r="D83" s="28"/>
      <c r="E83" s="63">
        <f>1-15.96%</f>
        <v>0.8404</v>
      </c>
      <c r="F83" s="28"/>
      <c r="G83" s="75"/>
      <c r="H83" s="74"/>
      <c r="I83" s="74"/>
      <c r="J83" s="74"/>
    </row>
    <row r="84" spans="1:10" ht="15.75" thickBot="1">
      <c r="A84" s="83">
        <f t="shared" si="14"/>
        <v>72</v>
      </c>
      <c r="B84" s="28" t="s">
        <v>216</v>
      </c>
      <c r="C84" s="28"/>
      <c r="D84" s="30">
        <f>+D79*D81</f>
        <v>27909.907699178748</v>
      </c>
      <c r="E84" s="192">
        <f>+E82*E83</f>
        <v>202.19209073280362</v>
      </c>
      <c r="F84" s="36">
        <f>+D84+E84</f>
        <v>28112.09978991155</v>
      </c>
      <c r="G84" s="75"/>
      <c r="H84" s="74"/>
      <c r="I84" s="74"/>
      <c r="J84" s="74"/>
    </row>
    <row r="85" spans="1:10" ht="15.75" thickBot="1">
      <c r="A85" s="83">
        <f t="shared" si="14"/>
        <v>73</v>
      </c>
      <c r="B85" s="34" t="s">
        <v>347</v>
      </c>
      <c r="C85" s="28"/>
      <c r="D85" s="30"/>
      <c r="E85" s="30"/>
      <c r="F85" s="90">
        <v>19987.445</v>
      </c>
      <c r="G85" s="75"/>
      <c r="H85" s="74"/>
      <c r="I85" s="74"/>
      <c r="J85" s="74"/>
    </row>
    <row r="86" spans="1:10" ht="15.75" thickBot="1">
      <c r="A86" s="83">
        <f t="shared" si="14"/>
        <v>74</v>
      </c>
      <c r="B86" s="34" t="s">
        <v>217</v>
      </c>
      <c r="C86" s="28"/>
      <c r="D86" s="30"/>
      <c r="E86" s="30"/>
      <c r="F86" s="192">
        <f>+F84-F85</f>
        <v>8124.65478991155</v>
      </c>
      <c r="G86" s="75"/>
      <c r="H86" s="74"/>
      <c r="I86" s="74"/>
      <c r="J86" s="74"/>
    </row>
    <row r="87" spans="2:6" ht="15">
      <c r="B87" s="28"/>
      <c r="C87" s="13"/>
      <c r="D87" s="13"/>
      <c r="E87" s="13"/>
      <c r="F87" s="13"/>
    </row>
    <row r="88" spans="2:3" ht="15">
      <c r="B88" s="28"/>
      <c r="C88" s="28"/>
    </row>
    <row r="89" spans="2:3" ht="15">
      <c r="B89" s="28"/>
      <c r="C89" s="28"/>
    </row>
    <row r="90" spans="2:3" ht="15">
      <c r="B90" s="28"/>
      <c r="C90" s="28"/>
    </row>
    <row r="91" spans="2:3" ht="15">
      <c r="B91" s="28"/>
      <c r="C91" s="28"/>
    </row>
    <row r="92" spans="2:3" ht="15">
      <c r="B92" s="28"/>
      <c r="C92" s="28"/>
    </row>
    <row r="93" spans="2:3" ht="15">
      <c r="B93" s="28"/>
      <c r="C93" s="28"/>
    </row>
  </sheetData>
  <mergeCells count="1">
    <mergeCell ref="I4:J4"/>
  </mergeCells>
  <printOptions/>
  <pageMargins left="0.75" right="1.19" top="0.75" bottom="0.69" header="0.71" footer="0.5"/>
  <pageSetup fitToHeight="0" fitToWidth="1" horizontalDpi="600" verticalDpi="600" orientation="landscape" scale="60" r:id="rId1"/>
  <headerFooter alignWithMargins="0">
    <oddHeader>&amp;R&amp;"Arial,Bold"&amp;12Exhibit No. ___ (PMS-7), Page &amp;P of &amp;N
Docket UT-040788
Witness:  Paula Strain
November 22, 2004</oddHeader>
  </headerFooter>
  <rowBreaks count="1" manualBreakCount="1">
    <brk id="5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="60" workbookViewId="0" topLeftCell="A7">
      <selection activeCell="C11" sqref="C11"/>
    </sheetView>
  </sheetViews>
  <sheetFormatPr defaultColWidth="9.140625" defaultRowHeight="12.75"/>
  <cols>
    <col min="2" max="2" width="59.00390625" style="0" bestFit="1" customWidth="1"/>
    <col min="3" max="3" width="16.57421875" style="0" customWidth="1"/>
    <col min="4" max="4" width="21.57421875" style="0" bestFit="1" customWidth="1"/>
    <col min="5" max="5" width="8.28125" style="0" customWidth="1"/>
    <col min="6" max="6" width="21.28125" style="0" bestFit="1" customWidth="1"/>
  </cols>
  <sheetData>
    <row r="1" spans="1:7" ht="15.75">
      <c r="A1" s="33" t="s">
        <v>244</v>
      </c>
      <c r="B1" s="28"/>
      <c r="C1" s="15"/>
      <c r="F1" s="1"/>
      <c r="G1" s="110" t="s">
        <v>324</v>
      </c>
    </row>
    <row r="2" spans="1:7" ht="15.75">
      <c r="A2" s="33" t="s">
        <v>245</v>
      </c>
      <c r="B2" s="28"/>
      <c r="C2" s="15"/>
      <c r="D2" s="86"/>
      <c r="E2" s="86"/>
      <c r="F2" s="1"/>
      <c r="G2" s="111" t="s">
        <v>366</v>
      </c>
    </row>
    <row r="3" spans="1:7" ht="15.75">
      <c r="A3" s="33" t="s">
        <v>269</v>
      </c>
      <c r="B3" s="28"/>
      <c r="C3" s="15"/>
      <c r="D3" s="87"/>
      <c r="E3" s="87"/>
      <c r="F3" s="1"/>
      <c r="G3" s="111" t="s">
        <v>369</v>
      </c>
    </row>
    <row r="4" spans="1:7" ht="16.5" thickBot="1">
      <c r="A4" s="33" t="s">
        <v>246</v>
      </c>
      <c r="B4" s="28"/>
      <c r="F4" s="309">
        <v>38313</v>
      </c>
      <c r="G4" s="310"/>
    </row>
    <row r="5" spans="1:7" ht="18.75" thickBot="1">
      <c r="A5" s="33" t="s">
        <v>247</v>
      </c>
      <c r="C5" s="230"/>
      <c r="D5" s="183"/>
      <c r="E5" s="184"/>
      <c r="F5" s="184"/>
      <c r="G5" s="249" t="s">
        <v>395</v>
      </c>
    </row>
    <row r="6" spans="1:7" ht="15.75">
      <c r="A6" s="7"/>
      <c r="B6" s="15"/>
      <c r="C6" s="163"/>
      <c r="D6" s="231"/>
      <c r="E6" s="188"/>
      <c r="F6" s="259"/>
      <c r="G6" s="229" t="s">
        <v>394</v>
      </c>
    </row>
    <row r="7" spans="1:6" ht="12.75">
      <c r="A7" s="7"/>
      <c r="B7" s="4" t="s">
        <v>50</v>
      </c>
      <c r="C7" s="1"/>
      <c r="D7" s="88" t="s">
        <v>51</v>
      </c>
      <c r="E7" s="88"/>
      <c r="F7" s="4" t="s">
        <v>120</v>
      </c>
    </row>
    <row r="8" spans="1:6" ht="12.75">
      <c r="A8" s="8" t="s">
        <v>67</v>
      </c>
      <c r="B8" s="9" t="s">
        <v>68</v>
      </c>
      <c r="C8" s="9"/>
      <c r="D8" s="89"/>
      <c r="E8" s="89"/>
      <c r="F8" s="10" t="s">
        <v>116</v>
      </c>
    </row>
    <row r="9" spans="1:6" ht="15.75" thickBot="1">
      <c r="A9" s="18"/>
      <c r="B9" s="15"/>
      <c r="C9" s="15"/>
      <c r="D9" s="25"/>
      <c r="E9" s="25"/>
      <c r="F9" s="17"/>
    </row>
    <row r="10" spans="1:6" ht="16.5" thickBot="1">
      <c r="A10" s="66">
        <v>1</v>
      </c>
      <c r="B10" s="15" t="s">
        <v>219</v>
      </c>
      <c r="C10" s="15"/>
      <c r="D10" s="127">
        <f>'PMS-7 Res of Ops'!H50</f>
        <v>787281.2529739287</v>
      </c>
      <c r="E10" s="25"/>
      <c r="F10" s="115" t="s">
        <v>254</v>
      </c>
    </row>
    <row r="11" spans="1:6" ht="15">
      <c r="A11" s="66"/>
      <c r="B11" s="17"/>
      <c r="C11" s="17"/>
      <c r="D11" s="25"/>
      <c r="E11" s="25"/>
      <c r="F11" s="116"/>
    </row>
    <row r="12" spans="1:6" ht="15">
      <c r="A12" s="66">
        <f>+A10+1</f>
        <v>2</v>
      </c>
      <c r="B12" s="17" t="s">
        <v>220</v>
      </c>
      <c r="C12" s="17"/>
      <c r="D12" s="258">
        <v>0.0771</v>
      </c>
      <c r="E12" s="263"/>
      <c r="F12" s="115" t="s">
        <v>355</v>
      </c>
    </row>
    <row r="13" spans="1:6" ht="15.75" thickBot="1">
      <c r="A13" s="66"/>
      <c r="B13" s="17"/>
      <c r="C13" s="17"/>
      <c r="D13" s="25"/>
      <c r="E13" s="25"/>
      <c r="F13" s="116"/>
    </row>
    <row r="14" spans="1:6" ht="16.5" thickBot="1">
      <c r="A14" s="66">
        <f>+A12+1</f>
        <v>3</v>
      </c>
      <c r="B14" s="80" t="s">
        <v>372</v>
      </c>
      <c r="C14" s="17"/>
      <c r="D14" s="127">
        <f>D10*D12</f>
        <v>60699.3846042899</v>
      </c>
      <c r="E14" s="25"/>
      <c r="F14" s="115"/>
    </row>
    <row r="15" spans="1:6" ht="15.75" thickBot="1">
      <c r="A15" s="66"/>
      <c r="B15" s="17"/>
      <c r="C15" s="17"/>
      <c r="D15" s="25"/>
      <c r="E15" s="25"/>
      <c r="F15" s="116"/>
    </row>
    <row r="16" spans="1:6" ht="16.5" thickBot="1">
      <c r="A16" s="66">
        <f>+A14+1</f>
        <v>4</v>
      </c>
      <c r="B16" s="17" t="s">
        <v>221</v>
      </c>
      <c r="C16" s="17"/>
      <c r="D16" s="127">
        <f>'PMS-7 Res of Ops'!H38</f>
        <v>77206.43862435967</v>
      </c>
      <c r="E16" s="25"/>
      <c r="F16" s="115" t="s">
        <v>255</v>
      </c>
    </row>
    <row r="17" spans="1:6" ht="15.75" thickBot="1">
      <c r="A17" s="66"/>
      <c r="B17" s="17"/>
      <c r="C17" s="17"/>
      <c r="D17" s="121"/>
      <c r="E17" s="25"/>
      <c r="F17" s="116"/>
    </row>
    <row r="18" spans="1:6" ht="16.5" thickBot="1">
      <c r="A18" s="66">
        <f>+A16+1</f>
        <v>5</v>
      </c>
      <c r="B18" s="80" t="s">
        <v>370</v>
      </c>
      <c r="C18" s="17"/>
      <c r="D18" s="127">
        <f>D14-D16</f>
        <v>-16507.054020069765</v>
      </c>
      <c r="E18" s="25"/>
      <c r="F18" s="115"/>
    </row>
    <row r="19" spans="1:6" ht="15">
      <c r="A19" s="66"/>
      <c r="B19" s="17"/>
      <c r="C19" s="17"/>
      <c r="D19" s="25"/>
      <c r="E19" s="25"/>
      <c r="F19" s="116"/>
    </row>
    <row r="20" spans="1:6" ht="15">
      <c r="A20" s="66">
        <f>+A18+1</f>
        <v>6</v>
      </c>
      <c r="B20" s="17" t="s">
        <v>222</v>
      </c>
      <c r="C20" s="17"/>
      <c r="D20" s="128">
        <f>'PMS-9 Conv Factor'!H33</f>
        <v>1.574441848674414</v>
      </c>
      <c r="E20" s="26"/>
      <c r="F20" s="115" t="s">
        <v>268</v>
      </c>
    </row>
    <row r="21" spans="1:6" ht="15.75" thickBot="1">
      <c r="A21" s="66"/>
      <c r="B21" s="17"/>
      <c r="C21" s="17"/>
      <c r="D21" s="25"/>
      <c r="E21" s="25"/>
      <c r="F21" s="116"/>
    </row>
    <row r="22" spans="1:6" ht="16.5" thickBot="1">
      <c r="A22" s="66">
        <f>+A20+1</f>
        <v>7</v>
      </c>
      <c r="B22" s="80" t="s">
        <v>371</v>
      </c>
      <c r="C22" s="17"/>
      <c r="D22" s="127">
        <f>D18*D20</f>
        <v>-25989.39664752706</v>
      </c>
      <c r="E22" s="25"/>
      <c r="F22" s="115"/>
    </row>
    <row r="23" spans="1:6" ht="15">
      <c r="A23" s="66"/>
      <c r="B23" s="17"/>
      <c r="C23" s="17"/>
      <c r="D23" s="25"/>
      <c r="E23" s="25"/>
      <c r="F23" s="116"/>
    </row>
    <row r="24" spans="1:6" ht="12.75">
      <c r="A24" s="3"/>
      <c r="D24" s="68"/>
      <c r="E24" s="68"/>
      <c r="F24" s="11"/>
    </row>
    <row r="25" spans="1:6" ht="13.5" thickBot="1">
      <c r="A25" s="3"/>
      <c r="D25" s="68"/>
      <c r="E25" s="68"/>
      <c r="F25" s="11"/>
    </row>
    <row r="26" spans="1:6" ht="16.5" thickBot="1">
      <c r="A26" s="67">
        <v>8</v>
      </c>
      <c r="B26" s="33" t="s">
        <v>379</v>
      </c>
      <c r="C26" s="33"/>
      <c r="D26" s="129">
        <f>D22/'PMS-7 Res of Ops'!H20</f>
        <v>-0.06674801663363432</v>
      </c>
      <c r="E26" s="112"/>
      <c r="F26" s="117" t="s">
        <v>387</v>
      </c>
    </row>
    <row r="27" spans="1:6" ht="15">
      <c r="A27" s="3"/>
      <c r="F27" s="117"/>
    </row>
    <row r="28" spans="1:6" ht="15">
      <c r="A28" s="3"/>
      <c r="F28" s="117"/>
    </row>
    <row r="29" spans="1:6" ht="15">
      <c r="A29" s="3"/>
      <c r="F29" s="117"/>
    </row>
    <row r="30" spans="1:6" ht="15.75">
      <c r="A30" s="3"/>
      <c r="B30" s="33" t="s">
        <v>331</v>
      </c>
      <c r="F30" s="117"/>
    </row>
    <row r="31" spans="1:6" ht="15.75" thickBot="1">
      <c r="A31" s="3"/>
      <c r="F31" s="117"/>
    </row>
    <row r="32" spans="1:6" ht="16.5" thickBot="1">
      <c r="A32" s="67">
        <v>9</v>
      </c>
      <c r="B32" s="28" t="s">
        <v>332</v>
      </c>
      <c r="C32" s="28"/>
      <c r="D32" s="264">
        <f>'PMS-7 Res of Ops'!J32</f>
        <v>287210.39683422615</v>
      </c>
      <c r="E32" s="65"/>
      <c r="F32" s="117" t="s">
        <v>373</v>
      </c>
    </row>
    <row r="33" spans="1:6" ht="15.75" thickBot="1">
      <c r="A33" s="67"/>
      <c r="B33" s="28"/>
      <c r="C33" s="28"/>
      <c r="D33" s="122"/>
      <c r="E33" s="28"/>
      <c r="F33" s="117"/>
    </row>
    <row r="34" spans="1:6" ht="16.5" thickBot="1">
      <c r="A34" s="67">
        <v>10</v>
      </c>
      <c r="B34" s="28" t="s">
        <v>333</v>
      </c>
      <c r="C34" s="28"/>
      <c r="D34" s="130">
        <f>'PMS-8 RevReq'!D14</f>
        <v>60699.3846042899</v>
      </c>
      <c r="E34" s="36"/>
      <c r="F34" s="117" t="s">
        <v>374</v>
      </c>
    </row>
    <row r="35" spans="1:6" ht="15.75" thickBot="1">
      <c r="A35" s="67"/>
      <c r="B35" s="28"/>
      <c r="C35" s="28"/>
      <c r="D35" s="122"/>
      <c r="E35" s="28"/>
      <c r="F35" s="117"/>
    </row>
    <row r="36" spans="1:6" ht="16.5" thickBot="1">
      <c r="A36" s="67">
        <v>11</v>
      </c>
      <c r="B36" s="28" t="s">
        <v>334</v>
      </c>
      <c r="C36" s="28"/>
      <c r="D36" s="130">
        <f>'PMS-7 Res of Ops'!J36</f>
        <v>15883.648346534088</v>
      </c>
      <c r="E36" s="113"/>
      <c r="F36" s="117" t="s">
        <v>375</v>
      </c>
    </row>
    <row r="37" spans="1:6" ht="15.75" thickBot="1">
      <c r="A37" s="3"/>
      <c r="D37" s="123"/>
      <c r="F37" s="28"/>
    </row>
    <row r="38" spans="1:6" ht="16.5" thickBot="1">
      <c r="A38" s="20">
        <v>12</v>
      </c>
      <c r="B38" s="33" t="s">
        <v>335</v>
      </c>
      <c r="C38" s="33"/>
      <c r="D38" s="264">
        <f>SUM(D32:D36)</f>
        <v>363793.42978505016</v>
      </c>
      <c r="E38" s="114"/>
      <c r="F38" s="28" t="s">
        <v>380</v>
      </c>
    </row>
  </sheetData>
  <mergeCells count="1">
    <mergeCell ref="F4:G4"/>
  </mergeCells>
  <printOptions/>
  <pageMargins left="0.75" right="0.75" top="1" bottom="1" header="0.5" footer="0.5"/>
  <pageSetup fitToHeight="1" fitToWidth="1" horizontalDpi="300" verticalDpi="3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B14">
      <selection activeCell="H25" sqref="H25"/>
    </sheetView>
  </sheetViews>
  <sheetFormatPr defaultColWidth="9.140625" defaultRowHeight="12.75"/>
  <cols>
    <col min="6" max="6" width="10.140625" style="0" customWidth="1"/>
    <col min="7" max="7" width="12.00390625" style="0" bestFit="1" customWidth="1"/>
    <col min="8" max="8" width="12.7109375" style="0" customWidth="1"/>
    <col min="9" max="9" width="21.28125" style="0" bestFit="1" customWidth="1"/>
  </cols>
  <sheetData>
    <row r="1" spans="1:9" ht="15.75">
      <c r="A1" s="33" t="s">
        <v>244</v>
      </c>
      <c r="B1" s="1"/>
      <c r="C1" s="1"/>
      <c r="D1" s="1"/>
      <c r="E1" s="1"/>
      <c r="F1" s="1"/>
      <c r="G1" s="1"/>
      <c r="H1" s="2"/>
      <c r="I1" s="110" t="s">
        <v>325</v>
      </c>
    </row>
    <row r="2" spans="1:9" ht="15.75">
      <c r="A2" s="33" t="s">
        <v>245</v>
      </c>
      <c r="B2" s="1"/>
      <c r="C2" s="1"/>
      <c r="D2" s="1"/>
      <c r="E2" s="1"/>
      <c r="F2" s="1"/>
      <c r="G2" s="1"/>
      <c r="H2" s="2"/>
      <c r="I2" s="111" t="s">
        <v>366</v>
      </c>
    </row>
    <row r="3" spans="1:9" ht="15.75">
      <c r="A3" s="33" t="s">
        <v>256</v>
      </c>
      <c r="B3" s="1"/>
      <c r="C3" s="1"/>
      <c r="D3" s="1"/>
      <c r="E3" s="1"/>
      <c r="F3" s="1"/>
      <c r="G3" s="1"/>
      <c r="H3" s="2"/>
      <c r="I3" s="111" t="s">
        <v>369</v>
      </c>
    </row>
    <row r="4" spans="1:9" ht="15.75">
      <c r="A4" s="33" t="s">
        <v>246</v>
      </c>
      <c r="B4" s="1"/>
      <c r="C4" s="1"/>
      <c r="D4" s="1"/>
      <c r="E4" s="1"/>
      <c r="F4" s="1"/>
      <c r="G4" s="1"/>
      <c r="H4" s="309">
        <v>38313</v>
      </c>
      <c r="I4" s="311"/>
    </row>
    <row r="5" spans="1:9" ht="15.75">
      <c r="A5" s="33" t="s">
        <v>247</v>
      </c>
      <c r="B5" s="1"/>
      <c r="C5" s="1"/>
      <c r="D5" s="1"/>
      <c r="E5" s="1"/>
      <c r="F5" s="1"/>
      <c r="G5" s="1"/>
      <c r="H5" s="2"/>
      <c r="I5" s="1"/>
    </row>
    <row r="6" ht="12.75">
      <c r="H6" s="14"/>
    </row>
    <row r="11" spans="2:9" ht="12.75">
      <c r="B11" s="3" t="s">
        <v>50</v>
      </c>
      <c r="C11" s="3"/>
      <c r="D11" s="3"/>
      <c r="E11" s="3"/>
      <c r="F11" s="3"/>
      <c r="H11" s="3" t="s">
        <v>51</v>
      </c>
      <c r="I11" s="3" t="s">
        <v>120</v>
      </c>
    </row>
    <row r="12" ht="12.75">
      <c r="I12" s="14"/>
    </row>
    <row r="13" spans="1:9" ht="12.75">
      <c r="A13" s="3" t="s">
        <v>67</v>
      </c>
      <c r="B13" t="s">
        <v>68</v>
      </c>
      <c r="H13" s="3" t="s">
        <v>257</v>
      </c>
      <c r="I13" s="3" t="s">
        <v>116</v>
      </c>
    </row>
    <row r="14" ht="12.75">
      <c r="I14" s="3"/>
    </row>
    <row r="15" spans="1:9" ht="12.75">
      <c r="A15" s="3">
        <v>1</v>
      </c>
      <c r="B15" t="s">
        <v>258</v>
      </c>
      <c r="H15" s="48">
        <v>1</v>
      </c>
      <c r="I15" s="3"/>
    </row>
    <row r="16" spans="1:9" ht="12.75">
      <c r="A16" s="3"/>
      <c r="H16" s="48"/>
      <c r="I16" s="3"/>
    </row>
    <row r="17" spans="1:9" ht="12.75">
      <c r="A17" s="3">
        <v>2</v>
      </c>
      <c r="B17" t="s">
        <v>259</v>
      </c>
      <c r="H17" s="48">
        <v>0.01624274</v>
      </c>
      <c r="I17" s="3" t="s">
        <v>376</v>
      </c>
    </row>
    <row r="18" spans="1:9" ht="12.75">
      <c r="A18" s="3"/>
      <c r="H18" s="48"/>
      <c r="I18" s="3"/>
    </row>
    <row r="19" spans="1:9" ht="12.75">
      <c r="A19" s="3">
        <v>3</v>
      </c>
      <c r="B19" t="s">
        <v>260</v>
      </c>
      <c r="H19" s="48">
        <f>H15-H17</f>
        <v>0.98375726</v>
      </c>
      <c r="I19" s="3"/>
    </row>
    <row r="20" spans="1:9" ht="12.75">
      <c r="A20" s="3"/>
      <c r="H20" s="48"/>
      <c r="I20" s="3"/>
    </row>
    <row r="21" spans="1:9" ht="12.75">
      <c r="A21" s="3">
        <v>4</v>
      </c>
      <c r="B21" t="s">
        <v>261</v>
      </c>
      <c r="H21" s="48">
        <v>0.0019</v>
      </c>
      <c r="I21" s="3" t="s">
        <v>377</v>
      </c>
    </row>
    <row r="22" spans="1:9" ht="12.75">
      <c r="A22" s="3"/>
      <c r="H22" s="48"/>
      <c r="I22" s="3"/>
    </row>
    <row r="23" spans="1:9" ht="12.75">
      <c r="A23" s="3">
        <v>5</v>
      </c>
      <c r="B23" t="s">
        <v>262</v>
      </c>
      <c r="H23" s="48">
        <v>0.00471</v>
      </c>
      <c r="I23" s="3" t="s">
        <v>378</v>
      </c>
    </row>
    <row r="24" spans="1:9" ht="12.75">
      <c r="A24" s="3"/>
      <c r="H24" s="48"/>
      <c r="I24" s="14"/>
    </row>
    <row r="25" spans="1:9" ht="12.75">
      <c r="A25" s="3">
        <v>6</v>
      </c>
      <c r="B25" t="s">
        <v>263</v>
      </c>
      <c r="H25" s="48">
        <f>H19-H21-H23</f>
        <v>0.97714726</v>
      </c>
      <c r="I25" s="14"/>
    </row>
    <row r="26" spans="1:9" ht="12.75">
      <c r="A26" s="3"/>
      <c r="H26" s="48"/>
      <c r="I26" s="14"/>
    </row>
    <row r="27" spans="1:9" ht="12.75">
      <c r="A27" s="3">
        <v>7</v>
      </c>
      <c r="B27" t="s">
        <v>264</v>
      </c>
      <c r="H27" s="48">
        <v>0</v>
      </c>
      <c r="I27" s="14"/>
    </row>
    <row r="28" spans="1:9" ht="12.75">
      <c r="A28" s="3"/>
      <c r="H28" s="48"/>
      <c r="I28" s="14"/>
    </row>
    <row r="29" spans="1:9" ht="12.75">
      <c r="A29" s="3">
        <v>8</v>
      </c>
      <c r="B29" t="s">
        <v>265</v>
      </c>
      <c r="H29" s="48">
        <f>H25*0.35</f>
        <v>0.34200154099999996</v>
      </c>
      <c r="I29" s="14"/>
    </row>
    <row r="30" spans="1:9" ht="12.75">
      <c r="A30" s="3"/>
      <c r="H30" s="48"/>
      <c r="I30" s="14"/>
    </row>
    <row r="31" spans="1:9" ht="12.75">
      <c r="A31" s="3">
        <v>9</v>
      </c>
      <c r="B31" t="s">
        <v>266</v>
      </c>
      <c r="H31" s="48">
        <f>H25-H27-H29</f>
        <v>0.635145719</v>
      </c>
      <c r="I31" s="14"/>
    </row>
    <row r="32" spans="1:9" ht="12.75">
      <c r="A32" s="3"/>
      <c r="H32" s="48"/>
      <c r="I32" s="14"/>
    </row>
    <row r="33" spans="1:9" ht="12.75">
      <c r="A33" s="3">
        <v>10</v>
      </c>
      <c r="B33" t="s">
        <v>267</v>
      </c>
      <c r="H33" s="48">
        <f>H15/H31</f>
        <v>1.574441848674414</v>
      </c>
      <c r="I33" s="14"/>
    </row>
    <row r="34" spans="1:9" ht="12.75">
      <c r="A34" s="3"/>
      <c r="H34" s="48"/>
      <c r="I34" s="14"/>
    </row>
    <row r="35" spans="1:9" ht="12.75">
      <c r="A35" s="3"/>
      <c r="H35" s="48"/>
      <c r="I35" s="14"/>
    </row>
    <row r="36" ht="12.75">
      <c r="H36" s="14"/>
    </row>
  </sheetData>
  <mergeCells count="1">
    <mergeCell ref="H4:I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4"/>
  <sheetViews>
    <sheetView tabSelected="1" view="pageBreakPreview" zoomScale="60" workbookViewId="0" topLeftCell="E1">
      <selection activeCell="K3" sqref="K3"/>
    </sheetView>
  </sheetViews>
  <sheetFormatPr defaultColWidth="9.140625" defaultRowHeight="12.75"/>
  <cols>
    <col min="2" max="2" width="19.421875" style="0" customWidth="1"/>
    <col min="4" max="4" width="19.00390625" style="0" customWidth="1"/>
    <col min="5" max="5" width="17.00390625" style="0" customWidth="1"/>
    <col min="6" max="6" width="20.421875" style="0" bestFit="1" customWidth="1"/>
    <col min="7" max="7" width="17.28125" style="0" bestFit="1" customWidth="1"/>
    <col min="8" max="8" width="18.421875" style="0" bestFit="1" customWidth="1"/>
    <col min="9" max="9" width="16.140625" style="0" bestFit="1" customWidth="1"/>
    <col min="10" max="10" width="13.57421875" style="0" bestFit="1" customWidth="1"/>
    <col min="11" max="11" width="15.140625" style="0" customWidth="1"/>
    <col min="12" max="12" width="12.7109375" style="0" bestFit="1" customWidth="1"/>
    <col min="13" max="13" width="16.421875" style="0" bestFit="1" customWidth="1"/>
    <col min="14" max="14" width="15.7109375" style="0" bestFit="1" customWidth="1"/>
    <col min="15" max="15" width="15.8515625" style="0" customWidth="1"/>
    <col min="16" max="17" width="15.57421875" style="0" bestFit="1" customWidth="1"/>
    <col min="18" max="19" width="14.7109375" style="0" bestFit="1" customWidth="1"/>
    <col min="20" max="20" width="18.28125" style="0" bestFit="1" customWidth="1"/>
    <col min="21" max="21" width="19.00390625" style="0" bestFit="1" customWidth="1"/>
    <col min="22" max="22" width="15.421875" style="0" bestFit="1" customWidth="1"/>
    <col min="23" max="23" width="15.57421875" style="0" bestFit="1" customWidth="1"/>
    <col min="24" max="24" width="18.421875" style="0" bestFit="1" customWidth="1"/>
    <col min="25" max="25" width="15.57421875" style="0" bestFit="1" customWidth="1"/>
    <col min="26" max="26" width="19.140625" style="0" bestFit="1" customWidth="1"/>
    <col min="27" max="27" width="16.7109375" style="0" bestFit="1" customWidth="1"/>
    <col min="28" max="28" width="16.00390625" style="0" customWidth="1"/>
    <col min="29" max="29" width="19.140625" style="0" customWidth="1"/>
    <col min="30" max="30" width="18.28125" style="0" bestFit="1" customWidth="1"/>
    <col min="31" max="31" width="11.140625" style="0" bestFit="1" customWidth="1"/>
    <col min="32" max="32" width="11.57421875" style="0" bestFit="1" customWidth="1"/>
    <col min="33" max="33" width="10.57421875" style="0" bestFit="1" customWidth="1"/>
    <col min="34" max="34" width="12.00390625" style="0" bestFit="1" customWidth="1"/>
    <col min="35" max="35" width="15.57421875" style="0" customWidth="1"/>
    <col min="36" max="36" width="19.00390625" style="0" bestFit="1" customWidth="1"/>
  </cols>
  <sheetData>
    <row r="1" spans="1:37" ht="21" thickBot="1">
      <c r="A1" s="33" t="s">
        <v>244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71"/>
      <c r="R1" s="111"/>
      <c r="S1" s="111"/>
      <c r="T1" s="28"/>
      <c r="U1" s="28"/>
      <c r="V1" s="28"/>
      <c r="W1" s="28"/>
      <c r="X1" s="33"/>
      <c r="Y1" s="28"/>
      <c r="Z1" s="111"/>
      <c r="AA1" s="111"/>
      <c r="AB1" s="111"/>
      <c r="AC1" s="28"/>
      <c r="AD1" s="28"/>
      <c r="AE1" s="239" t="s">
        <v>396</v>
      </c>
      <c r="AF1" s="240"/>
      <c r="AG1" s="240"/>
      <c r="AH1" s="241"/>
      <c r="AI1" s="242"/>
      <c r="AJ1" s="45"/>
      <c r="AK1" s="238"/>
    </row>
    <row r="2" spans="1:37" ht="21" thickBot="1">
      <c r="A2" s="33" t="s">
        <v>245</v>
      </c>
      <c r="B2" s="28"/>
      <c r="C2" s="28"/>
      <c r="D2" s="28"/>
      <c r="E2" s="28"/>
      <c r="F2" s="28"/>
      <c r="G2" s="28"/>
      <c r="H2" s="28"/>
      <c r="I2" s="28"/>
      <c r="J2" s="28"/>
      <c r="K2" s="185" t="s">
        <v>396</v>
      </c>
      <c r="L2" s="186"/>
      <c r="M2" s="182"/>
      <c r="N2" s="187"/>
      <c r="P2" s="67"/>
      <c r="Q2" s="171"/>
      <c r="R2" s="67"/>
      <c r="S2" s="20"/>
      <c r="T2" s="67"/>
      <c r="U2" s="185" t="s">
        <v>396</v>
      </c>
      <c r="V2" s="186"/>
      <c r="W2" s="186"/>
      <c r="X2" s="187"/>
      <c r="Y2" s="163"/>
      <c r="Z2" s="236"/>
      <c r="AD2" s="28"/>
      <c r="AE2" s="243" t="s">
        <v>394</v>
      </c>
      <c r="AF2" s="244"/>
      <c r="AG2" s="244"/>
      <c r="AH2" s="244"/>
      <c r="AI2" s="245"/>
      <c r="AJ2" s="163"/>
      <c r="AK2" s="163"/>
    </row>
    <row r="3" spans="1:37" ht="16.5" thickBot="1">
      <c r="A3" s="33" t="s">
        <v>364</v>
      </c>
      <c r="B3" s="28"/>
      <c r="C3" s="28"/>
      <c r="D3" s="28"/>
      <c r="E3" s="28"/>
      <c r="F3" s="28"/>
      <c r="H3" s="176"/>
      <c r="I3" s="176"/>
      <c r="J3" s="176"/>
      <c r="K3" s="232" t="s">
        <v>394</v>
      </c>
      <c r="L3" s="233"/>
      <c r="M3" s="233"/>
      <c r="N3" s="234"/>
      <c r="P3" s="28"/>
      <c r="Q3" s="177"/>
      <c r="R3" s="176"/>
      <c r="S3" s="176"/>
      <c r="T3" s="176"/>
      <c r="U3" s="232" t="s">
        <v>394</v>
      </c>
      <c r="V3" s="233"/>
      <c r="W3" s="233"/>
      <c r="X3" s="234"/>
      <c r="Y3" s="237"/>
      <c r="Z3" s="237"/>
      <c r="AA3" s="176" t="s">
        <v>397</v>
      </c>
      <c r="AB3" s="3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6.5" thickBot="1">
      <c r="A4" s="33" t="s">
        <v>246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67"/>
      <c r="V4" s="28"/>
      <c r="W4" s="28"/>
      <c r="X4" s="28"/>
      <c r="Y4" s="28"/>
      <c r="Z4" s="28"/>
      <c r="AA4" s="28"/>
      <c r="AB4" s="67" t="s">
        <v>238</v>
      </c>
      <c r="AC4" s="67" t="s">
        <v>238</v>
      </c>
      <c r="AD4" s="67" t="s">
        <v>238</v>
      </c>
      <c r="AE4" s="67" t="s">
        <v>238</v>
      </c>
      <c r="AF4" s="67" t="s">
        <v>238</v>
      </c>
      <c r="AG4" s="67" t="s">
        <v>238</v>
      </c>
      <c r="AH4" s="67" t="s">
        <v>238</v>
      </c>
      <c r="AI4" s="67" t="s">
        <v>238</v>
      </c>
      <c r="AJ4" s="67" t="s">
        <v>238</v>
      </c>
      <c r="AK4" s="28"/>
    </row>
    <row r="5" spans="1:37" ht="16.5" thickBot="1">
      <c r="A5" s="39" t="s">
        <v>247</v>
      </c>
      <c r="B5" s="45"/>
      <c r="C5" s="45"/>
      <c r="D5" s="45"/>
      <c r="E5" s="45"/>
      <c r="F5" s="45"/>
      <c r="G5" s="28"/>
      <c r="H5" s="28"/>
      <c r="I5" s="28"/>
      <c r="J5" s="67" t="s">
        <v>2</v>
      </c>
      <c r="K5" s="28"/>
      <c r="L5" s="28"/>
      <c r="M5" s="28"/>
      <c r="N5" s="67" t="s">
        <v>0</v>
      </c>
      <c r="O5" s="28"/>
      <c r="P5" s="28" t="s">
        <v>365</v>
      </c>
      <c r="Q5" s="262"/>
      <c r="R5" s="28"/>
      <c r="S5" s="28"/>
      <c r="T5" s="28"/>
      <c r="U5" s="67" t="s">
        <v>365</v>
      </c>
      <c r="V5" s="28"/>
      <c r="W5" s="28"/>
      <c r="X5" s="28"/>
      <c r="Y5" s="67" t="s">
        <v>1</v>
      </c>
      <c r="Z5" s="67" t="s">
        <v>1</v>
      </c>
      <c r="AA5" s="67" t="s">
        <v>1</v>
      </c>
      <c r="AB5" s="164" t="s">
        <v>296</v>
      </c>
      <c r="AC5" s="164" t="s">
        <v>296</v>
      </c>
      <c r="AD5" s="164" t="s">
        <v>296</v>
      </c>
      <c r="AE5" s="67" t="s">
        <v>3</v>
      </c>
      <c r="AF5" s="67" t="s">
        <v>3</v>
      </c>
      <c r="AG5" s="28"/>
      <c r="AH5" s="67"/>
      <c r="AI5" s="28"/>
      <c r="AJ5" s="28" t="s">
        <v>350</v>
      </c>
      <c r="AK5" s="28"/>
    </row>
    <row r="6" spans="1:37" ht="15.75">
      <c r="A6" s="39"/>
      <c r="B6" s="45"/>
      <c r="C6" s="45"/>
      <c r="D6" s="45"/>
      <c r="E6" s="45"/>
      <c r="F6" s="21" t="s">
        <v>194</v>
      </c>
      <c r="G6" s="165" t="s">
        <v>1</v>
      </c>
      <c r="H6" s="67" t="s">
        <v>1</v>
      </c>
      <c r="I6" s="67" t="s">
        <v>1</v>
      </c>
      <c r="J6" s="67" t="s">
        <v>18</v>
      </c>
      <c r="K6" s="67" t="s">
        <v>3</v>
      </c>
      <c r="L6" s="67" t="s">
        <v>4</v>
      </c>
      <c r="M6" s="67" t="s">
        <v>5</v>
      </c>
      <c r="N6" s="67" t="s">
        <v>6</v>
      </c>
      <c r="O6" s="67" t="s">
        <v>7</v>
      </c>
      <c r="P6" s="67" t="s">
        <v>8</v>
      </c>
      <c r="Q6" s="67" t="s">
        <v>9</v>
      </c>
      <c r="R6" s="67" t="s">
        <v>10</v>
      </c>
      <c r="S6" s="67" t="s">
        <v>11</v>
      </c>
      <c r="T6" s="67" t="s">
        <v>3</v>
      </c>
      <c r="U6" s="67" t="s">
        <v>12</v>
      </c>
      <c r="V6" s="67" t="s">
        <v>3</v>
      </c>
      <c r="W6" s="67" t="s">
        <v>1</v>
      </c>
      <c r="X6" s="67" t="s">
        <v>1</v>
      </c>
      <c r="Y6" s="67" t="s">
        <v>13</v>
      </c>
      <c r="Z6" s="67" t="s">
        <v>7</v>
      </c>
      <c r="AA6" s="67" t="s">
        <v>14</v>
      </c>
      <c r="AB6" s="67" t="s">
        <v>299</v>
      </c>
      <c r="AC6" s="67" t="s">
        <v>307</v>
      </c>
      <c r="AD6" s="67" t="s">
        <v>297</v>
      </c>
      <c r="AE6" s="67" t="s">
        <v>311</v>
      </c>
      <c r="AF6" s="67" t="s">
        <v>177</v>
      </c>
      <c r="AG6" s="67" t="s">
        <v>314</v>
      </c>
      <c r="AH6" s="67" t="s">
        <v>239</v>
      </c>
      <c r="AI6" s="67" t="s">
        <v>326</v>
      </c>
      <c r="AJ6" s="67" t="s">
        <v>334</v>
      </c>
      <c r="AK6" s="28"/>
    </row>
    <row r="7" spans="1:37" ht="15.75">
      <c r="A7" s="39"/>
      <c r="B7" s="45"/>
      <c r="C7" s="45"/>
      <c r="D7" s="45"/>
      <c r="E7" s="45"/>
      <c r="F7" s="21" t="s">
        <v>196</v>
      </c>
      <c r="G7" s="165" t="s">
        <v>15</v>
      </c>
      <c r="H7" s="67" t="s">
        <v>16</v>
      </c>
      <c r="I7" s="67" t="s">
        <v>17</v>
      </c>
      <c r="J7" s="164" t="s">
        <v>118</v>
      </c>
      <c r="K7" s="67" t="s">
        <v>19</v>
      </c>
      <c r="L7" s="67" t="s">
        <v>20</v>
      </c>
      <c r="M7" s="67" t="s">
        <v>117</v>
      </c>
      <c r="N7" s="67" t="s">
        <v>21</v>
      </c>
      <c r="O7" s="67" t="s">
        <v>22</v>
      </c>
      <c r="P7" s="67" t="s">
        <v>23</v>
      </c>
      <c r="Q7" s="67" t="s">
        <v>24</v>
      </c>
      <c r="R7" s="67" t="s">
        <v>25</v>
      </c>
      <c r="S7" s="67" t="s">
        <v>25</v>
      </c>
      <c r="T7" s="67" t="s">
        <v>26</v>
      </c>
      <c r="U7" s="67" t="s">
        <v>27</v>
      </c>
      <c r="V7" s="67" t="s">
        <v>28</v>
      </c>
      <c r="W7" s="67" t="s">
        <v>29</v>
      </c>
      <c r="X7" s="67" t="s">
        <v>30</v>
      </c>
      <c r="Y7" s="164" t="s">
        <v>31</v>
      </c>
      <c r="Z7" s="67" t="s">
        <v>32</v>
      </c>
      <c r="AA7" s="67" t="s">
        <v>33</v>
      </c>
      <c r="AB7" s="164" t="s">
        <v>38</v>
      </c>
      <c r="AC7" s="164" t="s">
        <v>308</v>
      </c>
      <c r="AD7" s="164" t="s">
        <v>298</v>
      </c>
      <c r="AE7" s="67" t="s">
        <v>312</v>
      </c>
      <c r="AF7" s="67" t="s">
        <v>330</v>
      </c>
      <c r="AG7" s="67" t="s">
        <v>315</v>
      </c>
      <c r="AH7" s="67" t="s">
        <v>38</v>
      </c>
      <c r="AI7" s="67" t="s">
        <v>327</v>
      </c>
      <c r="AJ7" s="67" t="s">
        <v>351</v>
      </c>
      <c r="AK7" s="28"/>
    </row>
    <row r="8" spans="1:37" ht="15.75">
      <c r="A8" s="39"/>
      <c r="B8" s="45"/>
      <c r="C8" s="45"/>
      <c r="D8" s="45"/>
      <c r="E8" s="45"/>
      <c r="F8" s="21" t="s">
        <v>188</v>
      </c>
      <c r="G8" s="166" t="s">
        <v>34</v>
      </c>
      <c r="H8" s="167" t="s">
        <v>35</v>
      </c>
      <c r="I8" s="167" t="s">
        <v>36</v>
      </c>
      <c r="J8" s="67" t="s">
        <v>119</v>
      </c>
      <c r="K8" s="164" t="s">
        <v>37</v>
      </c>
      <c r="L8" s="164" t="s">
        <v>38</v>
      </c>
      <c r="M8" s="164" t="s">
        <v>39</v>
      </c>
      <c r="N8" s="164" t="s">
        <v>40</v>
      </c>
      <c r="O8" s="67" t="s">
        <v>41</v>
      </c>
      <c r="P8" s="167" t="s">
        <v>42</v>
      </c>
      <c r="Q8" s="164" t="s">
        <v>43</v>
      </c>
      <c r="R8" s="164" t="s">
        <v>44</v>
      </c>
      <c r="S8" s="164" t="s">
        <v>44</v>
      </c>
      <c r="T8" s="67" t="s">
        <v>45</v>
      </c>
      <c r="U8" s="164" t="s">
        <v>46</v>
      </c>
      <c r="V8" s="67" t="s">
        <v>47</v>
      </c>
      <c r="W8" s="167" t="s">
        <v>48</v>
      </c>
      <c r="X8" s="164" t="s">
        <v>352</v>
      </c>
      <c r="Y8" s="164" t="s">
        <v>44</v>
      </c>
      <c r="Z8" s="164" t="s">
        <v>49</v>
      </c>
      <c r="AA8" s="164" t="s">
        <v>44</v>
      </c>
      <c r="AB8" s="67" t="s">
        <v>241</v>
      </c>
      <c r="AC8" s="67" t="s">
        <v>309</v>
      </c>
      <c r="AD8" s="67" t="s">
        <v>185</v>
      </c>
      <c r="AE8" s="164" t="s">
        <v>165</v>
      </c>
      <c r="AF8" s="164" t="s">
        <v>313</v>
      </c>
      <c r="AG8" s="67" t="s">
        <v>316</v>
      </c>
      <c r="AH8" s="164" t="s">
        <v>241</v>
      </c>
      <c r="AI8" s="164" t="s">
        <v>310</v>
      </c>
      <c r="AJ8" s="164" t="s">
        <v>354</v>
      </c>
      <c r="AK8" s="28"/>
    </row>
    <row r="9" spans="1:37" ht="15.75">
      <c r="A9" s="16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28"/>
      <c r="AC9" s="67" t="s">
        <v>310</v>
      </c>
      <c r="AD9" s="28"/>
      <c r="AE9" s="33"/>
      <c r="AF9" s="33"/>
      <c r="AG9" s="33"/>
      <c r="AH9" s="33"/>
      <c r="AI9" s="28"/>
      <c r="AJ9" s="164" t="s">
        <v>362</v>
      </c>
      <c r="AK9" s="28"/>
    </row>
    <row r="10" spans="1:37" ht="15.75">
      <c r="A10" s="39"/>
      <c r="B10" s="20" t="s">
        <v>50</v>
      </c>
      <c r="C10" s="39"/>
      <c r="D10" s="39"/>
      <c r="E10" s="39"/>
      <c r="F10" s="20" t="s">
        <v>51</v>
      </c>
      <c r="G10" s="20" t="s">
        <v>120</v>
      </c>
      <c r="H10" s="20" t="s">
        <v>121</v>
      </c>
      <c r="I10" s="20" t="s">
        <v>52</v>
      </c>
      <c r="J10" s="20" t="s">
        <v>53</v>
      </c>
      <c r="K10" s="20" t="s">
        <v>122</v>
      </c>
      <c r="L10" s="20" t="s">
        <v>123</v>
      </c>
      <c r="M10" s="20" t="s">
        <v>124</v>
      </c>
      <c r="N10" s="20" t="s">
        <v>125</v>
      </c>
      <c r="O10" s="20" t="s">
        <v>54</v>
      </c>
      <c r="P10" s="20" t="s">
        <v>55</v>
      </c>
      <c r="Q10" s="20" t="s">
        <v>56</v>
      </c>
      <c r="R10" s="20" t="s">
        <v>57</v>
      </c>
      <c r="S10" s="20" t="s">
        <v>58</v>
      </c>
      <c r="T10" s="20" t="s">
        <v>59</v>
      </c>
      <c r="U10" s="20" t="s">
        <v>60</v>
      </c>
      <c r="V10" s="20" t="s">
        <v>61</v>
      </c>
      <c r="W10" s="20" t="s">
        <v>62</v>
      </c>
      <c r="X10" s="20" t="s">
        <v>63</v>
      </c>
      <c r="Y10" s="20" t="s">
        <v>64</v>
      </c>
      <c r="Z10" s="20" t="s">
        <v>65</v>
      </c>
      <c r="AA10" s="20" t="s">
        <v>66</v>
      </c>
      <c r="AB10" s="20" t="s">
        <v>300</v>
      </c>
      <c r="AC10" s="20" t="s">
        <v>301</v>
      </c>
      <c r="AD10" s="20" t="s">
        <v>302</v>
      </c>
      <c r="AE10" s="20" t="s">
        <v>303</v>
      </c>
      <c r="AF10" s="20" t="s">
        <v>304</v>
      </c>
      <c r="AG10" s="20" t="s">
        <v>305</v>
      </c>
      <c r="AH10" s="20" t="s">
        <v>306</v>
      </c>
      <c r="AI10" s="70" t="s">
        <v>328</v>
      </c>
      <c r="AJ10" s="70" t="s">
        <v>348</v>
      </c>
      <c r="AK10" s="70"/>
    </row>
    <row r="11" spans="1:37" ht="15.75">
      <c r="A11" s="41" t="s">
        <v>67</v>
      </c>
      <c r="B11" s="42" t="s">
        <v>68</v>
      </c>
      <c r="C11" s="42"/>
      <c r="D11" s="42"/>
      <c r="E11" s="42" t="s">
        <v>358</v>
      </c>
      <c r="F11" s="44" t="s">
        <v>363</v>
      </c>
      <c r="G11" s="44" t="s">
        <v>69</v>
      </c>
      <c r="H11" s="44" t="s">
        <v>70</v>
      </c>
      <c r="I11" s="44" t="s">
        <v>71</v>
      </c>
      <c r="J11" s="44" t="s">
        <v>72</v>
      </c>
      <c r="K11" s="44" t="s">
        <v>73</v>
      </c>
      <c r="L11" s="44" t="s">
        <v>74</v>
      </c>
      <c r="M11" s="44" t="s">
        <v>75</v>
      </c>
      <c r="N11" s="44" t="s">
        <v>76</v>
      </c>
      <c r="O11" s="44" t="s">
        <v>77</v>
      </c>
      <c r="P11" s="44" t="s">
        <v>78</v>
      </c>
      <c r="Q11" s="44" t="s">
        <v>79</v>
      </c>
      <c r="R11" s="44" t="s">
        <v>80</v>
      </c>
      <c r="S11" s="44" t="s">
        <v>81</v>
      </c>
      <c r="T11" s="44" t="s">
        <v>82</v>
      </c>
      <c r="U11" s="44" t="s">
        <v>83</v>
      </c>
      <c r="V11" s="44" t="s">
        <v>84</v>
      </c>
      <c r="W11" s="44" t="s">
        <v>85</v>
      </c>
      <c r="X11" s="44" t="s">
        <v>86</v>
      </c>
      <c r="Y11" s="44" t="s">
        <v>87</v>
      </c>
      <c r="Z11" s="44" t="s">
        <v>88</v>
      </c>
      <c r="AA11" s="44" t="s">
        <v>89</v>
      </c>
      <c r="AB11" s="44" t="s">
        <v>276</v>
      </c>
      <c r="AC11" s="44" t="s">
        <v>277</v>
      </c>
      <c r="AD11" s="44" t="s">
        <v>278</v>
      </c>
      <c r="AE11" s="44" t="s">
        <v>279</v>
      </c>
      <c r="AF11" s="44" t="s">
        <v>280</v>
      </c>
      <c r="AG11" s="44" t="s">
        <v>281</v>
      </c>
      <c r="AH11" s="44" t="s">
        <v>282</v>
      </c>
      <c r="AI11" s="44" t="s">
        <v>329</v>
      </c>
      <c r="AJ11" s="71" t="s">
        <v>349</v>
      </c>
      <c r="AK11" s="71"/>
    </row>
    <row r="12" spans="1:37" ht="15">
      <c r="A12" s="117"/>
      <c r="B12" s="28"/>
      <c r="C12" s="28"/>
      <c r="D12" s="28"/>
      <c r="E12" s="28"/>
      <c r="F12" s="28"/>
      <c r="G12" s="14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7"/>
      <c r="AC12" s="287"/>
      <c r="AD12" s="287"/>
      <c r="AE12" s="28"/>
      <c r="AF12" s="28"/>
      <c r="AG12" s="28"/>
      <c r="AH12" s="28"/>
      <c r="AI12" s="28"/>
      <c r="AJ12" s="28"/>
      <c r="AK12" s="28"/>
    </row>
    <row r="13" spans="1:37" ht="15">
      <c r="A13" s="117">
        <v>1</v>
      </c>
      <c r="B13" s="28" t="s">
        <v>90</v>
      </c>
      <c r="C13" s="28"/>
      <c r="D13" s="28"/>
      <c r="E13" s="28"/>
      <c r="F13" s="36"/>
      <c r="G13" s="147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00"/>
      <c r="AC13" s="300"/>
      <c r="AD13" s="300"/>
      <c r="AE13" s="36"/>
      <c r="AF13" s="36"/>
      <c r="AG13" s="36"/>
      <c r="AH13" s="36"/>
      <c r="AI13" s="36"/>
      <c r="AJ13" s="36"/>
      <c r="AK13" s="36"/>
    </row>
    <row r="14" spans="1:37" ht="15">
      <c r="A14" s="117">
        <f aca="true" t="shared" si="0" ref="A14:A77">+A13+1</f>
        <v>2</v>
      </c>
      <c r="B14" s="36" t="s">
        <v>91</v>
      </c>
      <c r="C14" s="28"/>
      <c r="D14" s="28"/>
      <c r="E14" s="28" t="s">
        <v>283</v>
      </c>
      <c r="F14" s="36">
        <v>1967.4084210526316</v>
      </c>
      <c r="G14" s="147"/>
      <c r="H14" s="36"/>
      <c r="I14" s="36"/>
      <c r="J14" s="36"/>
      <c r="K14" s="36"/>
      <c r="L14" s="36"/>
      <c r="M14" s="36">
        <v>1982.3684210526317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00"/>
      <c r="AC14" s="300"/>
      <c r="AD14" s="300"/>
      <c r="AE14" s="36"/>
      <c r="AF14" s="36"/>
      <c r="AG14" s="36"/>
      <c r="AH14" s="36"/>
      <c r="AI14" s="36"/>
      <c r="AJ14" s="36"/>
      <c r="AK14" s="36"/>
    </row>
    <row r="15" spans="1:37" ht="15">
      <c r="A15" s="117">
        <f t="shared" si="0"/>
        <v>3</v>
      </c>
      <c r="B15" s="36" t="s">
        <v>92</v>
      </c>
      <c r="C15" s="28"/>
      <c r="D15" s="28"/>
      <c r="E15" s="28" t="s">
        <v>284</v>
      </c>
      <c r="F15" s="36">
        <v>-581</v>
      </c>
      <c r="G15" s="147">
        <v>1578</v>
      </c>
      <c r="H15" s="36">
        <v>239</v>
      </c>
      <c r="I15" s="36"/>
      <c r="J15" s="36"/>
      <c r="K15" s="36"/>
      <c r="L15" s="36">
        <v>-2398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00"/>
      <c r="AC15" s="300"/>
      <c r="AD15" s="301"/>
      <c r="AE15" s="36"/>
      <c r="AF15" s="36"/>
      <c r="AG15" s="36"/>
      <c r="AH15" s="36"/>
      <c r="AI15" s="36"/>
      <c r="AJ15" s="36"/>
      <c r="AK15" s="36"/>
    </row>
    <row r="16" spans="1:37" ht="15">
      <c r="A16" s="117">
        <f t="shared" si="0"/>
        <v>4</v>
      </c>
      <c r="B16" s="36" t="s">
        <v>93</v>
      </c>
      <c r="C16" s="28"/>
      <c r="D16" s="28"/>
      <c r="E16" s="28" t="s">
        <v>285</v>
      </c>
      <c r="F16" s="36">
        <v>0</v>
      </c>
      <c r="G16" s="14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00"/>
      <c r="AC16" s="300"/>
      <c r="AD16" s="300"/>
      <c r="AE16" s="36"/>
      <c r="AF16" s="36"/>
      <c r="AG16" s="36"/>
      <c r="AH16" s="36"/>
      <c r="AI16" s="36"/>
      <c r="AJ16" s="36"/>
      <c r="AK16" s="36"/>
    </row>
    <row r="17" spans="1:37" ht="15">
      <c r="A17" s="117">
        <f t="shared" si="0"/>
        <v>5</v>
      </c>
      <c r="B17" s="36" t="s">
        <v>94</v>
      </c>
      <c r="C17" s="28"/>
      <c r="D17" s="28"/>
      <c r="E17" s="28" t="s">
        <v>286</v>
      </c>
      <c r="F17" s="36">
        <v>40656.392932510746</v>
      </c>
      <c r="G17" s="147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v>236.2471473</v>
      </c>
      <c r="S17" s="36">
        <v>970.7991623600001</v>
      </c>
      <c r="T17" s="36"/>
      <c r="U17" s="36"/>
      <c r="V17" s="36"/>
      <c r="W17" s="36"/>
      <c r="X17" s="36"/>
      <c r="Y17" s="36"/>
      <c r="Z17" s="36"/>
      <c r="AA17" s="36">
        <v>-856.584003825</v>
      </c>
      <c r="AB17" s="300"/>
      <c r="AC17" s="301"/>
      <c r="AD17" s="300"/>
      <c r="AE17" s="36"/>
      <c r="AF17" s="36"/>
      <c r="AG17" s="36"/>
      <c r="AH17" s="36">
        <v>37529.93262667574</v>
      </c>
      <c r="AI17" s="36"/>
      <c r="AJ17" s="36"/>
      <c r="AK17" s="36"/>
    </row>
    <row r="18" spans="1:37" ht="15">
      <c r="A18" s="117">
        <f t="shared" si="0"/>
        <v>6</v>
      </c>
      <c r="B18" s="36" t="s">
        <v>95</v>
      </c>
      <c r="C18" s="28"/>
      <c r="D18" s="28"/>
      <c r="E18" s="162" t="s">
        <v>287</v>
      </c>
      <c r="F18" s="36">
        <v>0</v>
      </c>
      <c r="G18" s="14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00"/>
      <c r="AC18" s="300"/>
      <c r="AD18" s="301"/>
      <c r="AE18" s="36"/>
      <c r="AF18" s="36"/>
      <c r="AG18" s="36"/>
      <c r="AH18" s="36"/>
      <c r="AI18" s="36"/>
      <c r="AJ18" s="36"/>
      <c r="AK18" s="36"/>
    </row>
    <row r="19" spans="1:37" ht="15">
      <c r="A19" s="117">
        <f t="shared" si="0"/>
        <v>7</v>
      </c>
      <c r="B19" s="28"/>
      <c r="C19" s="28"/>
      <c r="D19" s="28"/>
      <c r="E19" s="28"/>
      <c r="F19" s="36"/>
      <c r="G19" s="147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00"/>
      <c r="AC19" s="300"/>
      <c r="AD19" s="300"/>
      <c r="AE19" s="36"/>
      <c r="AF19" s="36"/>
      <c r="AG19" s="36"/>
      <c r="AH19" s="36"/>
      <c r="AI19" s="36"/>
      <c r="AJ19" s="36"/>
      <c r="AK19" s="36"/>
    </row>
    <row r="20" spans="1:37" ht="15">
      <c r="A20" s="117">
        <f t="shared" si="0"/>
        <v>8</v>
      </c>
      <c r="B20" s="31" t="s">
        <v>96</v>
      </c>
      <c r="C20" s="32"/>
      <c r="D20" s="32"/>
      <c r="E20" s="32"/>
      <c r="F20" s="168">
        <v>42042.80135356338</v>
      </c>
      <c r="G20" s="124">
        <v>1578</v>
      </c>
      <c r="H20" s="124">
        <v>239</v>
      </c>
      <c r="I20" s="124">
        <v>0</v>
      </c>
      <c r="J20" s="124">
        <v>0</v>
      </c>
      <c r="K20" s="124">
        <v>0</v>
      </c>
      <c r="L20" s="124">
        <v>-2398</v>
      </c>
      <c r="M20" s="124">
        <v>1982.3684210526317</v>
      </c>
      <c r="N20" s="124">
        <v>0</v>
      </c>
      <c r="O20" s="124">
        <v>0</v>
      </c>
      <c r="P20" s="124">
        <v>0</v>
      </c>
      <c r="Q20" s="124">
        <v>0</v>
      </c>
      <c r="R20" s="124">
        <v>236.2471473</v>
      </c>
      <c r="S20" s="124">
        <v>970.7991623600001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-856.584003825</v>
      </c>
      <c r="AB20" s="302"/>
      <c r="AC20" s="302"/>
      <c r="AD20" s="302"/>
      <c r="AE20" s="124">
        <v>0</v>
      </c>
      <c r="AF20" s="124">
        <v>0</v>
      </c>
      <c r="AG20" s="124">
        <v>0</v>
      </c>
      <c r="AH20" s="124">
        <v>37529.93262667574</v>
      </c>
      <c r="AI20" s="124"/>
      <c r="AJ20" s="124"/>
      <c r="AK20" s="124"/>
    </row>
    <row r="21" spans="1:37" ht="15">
      <c r="A21" s="117">
        <f t="shared" si="0"/>
        <v>9</v>
      </c>
      <c r="B21" s="28"/>
      <c r="C21" s="28"/>
      <c r="D21" s="28"/>
      <c r="E21" s="28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303"/>
      <c r="AC21" s="303"/>
      <c r="AD21" s="303"/>
      <c r="AE21" s="132"/>
      <c r="AF21" s="132"/>
      <c r="AG21" s="132"/>
      <c r="AH21" s="132"/>
      <c r="AI21" s="132"/>
      <c r="AJ21" s="132"/>
      <c r="AK21" s="132"/>
    </row>
    <row r="22" spans="1:37" ht="15.75" thickBot="1">
      <c r="A22" s="117">
        <f t="shared" si="0"/>
        <v>10</v>
      </c>
      <c r="B22" s="28" t="s">
        <v>97</v>
      </c>
      <c r="C22" s="28"/>
      <c r="D22" s="28"/>
      <c r="E22" s="28"/>
      <c r="F22" s="36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303"/>
      <c r="AC22" s="303"/>
      <c r="AD22" s="303"/>
      <c r="AE22" s="132"/>
      <c r="AF22" s="132"/>
      <c r="AG22" s="132"/>
      <c r="AH22" s="132"/>
      <c r="AI22" s="132"/>
      <c r="AJ22" s="132"/>
      <c r="AK22" s="132"/>
    </row>
    <row r="23" spans="1:37" ht="15">
      <c r="A23" s="117">
        <f t="shared" si="0"/>
        <v>11</v>
      </c>
      <c r="B23" s="36" t="s">
        <v>98</v>
      </c>
      <c r="C23" s="28"/>
      <c r="D23" s="28"/>
      <c r="E23" s="28" t="s">
        <v>288</v>
      </c>
      <c r="F23" s="199">
        <v>-2675.4019832633967</v>
      </c>
      <c r="G23" s="132"/>
      <c r="H23" s="132"/>
      <c r="I23" s="132"/>
      <c r="J23" s="132">
        <v>-2196.037314790536</v>
      </c>
      <c r="K23" s="132"/>
      <c r="L23" s="132"/>
      <c r="M23" s="132">
        <v>931</v>
      </c>
      <c r="N23" s="132">
        <v>-189.32884095980756</v>
      </c>
      <c r="O23" s="132">
        <v>-563.6582086686897</v>
      </c>
      <c r="P23" s="132">
        <v>-116.71117775671505</v>
      </c>
      <c r="Q23" s="132"/>
      <c r="R23" s="132"/>
      <c r="S23" s="132"/>
      <c r="T23" s="132"/>
      <c r="U23" s="132"/>
      <c r="V23" s="132"/>
      <c r="W23" s="132"/>
      <c r="X23" s="132"/>
      <c r="Y23" s="132"/>
      <c r="Z23" s="132">
        <v>525.7738240715206</v>
      </c>
      <c r="AA23" s="132"/>
      <c r="AB23" s="303"/>
      <c r="AC23" s="303"/>
      <c r="AD23" s="303"/>
      <c r="AE23" s="132"/>
      <c r="AF23" s="132"/>
      <c r="AG23" s="132"/>
      <c r="AH23" s="132"/>
      <c r="AI23" s="197">
        <v>-146.98826515916878</v>
      </c>
      <c r="AJ23" s="132"/>
      <c r="AK23" s="132"/>
    </row>
    <row r="24" spans="1:37" ht="15.75" thickBot="1">
      <c r="A24" s="117">
        <f t="shared" si="0"/>
        <v>12</v>
      </c>
      <c r="B24" s="36" t="s">
        <v>99</v>
      </c>
      <c r="C24" s="28"/>
      <c r="D24" s="28"/>
      <c r="E24" s="28" t="s">
        <v>289</v>
      </c>
      <c r="F24" s="200">
        <v>2889.7231647589715</v>
      </c>
      <c r="G24" s="132"/>
      <c r="H24" s="132"/>
      <c r="I24" s="132"/>
      <c r="J24" s="132">
        <v>-1332.461861472781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>
        <v>436.5503382921393</v>
      </c>
      <c r="U24" s="132"/>
      <c r="V24" s="132"/>
      <c r="W24" s="132"/>
      <c r="X24" s="132"/>
      <c r="Y24" s="132">
        <v>3974.44768820723</v>
      </c>
      <c r="Z24" s="132"/>
      <c r="AA24" s="132"/>
      <c r="AB24" s="303"/>
      <c r="AC24" s="303"/>
      <c r="AD24" s="303"/>
      <c r="AE24" s="132"/>
      <c r="AF24" s="132"/>
      <c r="AG24" s="132"/>
      <c r="AH24" s="132"/>
      <c r="AI24" s="198">
        <v>-188.81300026761673</v>
      </c>
      <c r="AJ24" s="132"/>
      <c r="AK24" s="132"/>
    </row>
    <row r="25" spans="1:37" ht="15.75" thickBot="1">
      <c r="A25" s="117">
        <f t="shared" si="0"/>
        <v>13</v>
      </c>
      <c r="B25" s="28" t="s">
        <v>100</v>
      </c>
      <c r="C25" s="28"/>
      <c r="D25" s="28"/>
      <c r="E25" s="162" t="s">
        <v>290</v>
      </c>
      <c r="F25" s="36">
        <v>6715.5</v>
      </c>
      <c r="G25" s="132"/>
      <c r="H25" s="132"/>
      <c r="I25" s="132"/>
      <c r="J25" s="132"/>
      <c r="K25" s="132">
        <v>6715.5</v>
      </c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303"/>
      <c r="AC25" s="303"/>
      <c r="AD25" s="303"/>
      <c r="AE25" s="132"/>
      <c r="AF25" s="132"/>
      <c r="AG25" s="132"/>
      <c r="AH25" s="132"/>
      <c r="AI25" s="131"/>
      <c r="AJ25" s="132"/>
      <c r="AK25" s="132"/>
    </row>
    <row r="26" spans="1:37" ht="15.75" thickBot="1">
      <c r="A26" s="117">
        <f t="shared" si="0"/>
        <v>14</v>
      </c>
      <c r="B26" s="28" t="s">
        <v>101</v>
      </c>
      <c r="C26" s="28"/>
      <c r="D26" s="28"/>
      <c r="E26" s="28" t="s">
        <v>291</v>
      </c>
      <c r="F26" s="199">
        <v>-19081.689062126843</v>
      </c>
      <c r="G26" s="132"/>
      <c r="H26" s="132"/>
      <c r="I26" s="132"/>
      <c r="J26" s="132">
        <v>-2098.7797608904643</v>
      </c>
      <c r="K26" s="132"/>
      <c r="L26" s="132"/>
      <c r="M26" s="132">
        <v>581</v>
      </c>
      <c r="N26" s="132">
        <v>-817.9645716484107</v>
      </c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>
        <v>356.25897089290817</v>
      </c>
      <c r="AA26" s="132"/>
      <c r="AB26" s="303"/>
      <c r="AC26" s="303"/>
      <c r="AD26" s="303"/>
      <c r="AE26" s="132"/>
      <c r="AF26" s="132"/>
      <c r="AG26" s="132"/>
      <c r="AH26" s="132"/>
      <c r="AI26" s="197">
        <v>-239.34470048087707</v>
      </c>
      <c r="AJ26" s="132"/>
      <c r="AK26" s="132"/>
    </row>
    <row r="27" spans="1:37" ht="15.75" thickBot="1">
      <c r="A27" s="117">
        <f t="shared" si="0"/>
        <v>15</v>
      </c>
      <c r="B27" s="28" t="s">
        <v>102</v>
      </c>
      <c r="C27" s="28"/>
      <c r="D27" s="28"/>
      <c r="E27" s="28" t="s">
        <v>292</v>
      </c>
      <c r="F27" s="194">
        <v>-5931.1610376060835</v>
      </c>
      <c r="G27" s="132"/>
      <c r="H27" s="132"/>
      <c r="I27" s="132">
        <v>-803.681818296099</v>
      </c>
      <c r="J27" s="132">
        <v>5919.234162127306</v>
      </c>
      <c r="K27" s="132"/>
      <c r="L27" s="132"/>
      <c r="M27" s="132"/>
      <c r="N27" s="132">
        <v>-2.212137430893766</v>
      </c>
      <c r="O27" s="132">
        <v>226.31888390882412</v>
      </c>
      <c r="P27" s="179">
        <v>-2213.34214456074</v>
      </c>
      <c r="Q27" s="132"/>
      <c r="R27" s="132"/>
      <c r="S27" s="132"/>
      <c r="T27" s="132"/>
      <c r="U27" s="132">
        <v>-1297</v>
      </c>
      <c r="V27" s="132"/>
      <c r="W27" s="132">
        <v>-705.9361997702729</v>
      </c>
      <c r="X27" s="132">
        <v>-2224.8519480057357</v>
      </c>
      <c r="Y27" s="132"/>
      <c r="Z27" s="132">
        <v>-477.4005097535634</v>
      </c>
      <c r="AA27" s="132"/>
      <c r="AB27" s="303"/>
      <c r="AC27" s="303"/>
      <c r="AD27" s="303"/>
      <c r="AE27" s="132">
        <v>-2943</v>
      </c>
      <c r="AF27" s="132">
        <v>5733</v>
      </c>
      <c r="AG27" s="132"/>
      <c r="AH27" s="132"/>
      <c r="AI27" s="198">
        <v>-104.68932582491125</v>
      </c>
      <c r="AJ27" s="132"/>
      <c r="AK27" s="132"/>
    </row>
    <row r="28" spans="1:37" ht="15">
      <c r="A28" s="117">
        <f t="shared" si="0"/>
        <v>16</v>
      </c>
      <c r="B28" s="28" t="s">
        <v>103</v>
      </c>
      <c r="C28" s="28"/>
      <c r="D28" s="28"/>
      <c r="E28" s="28" t="s">
        <v>293</v>
      </c>
      <c r="F28" s="36">
        <v>-2823.3793761901316</v>
      </c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303"/>
      <c r="AC28" s="303"/>
      <c r="AD28" s="303"/>
      <c r="AE28" s="132"/>
      <c r="AF28" s="132"/>
      <c r="AG28" s="36">
        <v>-2823.3793761901316</v>
      </c>
      <c r="AH28" s="132"/>
      <c r="AI28" s="131"/>
      <c r="AJ28" s="132"/>
      <c r="AK28" s="132"/>
    </row>
    <row r="29" spans="1:37" ht="15">
      <c r="A29" s="117">
        <f t="shared" si="0"/>
        <v>17</v>
      </c>
      <c r="B29" s="28" t="s">
        <v>104</v>
      </c>
      <c r="C29" s="28"/>
      <c r="D29" s="28"/>
      <c r="E29" s="28" t="s">
        <v>294</v>
      </c>
      <c r="F29" s="36">
        <v>0</v>
      </c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303"/>
      <c r="AC29" s="303"/>
      <c r="AD29" s="303"/>
      <c r="AE29" s="132"/>
      <c r="AF29" s="132"/>
      <c r="AG29" s="132"/>
      <c r="AH29" s="132"/>
      <c r="AI29" s="131"/>
      <c r="AJ29" s="132"/>
      <c r="AK29" s="132"/>
    </row>
    <row r="30" spans="1:37" ht="15">
      <c r="A30" s="117">
        <f t="shared" si="0"/>
        <v>18</v>
      </c>
      <c r="B30" s="28" t="s">
        <v>105</v>
      </c>
      <c r="C30" s="28"/>
      <c r="D30" s="28"/>
      <c r="E30" s="162" t="s">
        <v>295</v>
      </c>
      <c r="F30" s="36">
        <v>876.3398413225976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>
        <v>1007.0458413225977</v>
      </c>
      <c r="W30" s="132"/>
      <c r="X30" s="132"/>
      <c r="Y30" s="132"/>
      <c r="Z30" s="132"/>
      <c r="AA30" s="132"/>
      <c r="AB30" s="303"/>
      <c r="AC30" s="303"/>
      <c r="AD30" s="303"/>
      <c r="AE30" s="132"/>
      <c r="AF30" s="132"/>
      <c r="AG30" s="132"/>
      <c r="AH30" s="132"/>
      <c r="AI30" s="131"/>
      <c r="AJ30" s="132"/>
      <c r="AK30" s="132"/>
    </row>
    <row r="31" spans="1:37" ht="15.75" thickBot="1">
      <c r="A31" s="117">
        <f t="shared" si="0"/>
        <v>19</v>
      </c>
      <c r="B31" s="28"/>
      <c r="C31" s="28"/>
      <c r="D31" s="28"/>
      <c r="E31" s="28"/>
      <c r="F31" s="36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303"/>
      <c r="AC31" s="303"/>
      <c r="AD31" s="303"/>
      <c r="AE31" s="132"/>
      <c r="AF31" s="132"/>
      <c r="AG31" s="132"/>
      <c r="AH31" s="132"/>
      <c r="AI31" s="131"/>
      <c r="AJ31" s="132"/>
      <c r="AK31" s="132"/>
    </row>
    <row r="32" spans="1:37" ht="15.75" thickBot="1">
      <c r="A32" s="117">
        <f t="shared" si="0"/>
        <v>20</v>
      </c>
      <c r="B32" s="31" t="s">
        <v>106</v>
      </c>
      <c r="C32" s="32"/>
      <c r="D32" s="32"/>
      <c r="E32" s="32"/>
      <c r="F32" s="219">
        <v>-20030.068453104886</v>
      </c>
      <c r="G32" s="124">
        <v>0</v>
      </c>
      <c r="H32" s="124">
        <v>0</v>
      </c>
      <c r="I32" s="124">
        <v>-803.681818296099</v>
      </c>
      <c r="J32" s="124">
        <v>291.9552249735243</v>
      </c>
      <c r="K32" s="124">
        <v>6715.5</v>
      </c>
      <c r="L32" s="124">
        <v>0</v>
      </c>
      <c r="M32" s="124">
        <v>1512</v>
      </c>
      <c r="N32" s="124">
        <v>-1009.505550039112</v>
      </c>
      <c r="O32" s="124">
        <v>-337.3393247598656</v>
      </c>
      <c r="P32" s="124">
        <v>-2330.0533223174552</v>
      </c>
      <c r="Q32" s="124">
        <v>0</v>
      </c>
      <c r="R32" s="124">
        <v>0</v>
      </c>
      <c r="S32" s="124">
        <v>0</v>
      </c>
      <c r="T32" s="124">
        <v>436.5503382921393</v>
      </c>
      <c r="U32" s="124">
        <v>-1297</v>
      </c>
      <c r="V32" s="124">
        <v>1007.0458413225977</v>
      </c>
      <c r="W32" s="124">
        <v>-705.9361997702729</v>
      </c>
      <c r="X32" s="124">
        <v>-2224.8519480057357</v>
      </c>
      <c r="Y32" s="124">
        <v>3974.44768820723</v>
      </c>
      <c r="Z32" s="124">
        <v>404.6322852108654</v>
      </c>
      <c r="AA32" s="124">
        <v>0</v>
      </c>
      <c r="AB32" s="302"/>
      <c r="AC32" s="302"/>
      <c r="AD32" s="302"/>
      <c r="AE32" s="124">
        <v>-2943</v>
      </c>
      <c r="AF32" s="124">
        <v>5733</v>
      </c>
      <c r="AG32" s="124">
        <v>-2823.3793761901316</v>
      </c>
      <c r="AH32" s="124">
        <v>0</v>
      </c>
      <c r="AI32" s="179">
        <v>-679.8352917325739</v>
      </c>
      <c r="AJ32" s="124">
        <v>0</v>
      </c>
      <c r="AK32" s="124"/>
    </row>
    <row r="33" spans="1:37" ht="15.75" thickBot="1">
      <c r="A33" s="117">
        <f t="shared" si="0"/>
        <v>21</v>
      </c>
      <c r="B33" s="28"/>
      <c r="C33" s="28"/>
      <c r="D33" s="28"/>
      <c r="E33" s="28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303"/>
      <c r="AC33" s="303"/>
      <c r="AD33" s="303"/>
      <c r="AE33" s="132"/>
      <c r="AF33" s="132"/>
      <c r="AG33" s="132"/>
      <c r="AH33" s="132"/>
      <c r="AI33" s="131"/>
      <c r="AJ33" s="132"/>
      <c r="AK33" s="124"/>
    </row>
    <row r="34" spans="1:37" ht="15.75" thickBot="1">
      <c r="A34" s="117">
        <f t="shared" si="0"/>
        <v>22</v>
      </c>
      <c r="B34" s="31" t="s">
        <v>107</v>
      </c>
      <c r="C34" s="32"/>
      <c r="D34" s="32"/>
      <c r="E34" s="32"/>
      <c r="F34" s="219">
        <v>62072.86980666827</v>
      </c>
      <c r="G34" s="124">
        <v>1578</v>
      </c>
      <c r="H34" s="124">
        <v>239</v>
      </c>
      <c r="I34" s="124">
        <v>803.681818296099</v>
      </c>
      <c r="J34" s="124">
        <v>-291.9552249735243</v>
      </c>
      <c r="K34" s="124">
        <v>-6715.5</v>
      </c>
      <c r="L34" s="124">
        <v>-2398</v>
      </c>
      <c r="M34" s="124">
        <v>470.3684210526317</v>
      </c>
      <c r="N34" s="124">
        <v>1009.505550039112</v>
      </c>
      <c r="O34" s="124">
        <v>337.3393247598656</v>
      </c>
      <c r="P34" s="124">
        <v>2330.0533223174552</v>
      </c>
      <c r="Q34" s="124">
        <v>0</v>
      </c>
      <c r="R34" s="124">
        <v>236.2471473</v>
      </c>
      <c r="S34" s="124">
        <v>970.7991623600001</v>
      </c>
      <c r="T34" s="124">
        <v>-436.5503382921393</v>
      </c>
      <c r="U34" s="124">
        <v>1297</v>
      </c>
      <c r="V34" s="124">
        <v>-1007.0458413225977</v>
      </c>
      <c r="W34" s="124">
        <v>705.9361997702729</v>
      </c>
      <c r="X34" s="124">
        <v>2224.8519480057357</v>
      </c>
      <c r="Y34" s="124">
        <v>-3974.44768820723</v>
      </c>
      <c r="Z34" s="124">
        <v>-404.6322852108654</v>
      </c>
      <c r="AA34" s="124">
        <v>-856.584003825</v>
      </c>
      <c r="AB34" s="302"/>
      <c r="AC34" s="302"/>
      <c r="AD34" s="302"/>
      <c r="AE34" s="124">
        <v>2943</v>
      </c>
      <c r="AF34" s="124">
        <v>-5733</v>
      </c>
      <c r="AG34" s="124">
        <v>2823.3793761901316</v>
      </c>
      <c r="AH34" s="246">
        <v>37529.93262667574</v>
      </c>
      <c r="AI34" s="179">
        <v>679.8352917325739</v>
      </c>
      <c r="AJ34" s="246">
        <v>0</v>
      </c>
      <c r="AK34" s="132"/>
    </row>
    <row r="35" spans="1:37" ht="15.75" thickBot="1">
      <c r="A35" s="117">
        <f t="shared" si="0"/>
        <v>23</v>
      </c>
      <c r="B35" s="45"/>
      <c r="C35" s="45"/>
      <c r="D35" s="45"/>
      <c r="E35" s="45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303"/>
      <c r="AC35" s="303"/>
      <c r="AD35" s="303"/>
      <c r="AE35" s="132"/>
      <c r="AF35" s="132"/>
      <c r="AG35" s="132"/>
      <c r="AH35" s="132"/>
      <c r="AI35" s="131"/>
      <c r="AJ35" s="132"/>
      <c r="AK35" s="132"/>
    </row>
    <row r="36" spans="1:37" ht="15.75" thickBot="1">
      <c r="A36" s="117">
        <f t="shared" si="0"/>
        <v>24</v>
      </c>
      <c r="B36" s="45" t="s">
        <v>210</v>
      </c>
      <c r="C36" s="45"/>
      <c r="D36" s="45"/>
      <c r="E36" s="45"/>
      <c r="F36" s="219">
        <v>20131.60443233389</v>
      </c>
      <c r="G36" s="132">
        <v>552.3</v>
      </c>
      <c r="H36" s="132">
        <v>83.65</v>
      </c>
      <c r="I36" s="132">
        <v>281.2886364036346</v>
      </c>
      <c r="J36" s="132">
        <v>-102.1843287407335</v>
      </c>
      <c r="K36" s="132">
        <v>-2350.425</v>
      </c>
      <c r="L36" s="132">
        <v>-839.3</v>
      </c>
      <c r="M36" s="132">
        <v>164.62894736842108</v>
      </c>
      <c r="N36" s="132">
        <v>353.3269425136892</v>
      </c>
      <c r="O36" s="132">
        <v>118.06876366595294</v>
      </c>
      <c r="P36" s="132">
        <v>815.5186628111093</v>
      </c>
      <c r="Q36" s="132">
        <v>0</v>
      </c>
      <c r="R36" s="132">
        <v>82.68650155499999</v>
      </c>
      <c r="S36" s="132">
        <v>339.779706826</v>
      </c>
      <c r="T36" s="132">
        <v>-152.79261840224876</v>
      </c>
      <c r="U36" s="132">
        <v>453.95</v>
      </c>
      <c r="V36" s="132">
        <v>-352.46604446290917</v>
      </c>
      <c r="W36" s="132">
        <v>247.07766991959548</v>
      </c>
      <c r="X36" s="132">
        <v>778.6981818020074</v>
      </c>
      <c r="Y36" s="132">
        <v>-1391.0566908725305</v>
      </c>
      <c r="Z36" s="132">
        <v>-141.62129982380287</v>
      </c>
      <c r="AA36" s="132">
        <v>-299.80440133875</v>
      </c>
      <c r="AB36" s="303"/>
      <c r="AC36" s="303"/>
      <c r="AD36" s="303"/>
      <c r="AE36" s="132">
        <v>1030.05</v>
      </c>
      <c r="AF36" s="132">
        <v>-2006.55</v>
      </c>
      <c r="AG36" s="132">
        <v>988.182781666546</v>
      </c>
      <c r="AH36" s="132">
        <v>13135.476419336508</v>
      </c>
      <c r="AI36" s="179">
        <v>237.94235210640085</v>
      </c>
      <c r="AJ36" s="132">
        <v>-1593.9</v>
      </c>
      <c r="AK36" s="132"/>
    </row>
    <row r="37" spans="1:37" ht="15">
      <c r="A37" s="117">
        <f t="shared" si="0"/>
        <v>25</v>
      </c>
      <c r="B37" s="45"/>
      <c r="C37" s="45"/>
      <c r="D37" s="45"/>
      <c r="E37" s="45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303"/>
      <c r="AC37" s="303"/>
      <c r="AD37" s="303"/>
      <c r="AE37" s="132"/>
      <c r="AF37" s="132"/>
      <c r="AG37" s="132"/>
      <c r="AH37" s="132"/>
      <c r="AI37" s="131"/>
      <c r="AJ37" s="132"/>
      <c r="AK37" s="132"/>
    </row>
    <row r="38" spans="1:37" ht="15">
      <c r="A38" s="117">
        <f t="shared" si="0"/>
        <v>26</v>
      </c>
      <c r="B38" s="163" t="s">
        <v>225</v>
      </c>
      <c r="C38" s="45"/>
      <c r="D38" s="45"/>
      <c r="E38" s="45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303"/>
      <c r="AC38" s="303"/>
      <c r="AD38" s="303"/>
      <c r="AE38" s="132"/>
      <c r="AF38" s="132"/>
      <c r="AG38" s="132"/>
      <c r="AH38" s="132"/>
      <c r="AI38" s="131"/>
      <c r="AJ38" s="132"/>
      <c r="AK38" s="132"/>
    </row>
    <row r="39" spans="1:37" ht="15">
      <c r="A39" s="117">
        <f t="shared" si="0"/>
        <v>27</v>
      </c>
      <c r="B39" s="28"/>
      <c r="C39" s="45"/>
      <c r="D39" s="45"/>
      <c r="E39" s="45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303"/>
      <c r="AC39" s="303"/>
      <c r="AD39" s="303"/>
      <c r="AE39" s="132"/>
      <c r="AF39" s="132"/>
      <c r="AG39" s="132"/>
      <c r="AH39" s="132"/>
      <c r="AI39" s="131"/>
      <c r="AJ39" s="132"/>
      <c r="AK39" s="132"/>
    </row>
    <row r="40" spans="1:37" ht="15">
      <c r="A40" s="117">
        <f t="shared" si="0"/>
        <v>28</v>
      </c>
      <c r="B40" s="45" t="s">
        <v>211</v>
      </c>
      <c r="C40" s="45"/>
      <c r="D40" s="45"/>
      <c r="E40" s="45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303"/>
      <c r="AC40" s="303"/>
      <c r="AD40" s="303"/>
      <c r="AE40" s="132"/>
      <c r="AF40" s="132"/>
      <c r="AG40" s="132"/>
      <c r="AH40" s="132"/>
      <c r="AI40" s="131"/>
      <c r="AJ40" s="132"/>
      <c r="AK40" s="132"/>
    </row>
    <row r="41" spans="1:37" ht="15">
      <c r="A41" s="117">
        <f t="shared" si="0"/>
        <v>29</v>
      </c>
      <c r="B41" s="28"/>
      <c r="C41" s="28"/>
      <c r="D41" s="28"/>
      <c r="E41" s="28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304"/>
      <c r="AC41" s="304"/>
      <c r="AD41" s="304"/>
      <c r="AE41" s="147"/>
      <c r="AF41" s="147"/>
      <c r="AG41" s="147"/>
      <c r="AH41" s="147"/>
      <c r="AI41" s="195"/>
      <c r="AJ41" s="147"/>
      <c r="AK41" s="147"/>
    </row>
    <row r="42" spans="1:37" ht="15">
      <c r="A42" s="117">
        <f t="shared" si="0"/>
        <v>30</v>
      </c>
      <c r="B42" s="28" t="s">
        <v>108</v>
      </c>
      <c r="C42" s="28"/>
      <c r="D42" s="28"/>
      <c r="E42" s="28"/>
      <c r="F42" s="36"/>
      <c r="G42" s="28"/>
      <c r="H42" s="28"/>
      <c r="I42" s="28"/>
      <c r="J42" s="15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7"/>
      <c r="AC42" s="287"/>
      <c r="AD42" s="287"/>
      <c r="AE42" s="28"/>
      <c r="AF42" s="28"/>
      <c r="AG42" s="28"/>
      <c r="AH42" s="28"/>
      <c r="AI42" s="133"/>
      <c r="AJ42" s="28"/>
      <c r="AK42" s="28"/>
    </row>
    <row r="43" spans="1:37" ht="15">
      <c r="A43" s="117">
        <f t="shared" si="0"/>
        <v>31</v>
      </c>
      <c r="B43" s="28" t="s">
        <v>109</v>
      </c>
      <c r="C43" s="28"/>
      <c r="D43" s="28"/>
      <c r="E43" s="28"/>
      <c r="F43" s="36">
        <v>-31398.664295247763</v>
      </c>
      <c r="G43" s="36"/>
      <c r="H43" s="36"/>
      <c r="I43" s="36"/>
      <c r="J43" s="36">
        <v>-2123.000787500183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7"/>
      <c r="AC43" s="287"/>
      <c r="AD43" s="287"/>
      <c r="AE43" s="28"/>
      <c r="AF43" s="28"/>
      <c r="AG43" s="36">
        <v>-29275.66350774758</v>
      </c>
      <c r="AH43" s="28"/>
      <c r="AI43" s="133"/>
      <c r="AJ43" s="28"/>
      <c r="AK43" s="28"/>
    </row>
    <row r="44" spans="1:37" ht="15">
      <c r="A44" s="117">
        <f t="shared" si="0"/>
        <v>32</v>
      </c>
      <c r="B44" s="28" t="s">
        <v>110</v>
      </c>
      <c r="C44" s="28"/>
      <c r="D44" s="28"/>
      <c r="E44" s="28"/>
      <c r="F44" s="36">
        <v>-134136</v>
      </c>
      <c r="G44" s="36"/>
      <c r="H44" s="36"/>
      <c r="I44" s="36"/>
      <c r="J44" s="36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36">
        <v>0</v>
      </c>
      <c r="V44" s="28"/>
      <c r="W44" s="28"/>
      <c r="X44" s="28"/>
      <c r="Y44" s="28"/>
      <c r="Z44" s="28"/>
      <c r="AA44" s="28"/>
      <c r="AB44" s="287"/>
      <c r="AC44" s="287"/>
      <c r="AD44" s="287"/>
      <c r="AE44" s="28"/>
      <c r="AF44" s="36">
        <v>-134136</v>
      </c>
      <c r="AG44" s="28"/>
      <c r="AH44" s="28"/>
      <c r="AI44" s="133"/>
      <c r="AJ44" s="28"/>
      <c r="AK44" s="28"/>
    </row>
    <row r="45" spans="1:37" ht="15">
      <c r="A45" s="117">
        <f t="shared" si="0"/>
        <v>33</v>
      </c>
      <c r="B45" s="28" t="s">
        <v>111</v>
      </c>
      <c r="C45" s="28"/>
      <c r="D45" s="28"/>
      <c r="E45" s="28"/>
      <c r="F45" s="36">
        <v>0</v>
      </c>
      <c r="G45" s="36"/>
      <c r="H45" s="36"/>
      <c r="I45" s="36"/>
      <c r="J45" s="3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7"/>
      <c r="AC45" s="287"/>
      <c r="AD45" s="287"/>
      <c r="AE45" s="28"/>
      <c r="AF45" s="28"/>
      <c r="AG45" s="28"/>
      <c r="AH45" s="28"/>
      <c r="AI45" s="133"/>
      <c r="AJ45" s="28"/>
      <c r="AK45" s="28"/>
    </row>
    <row r="46" spans="1:37" ht="15.75" thickBot="1">
      <c r="A46" s="117">
        <f t="shared" si="0"/>
        <v>34</v>
      </c>
      <c r="B46" s="28" t="s">
        <v>112</v>
      </c>
      <c r="C46" s="28"/>
      <c r="D46" s="28"/>
      <c r="E46" s="28"/>
      <c r="F46" s="36">
        <v>-14532.11965316308</v>
      </c>
      <c r="G46" s="147"/>
      <c r="H46" s="36"/>
      <c r="I46" s="36"/>
      <c r="J46" s="36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7"/>
      <c r="AC46" s="287"/>
      <c r="AD46" s="287"/>
      <c r="AE46" s="28"/>
      <c r="AF46" s="28"/>
      <c r="AG46" s="36">
        <v>-14532.11965316308</v>
      </c>
      <c r="AH46" s="28"/>
      <c r="AI46" s="133"/>
      <c r="AJ46" s="28"/>
      <c r="AK46" s="28"/>
    </row>
    <row r="47" spans="1:37" ht="15.75" thickBot="1">
      <c r="A47" s="117">
        <f t="shared" si="0"/>
        <v>35</v>
      </c>
      <c r="B47" s="28" t="s">
        <v>113</v>
      </c>
      <c r="C47" s="28"/>
      <c r="D47" s="28"/>
      <c r="E47" s="28"/>
      <c r="F47" s="193">
        <v>-67131.07278671561</v>
      </c>
      <c r="G47" s="147"/>
      <c r="H47" s="36"/>
      <c r="I47" s="36"/>
      <c r="J47" s="36"/>
      <c r="K47" s="28"/>
      <c r="L47" s="28"/>
      <c r="M47" s="28"/>
      <c r="N47" s="28"/>
      <c r="O47" s="28"/>
      <c r="P47" s="28"/>
      <c r="Q47" s="158">
        <v>-35222.53184406</v>
      </c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7"/>
      <c r="AC47" s="287"/>
      <c r="AD47" s="287"/>
      <c r="AE47" s="28"/>
      <c r="AF47" s="28"/>
      <c r="AG47" s="247">
        <v>1598.533</v>
      </c>
      <c r="AH47" s="28"/>
      <c r="AI47" s="133"/>
      <c r="AJ47" s="247">
        <v>-33507.0739426556</v>
      </c>
      <c r="AK47" s="28"/>
    </row>
    <row r="48" spans="1:37" ht="15">
      <c r="A48" s="117">
        <f t="shared" si="0"/>
        <v>36</v>
      </c>
      <c r="B48" s="28" t="s">
        <v>114</v>
      </c>
      <c r="C48" s="28"/>
      <c r="D48" s="28"/>
      <c r="E48" s="28"/>
      <c r="F48" s="36">
        <v>-17990.0904127996</v>
      </c>
      <c r="G48" s="147"/>
      <c r="H48" s="36"/>
      <c r="I48" s="36"/>
      <c r="J48" s="36">
        <v>-17990.0904127996</v>
      </c>
      <c r="K48" s="28"/>
      <c r="L48" s="28"/>
      <c r="M48" s="28"/>
      <c r="N48" s="28"/>
      <c r="O48" s="28"/>
      <c r="P48" s="28"/>
      <c r="Q48" s="163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7"/>
      <c r="AC48" s="287"/>
      <c r="AD48" s="287"/>
      <c r="AE48" s="28"/>
      <c r="AF48" s="28"/>
      <c r="AG48" s="28"/>
      <c r="AH48" s="28"/>
      <c r="AI48" s="133"/>
      <c r="AJ48" s="133"/>
      <c r="AK48" s="28"/>
    </row>
    <row r="49" spans="1:37" ht="15.75" thickBot="1">
      <c r="A49" s="117">
        <f t="shared" si="0"/>
        <v>37</v>
      </c>
      <c r="B49" s="28"/>
      <c r="C49" s="28"/>
      <c r="D49" s="28"/>
      <c r="E49" s="28"/>
      <c r="F49" s="28"/>
      <c r="G49" s="147"/>
      <c r="H49" s="36"/>
      <c r="I49" s="36"/>
      <c r="J49" s="36"/>
      <c r="K49" s="28"/>
      <c r="L49" s="28"/>
      <c r="M49" s="28"/>
      <c r="N49" s="28"/>
      <c r="O49" s="28"/>
      <c r="P49" s="28"/>
      <c r="Q49" s="163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7"/>
      <c r="AC49" s="287"/>
      <c r="AD49" s="287"/>
      <c r="AE49" s="28"/>
      <c r="AF49" s="28"/>
      <c r="AG49" s="28"/>
      <c r="AH49" s="28"/>
      <c r="AI49" s="133"/>
      <c r="AJ49" s="133"/>
      <c r="AK49" s="28"/>
    </row>
    <row r="50" spans="1:37" ht="15.75" thickBot="1">
      <c r="A50" s="117">
        <f t="shared" si="0"/>
        <v>38</v>
      </c>
      <c r="B50" s="31" t="s">
        <v>115</v>
      </c>
      <c r="C50" s="32"/>
      <c r="D50" s="212" t="s">
        <v>386</v>
      </c>
      <c r="E50" s="212"/>
      <c r="F50" s="193">
        <v>-65881.38144256947</v>
      </c>
      <c r="G50" s="170">
        <v>0</v>
      </c>
      <c r="H50" s="170">
        <v>0</v>
      </c>
      <c r="I50" s="170">
        <v>0</v>
      </c>
      <c r="J50" s="170">
        <v>15867.089625299417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96">
        <v>35222.53184406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305"/>
      <c r="AC50" s="305"/>
      <c r="AD50" s="305"/>
      <c r="AE50" s="170">
        <v>0</v>
      </c>
      <c r="AF50" s="170">
        <v>-134136</v>
      </c>
      <c r="AG50" s="247">
        <v>-16342.0768545845</v>
      </c>
      <c r="AH50" s="170">
        <v>0</v>
      </c>
      <c r="AI50" s="196">
        <v>0</v>
      </c>
      <c r="AJ50" s="193">
        <v>33507.0739426556</v>
      </c>
      <c r="AK50" s="170"/>
    </row>
    <row r="51" spans="1:37" ht="15">
      <c r="A51" s="117">
        <f t="shared" si="0"/>
        <v>39</v>
      </c>
      <c r="B51" s="28"/>
      <c r="C51" s="28"/>
      <c r="D51" s="28"/>
      <c r="E51" s="28"/>
      <c r="F51" s="28"/>
      <c r="G51" s="147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7"/>
      <c r="AC51" s="287"/>
      <c r="AD51" s="287"/>
      <c r="AE51" s="28"/>
      <c r="AF51" s="28"/>
      <c r="AG51" s="28"/>
      <c r="AH51" s="28"/>
      <c r="AI51" s="133"/>
      <c r="AJ51" s="28"/>
      <c r="AK51" s="28"/>
    </row>
    <row r="52" spans="1:37" ht="15">
      <c r="A52" s="117">
        <f t="shared" si="0"/>
        <v>40</v>
      </c>
      <c r="B52" s="28"/>
      <c r="C52" s="28"/>
      <c r="D52" s="28"/>
      <c r="E52" s="28"/>
      <c r="F52" s="171"/>
      <c r="G52" s="14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7"/>
      <c r="AC52" s="287"/>
      <c r="AD52" s="287"/>
      <c r="AE52" s="28"/>
      <c r="AF52" s="28"/>
      <c r="AG52" s="28"/>
      <c r="AH52" s="28"/>
      <c r="AI52" s="133"/>
      <c r="AJ52" s="28"/>
      <c r="AK52" s="28"/>
    </row>
    <row r="53" spans="1:37" ht="15">
      <c r="A53" s="117">
        <f t="shared" si="0"/>
        <v>41</v>
      </c>
      <c r="B53" s="28"/>
      <c r="C53" s="28"/>
      <c r="D53" s="28"/>
      <c r="E53" s="28"/>
      <c r="F53" s="28"/>
      <c r="G53" s="14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7"/>
      <c r="AC53" s="287"/>
      <c r="AD53" s="287"/>
      <c r="AE53" s="28"/>
      <c r="AF53" s="28"/>
      <c r="AG53" s="28"/>
      <c r="AH53" s="28"/>
      <c r="AI53" s="133"/>
      <c r="AJ53" s="28"/>
      <c r="AK53" s="28"/>
    </row>
    <row r="54" spans="1:37" ht="15">
      <c r="A54" s="117">
        <f t="shared" si="0"/>
        <v>42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7"/>
      <c r="AC54" s="287"/>
      <c r="AD54" s="287"/>
      <c r="AE54" s="28"/>
      <c r="AF54" s="28"/>
      <c r="AG54" s="28"/>
      <c r="AH54" s="28"/>
      <c r="AI54" s="133"/>
      <c r="AJ54" s="28"/>
      <c r="AK54" s="28"/>
    </row>
    <row r="55" spans="1:37" ht="15">
      <c r="A55" s="117">
        <f t="shared" si="0"/>
        <v>43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7"/>
      <c r="AC55" s="287"/>
      <c r="AD55" s="287"/>
      <c r="AE55" s="28"/>
      <c r="AF55" s="28"/>
      <c r="AG55" s="28"/>
      <c r="AH55" s="28"/>
      <c r="AI55" s="133"/>
      <c r="AJ55" s="28"/>
      <c r="AK55" s="28"/>
    </row>
    <row r="56" spans="1:37" ht="15">
      <c r="A56" s="117">
        <f t="shared" si="0"/>
        <v>44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7"/>
      <c r="AC56" s="287"/>
      <c r="AD56" s="287"/>
      <c r="AE56" s="28"/>
      <c r="AF56" s="28"/>
      <c r="AG56" s="28"/>
      <c r="AH56" s="28"/>
      <c r="AI56" s="133"/>
      <c r="AJ56" s="28"/>
      <c r="AK56" s="28"/>
    </row>
    <row r="57" spans="1:37" ht="15">
      <c r="A57" s="117">
        <f t="shared" si="0"/>
        <v>45</v>
      </c>
      <c r="B57" s="34" t="s">
        <v>197</v>
      </c>
      <c r="C57" s="28"/>
      <c r="D57" s="34" t="s">
        <v>388</v>
      </c>
      <c r="F57" s="28"/>
      <c r="G57" s="150">
        <v>0</v>
      </c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7"/>
      <c r="AC57" s="287"/>
      <c r="AD57" s="287"/>
      <c r="AE57" s="28"/>
      <c r="AF57" s="28"/>
      <c r="AG57" s="28"/>
      <c r="AH57" s="28"/>
      <c r="AI57" s="133"/>
      <c r="AJ57" s="28"/>
      <c r="AK57" s="28"/>
    </row>
    <row r="58" spans="1:37" ht="15">
      <c r="A58" s="117">
        <f t="shared" si="0"/>
        <v>46</v>
      </c>
      <c r="B58" s="34"/>
      <c r="C58" s="28"/>
      <c r="D58" s="34" t="s">
        <v>389</v>
      </c>
      <c r="F58" s="28"/>
      <c r="G58" s="150">
        <v>0.35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7"/>
      <c r="AC58" s="287"/>
      <c r="AD58" s="287"/>
      <c r="AE58" s="28"/>
      <c r="AF58" s="28"/>
      <c r="AG58" s="28"/>
      <c r="AH58" s="28"/>
      <c r="AI58" s="133"/>
      <c r="AJ58" s="28"/>
      <c r="AK58" s="28"/>
    </row>
    <row r="59" spans="1:37" ht="15.75" thickBot="1">
      <c r="A59" s="117">
        <f t="shared" si="0"/>
        <v>47</v>
      </c>
      <c r="B59" s="34"/>
      <c r="C59" s="34"/>
      <c r="D59" s="34" t="s">
        <v>212</v>
      </c>
      <c r="E59" s="34"/>
      <c r="F59" s="15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7"/>
      <c r="AC59" s="287"/>
      <c r="AD59" s="287"/>
      <c r="AE59" s="28"/>
      <c r="AF59" s="28"/>
      <c r="AG59" s="28"/>
      <c r="AH59" s="28"/>
      <c r="AI59" s="133"/>
      <c r="AJ59" s="28"/>
      <c r="AK59" s="28"/>
    </row>
    <row r="60" spans="1:37" ht="15.75" thickBot="1">
      <c r="A60" s="117">
        <f t="shared" si="0"/>
        <v>48</v>
      </c>
      <c r="B60" s="34" t="s">
        <v>200</v>
      </c>
      <c r="C60" s="28"/>
      <c r="D60" s="28" t="s">
        <v>213</v>
      </c>
      <c r="E60" s="28"/>
      <c r="F60" s="219">
        <v>62072.86980666826</v>
      </c>
      <c r="G60" s="151">
        <v>1578</v>
      </c>
      <c r="H60" s="151">
        <v>239</v>
      </c>
      <c r="I60" s="151">
        <v>803.681818296099</v>
      </c>
      <c r="J60" s="151">
        <v>-291.9552249735243</v>
      </c>
      <c r="K60" s="151">
        <v>-6715.5</v>
      </c>
      <c r="L60" s="151">
        <v>-2398</v>
      </c>
      <c r="M60" s="151">
        <v>470.3684210526317</v>
      </c>
      <c r="N60" s="151">
        <v>1009.505550039112</v>
      </c>
      <c r="O60" s="151">
        <v>337.3393247598656</v>
      </c>
      <c r="P60" s="151">
        <v>2330.0533223174552</v>
      </c>
      <c r="Q60" s="151">
        <v>0</v>
      </c>
      <c r="R60" s="151">
        <v>236.2471473</v>
      </c>
      <c r="S60" s="151">
        <v>970.7991623600001</v>
      </c>
      <c r="T60" s="151">
        <v>-436.5503382921393</v>
      </c>
      <c r="U60" s="151">
        <v>1297</v>
      </c>
      <c r="V60" s="151">
        <v>-1007.0458413225977</v>
      </c>
      <c r="W60" s="151">
        <v>705.9361997702729</v>
      </c>
      <c r="X60" s="151">
        <v>2224.8519480057357</v>
      </c>
      <c r="Y60" s="151">
        <v>-3974.44768820723</v>
      </c>
      <c r="Z60" s="151">
        <v>-404.6322852108654</v>
      </c>
      <c r="AA60" s="151">
        <v>-856.584003825</v>
      </c>
      <c r="AB60" s="288"/>
      <c r="AC60" s="288"/>
      <c r="AD60" s="288"/>
      <c r="AE60" s="151">
        <v>2943</v>
      </c>
      <c r="AF60" s="151">
        <v>-5733</v>
      </c>
      <c r="AG60" s="151">
        <v>2823.3793761901316</v>
      </c>
      <c r="AH60" s="151">
        <v>37529.93262667574</v>
      </c>
      <c r="AI60" s="219">
        <v>679.8352917325739</v>
      </c>
      <c r="AJ60" s="151">
        <v>0</v>
      </c>
      <c r="AK60" s="151"/>
    </row>
    <row r="61" spans="1:37" ht="15">
      <c r="A61" s="117">
        <f t="shared" si="0"/>
        <v>49</v>
      </c>
      <c r="B61" s="34" t="s">
        <v>201</v>
      </c>
      <c r="C61" s="28"/>
      <c r="D61" s="28"/>
      <c r="E61" s="28"/>
      <c r="F61" s="151">
        <v>2637</v>
      </c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28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288"/>
      <c r="AC61" s="288"/>
      <c r="AD61" s="288"/>
      <c r="AE61" s="151"/>
      <c r="AF61" s="151"/>
      <c r="AG61" s="151"/>
      <c r="AH61" s="151"/>
      <c r="AI61" s="181"/>
      <c r="AJ61" s="151">
        <v>2637</v>
      </c>
      <c r="AK61" s="151"/>
    </row>
    <row r="62" spans="1:37" ht="15">
      <c r="A62" s="117">
        <f t="shared" si="0"/>
        <v>50</v>
      </c>
      <c r="B62" s="34" t="s">
        <v>202</v>
      </c>
      <c r="C62" s="28"/>
      <c r="D62" s="28"/>
      <c r="E62" s="28"/>
      <c r="F62" s="151">
        <v>0</v>
      </c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28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288"/>
      <c r="AC62" s="288"/>
      <c r="AD62" s="288"/>
      <c r="AE62" s="151"/>
      <c r="AF62" s="151"/>
      <c r="AG62" s="151"/>
      <c r="AH62" s="151"/>
      <c r="AI62" s="181"/>
      <c r="AJ62" s="151"/>
      <c r="AK62" s="151"/>
    </row>
    <row r="63" spans="1:37" ht="15">
      <c r="A63" s="117">
        <f t="shared" si="0"/>
        <v>51</v>
      </c>
      <c r="B63" s="34" t="s">
        <v>203</v>
      </c>
      <c r="C63" s="28"/>
      <c r="D63" s="163" t="s">
        <v>248</v>
      </c>
      <c r="E63" s="133"/>
      <c r="F63" s="151">
        <v>0</v>
      </c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28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288"/>
      <c r="AC63" s="288"/>
      <c r="AD63" s="288"/>
      <c r="AE63" s="151"/>
      <c r="AF63" s="151"/>
      <c r="AG63" s="151"/>
      <c r="AH63" s="151"/>
      <c r="AI63" s="181"/>
      <c r="AJ63" s="151"/>
      <c r="AK63" s="151"/>
    </row>
    <row r="64" spans="1:37" ht="15">
      <c r="A64" s="117">
        <f t="shared" si="0"/>
        <v>52</v>
      </c>
      <c r="B64" s="34" t="s">
        <v>204</v>
      </c>
      <c r="C64" s="28"/>
      <c r="D64" s="133"/>
      <c r="E64" s="133"/>
      <c r="F64" s="151">
        <v>648</v>
      </c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28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288"/>
      <c r="AC64" s="288"/>
      <c r="AD64" s="288"/>
      <c r="AE64" s="151"/>
      <c r="AF64" s="151"/>
      <c r="AG64" s="151"/>
      <c r="AH64" s="151"/>
      <c r="AI64" s="181"/>
      <c r="AJ64" s="151">
        <v>648</v>
      </c>
      <c r="AK64" s="151"/>
    </row>
    <row r="65" spans="1:37" ht="15">
      <c r="A65" s="117">
        <f t="shared" si="0"/>
        <v>53</v>
      </c>
      <c r="B65" s="34" t="s">
        <v>205</v>
      </c>
      <c r="C65" s="28"/>
      <c r="D65" s="133"/>
      <c r="E65" s="133"/>
      <c r="F65" s="172">
        <v>2565</v>
      </c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9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306"/>
      <c r="AC65" s="306"/>
      <c r="AD65" s="306"/>
      <c r="AE65" s="173"/>
      <c r="AF65" s="173"/>
      <c r="AG65" s="173"/>
      <c r="AH65" s="173"/>
      <c r="AI65" s="248"/>
      <c r="AJ65" s="173">
        <v>2565</v>
      </c>
      <c r="AK65" s="173"/>
    </row>
    <row r="66" spans="1:37" ht="15.75" thickBot="1">
      <c r="A66" s="117">
        <f t="shared" si="0"/>
        <v>54</v>
      </c>
      <c r="B66" s="34"/>
      <c r="C66" s="28"/>
      <c r="D66" s="133"/>
      <c r="E66" s="133"/>
      <c r="F66" s="151">
        <v>0</v>
      </c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288"/>
      <c r="AC66" s="288"/>
      <c r="AD66" s="288"/>
      <c r="AE66" s="151"/>
      <c r="AF66" s="151"/>
      <c r="AG66" s="151"/>
      <c r="AH66" s="151"/>
      <c r="AI66" s="181"/>
      <c r="AJ66" s="151"/>
      <c r="AK66" s="151"/>
    </row>
    <row r="67" spans="1:37" ht="15.75" thickBot="1">
      <c r="A67" s="117">
        <f t="shared" si="0"/>
        <v>55</v>
      </c>
      <c r="B67" s="34" t="s">
        <v>206</v>
      </c>
      <c r="C67" s="45"/>
      <c r="D67" s="163" t="s">
        <v>391</v>
      </c>
      <c r="E67" s="254"/>
      <c r="F67" s="219">
        <v>57518.86980666826</v>
      </c>
      <c r="G67" s="152">
        <v>1578</v>
      </c>
      <c r="H67" s="152">
        <v>239</v>
      </c>
      <c r="I67" s="152">
        <v>803.681818296099</v>
      </c>
      <c r="J67" s="152">
        <v>-291.9552249735243</v>
      </c>
      <c r="K67" s="152">
        <v>-6715.5</v>
      </c>
      <c r="L67" s="152">
        <v>-2398</v>
      </c>
      <c r="M67" s="152">
        <v>470.3684210526317</v>
      </c>
      <c r="N67" s="152">
        <v>1009.505550039112</v>
      </c>
      <c r="O67" s="152">
        <v>337.3393247598656</v>
      </c>
      <c r="P67" s="152">
        <v>2330.0533223174552</v>
      </c>
      <c r="Q67" s="152"/>
      <c r="R67" s="152">
        <v>236.2471473</v>
      </c>
      <c r="S67" s="152">
        <v>970.7991623600001</v>
      </c>
      <c r="T67" s="152">
        <v>-436.5503382921393</v>
      </c>
      <c r="U67" s="152">
        <v>1297</v>
      </c>
      <c r="V67" s="152">
        <v>-1007.0458413225977</v>
      </c>
      <c r="W67" s="152">
        <v>705.9361997702729</v>
      </c>
      <c r="X67" s="152">
        <v>2224.8519480057357</v>
      </c>
      <c r="Y67" s="152">
        <v>-3974.44768820723</v>
      </c>
      <c r="Z67" s="152">
        <v>-404.6322852108654</v>
      </c>
      <c r="AA67" s="152">
        <v>-856.584003825</v>
      </c>
      <c r="AB67" s="291"/>
      <c r="AC67" s="291"/>
      <c r="AD67" s="291"/>
      <c r="AE67" s="152">
        <v>2943</v>
      </c>
      <c r="AF67" s="152">
        <v>-5733</v>
      </c>
      <c r="AG67" s="152">
        <v>2823.3793761901316</v>
      </c>
      <c r="AH67" s="152">
        <v>37529.93262667574</v>
      </c>
      <c r="AI67" s="219">
        <v>679.8352917325739</v>
      </c>
      <c r="AJ67" s="152">
        <v>-4554</v>
      </c>
      <c r="AK67" s="152"/>
    </row>
    <row r="68" spans="1:37" ht="15.75" thickBot="1">
      <c r="A68" s="117">
        <f t="shared" si="0"/>
        <v>56</v>
      </c>
      <c r="B68" s="34" t="s">
        <v>207</v>
      </c>
      <c r="C68" s="45"/>
      <c r="D68" s="163"/>
      <c r="E68" s="254"/>
      <c r="F68" s="151">
        <v>0</v>
      </c>
      <c r="G68" s="151">
        <v>0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51">
        <v>0</v>
      </c>
      <c r="R68" s="151">
        <v>0</v>
      </c>
      <c r="S68" s="151">
        <v>0</v>
      </c>
      <c r="T68" s="151">
        <v>0</v>
      </c>
      <c r="U68" s="151">
        <v>0</v>
      </c>
      <c r="V68" s="151">
        <v>0</v>
      </c>
      <c r="W68" s="151">
        <v>0</v>
      </c>
      <c r="X68" s="151">
        <v>0</v>
      </c>
      <c r="Y68" s="151">
        <v>0</v>
      </c>
      <c r="Z68" s="151">
        <v>0</v>
      </c>
      <c r="AA68" s="151">
        <v>0</v>
      </c>
      <c r="AB68" s="288"/>
      <c r="AC68" s="288"/>
      <c r="AD68" s="288"/>
      <c r="AE68" s="151">
        <v>0</v>
      </c>
      <c r="AF68" s="151">
        <v>0</v>
      </c>
      <c r="AG68" s="151">
        <v>0</v>
      </c>
      <c r="AH68" s="151">
        <v>0</v>
      </c>
      <c r="AI68" s="181">
        <v>0</v>
      </c>
      <c r="AJ68" s="151">
        <v>0</v>
      </c>
      <c r="AK68" s="151"/>
    </row>
    <row r="69" spans="1:42" ht="15.75" thickBot="1">
      <c r="A69" s="117">
        <f t="shared" si="0"/>
        <v>57</v>
      </c>
      <c r="B69" s="34" t="s">
        <v>208</v>
      </c>
      <c r="C69" s="45"/>
      <c r="D69" s="163" t="s">
        <v>392</v>
      </c>
      <c r="E69" s="163"/>
      <c r="F69" s="219">
        <v>57518.86980666826</v>
      </c>
      <c r="G69" s="156">
        <v>1578</v>
      </c>
      <c r="H69" s="156">
        <v>239</v>
      </c>
      <c r="I69" s="156">
        <v>803.681818296099</v>
      </c>
      <c r="J69" s="156">
        <v>-291.9552249735243</v>
      </c>
      <c r="K69" s="156">
        <v>-6715.5</v>
      </c>
      <c r="L69" s="156">
        <v>-2398</v>
      </c>
      <c r="M69" s="156">
        <v>470.3684210526317</v>
      </c>
      <c r="N69" s="156">
        <v>1009.505550039112</v>
      </c>
      <c r="O69" s="156">
        <v>337.3393247598656</v>
      </c>
      <c r="P69" s="156">
        <v>2330.0533223174552</v>
      </c>
      <c r="Q69" s="156">
        <v>0</v>
      </c>
      <c r="R69" s="156">
        <v>236.2471473</v>
      </c>
      <c r="S69" s="156">
        <v>970.7991623600001</v>
      </c>
      <c r="T69" s="156">
        <v>-436.5503382921393</v>
      </c>
      <c r="U69" s="156">
        <v>1297</v>
      </c>
      <c r="V69" s="156">
        <v>-1007.0458413225977</v>
      </c>
      <c r="W69" s="156">
        <v>705.9361997702729</v>
      </c>
      <c r="X69" s="156">
        <v>2224.8519480057357</v>
      </c>
      <c r="Y69" s="156">
        <v>-3974.44768820723</v>
      </c>
      <c r="Z69" s="156">
        <v>-404.6322852108654</v>
      </c>
      <c r="AA69" s="156">
        <v>-856.584003825</v>
      </c>
      <c r="AB69" s="290"/>
      <c r="AC69" s="290"/>
      <c r="AD69" s="290"/>
      <c r="AE69" s="156">
        <v>2943</v>
      </c>
      <c r="AF69" s="156">
        <v>-5733</v>
      </c>
      <c r="AG69" s="156">
        <v>2823.3793761901316</v>
      </c>
      <c r="AH69" s="156">
        <v>37529.93262667574</v>
      </c>
      <c r="AI69" s="219">
        <v>679.8352917325739</v>
      </c>
      <c r="AJ69" s="156">
        <v>-4554</v>
      </c>
      <c r="AK69" s="156"/>
      <c r="AP69" s="180"/>
    </row>
    <row r="70" spans="1:37" ht="15.75" thickBot="1">
      <c r="A70" s="117">
        <f t="shared" si="0"/>
        <v>58</v>
      </c>
      <c r="B70" s="34" t="s">
        <v>209</v>
      </c>
      <c r="C70" s="45"/>
      <c r="D70" s="163"/>
      <c r="E70" s="163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288"/>
      <c r="AC70" s="288"/>
      <c r="AD70" s="288"/>
      <c r="AE70" s="151"/>
      <c r="AF70" s="151"/>
      <c r="AG70" s="151"/>
      <c r="AH70" s="151"/>
      <c r="AI70" s="181"/>
      <c r="AJ70" s="151"/>
      <c r="AK70" s="151"/>
    </row>
    <row r="71" spans="1:37" ht="15.75" thickBot="1">
      <c r="A71" s="117">
        <f t="shared" si="0"/>
        <v>59</v>
      </c>
      <c r="B71" s="34" t="s">
        <v>210</v>
      </c>
      <c r="C71" s="45"/>
      <c r="D71" s="163" t="s">
        <v>393</v>
      </c>
      <c r="E71" s="163"/>
      <c r="F71" s="219">
        <v>20131.60443233389</v>
      </c>
      <c r="G71" s="174">
        <v>552.3</v>
      </c>
      <c r="H71" s="174">
        <v>83.65</v>
      </c>
      <c r="I71" s="174">
        <v>281.2886364036346</v>
      </c>
      <c r="J71" s="174">
        <v>-102.1843287407335</v>
      </c>
      <c r="K71" s="174">
        <v>-2350.425</v>
      </c>
      <c r="L71" s="174">
        <v>-839.3</v>
      </c>
      <c r="M71" s="174">
        <v>164.62894736842108</v>
      </c>
      <c r="N71" s="174">
        <v>353.3269425136892</v>
      </c>
      <c r="O71" s="174">
        <v>118.06876366595294</v>
      </c>
      <c r="P71" s="174">
        <v>815.5186628111093</v>
      </c>
      <c r="Q71" s="174">
        <v>0</v>
      </c>
      <c r="R71" s="174">
        <v>82.68650155499999</v>
      </c>
      <c r="S71" s="174">
        <v>339.779706826</v>
      </c>
      <c r="T71" s="174">
        <v>-152.79261840224876</v>
      </c>
      <c r="U71" s="174">
        <v>453.95</v>
      </c>
      <c r="V71" s="174">
        <v>-352.46604446290917</v>
      </c>
      <c r="W71" s="174">
        <v>247.07766991959548</v>
      </c>
      <c r="X71" s="174">
        <v>778.6981818020074</v>
      </c>
      <c r="Y71" s="174">
        <v>-1391.0566908725305</v>
      </c>
      <c r="Z71" s="174">
        <v>-141.62129982380287</v>
      </c>
      <c r="AA71" s="174">
        <v>-299.80440133875</v>
      </c>
      <c r="AB71" s="307"/>
      <c r="AC71" s="307"/>
      <c r="AD71" s="307"/>
      <c r="AE71" s="174">
        <v>1030.05</v>
      </c>
      <c r="AF71" s="174">
        <v>-2006.55</v>
      </c>
      <c r="AG71" s="174">
        <v>988.182781666546</v>
      </c>
      <c r="AH71" s="174">
        <v>13135.476419336508</v>
      </c>
      <c r="AI71" s="219">
        <v>237.94235210640085</v>
      </c>
      <c r="AJ71" s="174">
        <v>-1593.9</v>
      </c>
      <c r="AK71" s="174"/>
    </row>
    <row r="72" spans="1:37" ht="15">
      <c r="A72" s="117">
        <f t="shared" si="0"/>
        <v>60</v>
      </c>
      <c r="B72" s="28"/>
      <c r="C72" s="28"/>
      <c r="D72" s="28"/>
      <c r="E72" s="133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</row>
    <row r="73" ht="12.75">
      <c r="A73" s="11">
        <f t="shared" si="0"/>
        <v>61</v>
      </c>
    </row>
    <row r="74" ht="12.75">
      <c r="A74" s="11">
        <f t="shared" si="0"/>
        <v>62</v>
      </c>
    </row>
    <row r="75" ht="12.75">
      <c r="A75" s="11">
        <f t="shared" si="0"/>
        <v>63</v>
      </c>
    </row>
    <row r="76" ht="12.75">
      <c r="A76" s="11">
        <f t="shared" si="0"/>
        <v>64</v>
      </c>
    </row>
    <row r="77" spans="1:2" ht="15">
      <c r="A77" s="11">
        <f t="shared" si="0"/>
        <v>65</v>
      </c>
      <c r="B77" s="22"/>
    </row>
    <row r="78" spans="1:6" ht="15">
      <c r="A78" s="11">
        <f aca="true" t="shared" si="1" ref="A78:A84">+A77+1</f>
        <v>66</v>
      </c>
      <c r="B78" s="23"/>
      <c r="F78" s="12"/>
    </row>
    <row r="79" spans="1:2" ht="15">
      <c r="A79" s="11">
        <f t="shared" si="1"/>
        <v>67</v>
      </c>
      <c r="B79" s="23"/>
    </row>
    <row r="80" spans="1:6" ht="15">
      <c r="A80" s="11">
        <f t="shared" si="1"/>
        <v>68</v>
      </c>
      <c r="B80" s="23"/>
      <c r="F80" s="12"/>
    </row>
    <row r="81" spans="1:2" ht="15">
      <c r="A81" s="11">
        <f t="shared" si="1"/>
        <v>69</v>
      </c>
      <c r="B81" s="23"/>
    </row>
    <row r="82" spans="1:2" ht="15">
      <c r="A82" s="11">
        <f t="shared" si="1"/>
        <v>70</v>
      </c>
      <c r="B82" s="23"/>
    </row>
    <row r="83" spans="1:2" ht="15">
      <c r="A83" s="11">
        <f t="shared" si="1"/>
        <v>71</v>
      </c>
      <c r="B83" s="24"/>
    </row>
    <row r="84" spans="1:2" ht="15">
      <c r="A84" s="11">
        <f t="shared" si="1"/>
        <v>72</v>
      </c>
      <c r="B84" s="24"/>
    </row>
  </sheetData>
  <printOptions/>
  <pageMargins left="0.75" right="0.75" top="0.77" bottom="0.5" header="0.77" footer="0.5"/>
  <pageSetup fitToWidth="0" fitToHeight="1" horizontalDpi="600" verticalDpi="600" orientation="landscape" scale="48" r:id="rId1"/>
  <headerFooter alignWithMargins="0">
    <oddHeader>&amp;R&amp;"Arial,Bold"&amp;12Exhibit No. ___C (PMS-10-C),
&amp;"Arial,Regular"Page &amp;P 
Docket No. UT-040788
Witness:  Paula Strain
November 22, 2004&amp;10
</oddHeader>
  </headerFooter>
  <colBreaks count="2" manualBreakCount="2">
    <brk id="15" max="71" man="1"/>
    <brk id="26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87"/>
  <sheetViews>
    <sheetView view="pageBreakPreview" zoomScale="50" zoomScaleSheetLayoutView="50" workbookViewId="0" topLeftCell="W1">
      <selection activeCell="AE1" sqref="AE1"/>
    </sheetView>
  </sheetViews>
  <sheetFormatPr defaultColWidth="9.140625" defaultRowHeight="12.75"/>
  <cols>
    <col min="1" max="2" width="5.28125" style="0" customWidth="1"/>
    <col min="3" max="4" width="9.00390625" style="0" customWidth="1"/>
    <col min="5" max="5" width="27.8515625" style="0" customWidth="1"/>
    <col min="6" max="6" width="17.7109375" style="0" customWidth="1"/>
    <col min="7" max="8" width="15.140625" style="0" bestFit="1" customWidth="1"/>
    <col min="9" max="9" width="10.28125" style="0" bestFit="1" customWidth="1"/>
    <col min="10" max="10" width="10.421875" style="0" bestFit="1" customWidth="1"/>
    <col min="11" max="11" width="12.28125" style="0" bestFit="1" customWidth="1"/>
    <col min="12" max="12" width="12.8515625" style="0" bestFit="1" customWidth="1"/>
    <col min="13" max="14" width="14.28125" style="0" bestFit="1" customWidth="1"/>
    <col min="15" max="15" width="11.8515625" style="0" bestFit="1" customWidth="1"/>
    <col min="16" max="16" width="12.7109375" style="0" bestFit="1" customWidth="1"/>
    <col min="17" max="17" width="11.7109375" style="0" bestFit="1" customWidth="1"/>
    <col min="18" max="18" width="14.7109375" style="0" customWidth="1"/>
    <col min="19" max="19" width="10.00390625" style="0" bestFit="1" customWidth="1"/>
    <col min="20" max="20" width="15.28125" style="0" bestFit="1" customWidth="1"/>
    <col min="21" max="21" width="15.57421875" style="0" bestFit="1" customWidth="1"/>
    <col min="22" max="22" width="14.421875" style="0" customWidth="1"/>
    <col min="23" max="23" width="15.8515625" style="0" customWidth="1"/>
    <col min="24" max="24" width="14.7109375" style="0" bestFit="1" customWidth="1"/>
    <col min="25" max="25" width="16.28125" style="0" bestFit="1" customWidth="1"/>
    <col min="26" max="26" width="17.421875" style="68" bestFit="1" customWidth="1"/>
    <col min="27" max="27" width="19.00390625" style="0" customWidth="1"/>
    <col min="28" max="28" width="14.7109375" style="68" customWidth="1"/>
    <col min="29" max="29" width="18.00390625" style="0" bestFit="1" customWidth="1"/>
    <col min="30" max="30" width="14.421875" style="0" bestFit="1" customWidth="1"/>
    <col min="31" max="34" width="9.00390625" style="0" customWidth="1"/>
  </cols>
  <sheetData>
    <row r="1" spans="1:41" ht="21" thickBot="1">
      <c r="A1" s="33" t="s">
        <v>244</v>
      </c>
      <c r="B1" s="28"/>
      <c r="C1" s="28"/>
      <c r="D1" s="28"/>
      <c r="E1" s="28"/>
      <c r="F1" s="50"/>
      <c r="G1" s="49"/>
      <c r="H1" s="1"/>
      <c r="I1" s="1"/>
      <c r="J1" s="49"/>
      <c r="K1" s="49"/>
      <c r="L1" s="49"/>
      <c r="M1" s="1"/>
      <c r="N1" s="239" t="s">
        <v>396</v>
      </c>
      <c r="O1" s="240"/>
      <c r="P1" s="240"/>
      <c r="Q1" s="241"/>
      <c r="R1" s="242"/>
      <c r="S1" s="238"/>
      <c r="U1" s="49"/>
      <c r="W1" s="176" t="s">
        <v>397</v>
      </c>
      <c r="X1" s="1"/>
      <c r="Y1" s="49"/>
      <c r="Z1" s="61"/>
      <c r="AC1" s="269"/>
      <c r="AD1" s="184"/>
      <c r="AE1" s="270"/>
      <c r="AF1" s="184"/>
      <c r="AG1" s="184"/>
      <c r="AH1" s="250" t="s">
        <v>396</v>
      </c>
      <c r="AI1" s="52"/>
      <c r="AJ1" s="52"/>
      <c r="AK1" s="52"/>
      <c r="AL1" s="52"/>
      <c r="AM1" s="49"/>
      <c r="AN1" s="49"/>
      <c r="AO1" s="49"/>
    </row>
    <row r="2" spans="1:41" ht="16.5" thickBot="1">
      <c r="A2" s="33" t="s">
        <v>245</v>
      </c>
      <c r="B2" s="28"/>
      <c r="C2" s="28"/>
      <c r="D2" s="28"/>
      <c r="E2" s="28"/>
      <c r="F2" s="50"/>
      <c r="G2" s="49"/>
      <c r="H2" s="49"/>
      <c r="I2" s="49"/>
      <c r="J2" s="49"/>
      <c r="K2" s="49"/>
      <c r="L2" s="49"/>
      <c r="M2" s="49"/>
      <c r="N2" s="232" t="s">
        <v>394</v>
      </c>
      <c r="O2" s="233"/>
      <c r="P2" s="233"/>
      <c r="Q2" s="233"/>
      <c r="R2" s="175"/>
      <c r="S2" s="110"/>
      <c r="Z2" s="61"/>
      <c r="AA2" s="235"/>
      <c r="AC2" s="265"/>
      <c r="AD2" s="265"/>
      <c r="AE2" s="266"/>
      <c r="AF2" s="267"/>
      <c r="AG2" s="267"/>
      <c r="AH2" s="268" t="s">
        <v>394</v>
      </c>
      <c r="AI2" s="52"/>
      <c r="AJ2" s="52"/>
      <c r="AK2" s="52"/>
      <c r="AL2" s="52"/>
      <c r="AM2" s="49"/>
      <c r="AN2" s="49"/>
      <c r="AO2" s="49"/>
    </row>
    <row r="3" spans="1:41" ht="15.75">
      <c r="A3" s="33" t="s">
        <v>359</v>
      </c>
      <c r="B3" s="28"/>
      <c r="C3" s="28"/>
      <c r="D3" s="28"/>
      <c r="E3" s="28"/>
      <c r="F3" s="312" t="s">
        <v>397</v>
      </c>
      <c r="G3" s="312"/>
      <c r="H3" s="312"/>
      <c r="I3" s="312"/>
      <c r="J3" s="312"/>
      <c r="K3" s="313"/>
      <c r="L3" s="313"/>
      <c r="M3" s="313"/>
      <c r="N3" s="313"/>
      <c r="O3" s="49"/>
      <c r="P3" s="49"/>
      <c r="Q3" s="1"/>
      <c r="R3" s="49"/>
      <c r="S3" s="49"/>
      <c r="T3" s="49"/>
      <c r="U3" s="49"/>
      <c r="V3" s="49"/>
      <c r="W3" s="49"/>
      <c r="X3" s="1"/>
      <c r="Y3" s="49"/>
      <c r="Z3" s="61"/>
      <c r="AA3" s="49"/>
      <c r="AB3" s="61"/>
      <c r="AC3" s="49"/>
      <c r="AD3" s="49"/>
      <c r="AE3" s="52"/>
      <c r="AF3" s="52"/>
      <c r="AG3" s="52"/>
      <c r="AH3" s="52"/>
      <c r="AI3" s="52"/>
      <c r="AJ3" s="52"/>
      <c r="AK3" s="52"/>
      <c r="AL3" s="52"/>
      <c r="AM3" s="49"/>
      <c r="AN3" s="49"/>
      <c r="AO3" s="49"/>
    </row>
    <row r="4" spans="1:86" ht="15.75">
      <c r="A4" s="33" t="s">
        <v>246</v>
      </c>
      <c r="B4" s="28"/>
      <c r="C4" s="28"/>
      <c r="D4" s="28"/>
      <c r="E4" s="28"/>
      <c r="F4" s="50"/>
      <c r="G4" s="49"/>
      <c r="H4" s="49"/>
      <c r="I4" s="49"/>
      <c r="J4" s="49"/>
      <c r="K4" s="118" t="s">
        <v>237</v>
      </c>
      <c r="L4" s="118" t="s">
        <v>237</v>
      </c>
      <c r="M4" s="49"/>
      <c r="N4" s="51"/>
      <c r="O4" s="51"/>
      <c r="P4" s="51" t="s">
        <v>237</v>
      </c>
      <c r="Q4" s="51" t="s">
        <v>237</v>
      </c>
      <c r="R4" s="51" t="s">
        <v>242</v>
      </c>
      <c r="S4" s="51" t="s">
        <v>237</v>
      </c>
      <c r="T4" s="51" t="s">
        <v>242</v>
      </c>
      <c r="U4" s="51" t="s">
        <v>237</v>
      </c>
      <c r="V4" s="51" t="s">
        <v>237</v>
      </c>
      <c r="W4" s="51" t="s">
        <v>237</v>
      </c>
      <c r="X4" s="51" t="s">
        <v>237</v>
      </c>
      <c r="Y4" s="118" t="s">
        <v>237</v>
      </c>
      <c r="Z4" s="106" t="s">
        <v>237</v>
      </c>
      <c r="AA4" s="51" t="s">
        <v>237</v>
      </c>
      <c r="AB4" s="106" t="s">
        <v>237</v>
      </c>
      <c r="AC4" s="51" t="s">
        <v>237</v>
      </c>
      <c r="AD4" s="51" t="s">
        <v>237</v>
      </c>
      <c r="AE4" s="52"/>
      <c r="AF4" s="52"/>
      <c r="AG4" s="52"/>
      <c r="AH4" s="52"/>
      <c r="AI4" s="52"/>
      <c r="AJ4" s="52"/>
      <c r="AK4" s="52"/>
      <c r="AL4" s="52"/>
      <c r="AM4" s="49"/>
      <c r="AN4" s="49"/>
      <c r="AO4" s="49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</row>
    <row r="5" spans="1:41" ht="15.75">
      <c r="A5" s="39" t="s">
        <v>247</v>
      </c>
      <c r="B5" s="28"/>
      <c r="C5" s="28"/>
      <c r="D5" s="28"/>
      <c r="E5" s="28"/>
      <c r="F5" s="50"/>
      <c r="G5" s="49"/>
      <c r="H5" s="49"/>
      <c r="I5" s="49"/>
      <c r="J5" s="49"/>
      <c r="K5" s="118" t="s">
        <v>229</v>
      </c>
      <c r="L5" s="118" t="s">
        <v>229</v>
      </c>
      <c r="M5" s="49"/>
      <c r="N5" s="51"/>
      <c r="O5" s="51"/>
      <c r="P5" s="51" t="s">
        <v>229</v>
      </c>
      <c r="Q5" s="51" t="s">
        <v>229</v>
      </c>
      <c r="R5" s="51" t="s">
        <v>229</v>
      </c>
      <c r="S5" s="51" t="s">
        <v>229</v>
      </c>
      <c r="T5" s="51" t="s">
        <v>229</v>
      </c>
      <c r="U5" s="51" t="s">
        <v>229</v>
      </c>
      <c r="V5" s="51" t="s">
        <v>229</v>
      </c>
      <c r="W5" s="51" t="s">
        <v>229</v>
      </c>
      <c r="X5" s="51" t="s">
        <v>229</v>
      </c>
      <c r="Y5" s="118" t="s">
        <v>229</v>
      </c>
      <c r="Z5" s="106" t="s">
        <v>229</v>
      </c>
      <c r="AA5" s="51" t="s">
        <v>229</v>
      </c>
      <c r="AB5" s="106" t="s">
        <v>229</v>
      </c>
      <c r="AC5" s="51" t="s">
        <v>229</v>
      </c>
      <c r="AD5" s="51" t="s">
        <v>229</v>
      </c>
      <c r="AE5" s="52"/>
      <c r="AF5" s="52"/>
      <c r="AG5" s="52"/>
      <c r="AH5" s="52"/>
      <c r="AI5" s="52"/>
      <c r="AJ5" s="52"/>
      <c r="AK5" s="52"/>
      <c r="AL5" s="52"/>
      <c r="AM5" s="49"/>
      <c r="AN5" s="49"/>
      <c r="AO5" s="49"/>
    </row>
    <row r="6" spans="1:41" ht="12.75">
      <c r="A6" s="6"/>
      <c r="B6" s="52"/>
      <c r="C6" s="52"/>
      <c r="D6" s="52"/>
      <c r="E6" s="52"/>
      <c r="F6" s="49"/>
      <c r="G6" s="53"/>
      <c r="H6" s="54" t="s">
        <v>146</v>
      </c>
      <c r="I6" s="54" t="s">
        <v>145</v>
      </c>
      <c r="J6" s="54" t="s">
        <v>145</v>
      </c>
      <c r="K6" s="314" t="s">
        <v>296</v>
      </c>
      <c r="L6" s="315"/>
      <c r="M6" s="54" t="s">
        <v>156</v>
      </c>
      <c r="N6" s="54" t="s">
        <v>160</v>
      </c>
      <c r="O6" s="54"/>
      <c r="P6" s="54" t="s">
        <v>157</v>
      </c>
      <c r="Q6" s="54" t="s">
        <v>169</v>
      </c>
      <c r="R6" s="54" t="s">
        <v>173</v>
      </c>
      <c r="S6" s="54" t="s">
        <v>157</v>
      </c>
      <c r="T6" s="54" t="s">
        <v>157</v>
      </c>
      <c r="U6" s="54" t="s">
        <v>103</v>
      </c>
      <c r="V6" s="54" t="s">
        <v>193</v>
      </c>
      <c r="W6" s="54" t="s">
        <v>187</v>
      </c>
      <c r="X6" s="54" t="s">
        <v>189</v>
      </c>
      <c r="Y6" s="88" t="s">
        <v>353</v>
      </c>
      <c r="Z6" s="86" t="s">
        <v>296</v>
      </c>
      <c r="AA6" s="86" t="s">
        <v>353</v>
      </c>
      <c r="AB6" s="108"/>
      <c r="AC6" s="86" t="s">
        <v>353</v>
      </c>
      <c r="AD6" s="55" t="s">
        <v>203</v>
      </c>
      <c r="AE6" s="60"/>
      <c r="AF6" s="60"/>
      <c r="AG6" s="60"/>
      <c r="AH6" s="52"/>
      <c r="AI6" s="52"/>
      <c r="AJ6" s="52"/>
      <c r="AK6" s="52"/>
      <c r="AL6" s="52"/>
      <c r="AM6" s="49"/>
      <c r="AN6" s="49"/>
      <c r="AO6" s="49"/>
    </row>
    <row r="7" spans="1:41" ht="12.75">
      <c r="A7" s="6"/>
      <c r="B7" s="52"/>
      <c r="C7" s="52"/>
      <c r="D7" s="52"/>
      <c r="E7" s="52"/>
      <c r="F7" s="4" t="s">
        <v>194</v>
      </c>
      <c r="G7" s="53" t="s">
        <v>145</v>
      </c>
      <c r="H7" s="54" t="s">
        <v>147</v>
      </c>
      <c r="I7" s="54" t="s">
        <v>150</v>
      </c>
      <c r="J7" s="54" t="s">
        <v>151</v>
      </c>
      <c r="K7" s="119" t="s">
        <v>153</v>
      </c>
      <c r="L7" s="119" t="s">
        <v>153</v>
      </c>
      <c r="M7" s="54" t="s">
        <v>157</v>
      </c>
      <c r="N7" s="54" t="s">
        <v>95</v>
      </c>
      <c r="O7" s="54" t="s">
        <v>163</v>
      </c>
      <c r="P7" s="54" t="s">
        <v>166</v>
      </c>
      <c r="Q7" s="54" t="s">
        <v>170</v>
      </c>
      <c r="R7" s="54" t="s">
        <v>174</v>
      </c>
      <c r="S7" s="54" t="s">
        <v>177</v>
      </c>
      <c r="T7" s="54" t="s">
        <v>179</v>
      </c>
      <c r="U7" s="54" t="s">
        <v>182</v>
      </c>
      <c r="V7" s="54" t="s">
        <v>183</v>
      </c>
      <c r="W7" s="54" t="s">
        <v>186</v>
      </c>
      <c r="X7" s="54" t="s">
        <v>190</v>
      </c>
      <c r="Y7" s="13" t="s">
        <v>233</v>
      </c>
      <c r="Z7" s="107" t="s">
        <v>299</v>
      </c>
      <c r="AA7" s="55" t="s">
        <v>336</v>
      </c>
      <c r="AB7" s="55" t="s">
        <v>320</v>
      </c>
      <c r="AC7" s="55" t="s">
        <v>339</v>
      </c>
      <c r="AD7" s="55" t="s">
        <v>345</v>
      </c>
      <c r="AE7" s="55"/>
      <c r="AF7" s="55"/>
      <c r="AG7" s="55"/>
      <c r="AH7" s="52"/>
      <c r="AI7" s="52"/>
      <c r="AJ7" s="52"/>
      <c r="AK7" s="52"/>
      <c r="AL7" s="52"/>
      <c r="AM7" s="49"/>
      <c r="AN7" s="49"/>
      <c r="AO7" s="49"/>
    </row>
    <row r="8" spans="1:41" ht="12.75">
      <c r="A8" s="6"/>
      <c r="B8" s="52"/>
      <c r="C8" s="52"/>
      <c r="D8" s="52"/>
      <c r="E8" s="52"/>
      <c r="F8" s="4" t="s">
        <v>195</v>
      </c>
      <c r="G8" s="53" t="s">
        <v>38</v>
      </c>
      <c r="H8" s="54" t="s">
        <v>148</v>
      </c>
      <c r="I8" s="54" t="s">
        <v>38</v>
      </c>
      <c r="J8" s="54" t="s">
        <v>38</v>
      </c>
      <c r="K8" s="119" t="s">
        <v>381</v>
      </c>
      <c r="L8" s="119" t="s">
        <v>155</v>
      </c>
      <c r="M8" s="54" t="s">
        <v>158</v>
      </c>
      <c r="N8" s="54" t="s">
        <v>161</v>
      </c>
      <c r="O8" s="54" t="s">
        <v>164</v>
      </c>
      <c r="P8" s="54" t="s">
        <v>167</v>
      </c>
      <c r="Q8" s="54" t="s">
        <v>171</v>
      </c>
      <c r="R8" s="54" t="s">
        <v>175</v>
      </c>
      <c r="S8" s="54" t="s">
        <v>178</v>
      </c>
      <c r="T8" s="54" t="s">
        <v>177</v>
      </c>
      <c r="U8" s="54" t="s">
        <v>180</v>
      </c>
      <c r="V8" s="54" t="s">
        <v>184</v>
      </c>
      <c r="W8" s="54" t="s">
        <v>38</v>
      </c>
      <c r="X8" s="54" t="s">
        <v>191</v>
      </c>
      <c r="Y8" s="55" t="s">
        <v>234</v>
      </c>
      <c r="Z8" s="107" t="s">
        <v>240</v>
      </c>
      <c r="AA8" s="55" t="s">
        <v>337</v>
      </c>
      <c r="AB8" s="55" t="s">
        <v>321</v>
      </c>
      <c r="AC8" s="55" t="s">
        <v>340</v>
      </c>
      <c r="AD8" s="55" t="s">
        <v>361</v>
      </c>
      <c r="AE8" s="55"/>
      <c r="AF8" s="55"/>
      <c r="AG8" s="55"/>
      <c r="AH8" s="52"/>
      <c r="AI8" s="52"/>
      <c r="AJ8" s="52"/>
      <c r="AK8" s="52"/>
      <c r="AL8" s="52"/>
      <c r="AM8" s="49"/>
      <c r="AN8" s="49"/>
      <c r="AO8" s="49"/>
    </row>
    <row r="9" spans="1:41" ht="12.75">
      <c r="A9" s="6"/>
      <c r="B9" s="52"/>
      <c r="C9" s="52"/>
      <c r="D9" s="52"/>
      <c r="E9" s="52"/>
      <c r="F9" s="4" t="s">
        <v>188</v>
      </c>
      <c r="G9" s="53" t="s">
        <v>144</v>
      </c>
      <c r="H9" s="54" t="s">
        <v>149</v>
      </c>
      <c r="I9" s="54" t="s">
        <v>144</v>
      </c>
      <c r="J9" s="54" t="s">
        <v>152</v>
      </c>
      <c r="K9" s="119" t="s">
        <v>154</v>
      </c>
      <c r="L9" s="119" t="s">
        <v>382</v>
      </c>
      <c r="M9" s="54" t="s">
        <v>159</v>
      </c>
      <c r="N9" s="54" t="s">
        <v>162</v>
      </c>
      <c r="O9" s="54" t="s">
        <v>165</v>
      </c>
      <c r="P9" s="54" t="s">
        <v>168</v>
      </c>
      <c r="Q9" s="54" t="s">
        <v>172</v>
      </c>
      <c r="R9" s="54" t="s">
        <v>176</v>
      </c>
      <c r="S9" s="54">
        <v>2004</v>
      </c>
      <c r="T9" s="56">
        <v>0.28</v>
      </c>
      <c r="U9" s="54" t="s">
        <v>181</v>
      </c>
      <c r="V9" s="54" t="s">
        <v>185</v>
      </c>
      <c r="W9" s="54" t="s">
        <v>188</v>
      </c>
      <c r="X9" s="54" t="s">
        <v>192</v>
      </c>
      <c r="Y9" s="55" t="s">
        <v>235</v>
      </c>
      <c r="Z9" s="107" t="s">
        <v>241</v>
      </c>
      <c r="AA9" s="55" t="s">
        <v>338</v>
      </c>
      <c r="AB9" s="55" t="s">
        <v>322</v>
      </c>
      <c r="AC9" s="55" t="s">
        <v>341</v>
      </c>
      <c r="AD9" s="5" t="s">
        <v>360</v>
      </c>
      <c r="AE9" s="55"/>
      <c r="AF9" s="55"/>
      <c r="AG9" s="55"/>
      <c r="AH9" s="52"/>
      <c r="AI9" s="52"/>
      <c r="AJ9" s="52"/>
      <c r="AK9" s="52"/>
      <c r="AL9" s="52"/>
      <c r="AM9" s="49"/>
      <c r="AN9" s="49"/>
      <c r="AO9" s="49"/>
    </row>
    <row r="10" spans="1:41" ht="12.75">
      <c r="A10" s="6"/>
      <c r="B10" s="52"/>
      <c r="C10" s="52"/>
      <c r="D10" s="52"/>
      <c r="E10" s="52"/>
      <c r="F10" s="57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"/>
      <c r="Z10" s="61"/>
      <c r="AA10" s="109" t="s">
        <v>323</v>
      </c>
      <c r="AB10" s="109" t="s">
        <v>323</v>
      </c>
      <c r="AC10" s="109" t="s">
        <v>342</v>
      </c>
      <c r="AE10" s="6"/>
      <c r="AF10" s="6"/>
      <c r="AG10" s="6"/>
      <c r="AH10" s="52"/>
      <c r="AI10" s="52"/>
      <c r="AJ10" s="52"/>
      <c r="AK10" s="52"/>
      <c r="AL10" s="52"/>
      <c r="AM10" s="49"/>
      <c r="AN10" s="49"/>
      <c r="AO10" s="49"/>
    </row>
    <row r="11" spans="1:41" ht="12.75">
      <c r="A11" s="7"/>
      <c r="B11" s="4" t="s">
        <v>50</v>
      </c>
      <c r="C11" s="1"/>
      <c r="D11" s="1"/>
      <c r="E11" s="1"/>
      <c r="F11" s="4" t="s">
        <v>51</v>
      </c>
      <c r="G11" s="4" t="s">
        <v>120</v>
      </c>
      <c r="H11" s="4" t="s">
        <v>121</v>
      </c>
      <c r="I11" s="4" t="s">
        <v>52</v>
      </c>
      <c r="J11" s="4" t="s">
        <v>53</v>
      </c>
      <c r="K11" s="4" t="s">
        <v>122</v>
      </c>
      <c r="L11" s="4" t="s">
        <v>123</v>
      </c>
      <c r="M11" s="4" t="s">
        <v>124</v>
      </c>
      <c r="N11" s="4" t="s">
        <v>125</v>
      </c>
      <c r="O11" s="4" t="s">
        <v>54</v>
      </c>
      <c r="P11" s="4" t="s">
        <v>55</v>
      </c>
      <c r="Q11" s="4" t="s">
        <v>56</v>
      </c>
      <c r="R11" s="4" t="s">
        <v>57</v>
      </c>
      <c r="S11" s="4" t="s">
        <v>58</v>
      </c>
      <c r="T11" s="4" t="s">
        <v>59</v>
      </c>
      <c r="U11" s="4" t="s">
        <v>60</v>
      </c>
      <c r="V11" s="4" t="s">
        <v>61</v>
      </c>
      <c r="W11" s="4" t="s">
        <v>62</v>
      </c>
      <c r="X11" s="4" t="s">
        <v>63</v>
      </c>
      <c r="Y11" s="27" t="s">
        <v>64</v>
      </c>
      <c r="Z11" s="27" t="s">
        <v>65</v>
      </c>
      <c r="AA11" s="27" t="s">
        <v>66</v>
      </c>
      <c r="AB11" s="27" t="s">
        <v>300</v>
      </c>
      <c r="AC11" s="27" t="s">
        <v>301</v>
      </c>
      <c r="AD11" s="27" t="s">
        <v>302</v>
      </c>
      <c r="AE11" s="27"/>
      <c r="AF11" s="27"/>
      <c r="AG11" s="27"/>
      <c r="AH11" s="52"/>
      <c r="AI11" s="101"/>
      <c r="AJ11" s="52"/>
      <c r="AK11" s="52"/>
      <c r="AL11" s="52"/>
      <c r="AM11" s="49"/>
      <c r="AN11" s="49"/>
      <c r="AO11" s="49"/>
    </row>
    <row r="12" spans="1:41" ht="12.75">
      <c r="A12" s="8" t="s">
        <v>67</v>
      </c>
      <c r="B12" s="9" t="s">
        <v>68</v>
      </c>
      <c r="C12" s="9"/>
      <c r="D12" s="9"/>
      <c r="E12" s="62"/>
      <c r="F12" s="10" t="s">
        <v>356</v>
      </c>
      <c r="G12" s="10" t="s">
        <v>126</v>
      </c>
      <c r="H12" s="10" t="s">
        <v>127</v>
      </c>
      <c r="I12" s="10" t="s">
        <v>128</v>
      </c>
      <c r="J12" s="10" t="s">
        <v>129</v>
      </c>
      <c r="K12" s="10" t="s">
        <v>130</v>
      </c>
      <c r="L12" s="10" t="s">
        <v>131</v>
      </c>
      <c r="M12" s="10" t="s">
        <v>132</v>
      </c>
      <c r="N12" s="10" t="s">
        <v>133</v>
      </c>
      <c r="O12" s="10" t="s">
        <v>134</v>
      </c>
      <c r="P12" s="10" t="s">
        <v>135</v>
      </c>
      <c r="Q12" s="10" t="s">
        <v>136</v>
      </c>
      <c r="R12" s="10" t="s">
        <v>137</v>
      </c>
      <c r="S12" s="10" t="s">
        <v>138</v>
      </c>
      <c r="T12" s="10" t="s">
        <v>139</v>
      </c>
      <c r="U12" s="10" t="s">
        <v>140</v>
      </c>
      <c r="V12" s="10" t="s">
        <v>141</v>
      </c>
      <c r="W12" s="10" t="s">
        <v>142</v>
      </c>
      <c r="X12" s="10" t="s">
        <v>143</v>
      </c>
      <c r="Y12" s="27" t="s">
        <v>236</v>
      </c>
      <c r="Z12" s="27" t="s">
        <v>317</v>
      </c>
      <c r="AA12" s="27" t="s">
        <v>318</v>
      </c>
      <c r="AB12" s="29" t="s">
        <v>319</v>
      </c>
      <c r="AC12" s="29" t="s">
        <v>343</v>
      </c>
      <c r="AD12" s="29" t="s">
        <v>344</v>
      </c>
      <c r="AE12" s="27"/>
      <c r="AF12" s="27"/>
      <c r="AG12" s="27"/>
      <c r="AH12" s="52"/>
      <c r="AI12" s="52"/>
      <c r="AJ12" s="52"/>
      <c r="AK12" s="52"/>
      <c r="AL12" s="52"/>
      <c r="AM12" s="49"/>
      <c r="AN12" s="49"/>
      <c r="AO12" s="49"/>
    </row>
    <row r="13" spans="1:41" ht="12.75">
      <c r="A13" s="58"/>
      <c r="B13" s="49"/>
      <c r="C13" s="49"/>
      <c r="D13" s="49"/>
      <c r="E13" s="49"/>
      <c r="F13" s="49"/>
      <c r="G13" s="50"/>
      <c r="H13" s="49"/>
      <c r="I13" s="49"/>
      <c r="J13" s="49"/>
      <c r="K13" s="271"/>
      <c r="L13" s="271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296"/>
      <c r="Z13" s="296"/>
      <c r="AA13" s="296"/>
      <c r="AB13" s="61"/>
      <c r="AC13" s="271"/>
      <c r="AD13" s="49"/>
      <c r="AE13" s="52"/>
      <c r="AF13" s="52"/>
      <c r="AG13" s="52"/>
      <c r="AH13" s="52"/>
      <c r="AI13" s="52"/>
      <c r="AJ13" s="52"/>
      <c r="AK13" s="52"/>
      <c r="AL13" s="52"/>
      <c r="AM13" s="49"/>
      <c r="AN13" s="49"/>
      <c r="AO13" s="49"/>
    </row>
    <row r="14" spans="1:41" ht="17.25" thickBot="1">
      <c r="A14" s="117">
        <v>1</v>
      </c>
      <c r="B14" s="28" t="s">
        <v>90</v>
      </c>
      <c r="C14" s="28"/>
      <c r="D14" s="28"/>
      <c r="E14" s="36"/>
      <c r="F14" s="59"/>
      <c r="G14" s="50"/>
      <c r="H14" s="59"/>
      <c r="I14" s="59"/>
      <c r="J14" s="59"/>
      <c r="K14" s="299"/>
      <c r="L14" s="29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296"/>
      <c r="Z14" s="293"/>
      <c r="AA14" s="296"/>
      <c r="AB14" s="61"/>
      <c r="AC14" s="271"/>
      <c r="AD14" s="49"/>
      <c r="AE14" s="52"/>
      <c r="AF14" s="52"/>
      <c r="AG14" s="52"/>
      <c r="AH14" s="52"/>
      <c r="AI14" s="52"/>
      <c r="AJ14" s="52"/>
      <c r="AK14" s="52"/>
      <c r="AL14" s="52"/>
      <c r="AM14" s="49"/>
      <c r="AN14" s="49"/>
      <c r="AO14" s="49"/>
    </row>
    <row r="15" spans="1:41" ht="18.75" thickBot="1">
      <c r="A15" s="117">
        <f aca="true" t="shared" si="0" ref="A15:A78">+A14+1</f>
        <v>2</v>
      </c>
      <c r="B15" s="36" t="s">
        <v>91</v>
      </c>
      <c r="C15" s="28"/>
      <c r="D15" s="28"/>
      <c r="E15" s="36"/>
      <c r="F15" s="218">
        <v>5226.838333333333</v>
      </c>
      <c r="G15" s="137">
        <v>-3850</v>
      </c>
      <c r="H15" s="73"/>
      <c r="I15" s="73"/>
      <c r="J15" s="73"/>
      <c r="K15" s="283"/>
      <c r="L15" s="283"/>
      <c r="M15" s="73">
        <v>1005</v>
      </c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273"/>
      <c r="Z15" s="294"/>
      <c r="AA15" s="273"/>
      <c r="AB15" s="138"/>
      <c r="AC15" s="272"/>
      <c r="AD15" s="139"/>
      <c r="AE15" s="102"/>
      <c r="AF15" s="102"/>
      <c r="AG15" s="102"/>
      <c r="AH15" s="52"/>
      <c r="AI15" s="52"/>
      <c r="AJ15" s="52"/>
      <c r="AK15" s="52"/>
      <c r="AL15" s="52"/>
      <c r="AM15" s="49"/>
      <c r="AN15" s="49"/>
      <c r="AO15" s="49"/>
    </row>
    <row r="16" spans="1:41" ht="18">
      <c r="A16" s="117">
        <f t="shared" si="0"/>
        <v>3</v>
      </c>
      <c r="B16" s="36" t="s">
        <v>92</v>
      </c>
      <c r="C16" s="28"/>
      <c r="D16" s="28"/>
      <c r="E16" s="36"/>
      <c r="F16" s="73">
        <v>-25605.262</v>
      </c>
      <c r="G16" s="137"/>
      <c r="H16" s="73">
        <v>-27776</v>
      </c>
      <c r="I16" s="73"/>
      <c r="J16" s="73"/>
      <c r="K16" s="283"/>
      <c r="L16" s="28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276"/>
      <c r="Z16" s="294"/>
      <c r="AA16" s="273"/>
      <c r="AB16" s="138"/>
      <c r="AC16" s="273"/>
      <c r="AD16" s="139"/>
      <c r="AE16" s="102"/>
      <c r="AF16" s="102"/>
      <c r="AG16" s="102"/>
      <c r="AH16" s="52"/>
      <c r="AI16" s="52"/>
      <c r="AJ16" s="52"/>
      <c r="AK16" s="52"/>
      <c r="AL16" s="52"/>
      <c r="AM16" s="49"/>
      <c r="AN16" s="49"/>
      <c r="AO16" s="49"/>
    </row>
    <row r="17" spans="1:41" ht="18">
      <c r="A17" s="117">
        <f t="shared" si="0"/>
        <v>4</v>
      </c>
      <c r="B17" s="36" t="s">
        <v>93</v>
      </c>
      <c r="C17" s="28"/>
      <c r="D17" s="28"/>
      <c r="E17" s="36"/>
      <c r="F17" s="73">
        <v>-3489</v>
      </c>
      <c r="G17" s="137"/>
      <c r="H17" s="73"/>
      <c r="I17" s="73">
        <v>-3489</v>
      </c>
      <c r="J17" s="73"/>
      <c r="K17" s="283"/>
      <c r="L17" s="28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274"/>
      <c r="Z17" s="294"/>
      <c r="AA17" s="274"/>
      <c r="AB17" s="140"/>
      <c r="AC17" s="274"/>
      <c r="AD17" s="141"/>
      <c r="AE17" s="103"/>
      <c r="AF17" s="103"/>
      <c r="AG17" s="103"/>
      <c r="AH17" s="52"/>
      <c r="AI17" s="52"/>
      <c r="AJ17" s="52"/>
      <c r="AK17" s="52"/>
      <c r="AL17" s="52"/>
      <c r="AM17" s="49"/>
      <c r="AN17" s="49"/>
      <c r="AO17" s="49"/>
    </row>
    <row r="18" spans="1:41" ht="15.75" thickBot="1">
      <c r="A18" s="117">
        <f t="shared" si="0"/>
        <v>5</v>
      </c>
      <c r="B18" s="36" t="s">
        <v>94</v>
      </c>
      <c r="C18" s="28"/>
      <c r="D18" s="28"/>
      <c r="E18" s="36"/>
      <c r="F18" s="73">
        <v>-1095.3229999999999</v>
      </c>
      <c r="G18" s="137"/>
      <c r="H18" s="73"/>
      <c r="I18" s="73"/>
      <c r="J18" s="73">
        <v>-3495</v>
      </c>
      <c r="K18" s="283"/>
      <c r="L18" s="28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275"/>
      <c r="Z18" s="295"/>
      <c r="AA18" s="275"/>
      <c r="AB18" s="75"/>
      <c r="AC18" s="275"/>
      <c r="AD18" s="74"/>
      <c r="AE18" s="52"/>
      <c r="AF18" s="52"/>
      <c r="AG18" s="52"/>
      <c r="AH18" s="52"/>
      <c r="AI18" s="52"/>
      <c r="AJ18" s="52"/>
      <c r="AK18" s="52"/>
      <c r="AL18" s="52"/>
      <c r="AM18" s="49"/>
      <c r="AN18" s="49"/>
      <c r="AO18" s="49"/>
    </row>
    <row r="19" spans="1:41" ht="15.75" thickBot="1">
      <c r="A19" s="117">
        <f t="shared" si="0"/>
        <v>6</v>
      </c>
      <c r="B19" s="36" t="s">
        <v>95</v>
      </c>
      <c r="C19" s="28"/>
      <c r="D19" s="28"/>
      <c r="E19" s="36"/>
      <c r="F19" s="73">
        <v>2348.6973930042295</v>
      </c>
      <c r="G19" s="137">
        <v>62.5345798</v>
      </c>
      <c r="H19" s="137">
        <v>451.15856844800004</v>
      </c>
      <c r="I19" s="137">
        <v>56.670947772000005</v>
      </c>
      <c r="J19" s="137">
        <v>56.768404260000004</v>
      </c>
      <c r="K19" s="285"/>
      <c r="L19" s="285"/>
      <c r="M19" s="137">
        <v>-16.32396174</v>
      </c>
      <c r="N19" s="73">
        <v>1943.2337</v>
      </c>
      <c r="O19" s="73"/>
      <c r="P19" s="73"/>
      <c r="Q19" s="73"/>
      <c r="R19" s="73"/>
      <c r="S19" s="73"/>
      <c r="T19" s="73"/>
      <c r="U19" s="73"/>
      <c r="V19" s="73"/>
      <c r="W19" s="73">
        <v>0</v>
      </c>
      <c r="X19" s="73"/>
      <c r="Y19" s="277"/>
      <c r="Z19" s="277"/>
      <c r="AA19" s="275"/>
      <c r="AB19" s="75"/>
      <c r="AC19" s="272"/>
      <c r="AD19" s="74"/>
      <c r="AE19" s="52"/>
      <c r="AF19" s="52"/>
      <c r="AG19" s="52"/>
      <c r="AH19" s="52"/>
      <c r="AI19" s="52"/>
      <c r="AJ19" s="52"/>
      <c r="AK19" s="52"/>
      <c r="AL19" s="52"/>
      <c r="AM19" s="49"/>
      <c r="AN19" s="49"/>
      <c r="AO19" s="49"/>
    </row>
    <row r="20" spans="1:41" ht="18.75" thickBot="1">
      <c r="A20" s="117">
        <f t="shared" si="0"/>
        <v>7</v>
      </c>
      <c r="B20" s="28"/>
      <c r="C20" s="28"/>
      <c r="D20" s="28"/>
      <c r="E20" s="64"/>
      <c r="F20" s="142"/>
      <c r="G20" s="143"/>
      <c r="H20" s="73"/>
      <c r="I20" s="73"/>
      <c r="J20" s="73"/>
      <c r="K20" s="283"/>
      <c r="L20" s="28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275"/>
      <c r="Z20" s="294"/>
      <c r="AA20" s="275"/>
      <c r="AB20" s="75"/>
      <c r="AC20" s="276"/>
      <c r="AD20" s="74"/>
      <c r="AE20" s="52"/>
      <c r="AF20" s="52"/>
      <c r="AG20" s="52"/>
      <c r="AH20" s="52"/>
      <c r="AI20" s="52"/>
      <c r="AJ20" s="52"/>
      <c r="AK20" s="52"/>
      <c r="AL20" s="52"/>
      <c r="AM20" s="49"/>
      <c r="AN20" s="49"/>
      <c r="AO20" s="49"/>
    </row>
    <row r="21" spans="1:41" ht="15.75" thickBot="1">
      <c r="A21" s="117">
        <f t="shared" si="0"/>
        <v>8</v>
      </c>
      <c r="B21" s="31" t="s">
        <v>96</v>
      </c>
      <c r="C21" s="32"/>
      <c r="D21" s="32"/>
      <c r="E21" s="160"/>
      <c r="F21" s="218">
        <v>-22614.049273662436</v>
      </c>
      <c r="G21" s="144">
        <v>-3787.4654202</v>
      </c>
      <c r="H21" s="76">
        <v>-27324.841431552</v>
      </c>
      <c r="I21" s="76">
        <v>-3432.329052228</v>
      </c>
      <c r="J21" s="76">
        <v>-3438.23159574</v>
      </c>
      <c r="K21" s="286"/>
      <c r="L21" s="286"/>
      <c r="M21" s="76">
        <v>988.67603826</v>
      </c>
      <c r="N21" s="76">
        <v>1943.2337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277"/>
      <c r="Z21" s="277"/>
      <c r="AA21" s="277"/>
      <c r="AB21" s="77"/>
      <c r="AC21" s="272"/>
      <c r="AD21" s="76"/>
      <c r="AE21" s="57"/>
      <c r="AF21" s="57"/>
      <c r="AG21" s="57"/>
      <c r="AH21" s="52"/>
      <c r="AI21" s="52"/>
      <c r="AJ21" s="52"/>
      <c r="AK21" s="52"/>
      <c r="AL21" s="52"/>
      <c r="AM21" s="49"/>
      <c r="AN21" s="49"/>
      <c r="AO21" s="49"/>
    </row>
    <row r="22" spans="1:41" ht="18">
      <c r="A22" s="117">
        <f t="shared" si="0"/>
        <v>9</v>
      </c>
      <c r="B22" s="28"/>
      <c r="C22" s="28"/>
      <c r="D22" s="28"/>
      <c r="E22" s="132"/>
      <c r="F22" s="46"/>
      <c r="G22" s="46"/>
      <c r="H22" s="46"/>
      <c r="I22" s="46"/>
      <c r="J22" s="46"/>
      <c r="K22" s="277"/>
      <c r="L22" s="277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275"/>
      <c r="Z22" s="294"/>
      <c r="AA22" s="275"/>
      <c r="AB22" s="75"/>
      <c r="AC22" s="275"/>
      <c r="AD22" s="74"/>
      <c r="AE22" s="52"/>
      <c r="AF22" s="52"/>
      <c r="AG22" s="52"/>
      <c r="AH22" s="52"/>
      <c r="AI22" s="52"/>
      <c r="AJ22" s="52"/>
      <c r="AK22" s="52"/>
      <c r="AL22" s="52"/>
      <c r="AM22" s="49"/>
      <c r="AN22" s="49"/>
      <c r="AO22" s="49"/>
    </row>
    <row r="23" spans="1:41" ht="18">
      <c r="A23" s="117">
        <f t="shared" si="0"/>
        <v>10</v>
      </c>
      <c r="B23" s="28" t="s">
        <v>97</v>
      </c>
      <c r="C23" s="28"/>
      <c r="D23" s="28"/>
      <c r="E23" s="36"/>
      <c r="F23" s="72"/>
      <c r="G23" s="46"/>
      <c r="H23" s="46"/>
      <c r="I23" s="46"/>
      <c r="J23" s="46"/>
      <c r="K23" s="277"/>
      <c r="L23" s="277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275"/>
      <c r="Z23" s="294"/>
      <c r="AA23" s="275"/>
      <c r="AB23" s="75"/>
      <c r="AC23" s="275"/>
      <c r="AD23" s="74"/>
      <c r="AE23" s="52"/>
      <c r="AF23" s="52"/>
      <c r="AG23" s="52"/>
      <c r="AH23" s="52"/>
      <c r="AI23" s="52"/>
      <c r="AJ23" s="52"/>
      <c r="AK23" s="52"/>
      <c r="AL23" s="52"/>
      <c r="AM23" s="49"/>
      <c r="AN23" s="49"/>
      <c r="AO23" s="49"/>
    </row>
    <row r="24" spans="1:41" ht="18">
      <c r="A24" s="117">
        <f t="shared" si="0"/>
        <v>11</v>
      </c>
      <c r="B24" s="36" t="s">
        <v>98</v>
      </c>
      <c r="C24" s="28"/>
      <c r="D24" s="28"/>
      <c r="E24" s="36"/>
      <c r="F24" s="73">
        <v>-4067.0214696258727</v>
      </c>
      <c r="G24" s="79"/>
      <c r="H24" s="79"/>
      <c r="I24" s="79"/>
      <c r="J24" s="79"/>
      <c r="K24" s="277"/>
      <c r="L24" s="277"/>
      <c r="M24" s="79"/>
      <c r="N24" s="79"/>
      <c r="O24" s="79"/>
      <c r="P24" s="79"/>
      <c r="Q24" s="79">
        <v>-575.2114313644292</v>
      </c>
      <c r="R24" s="79"/>
      <c r="S24" s="79"/>
      <c r="T24" s="79"/>
      <c r="U24" s="79"/>
      <c r="V24" s="46"/>
      <c r="W24" s="46"/>
      <c r="X24" s="46"/>
      <c r="Y24" s="275"/>
      <c r="Z24" s="294"/>
      <c r="AA24" s="275"/>
      <c r="AB24" s="145">
        <v>-3491.8100382614434</v>
      </c>
      <c r="AC24" s="275"/>
      <c r="AD24" s="74"/>
      <c r="AE24" s="52"/>
      <c r="AF24" s="52"/>
      <c r="AG24" s="52"/>
      <c r="AH24" s="52"/>
      <c r="AI24" s="52"/>
      <c r="AJ24" s="52"/>
      <c r="AK24" s="52"/>
      <c r="AL24" s="52"/>
      <c r="AM24" s="49"/>
      <c r="AN24" s="49"/>
      <c r="AO24" s="49"/>
    </row>
    <row r="25" spans="1:41" ht="18">
      <c r="A25" s="117">
        <f t="shared" si="0"/>
        <v>12</v>
      </c>
      <c r="B25" s="36" t="s">
        <v>99</v>
      </c>
      <c r="C25" s="28"/>
      <c r="D25" s="28"/>
      <c r="E25" s="36"/>
      <c r="F25" s="73">
        <v>151.16969764873375</v>
      </c>
      <c r="G25" s="79"/>
      <c r="H25" s="79"/>
      <c r="I25" s="79"/>
      <c r="J25" s="79"/>
      <c r="K25" s="277"/>
      <c r="L25" s="277"/>
      <c r="M25" s="79"/>
      <c r="N25" s="79"/>
      <c r="O25" s="79"/>
      <c r="P25" s="79"/>
      <c r="Q25" s="79">
        <v>151.16969764873375</v>
      </c>
      <c r="R25" s="79"/>
      <c r="S25" s="79"/>
      <c r="T25" s="79"/>
      <c r="U25" s="79"/>
      <c r="V25" s="46"/>
      <c r="W25" s="46"/>
      <c r="X25" s="46"/>
      <c r="Y25" s="275"/>
      <c r="Z25" s="294"/>
      <c r="AA25" s="275"/>
      <c r="AB25" s="75"/>
      <c r="AC25" s="275"/>
      <c r="AD25" s="74"/>
      <c r="AE25" s="52"/>
      <c r="AF25" s="52"/>
      <c r="AG25" s="52"/>
      <c r="AH25" s="52"/>
      <c r="AI25" s="52"/>
      <c r="AJ25" s="52"/>
      <c r="AK25" s="52"/>
      <c r="AL25" s="52"/>
      <c r="AM25" s="49"/>
      <c r="AN25" s="49"/>
      <c r="AO25" s="49"/>
    </row>
    <row r="26" spans="1:41" ht="18">
      <c r="A26" s="117">
        <f t="shared" si="0"/>
        <v>13</v>
      </c>
      <c r="B26" s="28" t="s">
        <v>100</v>
      </c>
      <c r="C26" s="28"/>
      <c r="D26" s="28"/>
      <c r="E26" s="36"/>
      <c r="F26" s="73">
        <v>0</v>
      </c>
      <c r="G26" s="79"/>
      <c r="H26" s="79"/>
      <c r="I26" s="79"/>
      <c r="J26" s="79"/>
      <c r="K26" s="277"/>
      <c r="L26" s="277"/>
      <c r="M26" s="79"/>
      <c r="N26" s="79"/>
      <c r="O26" s="79"/>
      <c r="P26" s="79"/>
      <c r="Q26" s="79"/>
      <c r="R26" s="79"/>
      <c r="S26" s="79"/>
      <c r="T26" s="79"/>
      <c r="U26" s="79"/>
      <c r="V26" s="46"/>
      <c r="W26" s="46"/>
      <c r="X26" s="46"/>
      <c r="Y26" s="275"/>
      <c r="Z26" s="294"/>
      <c r="AA26" s="275"/>
      <c r="AB26" s="75"/>
      <c r="AC26" s="275"/>
      <c r="AD26" s="74"/>
      <c r="AE26" s="52"/>
      <c r="AF26" s="52"/>
      <c r="AG26" s="52"/>
      <c r="AH26" s="52"/>
      <c r="AI26" s="52"/>
      <c r="AJ26" s="52"/>
      <c r="AK26" s="52"/>
      <c r="AL26" s="52"/>
      <c r="AM26" s="49"/>
      <c r="AN26" s="49"/>
      <c r="AO26" s="49"/>
    </row>
    <row r="27" spans="1:41" ht="18">
      <c r="A27" s="117">
        <f t="shared" si="0"/>
        <v>14</v>
      </c>
      <c r="B27" s="28" t="s">
        <v>101</v>
      </c>
      <c r="C27" s="28"/>
      <c r="D27" s="28"/>
      <c r="E27" s="36"/>
      <c r="F27" s="73">
        <v>-9.27951719298909</v>
      </c>
      <c r="G27" s="79"/>
      <c r="H27" s="79"/>
      <c r="I27" s="79"/>
      <c r="J27" s="79"/>
      <c r="K27" s="277"/>
      <c r="L27" s="277"/>
      <c r="M27" s="79"/>
      <c r="N27" s="79"/>
      <c r="O27" s="79"/>
      <c r="P27" s="79"/>
      <c r="Q27" s="79">
        <v>-9.27951719298909</v>
      </c>
      <c r="R27" s="79"/>
      <c r="S27" s="79"/>
      <c r="T27" s="79"/>
      <c r="U27" s="79"/>
      <c r="V27" s="46"/>
      <c r="W27" s="46"/>
      <c r="X27" s="46"/>
      <c r="Y27" s="275"/>
      <c r="Z27" s="294"/>
      <c r="AA27" s="275"/>
      <c r="AB27" s="75"/>
      <c r="AC27" s="275"/>
      <c r="AD27" s="74"/>
      <c r="AE27" s="52"/>
      <c r="AF27" s="52"/>
      <c r="AG27" s="52"/>
      <c r="AH27" s="52"/>
      <c r="AI27" s="52"/>
      <c r="AJ27" s="52"/>
      <c r="AK27" s="52"/>
      <c r="AL27" s="52"/>
      <c r="AM27" s="49"/>
      <c r="AN27" s="49"/>
      <c r="AO27" s="49"/>
    </row>
    <row r="28" spans="1:41" ht="18">
      <c r="A28" s="117">
        <f t="shared" si="0"/>
        <v>15</v>
      </c>
      <c r="B28" s="28" t="s">
        <v>102</v>
      </c>
      <c r="C28" s="28"/>
      <c r="D28" s="28"/>
      <c r="E28" s="36"/>
      <c r="F28" s="73">
        <v>-28398.45475512931</v>
      </c>
      <c r="G28" s="79"/>
      <c r="H28" s="79"/>
      <c r="I28" s="79"/>
      <c r="J28" s="79"/>
      <c r="K28" s="277"/>
      <c r="L28" s="277"/>
      <c r="M28" s="79"/>
      <c r="N28" s="79"/>
      <c r="O28" s="79">
        <v>178</v>
      </c>
      <c r="P28" s="79"/>
      <c r="Q28" s="79">
        <v>-1377.3850772037122</v>
      </c>
      <c r="R28" s="79"/>
      <c r="S28" s="79"/>
      <c r="T28" s="79"/>
      <c r="U28" s="79"/>
      <c r="V28" s="46">
        <v>-15585.0696779256</v>
      </c>
      <c r="W28" s="46"/>
      <c r="X28" s="79">
        <v>-11614</v>
      </c>
      <c r="Y28" s="275"/>
      <c r="Z28" s="294"/>
      <c r="AA28" s="275"/>
      <c r="AB28" s="75"/>
      <c r="AC28" s="275"/>
      <c r="AD28" s="74"/>
      <c r="AE28" s="52"/>
      <c r="AF28" s="52"/>
      <c r="AG28" s="52"/>
      <c r="AH28" s="52"/>
      <c r="AI28" s="52"/>
      <c r="AJ28" s="52"/>
      <c r="AK28" s="52"/>
      <c r="AL28" s="52"/>
      <c r="AM28" s="49"/>
      <c r="AN28" s="49"/>
      <c r="AO28" s="49"/>
    </row>
    <row r="29" spans="1:41" ht="18">
      <c r="A29" s="117">
        <f t="shared" si="0"/>
        <v>16</v>
      </c>
      <c r="B29" s="28" t="s">
        <v>103</v>
      </c>
      <c r="C29" s="28"/>
      <c r="D29" s="28"/>
      <c r="E29" s="36"/>
      <c r="F29" s="191">
        <v>-9653.049586537336</v>
      </c>
      <c r="G29" s="79"/>
      <c r="H29" s="79"/>
      <c r="I29" s="79"/>
      <c r="J29" s="79"/>
      <c r="K29" s="277"/>
      <c r="L29" s="277"/>
      <c r="M29" s="79"/>
      <c r="N29" s="79"/>
      <c r="O29" s="79"/>
      <c r="P29" s="79"/>
      <c r="Q29" s="79"/>
      <c r="R29" s="79"/>
      <c r="S29" s="79"/>
      <c r="T29" s="79"/>
      <c r="U29" s="79">
        <v>-1668.7823885373364</v>
      </c>
      <c r="V29" s="46"/>
      <c r="W29" s="46"/>
      <c r="X29" s="46"/>
      <c r="Y29" s="275"/>
      <c r="Z29" s="294"/>
      <c r="AA29" s="297"/>
      <c r="AB29" s="214">
        <v>-7843.171</v>
      </c>
      <c r="AC29" s="275"/>
      <c r="AD29" s="74"/>
      <c r="AE29" s="52"/>
      <c r="AF29" s="52"/>
      <c r="AG29" s="52"/>
      <c r="AH29" s="52"/>
      <c r="AI29" s="52"/>
      <c r="AJ29" s="52"/>
      <c r="AK29" s="52"/>
      <c r="AL29" s="52"/>
      <c r="AM29" s="49"/>
      <c r="AN29" s="49"/>
      <c r="AO29" s="49"/>
    </row>
    <row r="30" spans="1:41" ht="18.75" thickBot="1">
      <c r="A30" s="117">
        <f t="shared" si="0"/>
        <v>17</v>
      </c>
      <c r="B30" s="28" t="s">
        <v>104</v>
      </c>
      <c r="C30" s="28"/>
      <c r="D30" s="28"/>
      <c r="E30" s="36"/>
      <c r="F30" s="134">
        <v>0</v>
      </c>
      <c r="G30" s="79"/>
      <c r="H30" s="79"/>
      <c r="I30" s="79"/>
      <c r="J30" s="79"/>
      <c r="K30" s="277"/>
      <c r="L30" s="277"/>
      <c r="M30" s="79"/>
      <c r="N30" s="79"/>
      <c r="O30" s="79"/>
      <c r="P30" s="79"/>
      <c r="Q30" s="79"/>
      <c r="R30" s="79"/>
      <c r="S30" s="79"/>
      <c r="T30" s="79"/>
      <c r="U30" s="79"/>
      <c r="V30" s="46"/>
      <c r="W30" s="46"/>
      <c r="X30" s="46"/>
      <c r="Y30" s="275"/>
      <c r="Z30" s="294"/>
      <c r="AA30" s="275"/>
      <c r="AB30" s="133"/>
      <c r="AC30" s="275"/>
      <c r="AD30" s="74"/>
      <c r="AE30" s="52"/>
      <c r="AF30" s="52"/>
      <c r="AG30" s="52"/>
      <c r="AH30" s="52"/>
      <c r="AI30" s="52"/>
      <c r="AJ30" s="52"/>
      <c r="AK30" s="52"/>
      <c r="AL30" s="52"/>
      <c r="AM30" s="49"/>
      <c r="AN30" s="49"/>
      <c r="AO30" s="49"/>
    </row>
    <row r="31" spans="1:41" ht="15.75" thickBot="1">
      <c r="A31" s="117">
        <f t="shared" si="0"/>
        <v>18</v>
      </c>
      <c r="B31" s="28" t="s">
        <v>105</v>
      </c>
      <c r="C31" s="28"/>
      <c r="D31" s="28"/>
      <c r="E31" s="36"/>
      <c r="F31" s="193">
        <v>-149.47886569890863</v>
      </c>
      <c r="G31" s="79">
        <v>-25.035146427522</v>
      </c>
      <c r="H31" s="79">
        <v>-180.6172018625587</v>
      </c>
      <c r="I31" s="79">
        <v>-22.68769503522708</v>
      </c>
      <c r="J31" s="79">
        <v>-22.7267108478414</v>
      </c>
      <c r="K31" s="277"/>
      <c r="L31" s="277"/>
      <c r="M31" s="79">
        <v>6.5351486128986</v>
      </c>
      <c r="N31" s="79">
        <v>12.844774757</v>
      </c>
      <c r="O31" s="79"/>
      <c r="P31" s="79"/>
      <c r="Q31" s="79"/>
      <c r="R31" s="79"/>
      <c r="S31" s="79"/>
      <c r="T31" s="79"/>
      <c r="U31" s="79"/>
      <c r="V31" s="46"/>
      <c r="W31" s="46"/>
      <c r="X31" s="46"/>
      <c r="Y31" s="277"/>
      <c r="Z31" s="277"/>
      <c r="AA31" s="277"/>
      <c r="AB31" s="131">
        <v>0</v>
      </c>
      <c r="AC31" s="272"/>
      <c r="AD31" s="46">
        <v>0</v>
      </c>
      <c r="AE31" s="52"/>
      <c r="AF31" s="52"/>
      <c r="AG31" s="52"/>
      <c r="AH31" s="52"/>
      <c r="AI31" s="52"/>
      <c r="AJ31" s="52"/>
      <c r="AK31" s="52"/>
      <c r="AL31" s="52"/>
      <c r="AM31" s="49"/>
      <c r="AN31" s="49"/>
      <c r="AO31" s="49"/>
    </row>
    <row r="32" spans="1:41" ht="18.75" thickBot="1">
      <c r="A32" s="117">
        <f t="shared" si="0"/>
        <v>19</v>
      </c>
      <c r="B32" s="28"/>
      <c r="C32" s="28"/>
      <c r="D32" s="28"/>
      <c r="E32" s="132"/>
      <c r="F32" s="132"/>
      <c r="G32" s="46"/>
      <c r="H32" s="46"/>
      <c r="I32" s="46"/>
      <c r="J32" s="46"/>
      <c r="K32" s="277"/>
      <c r="L32" s="2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275"/>
      <c r="Z32" s="294"/>
      <c r="AA32" s="275"/>
      <c r="AB32" s="133"/>
      <c r="AC32" s="275"/>
      <c r="AD32" s="74"/>
      <c r="AE32" s="52"/>
      <c r="AF32" s="52"/>
      <c r="AG32" s="52"/>
      <c r="AH32" s="52"/>
      <c r="AI32" s="52"/>
      <c r="AJ32" s="52"/>
      <c r="AK32" s="52"/>
      <c r="AL32" s="52"/>
      <c r="AM32" s="49"/>
      <c r="AN32" s="49"/>
      <c r="AO32" s="49"/>
    </row>
    <row r="33" spans="1:41" ht="15.75" thickBot="1">
      <c r="A33" s="117">
        <f t="shared" si="0"/>
        <v>20</v>
      </c>
      <c r="B33" s="31" t="s">
        <v>106</v>
      </c>
      <c r="C33" s="32"/>
      <c r="D33" s="32"/>
      <c r="E33" s="124"/>
      <c r="F33" s="179">
        <v>-42126.11449653569</v>
      </c>
      <c r="G33" s="76">
        <v>-25.035146427522</v>
      </c>
      <c r="H33" s="76">
        <v>-180.6172018625587</v>
      </c>
      <c r="I33" s="76">
        <v>-22.68769503522708</v>
      </c>
      <c r="J33" s="76">
        <v>-22.7267108478414</v>
      </c>
      <c r="K33" s="286"/>
      <c r="L33" s="286"/>
      <c r="M33" s="76">
        <v>6.5351486128986</v>
      </c>
      <c r="N33" s="76">
        <v>12.844774757</v>
      </c>
      <c r="O33" s="76">
        <v>178</v>
      </c>
      <c r="P33" s="76">
        <v>0</v>
      </c>
      <c r="Q33" s="76">
        <v>-1810.7063281123967</v>
      </c>
      <c r="R33" s="76">
        <v>0</v>
      </c>
      <c r="S33" s="76">
        <v>0</v>
      </c>
      <c r="T33" s="76">
        <v>0</v>
      </c>
      <c r="U33" s="76">
        <v>-1668.7823885373364</v>
      </c>
      <c r="V33" s="76">
        <v>-15585.0696779256</v>
      </c>
      <c r="W33" s="76">
        <v>0</v>
      </c>
      <c r="X33" s="76">
        <v>-11614</v>
      </c>
      <c r="Y33" s="277"/>
      <c r="Z33" s="277"/>
      <c r="AA33" s="277"/>
      <c r="AB33" s="178">
        <v>-11334.981038261443</v>
      </c>
      <c r="AC33" s="272"/>
      <c r="AD33" s="76">
        <v>0</v>
      </c>
      <c r="AE33" s="57"/>
      <c r="AF33" s="57"/>
      <c r="AG33" s="57"/>
      <c r="AH33" s="52"/>
      <c r="AI33" s="52"/>
      <c r="AJ33" s="52"/>
      <c r="AK33" s="52"/>
      <c r="AL33" s="52"/>
      <c r="AM33" s="49"/>
      <c r="AN33" s="49"/>
      <c r="AO33" s="49"/>
    </row>
    <row r="34" spans="1:41" ht="15.75" thickBot="1">
      <c r="A34" s="117">
        <f t="shared" si="0"/>
        <v>21</v>
      </c>
      <c r="B34" s="28"/>
      <c r="C34" s="28"/>
      <c r="D34" s="28"/>
      <c r="E34" s="28"/>
      <c r="F34" s="132"/>
      <c r="G34" s="46"/>
      <c r="H34" s="46"/>
      <c r="I34" s="46"/>
      <c r="J34" s="46"/>
      <c r="K34" s="277"/>
      <c r="L34" s="2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275"/>
      <c r="Z34" s="277"/>
      <c r="AA34" s="275"/>
      <c r="AB34" s="163"/>
      <c r="AC34" s="275"/>
      <c r="AD34" s="74"/>
      <c r="AE34" s="52"/>
      <c r="AF34" s="52"/>
      <c r="AG34" s="52"/>
      <c r="AH34" s="52"/>
      <c r="AI34" s="52"/>
      <c r="AJ34" s="52"/>
      <c r="AK34" s="52"/>
      <c r="AL34" s="52"/>
      <c r="AM34" s="49"/>
      <c r="AN34" s="49"/>
      <c r="AO34" s="49"/>
    </row>
    <row r="35" spans="1:41" ht="15.75" thickBot="1">
      <c r="A35" s="117">
        <f t="shared" si="0"/>
        <v>22</v>
      </c>
      <c r="B35" s="31" t="s">
        <v>107</v>
      </c>
      <c r="C35" s="32"/>
      <c r="D35" s="32"/>
      <c r="E35" s="124"/>
      <c r="F35" s="179">
        <v>19512.06522287325</v>
      </c>
      <c r="G35" s="76">
        <v>-3762.4302737724784</v>
      </c>
      <c r="H35" s="76">
        <v>-27144.22422968944</v>
      </c>
      <c r="I35" s="76">
        <v>-3409.641357192773</v>
      </c>
      <c r="J35" s="76">
        <v>-3415.5048848921588</v>
      </c>
      <c r="K35" s="286"/>
      <c r="L35" s="286"/>
      <c r="M35" s="76">
        <v>982.1408896471014</v>
      </c>
      <c r="N35" s="76">
        <v>1930.388925243</v>
      </c>
      <c r="O35" s="76">
        <v>-178</v>
      </c>
      <c r="P35" s="76">
        <v>0</v>
      </c>
      <c r="Q35" s="76">
        <v>1810.7063281123967</v>
      </c>
      <c r="R35" s="76">
        <v>0</v>
      </c>
      <c r="S35" s="76">
        <v>0</v>
      </c>
      <c r="T35" s="76">
        <v>0</v>
      </c>
      <c r="U35" s="76">
        <v>1668.7823885373364</v>
      </c>
      <c r="V35" s="76">
        <v>15585.0696779256</v>
      </c>
      <c r="W35" s="76">
        <v>0</v>
      </c>
      <c r="X35" s="76">
        <v>11614</v>
      </c>
      <c r="Y35" s="277"/>
      <c r="Z35" s="277"/>
      <c r="AA35" s="277"/>
      <c r="AB35" s="178">
        <v>11334.981038261443</v>
      </c>
      <c r="AC35" s="272"/>
      <c r="AD35" s="76">
        <v>0</v>
      </c>
      <c r="AE35" s="57"/>
      <c r="AF35" s="57"/>
      <c r="AG35" s="57"/>
      <c r="AH35" s="52"/>
      <c r="AI35" s="52"/>
      <c r="AJ35" s="52"/>
      <c r="AK35" s="52"/>
      <c r="AL35" s="52"/>
      <c r="AM35" s="49"/>
      <c r="AN35" s="49"/>
      <c r="AO35" s="49"/>
    </row>
    <row r="36" spans="1:41" ht="15.75" thickBot="1">
      <c r="A36" s="117">
        <f t="shared" si="0"/>
        <v>23</v>
      </c>
      <c r="B36" s="45"/>
      <c r="C36" s="45"/>
      <c r="D36" s="45"/>
      <c r="E36" s="28"/>
      <c r="F36" s="132"/>
      <c r="G36" s="46"/>
      <c r="H36" s="46"/>
      <c r="I36" s="46"/>
      <c r="J36" s="46"/>
      <c r="K36" s="277"/>
      <c r="L36" s="2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277"/>
      <c r="Z36" s="277"/>
      <c r="AA36" s="277"/>
      <c r="AB36" s="131"/>
      <c r="AC36" s="277"/>
      <c r="AD36" s="46"/>
      <c r="AE36" s="57"/>
      <c r="AF36" s="57"/>
      <c r="AG36" s="57"/>
      <c r="AH36" s="52"/>
      <c r="AI36" s="52"/>
      <c r="AJ36" s="52"/>
      <c r="AK36" s="52"/>
      <c r="AL36" s="52"/>
      <c r="AM36" s="49"/>
      <c r="AN36" s="49"/>
      <c r="AO36" s="49"/>
    </row>
    <row r="37" spans="1:41" ht="15.75" thickBot="1">
      <c r="A37" s="117">
        <f t="shared" si="0"/>
        <v>24</v>
      </c>
      <c r="B37" s="28" t="s">
        <v>210</v>
      </c>
      <c r="C37" s="45"/>
      <c r="D37" s="45"/>
      <c r="E37" s="28"/>
      <c r="F37" s="179">
        <v>3985.593651536594</v>
      </c>
      <c r="G37" s="46">
        <v>-1316.8505958203673</v>
      </c>
      <c r="H37" s="46">
        <v>-9500.478480391303</v>
      </c>
      <c r="I37" s="46">
        <v>-1193.3744750174703</v>
      </c>
      <c r="J37" s="46">
        <v>-1195.4267097122554</v>
      </c>
      <c r="K37" s="277"/>
      <c r="L37" s="277"/>
      <c r="M37" s="46">
        <v>343.7493113764855</v>
      </c>
      <c r="N37" s="46">
        <v>675.63612383505</v>
      </c>
      <c r="O37" s="46">
        <v>-62.3</v>
      </c>
      <c r="P37" s="46">
        <v>0</v>
      </c>
      <c r="Q37" s="46">
        <v>633.7472148393388</v>
      </c>
      <c r="R37" s="46">
        <v>0</v>
      </c>
      <c r="S37" s="46">
        <v>0</v>
      </c>
      <c r="T37" s="46">
        <v>0</v>
      </c>
      <c r="U37" s="46">
        <v>584.0738359880677</v>
      </c>
      <c r="V37" s="46">
        <v>5454.774387273959</v>
      </c>
      <c r="W37" s="46">
        <v>0</v>
      </c>
      <c r="X37" s="46">
        <v>4064.9</v>
      </c>
      <c r="Y37" s="277"/>
      <c r="Z37" s="277"/>
      <c r="AA37" s="277"/>
      <c r="AB37" s="131">
        <v>3967.2433633915048</v>
      </c>
      <c r="AC37" s="272"/>
      <c r="AD37" s="218">
        <v>-2843.6291764690422</v>
      </c>
      <c r="AE37" s="57"/>
      <c r="AF37" s="57"/>
      <c r="AG37" s="57"/>
      <c r="AH37" s="52"/>
      <c r="AI37" s="52"/>
      <c r="AJ37" s="52"/>
      <c r="AK37" s="52"/>
      <c r="AL37" s="52"/>
      <c r="AM37" s="49"/>
      <c r="AN37" s="49"/>
      <c r="AO37" s="49"/>
    </row>
    <row r="38" spans="1:41" ht="15.75" thickBot="1">
      <c r="A38" s="117">
        <f t="shared" si="0"/>
        <v>25</v>
      </c>
      <c r="B38" s="28"/>
      <c r="C38" s="45"/>
      <c r="D38" s="45"/>
      <c r="E38" s="28"/>
      <c r="F38" s="132"/>
      <c r="G38" s="46"/>
      <c r="H38" s="46"/>
      <c r="I38" s="46"/>
      <c r="J38" s="46"/>
      <c r="K38" s="277"/>
      <c r="L38" s="2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277"/>
      <c r="Z38" s="277"/>
      <c r="AA38" s="277"/>
      <c r="AB38" s="131"/>
      <c r="AC38" s="277"/>
      <c r="AD38" s="46"/>
      <c r="AE38" s="57"/>
      <c r="AF38" s="57"/>
      <c r="AG38" s="57"/>
      <c r="AH38" s="52"/>
      <c r="AI38" s="52"/>
      <c r="AJ38" s="52"/>
      <c r="AK38" s="52"/>
      <c r="AL38" s="52"/>
      <c r="AM38" s="49"/>
      <c r="AN38" s="49"/>
      <c r="AO38" s="49"/>
    </row>
    <row r="39" spans="1:41" ht="15.75" thickBot="1">
      <c r="A39" s="117">
        <f t="shared" si="0"/>
        <v>26</v>
      </c>
      <c r="B39" s="31" t="s">
        <v>225</v>
      </c>
      <c r="C39" s="32"/>
      <c r="D39" s="32"/>
      <c r="E39" s="124"/>
      <c r="F39" s="179">
        <v>15526.471571336657</v>
      </c>
      <c r="G39" s="76">
        <v>-2445.579677952111</v>
      </c>
      <c r="H39" s="76">
        <v>-17643.745749298138</v>
      </c>
      <c r="I39" s="76">
        <v>-2216.2668821753023</v>
      </c>
      <c r="J39" s="76">
        <v>-2220.078175179903</v>
      </c>
      <c r="K39" s="286"/>
      <c r="L39" s="286"/>
      <c r="M39" s="76">
        <v>638.3915782706159</v>
      </c>
      <c r="N39" s="76">
        <v>1254.7528014079498</v>
      </c>
      <c r="O39" s="76">
        <v>-115.7</v>
      </c>
      <c r="P39" s="76">
        <v>0</v>
      </c>
      <c r="Q39" s="76">
        <v>1176.959113273058</v>
      </c>
      <c r="R39" s="76">
        <v>0</v>
      </c>
      <c r="S39" s="76">
        <v>0</v>
      </c>
      <c r="T39" s="76">
        <v>0</v>
      </c>
      <c r="U39" s="76">
        <v>1084.7085525492687</v>
      </c>
      <c r="V39" s="76">
        <v>10130.29529065164</v>
      </c>
      <c r="W39" s="76">
        <v>0</v>
      </c>
      <c r="X39" s="76">
        <v>7549.1</v>
      </c>
      <c r="Y39" s="277"/>
      <c r="Z39" s="277"/>
      <c r="AA39" s="277"/>
      <c r="AB39" s="217">
        <v>7367.737674869939</v>
      </c>
      <c r="AC39" s="272"/>
      <c r="AD39" s="218">
        <v>2843.6291764690422</v>
      </c>
      <c r="AE39" s="57"/>
      <c r="AF39" s="57"/>
      <c r="AG39" s="57"/>
      <c r="AH39" s="52"/>
      <c r="AI39" s="52"/>
      <c r="AJ39" s="52"/>
      <c r="AK39" s="52"/>
      <c r="AL39" s="52"/>
      <c r="AM39" s="49"/>
      <c r="AN39" s="49"/>
      <c r="AO39" s="49"/>
    </row>
    <row r="40" spans="1:41" ht="15.75" thickBot="1">
      <c r="A40" s="117">
        <f t="shared" si="0"/>
        <v>27</v>
      </c>
      <c r="B40" s="45"/>
      <c r="C40" s="45"/>
      <c r="D40" s="45"/>
      <c r="E40" s="28"/>
      <c r="F40" s="132"/>
      <c r="G40" s="46"/>
      <c r="H40" s="46"/>
      <c r="I40" s="46"/>
      <c r="J40" s="46"/>
      <c r="K40" s="277"/>
      <c r="L40" s="2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277"/>
      <c r="Z40" s="277"/>
      <c r="AA40" s="277"/>
      <c r="AB40" s="131"/>
      <c r="AC40" s="277"/>
      <c r="AD40" s="46"/>
      <c r="AE40" s="57"/>
      <c r="AF40" s="57"/>
      <c r="AG40" s="57"/>
      <c r="AH40" s="52"/>
      <c r="AI40" s="52"/>
      <c r="AJ40" s="52"/>
      <c r="AK40" s="52"/>
      <c r="AL40" s="52"/>
      <c r="AM40" s="49"/>
      <c r="AN40" s="49"/>
      <c r="AO40" s="49"/>
    </row>
    <row r="41" spans="1:41" ht="18.75" thickBot="1">
      <c r="A41" s="117">
        <f t="shared" si="0"/>
        <v>28</v>
      </c>
      <c r="B41" s="45" t="s">
        <v>211</v>
      </c>
      <c r="C41" s="28"/>
      <c r="D41" s="28"/>
      <c r="E41" s="28"/>
      <c r="F41" s="193">
        <v>8124.65478991155</v>
      </c>
      <c r="G41" s="146"/>
      <c r="H41" s="146"/>
      <c r="I41" s="146"/>
      <c r="J41" s="146"/>
      <c r="K41" s="285"/>
      <c r="L41" s="285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275"/>
      <c r="Z41" s="294"/>
      <c r="AA41" s="275"/>
      <c r="AB41" s="163"/>
      <c r="AC41" s="275"/>
      <c r="AD41" s="218">
        <v>8124.65478991155</v>
      </c>
      <c r="AE41" s="52"/>
      <c r="AF41" s="52"/>
      <c r="AG41" s="52"/>
      <c r="AH41" s="52"/>
      <c r="AI41" s="52"/>
      <c r="AJ41" s="52"/>
      <c r="AK41" s="52"/>
      <c r="AL41" s="52"/>
      <c r="AM41" s="49"/>
      <c r="AN41" s="49"/>
      <c r="AO41" s="49"/>
    </row>
    <row r="42" spans="1:41" ht="18">
      <c r="A42" s="117">
        <f t="shared" si="0"/>
        <v>29</v>
      </c>
      <c r="B42" s="45"/>
      <c r="C42" s="28"/>
      <c r="D42" s="28"/>
      <c r="E42" s="28"/>
      <c r="F42" s="147"/>
      <c r="G42" s="146"/>
      <c r="H42" s="146"/>
      <c r="I42" s="146"/>
      <c r="J42" s="146"/>
      <c r="K42" s="285"/>
      <c r="L42" s="285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275"/>
      <c r="Z42" s="294"/>
      <c r="AA42" s="275"/>
      <c r="AB42" s="163"/>
      <c r="AC42" s="275"/>
      <c r="AD42" s="74"/>
      <c r="AE42" s="52"/>
      <c r="AF42" s="52"/>
      <c r="AG42" s="52"/>
      <c r="AH42" s="52"/>
      <c r="AI42" s="52"/>
      <c r="AJ42" s="52"/>
      <c r="AK42" s="52"/>
      <c r="AL42" s="52"/>
      <c r="AM42" s="49"/>
      <c r="AN42" s="49"/>
      <c r="AO42" s="49"/>
    </row>
    <row r="43" spans="1:41" ht="18">
      <c r="A43" s="117">
        <f t="shared" si="0"/>
        <v>30</v>
      </c>
      <c r="B43" s="28" t="s">
        <v>108</v>
      </c>
      <c r="C43" s="28"/>
      <c r="D43" s="28"/>
      <c r="E43" s="28"/>
      <c r="F43" s="36"/>
      <c r="G43" s="74"/>
      <c r="H43" s="74"/>
      <c r="I43" s="74"/>
      <c r="J43" s="74"/>
      <c r="K43" s="284"/>
      <c r="L43" s="284"/>
      <c r="M43" s="74"/>
      <c r="N43" s="74"/>
      <c r="O43" s="148"/>
      <c r="P43" s="74"/>
      <c r="Q43" s="74"/>
      <c r="R43" s="74"/>
      <c r="S43" s="74"/>
      <c r="T43" s="74"/>
      <c r="U43" s="74"/>
      <c r="V43" s="74"/>
      <c r="W43" s="74"/>
      <c r="X43" s="74"/>
      <c r="Y43" s="275"/>
      <c r="Z43" s="294"/>
      <c r="AA43" s="275"/>
      <c r="AB43" s="163"/>
      <c r="AC43" s="275"/>
      <c r="AD43" s="74"/>
      <c r="AE43" s="52"/>
      <c r="AF43" s="52"/>
      <c r="AG43" s="52"/>
      <c r="AH43" s="52"/>
      <c r="AI43" s="52"/>
      <c r="AJ43" s="52"/>
      <c r="AK43" s="52"/>
      <c r="AL43" s="52"/>
      <c r="AM43" s="49"/>
      <c r="AN43" s="49"/>
      <c r="AO43" s="49"/>
    </row>
    <row r="44" spans="1:41" ht="18">
      <c r="A44" s="117">
        <f t="shared" si="0"/>
        <v>31</v>
      </c>
      <c r="B44" s="28" t="s">
        <v>109</v>
      </c>
      <c r="C44" s="28"/>
      <c r="D44" s="28"/>
      <c r="E44" s="28"/>
      <c r="F44" s="191">
        <v>-173359.77887972677</v>
      </c>
      <c r="G44" s="73"/>
      <c r="H44" s="73"/>
      <c r="I44" s="73"/>
      <c r="J44" s="73"/>
      <c r="K44" s="283"/>
      <c r="L44" s="283"/>
      <c r="M44" s="73"/>
      <c r="N44" s="73"/>
      <c r="O44" s="73"/>
      <c r="P44" s="73">
        <v>0</v>
      </c>
      <c r="Q44" s="73"/>
      <c r="R44" s="73"/>
      <c r="S44" s="73">
        <v>0</v>
      </c>
      <c r="T44" s="73">
        <v>0</v>
      </c>
      <c r="U44" s="73">
        <v>-4196</v>
      </c>
      <c r="V44" s="73"/>
      <c r="W44" s="73"/>
      <c r="X44" s="73"/>
      <c r="Y44" s="275"/>
      <c r="Z44" s="294"/>
      <c r="AA44" s="276"/>
      <c r="AB44" s="191">
        <v>-167793.91287972676</v>
      </c>
      <c r="AC44" s="275"/>
      <c r="AD44" s="74"/>
      <c r="AE44" s="52"/>
      <c r="AF44" s="52"/>
      <c r="AG44" s="52"/>
      <c r="AH44" s="52"/>
      <c r="AI44" s="52"/>
      <c r="AJ44" s="52"/>
      <c r="AK44" s="52"/>
      <c r="AL44" s="52"/>
      <c r="AM44" s="49"/>
      <c r="AN44" s="49"/>
      <c r="AO44" s="49"/>
    </row>
    <row r="45" spans="1:41" ht="18">
      <c r="A45" s="117">
        <f t="shared" si="0"/>
        <v>32</v>
      </c>
      <c r="B45" s="28" t="s">
        <v>110</v>
      </c>
      <c r="C45" s="28"/>
      <c r="D45" s="28"/>
      <c r="E45" s="28"/>
      <c r="F45" s="134">
        <v>0</v>
      </c>
      <c r="G45" s="73"/>
      <c r="H45" s="73"/>
      <c r="I45" s="73"/>
      <c r="J45" s="73"/>
      <c r="K45" s="283"/>
      <c r="L45" s="283"/>
      <c r="M45" s="73"/>
      <c r="N45" s="73"/>
      <c r="O45" s="73"/>
      <c r="P45" s="73"/>
      <c r="Q45" s="73"/>
      <c r="R45" s="73"/>
      <c r="S45" s="74">
        <v>0</v>
      </c>
      <c r="T45" s="73"/>
      <c r="U45" s="73"/>
      <c r="V45" s="73"/>
      <c r="W45" s="73"/>
      <c r="X45" s="73"/>
      <c r="Y45" s="275"/>
      <c r="Z45" s="294"/>
      <c r="AA45" s="275"/>
      <c r="AB45" s="191"/>
      <c r="AC45" s="275"/>
      <c r="AD45" s="74"/>
      <c r="AE45" s="52"/>
      <c r="AF45" s="52"/>
      <c r="AG45" s="52"/>
      <c r="AH45" s="52"/>
      <c r="AI45" s="52"/>
      <c r="AJ45" s="52"/>
      <c r="AK45" s="52"/>
      <c r="AL45" s="52"/>
      <c r="AM45" s="49"/>
      <c r="AN45" s="49"/>
      <c r="AO45" s="49"/>
    </row>
    <row r="46" spans="1:41" ht="18">
      <c r="A46" s="117">
        <f t="shared" si="0"/>
        <v>33</v>
      </c>
      <c r="B46" s="28" t="s">
        <v>111</v>
      </c>
      <c r="C46" s="28"/>
      <c r="D46" s="28"/>
      <c r="E46" s="28"/>
      <c r="F46" s="134">
        <v>-20662.663</v>
      </c>
      <c r="G46" s="73"/>
      <c r="H46" s="73"/>
      <c r="I46" s="73"/>
      <c r="J46" s="73"/>
      <c r="K46" s="284"/>
      <c r="L46" s="284"/>
      <c r="M46" s="75"/>
      <c r="N46" s="75"/>
      <c r="O46" s="75"/>
      <c r="P46" s="75"/>
      <c r="Q46" s="75"/>
      <c r="R46" s="149">
        <v>-20662.663</v>
      </c>
      <c r="S46" s="73"/>
      <c r="T46" s="75"/>
      <c r="U46" s="75"/>
      <c r="V46" s="75"/>
      <c r="W46" s="75"/>
      <c r="X46" s="75"/>
      <c r="Y46" s="275"/>
      <c r="Z46" s="294"/>
      <c r="AA46" s="275"/>
      <c r="AB46" s="191"/>
      <c r="AC46" s="275"/>
      <c r="AD46" s="74"/>
      <c r="AE46" s="52"/>
      <c r="AF46" s="52"/>
      <c r="AG46" s="52"/>
      <c r="AH46" s="52"/>
      <c r="AI46" s="52"/>
      <c r="AJ46" s="52"/>
      <c r="AK46" s="52"/>
      <c r="AL46" s="52"/>
      <c r="AM46" s="49"/>
      <c r="AN46" s="49"/>
      <c r="AO46" s="49"/>
    </row>
    <row r="47" spans="1:41" ht="18.75" thickBot="1">
      <c r="A47" s="117">
        <f t="shared" si="0"/>
        <v>34</v>
      </c>
      <c r="B47" s="28" t="s">
        <v>112</v>
      </c>
      <c r="C47" s="28"/>
      <c r="D47" s="28"/>
      <c r="E47" s="28"/>
      <c r="F47" s="191">
        <v>-128520.0105671504</v>
      </c>
      <c r="G47" s="137"/>
      <c r="H47" s="73"/>
      <c r="I47" s="73"/>
      <c r="J47" s="73"/>
      <c r="K47" s="283"/>
      <c r="L47" s="283"/>
      <c r="M47" s="73"/>
      <c r="N47" s="73"/>
      <c r="O47" s="73"/>
      <c r="P47" s="73"/>
      <c r="Q47" s="73"/>
      <c r="R47" s="73"/>
      <c r="S47" s="73"/>
      <c r="T47" s="73"/>
      <c r="U47" s="73">
        <v>-35265.69285402022</v>
      </c>
      <c r="V47" s="73"/>
      <c r="W47" s="73"/>
      <c r="X47" s="73"/>
      <c r="Y47" s="275"/>
      <c r="Z47" s="294"/>
      <c r="AA47" s="276"/>
      <c r="AB47" s="191">
        <v>-92577.19294933017</v>
      </c>
      <c r="AC47" s="275"/>
      <c r="AD47" s="74"/>
      <c r="AE47" s="52"/>
      <c r="AF47" s="52"/>
      <c r="AG47" s="52"/>
      <c r="AH47" s="52"/>
      <c r="AI47" s="52"/>
      <c r="AJ47" s="52"/>
      <c r="AK47" s="52"/>
      <c r="AL47" s="52"/>
      <c r="AM47" s="49"/>
      <c r="AN47" s="49"/>
      <c r="AO47" s="49"/>
    </row>
    <row r="48" spans="1:41" ht="18.75" thickBot="1">
      <c r="A48" s="117">
        <f t="shared" si="0"/>
        <v>35</v>
      </c>
      <c r="B48" s="28" t="s">
        <v>113</v>
      </c>
      <c r="C48" s="28"/>
      <c r="D48" s="28"/>
      <c r="E48" s="28"/>
      <c r="F48" s="193">
        <v>14228.770798671287</v>
      </c>
      <c r="G48" s="137"/>
      <c r="H48" s="73"/>
      <c r="I48" s="73"/>
      <c r="J48" s="73"/>
      <c r="K48" s="283"/>
      <c r="L48" s="283"/>
      <c r="M48" s="73"/>
      <c r="N48" s="73"/>
      <c r="O48" s="73"/>
      <c r="P48" s="73"/>
      <c r="Q48" s="73"/>
      <c r="R48" s="73"/>
      <c r="S48" s="73">
        <v>0</v>
      </c>
      <c r="T48" s="73"/>
      <c r="U48" s="193">
        <v>3970.7958502269685</v>
      </c>
      <c r="V48" s="73"/>
      <c r="W48" s="73"/>
      <c r="X48" s="73"/>
      <c r="Y48" s="275"/>
      <c r="Z48" s="294"/>
      <c r="AA48" s="298"/>
      <c r="AB48" s="190">
        <v>10183.491224426318</v>
      </c>
      <c r="AC48" s="275"/>
      <c r="AD48" s="74"/>
      <c r="AE48" s="52"/>
      <c r="AF48" s="52"/>
      <c r="AG48" s="52"/>
      <c r="AH48" s="52"/>
      <c r="AI48" s="52"/>
      <c r="AJ48" s="52"/>
      <c r="AK48" s="52"/>
      <c r="AL48" s="52"/>
      <c r="AM48" s="49"/>
      <c r="AN48" s="49"/>
      <c r="AO48" s="49"/>
    </row>
    <row r="49" spans="1:41" ht="18">
      <c r="A49" s="117">
        <f t="shared" si="0"/>
        <v>36</v>
      </c>
      <c r="B49" s="28" t="s">
        <v>114</v>
      </c>
      <c r="C49" s="28"/>
      <c r="D49" s="28"/>
      <c r="E49" s="28"/>
      <c r="F49" s="134">
        <v>0</v>
      </c>
      <c r="G49" s="137"/>
      <c r="H49" s="73"/>
      <c r="I49" s="73"/>
      <c r="J49" s="73"/>
      <c r="K49" s="283"/>
      <c r="L49" s="283"/>
      <c r="M49" s="73"/>
      <c r="N49" s="73"/>
      <c r="O49" s="73"/>
      <c r="P49" s="73">
        <v>0</v>
      </c>
      <c r="Q49" s="73"/>
      <c r="R49" s="73"/>
      <c r="S49" s="73"/>
      <c r="T49" s="73">
        <v>0</v>
      </c>
      <c r="U49" s="120"/>
      <c r="V49" s="73"/>
      <c r="W49" s="73"/>
      <c r="X49" s="73"/>
      <c r="Y49" s="275"/>
      <c r="Z49" s="294"/>
      <c r="AA49" s="275"/>
      <c r="AB49" s="163"/>
      <c r="AC49" s="275"/>
      <c r="AD49" s="74"/>
      <c r="AE49" s="52"/>
      <c r="AF49" s="52"/>
      <c r="AG49" s="52"/>
      <c r="AH49" s="52"/>
      <c r="AI49" s="52"/>
      <c r="AJ49" s="52"/>
      <c r="AK49" s="52"/>
      <c r="AL49" s="52"/>
      <c r="AM49" s="49"/>
      <c r="AN49" s="49"/>
      <c r="AO49" s="49"/>
    </row>
    <row r="50" spans="1:41" ht="18.75" thickBot="1">
      <c r="A50" s="117">
        <f t="shared" si="0"/>
        <v>37</v>
      </c>
      <c r="B50" s="28"/>
      <c r="C50" s="28"/>
      <c r="D50" s="28"/>
      <c r="E50" s="28"/>
      <c r="F50" s="134"/>
      <c r="G50" s="137"/>
      <c r="H50" s="73"/>
      <c r="I50" s="73"/>
      <c r="J50" s="73"/>
      <c r="K50" s="283"/>
      <c r="L50" s="283"/>
      <c r="M50" s="73"/>
      <c r="N50" s="73"/>
      <c r="O50" s="73"/>
      <c r="P50" s="73"/>
      <c r="Q50" s="73"/>
      <c r="R50" s="73"/>
      <c r="S50" s="73"/>
      <c r="T50" s="73"/>
      <c r="U50" s="120"/>
      <c r="V50" s="73"/>
      <c r="W50" s="73"/>
      <c r="X50" s="73"/>
      <c r="Y50" s="275"/>
      <c r="Z50" s="294"/>
      <c r="AA50" s="275"/>
      <c r="AB50" s="163"/>
      <c r="AC50" s="275"/>
      <c r="AD50" s="74"/>
      <c r="AE50" s="52"/>
      <c r="AF50" s="52"/>
      <c r="AG50" s="52"/>
      <c r="AH50" s="52"/>
      <c r="AI50" s="52"/>
      <c r="AJ50" s="52"/>
      <c r="AK50" s="52"/>
      <c r="AL50" s="52"/>
      <c r="AM50" s="49"/>
      <c r="AN50" s="49"/>
      <c r="AO50" s="49"/>
    </row>
    <row r="51" spans="1:41" ht="15.75" thickBot="1">
      <c r="A51" s="117">
        <f t="shared" si="0"/>
        <v>38</v>
      </c>
      <c r="B51" s="31" t="s">
        <v>115</v>
      </c>
      <c r="C51" s="32"/>
      <c r="D51" s="32"/>
      <c r="E51" s="212" t="s">
        <v>386</v>
      </c>
      <c r="F51" s="193">
        <v>-79731.20211124767</v>
      </c>
      <c r="G51" s="82">
        <v>0</v>
      </c>
      <c r="H51" s="82">
        <v>0</v>
      </c>
      <c r="I51" s="82">
        <v>0</v>
      </c>
      <c r="J51" s="82">
        <v>0</v>
      </c>
      <c r="K51" s="278"/>
      <c r="L51" s="278"/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-20662.663</v>
      </c>
      <c r="S51" s="82">
        <v>0</v>
      </c>
      <c r="T51" s="82">
        <v>0</v>
      </c>
      <c r="U51" s="193">
        <v>27098.897003793252</v>
      </c>
      <c r="V51" s="82">
        <v>0</v>
      </c>
      <c r="W51" s="82">
        <v>0</v>
      </c>
      <c r="X51" s="82">
        <v>0</v>
      </c>
      <c r="Y51" s="276"/>
      <c r="Z51" s="276"/>
      <c r="AA51" s="298"/>
      <c r="AB51" s="190">
        <v>-85400.2111548229</v>
      </c>
      <c r="AC51" s="278"/>
      <c r="AD51" s="82">
        <v>0</v>
      </c>
      <c r="AE51" s="104"/>
      <c r="AF51" s="104"/>
      <c r="AG51" s="104"/>
      <c r="AH51" s="52"/>
      <c r="AI51" s="52"/>
      <c r="AJ51" s="52"/>
      <c r="AK51" s="52"/>
      <c r="AL51" s="52"/>
      <c r="AM51" s="49"/>
      <c r="AN51" s="49"/>
      <c r="AO51" s="49"/>
    </row>
    <row r="52" spans="1:41" ht="18">
      <c r="A52" s="117">
        <f t="shared" si="0"/>
        <v>39</v>
      </c>
      <c r="B52" s="28"/>
      <c r="C52" s="28"/>
      <c r="D52" s="28"/>
      <c r="E52" s="28"/>
      <c r="F52" s="28"/>
      <c r="G52" s="146"/>
      <c r="H52" s="74"/>
      <c r="I52" s="74"/>
      <c r="J52" s="74"/>
      <c r="K52" s="284"/>
      <c r="L52" s="28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275"/>
      <c r="Z52" s="294"/>
      <c r="AA52" s="275"/>
      <c r="AB52" s="163"/>
      <c r="AC52" s="275"/>
      <c r="AD52" s="74"/>
      <c r="AE52" s="52"/>
      <c r="AF52" s="52"/>
      <c r="AG52" s="52"/>
      <c r="AH52" s="52"/>
      <c r="AI52" s="52"/>
      <c r="AJ52" s="52"/>
      <c r="AK52" s="52"/>
      <c r="AL52" s="52"/>
      <c r="AM52" s="49"/>
      <c r="AN52" s="49"/>
      <c r="AO52" s="49"/>
    </row>
    <row r="53" spans="1:41" ht="15">
      <c r="A53" s="117">
        <f t="shared" si="0"/>
        <v>40</v>
      </c>
      <c r="B53" s="28"/>
      <c r="C53" s="28"/>
      <c r="D53" s="28"/>
      <c r="E53" s="28"/>
      <c r="F53" s="74"/>
      <c r="G53" s="74"/>
      <c r="H53" s="74"/>
      <c r="I53" s="74"/>
      <c r="J53" s="74"/>
      <c r="K53" s="284"/>
      <c r="L53" s="28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275"/>
      <c r="Z53" s="275"/>
      <c r="AA53" s="275"/>
      <c r="AB53" s="163"/>
      <c r="AC53" s="275"/>
      <c r="AD53" s="74"/>
      <c r="AE53" s="52"/>
      <c r="AF53" s="52"/>
      <c r="AG53" s="52"/>
      <c r="AH53" s="52"/>
      <c r="AI53" s="52"/>
      <c r="AJ53" s="52"/>
      <c r="AK53" s="52"/>
      <c r="AL53" s="52"/>
      <c r="AM53" s="49"/>
      <c r="AN53" s="49"/>
      <c r="AO53" s="49"/>
    </row>
    <row r="54" spans="1:41" ht="15">
      <c r="A54" s="117">
        <f t="shared" si="0"/>
        <v>41</v>
      </c>
      <c r="B54" s="28"/>
      <c r="C54" s="28"/>
      <c r="D54" s="28"/>
      <c r="E54" s="28"/>
      <c r="F54" s="74"/>
      <c r="G54" s="74"/>
      <c r="H54" s="74"/>
      <c r="I54" s="74"/>
      <c r="J54" s="74"/>
      <c r="K54" s="284"/>
      <c r="L54" s="28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275"/>
      <c r="Z54" s="275"/>
      <c r="AA54" s="275"/>
      <c r="AB54" s="163"/>
      <c r="AC54" s="275"/>
      <c r="AD54" s="74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1:41" ht="15">
      <c r="A55" s="117">
        <f t="shared" si="0"/>
        <v>42</v>
      </c>
      <c r="B55" s="28"/>
      <c r="C55" s="28"/>
      <c r="D55" s="28"/>
      <c r="E55" s="28"/>
      <c r="F55" s="74"/>
      <c r="G55" s="74"/>
      <c r="H55" s="74"/>
      <c r="I55" s="74"/>
      <c r="J55" s="74"/>
      <c r="K55" s="284"/>
      <c r="L55" s="28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275"/>
      <c r="Z55" s="275"/>
      <c r="AA55" s="275"/>
      <c r="AB55" s="163"/>
      <c r="AC55" s="275"/>
      <c r="AD55" s="74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1:41" ht="15">
      <c r="A56" s="117">
        <f t="shared" si="0"/>
        <v>43</v>
      </c>
      <c r="B56" s="34" t="s">
        <v>197</v>
      </c>
      <c r="C56" s="28"/>
      <c r="D56" s="28"/>
      <c r="E56" s="34" t="s">
        <v>198</v>
      </c>
      <c r="F56" s="74"/>
      <c r="G56" s="150">
        <v>0</v>
      </c>
      <c r="H56" s="28"/>
      <c r="I56" s="28"/>
      <c r="J56" s="28"/>
      <c r="K56" s="287"/>
      <c r="L56" s="287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79"/>
      <c r="Z56" s="279"/>
      <c r="AA56" s="279"/>
      <c r="AB56" s="163"/>
      <c r="AC56" s="279"/>
      <c r="AD56" s="28"/>
      <c r="AE56" s="60"/>
      <c r="AF56" s="60"/>
      <c r="AG56" s="60"/>
      <c r="AH56" s="60"/>
      <c r="AI56" s="60"/>
      <c r="AJ56" s="60"/>
      <c r="AK56" s="60"/>
      <c r="AL56" s="60"/>
      <c r="AM56" s="60"/>
      <c r="AN56" s="52"/>
      <c r="AO56" s="52"/>
    </row>
    <row r="57" spans="1:41" ht="15">
      <c r="A57" s="117">
        <f t="shared" si="0"/>
        <v>44</v>
      </c>
      <c r="B57" s="34"/>
      <c r="C57" s="28"/>
      <c r="D57" s="28"/>
      <c r="E57" s="34" t="s">
        <v>199</v>
      </c>
      <c r="F57" s="74"/>
      <c r="G57" s="150">
        <v>0.35</v>
      </c>
      <c r="H57" s="28"/>
      <c r="I57" s="28"/>
      <c r="J57" s="28"/>
      <c r="K57" s="287"/>
      <c r="L57" s="287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79"/>
      <c r="Z57" s="279"/>
      <c r="AA57" s="279"/>
      <c r="AB57" s="163"/>
      <c r="AC57" s="279"/>
      <c r="AD57" s="28"/>
      <c r="AE57" s="60"/>
      <c r="AF57" s="60"/>
      <c r="AG57" s="60"/>
      <c r="AH57" s="60"/>
      <c r="AI57" s="60"/>
      <c r="AJ57" s="60"/>
      <c r="AK57" s="60"/>
      <c r="AL57" s="60"/>
      <c r="AM57" s="60"/>
      <c r="AN57" s="52"/>
      <c r="AO57" s="52"/>
    </row>
    <row r="58" spans="1:41" ht="15.75" thickBot="1">
      <c r="A58" s="117">
        <f t="shared" si="0"/>
        <v>45</v>
      </c>
      <c r="B58" s="34"/>
      <c r="C58" s="34"/>
      <c r="D58" s="34" t="s">
        <v>212</v>
      </c>
      <c r="E58" s="34"/>
      <c r="F58" s="150"/>
      <c r="G58" s="28"/>
      <c r="H58" s="28"/>
      <c r="I58" s="28"/>
      <c r="J58" s="28"/>
      <c r="K58" s="287"/>
      <c r="L58" s="287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79"/>
      <c r="Z58" s="279"/>
      <c r="AA58" s="279"/>
      <c r="AB58" s="163"/>
      <c r="AC58" s="279"/>
      <c r="AD58" s="28"/>
      <c r="AE58" s="60"/>
      <c r="AF58" s="60"/>
      <c r="AG58" s="60"/>
      <c r="AH58" s="60"/>
      <c r="AI58" s="60"/>
      <c r="AJ58" s="60"/>
      <c r="AK58" s="60"/>
      <c r="AL58" s="60"/>
      <c r="AM58" s="60"/>
      <c r="AN58" s="52"/>
      <c r="AO58" s="52"/>
    </row>
    <row r="59" spans="1:41" ht="15.75" thickBot="1">
      <c r="A59" s="117">
        <f t="shared" si="0"/>
        <v>46</v>
      </c>
      <c r="B59" s="34" t="s">
        <v>200</v>
      </c>
      <c r="C59" s="28"/>
      <c r="D59" s="28"/>
      <c r="E59" s="133" t="s">
        <v>213</v>
      </c>
      <c r="F59" s="219">
        <v>19512.065222873258</v>
      </c>
      <c r="G59" s="151">
        <v>-3762.4302737724784</v>
      </c>
      <c r="H59" s="151">
        <v>-27144.22422968944</v>
      </c>
      <c r="I59" s="151">
        <v>-3409.641357192773</v>
      </c>
      <c r="J59" s="151">
        <v>-3415.5048848921588</v>
      </c>
      <c r="K59" s="288"/>
      <c r="L59" s="288"/>
      <c r="M59" s="151">
        <v>982.1408896471014</v>
      </c>
      <c r="N59" s="151">
        <v>1930.388925243</v>
      </c>
      <c r="O59" s="151">
        <v>-178</v>
      </c>
      <c r="P59" s="151">
        <v>0</v>
      </c>
      <c r="Q59" s="151">
        <v>1810.7063281123967</v>
      </c>
      <c r="R59" s="151">
        <v>0</v>
      </c>
      <c r="S59" s="151">
        <v>0</v>
      </c>
      <c r="T59" s="151">
        <v>0</v>
      </c>
      <c r="U59" s="151">
        <v>1668.7823885373364</v>
      </c>
      <c r="V59" s="151">
        <v>15585.0696779256</v>
      </c>
      <c r="W59" s="151">
        <v>0</v>
      </c>
      <c r="X59" s="151">
        <v>11614</v>
      </c>
      <c r="Y59" s="281"/>
      <c r="Z59" s="281"/>
      <c r="AA59" s="281"/>
      <c r="AB59" s="181">
        <v>11334.981038261443</v>
      </c>
      <c r="AC59" s="272"/>
      <c r="AD59" s="151">
        <v>0</v>
      </c>
      <c r="AE59" s="91"/>
      <c r="AF59" s="91"/>
      <c r="AG59" s="91"/>
      <c r="AH59" s="91"/>
      <c r="AI59" s="91"/>
      <c r="AJ59" s="91"/>
      <c r="AK59" s="91"/>
      <c r="AL59" s="91"/>
      <c r="AM59" s="60"/>
      <c r="AN59" s="52"/>
      <c r="AO59" s="52"/>
    </row>
    <row r="60" spans="1:41" ht="15">
      <c r="A60" s="117">
        <f t="shared" si="0"/>
        <v>47</v>
      </c>
      <c r="B60" s="34" t="s">
        <v>201</v>
      </c>
      <c r="C60" s="28"/>
      <c r="D60" s="28"/>
      <c r="E60" s="133"/>
      <c r="F60" s="157">
        <v>0</v>
      </c>
      <c r="G60" s="151"/>
      <c r="H60" s="28"/>
      <c r="I60" s="28"/>
      <c r="J60" s="28"/>
      <c r="K60" s="287"/>
      <c r="L60" s="287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79"/>
      <c r="Z60" s="279"/>
      <c r="AA60" s="279"/>
      <c r="AB60" s="163"/>
      <c r="AC60" s="279"/>
      <c r="AD60" s="28"/>
      <c r="AE60" s="60"/>
      <c r="AF60" s="60"/>
      <c r="AG60" s="60"/>
      <c r="AH60" s="60"/>
      <c r="AI60" s="60"/>
      <c r="AJ60" s="60"/>
      <c r="AK60" s="60"/>
      <c r="AL60" s="60"/>
      <c r="AM60" s="60"/>
      <c r="AN60" s="52"/>
      <c r="AO60" s="52"/>
    </row>
    <row r="61" spans="1:41" ht="15.75" thickBot="1">
      <c r="A61" s="117">
        <f t="shared" si="0"/>
        <v>48</v>
      </c>
      <c r="B61" s="34" t="s">
        <v>202</v>
      </c>
      <c r="C61" s="28"/>
      <c r="D61" s="28"/>
      <c r="E61" s="133"/>
      <c r="F61" s="157">
        <v>0</v>
      </c>
      <c r="G61" s="151"/>
      <c r="H61" s="28"/>
      <c r="I61" s="28"/>
      <c r="J61" s="28"/>
      <c r="K61" s="287"/>
      <c r="L61" s="287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79"/>
      <c r="Z61" s="279"/>
      <c r="AA61" s="279"/>
      <c r="AB61" s="163"/>
      <c r="AC61" s="279"/>
      <c r="AD61" s="28"/>
      <c r="AE61" s="60"/>
      <c r="AF61" s="60"/>
      <c r="AG61" s="60"/>
      <c r="AH61" s="60"/>
      <c r="AI61" s="60"/>
      <c r="AJ61" s="60"/>
      <c r="AK61" s="60"/>
      <c r="AL61" s="60"/>
      <c r="AM61" s="60"/>
      <c r="AN61" s="52"/>
      <c r="AO61" s="52"/>
    </row>
    <row r="62" spans="1:41" ht="15.75" thickBot="1">
      <c r="A62" s="117">
        <f t="shared" si="0"/>
        <v>49</v>
      </c>
      <c r="B62" s="34" t="s">
        <v>203</v>
      </c>
      <c r="C62" s="28"/>
      <c r="D62" s="28"/>
      <c r="E62" s="163" t="s">
        <v>248</v>
      </c>
      <c r="F62" s="218">
        <v>8124.65478991155</v>
      </c>
      <c r="G62" s="151"/>
      <c r="H62" s="28"/>
      <c r="I62" s="28"/>
      <c r="J62" s="28"/>
      <c r="K62" s="287"/>
      <c r="L62" s="287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79"/>
      <c r="Z62" s="279"/>
      <c r="AA62" s="279"/>
      <c r="AB62" s="163"/>
      <c r="AC62" s="279"/>
      <c r="AD62" s="218">
        <v>8124.65478991155</v>
      </c>
      <c r="AE62" s="60"/>
      <c r="AF62" s="60"/>
      <c r="AG62" s="60"/>
      <c r="AH62" s="60"/>
      <c r="AI62" s="60"/>
      <c r="AJ62" s="60"/>
      <c r="AK62" s="60"/>
      <c r="AL62" s="60"/>
      <c r="AM62" s="60"/>
      <c r="AN62" s="52"/>
      <c r="AO62" s="52"/>
    </row>
    <row r="63" spans="1:41" ht="15">
      <c r="A63" s="117">
        <f t="shared" si="0"/>
        <v>50</v>
      </c>
      <c r="B63" s="34" t="s">
        <v>204</v>
      </c>
      <c r="C63" s="28"/>
      <c r="D63" s="28"/>
      <c r="E63" s="133"/>
      <c r="F63" s="157">
        <v>0</v>
      </c>
      <c r="G63" s="151"/>
      <c r="H63" s="28"/>
      <c r="I63" s="28"/>
      <c r="J63" s="28"/>
      <c r="K63" s="287"/>
      <c r="L63" s="287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79"/>
      <c r="Z63" s="279"/>
      <c r="AA63" s="279"/>
      <c r="AB63" s="163"/>
      <c r="AC63" s="279"/>
      <c r="AD63" s="28"/>
      <c r="AE63" s="60"/>
      <c r="AF63" s="60"/>
      <c r="AG63" s="60"/>
      <c r="AH63" s="60"/>
      <c r="AI63" s="60"/>
      <c r="AJ63" s="60"/>
      <c r="AK63" s="60"/>
      <c r="AL63" s="60"/>
      <c r="AM63" s="60"/>
      <c r="AN63" s="52"/>
      <c r="AO63" s="52"/>
    </row>
    <row r="64" spans="1:41" ht="15">
      <c r="A64" s="117">
        <f t="shared" si="0"/>
        <v>51</v>
      </c>
      <c r="B64" s="34" t="s">
        <v>205</v>
      </c>
      <c r="C64" s="28"/>
      <c r="D64" s="28"/>
      <c r="E64" s="211"/>
      <c r="F64" s="154">
        <v>0</v>
      </c>
      <c r="G64" s="153"/>
      <c r="H64" s="153"/>
      <c r="I64" s="153"/>
      <c r="J64" s="153"/>
      <c r="K64" s="289"/>
      <c r="L64" s="289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282"/>
      <c r="Z64" s="282"/>
      <c r="AA64" s="282"/>
      <c r="AB64" s="158"/>
      <c r="AC64" s="280"/>
      <c r="AD64" s="153"/>
      <c r="AE64" s="92"/>
      <c r="AF64" s="92"/>
      <c r="AG64" s="92"/>
      <c r="AH64" s="92"/>
      <c r="AI64" s="92"/>
      <c r="AJ64" s="92"/>
      <c r="AK64" s="92"/>
      <c r="AL64" s="92"/>
      <c r="AM64" s="60"/>
      <c r="AN64" s="52"/>
      <c r="AO64" s="52"/>
    </row>
    <row r="65" spans="1:41" ht="15.75" thickBot="1">
      <c r="A65" s="117">
        <f t="shared" si="0"/>
        <v>52</v>
      </c>
      <c r="B65" s="34"/>
      <c r="C65" s="28"/>
      <c r="D65" s="28"/>
      <c r="E65" s="133"/>
      <c r="F65" s="155">
        <v>0</v>
      </c>
      <c r="G65" s="151"/>
      <c r="H65" s="151"/>
      <c r="I65" s="151"/>
      <c r="J65" s="151"/>
      <c r="K65" s="288"/>
      <c r="L65" s="288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281"/>
      <c r="Z65" s="281"/>
      <c r="AA65" s="281"/>
      <c r="AB65" s="213"/>
      <c r="AC65" s="281"/>
      <c r="AD65" s="151"/>
      <c r="AE65" s="91"/>
      <c r="AF65" s="91"/>
      <c r="AG65" s="91"/>
      <c r="AH65" s="91"/>
      <c r="AI65" s="91"/>
      <c r="AJ65" s="91"/>
      <c r="AK65" s="91"/>
      <c r="AL65" s="91"/>
      <c r="AM65" s="60"/>
      <c r="AN65" s="52"/>
      <c r="AO65" s="52"/>
    </row>
    <row r="66" spans="1:41" ht="15.75" thickBot="1">
      <c r="A66" s="117">
        <f t="shared" si="0"/>
        <v>53</v>
      </c>
      <c r="B66" s="34" t="s">
        <v>206</v>
      </c>
      <c r="C66" s="28"/>
      <c r="D66" s="28"/>
      <c r="E66" s="212" t="s">
        <v>383</v>
      </c>
      <c r="F66" s="218">
        <v>11387.410432961708</v>
      </c>
      <c r="G66" s="156">
        <v>-3762.4302737724784</v>
      </c>
      <c r="H66" s="156">
        <v>-27144.22422968944</v>
      </c>
      <c r="I66" s="156">
        <v>-3409.641357192773</v>
      </c>
      <c r="J66" s="156">
        <v>-3415.5048848921588</v>
      </c>
      <c r="K66" s="290"/>
      <c r="L66" s="290"/>
      <c r="M66" s="156">
        <v>982.1408896471014</v>
      </c>
      <c r="N66" s="156">
        <v>1930.388925243</v>
      </c>
      <c r="O66" s="156">
        <v>-178</v>
      </c>
      <c r="P66" s="156">
        <v>0</v>
      </c>
      <c r="Q66" s="156">
        <v>1810.7063281123967</v>
      </c>
      <c r="R66" s="156">
        <v>0</v>
      </c>
      <c r="S66" s="156">
        <v>0</v>
      </c>
      <c r="T66" s="156">
        <v>0</v>
      </c>
      <c r="U66" s="156">
        <v>1668.7823885373364</v>
      </c>
      <c r="V66" s="156">
        <v>15585.0696779256</v>
      </c>
      <c r="W66" s="156">
        <v>0</v>
      </c>
      <c r="X66" s="156">
        <v>11614</v>
      </c>
      <c r="Y66" s="281"/>
      <c r="Z66" s="281"/>
      <c r="AA66" s="281"/>
      <c r="AB66" s="215">
        <v>11334.981038261443</v>
      </c>
      <c r="AC66" s="272"/>
      <c r="AD66" s="218">
        <v>-8124.65478991155</v>
      </c>
      <c r="AE66" s="91"/>
      <c r="AF66" s="91"/>
      <c r="AG66" s="91"/>
      <c r="AH66" s="91"/>
      <c r="AI66" s="91"/>
      <c r="AJ66" s="91"/>
      <c r="AK66" s="91"/>
      <c r="AL66" s="91"/>
      <c r="AM66" s="60"/>
      <c r="AN66" s="52"/>
      <c r="AO66" s="52"/>
    </row>
    <row r="67" spans="1:41" ht="15.75" thickBot="1">
      <c r="A67" s="117">
        <f t="shared" si="0"/>
        <v>54</v>
      </c>
      <c r="B67" s="34" t="s">
        <v>207</v>
      </c>
      <c r="C67" s="28"/>
      <c r="D67" s="28"/>
      <c r="E67" s="133"/>
      <c r="F67" s="157">
        <v>0</v>
      </c>
      <c r="G67" s="152">
        <v>0</v>
      </c>
      <c r="H67" s="152">
        <v>0</v>
      </c>
      <c r="I67" s="152">
        <v>0</v>
      </c>
      <c r="J67" s="152">
        <v>0</v>
      </c>
      <c r="K67" s="291"/>
      <c r="L67" s="291"/>
      <c r="M67" s="152">
        <v>0</v>
      </c>
      <c r="N67" s="152">
        <v>0</v>
      </c>
      <c r="O67" s="152">
        <v>0</v>
      </c>
      <c r="P67" s="152">
        <v>0</v>
      </c>
      <c r="Q67" s="152">
        <v>0</v>
      </c>
      <c r="R67" s="152">
        <v>0</v>
      </c>
      <c r="S67" s="152">
        <v>0</v>
      </c>
      <c r="T67" s="152">
        <v>0</v>
      </c>
      <c r="U67" s="152">
        <v>0</v>
      </c>
      <c r="V67" s="152">
        <v>0</v>
      </c>
      <c r="W67" s="152">
        <v>0</v>
      </c>
      <c r="X67" s="152">
        <v>0</v>
      </c>
      <c r="Y67" s="282"/>
      <c r="Z67" s="282"/>
      <c r="AA67" s="282"/>
      <c r="AB67" s="158">
        <v>0</v>
      </c>
      <c r="AC67" s="282"/>
      <c r="AD67" s="152">
        <v>0</v>
      </c>
      <c r="AE67" s="92"/>
      <c r="AF67" s="92"/>
      <c r="AG67" s="92"/>
      <c r="AH67" s="92"/>
      <c r="AI67" s="92"/>
      <c r="AJ67" s="92"/>
      <c r="AK67" s="92"/>
      <c r="AL67" s="92"/>
      <c r="AM67" s="60"/>
      <c r="AN67" s="52"/>
      <c r="AO67" s="52"/>
    </row>
    <row r="68" spans="1:41" ht="15.75" thickBot="1">
      <c r="A68" s="117">
        <f t="shared" si="0"/>
        <v>55</v>
      </c>
      <c r="B68" s="34" t="s">
        <v>208</v>
      </c>
      <c r="C68" s="28"/>
      <c r="D68" s="28"/>
      <c r="E68" s="212" t="s">
        <v>384</v>
      </c>
      <c r="F68" s="218">
        <v>11387.410432961708</v>
      </c>
      <c r="G68" s="156">
        <v>-3762.4302737724784</v>
      </c>
      <c r="H68" s="156">
        <v>-27144.22422968944</v>
      </c>
      <c r="I68" s="156">
        <v>-3409.641357192773</v>
      </c>
      <c r="J68" s="156">
        <v>-3415.5048848921588</v>
      </c>
      <c r="K68" s="290"/>
      <c r="L68" s="290"/>
      <c r="M68" s="156">
        <v>982.1408896471014</v>
      </c>
      <c r="N68" s="156">
        <v>1930.388925243</v>
      </c>
      <c r="O68" s="156">
        <v>-178</v>
      </c>
      <c r="P68" s="156">
        <v>0</v>
      </c>
      <c r="Q68" s="156">
        <v>1810.7063281123967</v>
      </c>
      <c r="R68" s="156">
        <v>0</v>
      </c>
      <c r="S68" s="156">
        <v>0</v>
      </c>
      <c r="T68" s="156">
        <v>0</v>
      </c>
      <c r="U68" s="156">
        <v>1668.7823885373364</v>
      </c>
      <c r="V68" s="156">
        <v>15585.0696779256</v>
      </c>
      <c r="W68" s="156">
        <v>0</v>
      </c>
      <c r="X68" s="156">
        <v>11614</v>
      </c>
      <c r="Y68" s="281"/>
      <c r="Z68" s="281"/>
      <c r="AA68" s="281"/>
      <c r="AB68" s="215">
        <v>11334.981038261443</v>
      </c>
      <c r="AC68" s="272"/>
      <c r="AD68" s="218">
        <v>-8124.65478991155</v>
      </c>
      <c r="AE68" s="91"/>
      <c r="AF68" s="91"/>
      <c r="AG68" s="91"/>
      <c r="AH68" s="91"/>
      <c r="AI68" s="91"/>
      <c r="AJ68" s="91"/>
      <c r="AK68" s="91"/>
      <c r="AL68" s="91"/>
      <c r="AM68" s="60"/>
      <c r="AN68" s="52"/>
      <c r="AO68" s="52"/>
    </row>
    <row r="69" spans="1:41" ht="15.75" thickBot="1">
      <c r="A69" s="117">
        <f t="shared" si="0"/>
        <v>56</v>
      </c>
      <c r="B69" s="34" t="s">
        <v>209</v>
      </c>
      <c r="C69" s="28"/>
      <c r="D69" s="28"/>
      <c r="E69" s="211"/>
      <c r="F69" s="256">
        <v>0</v>
      </c>
      <c r="G69" s="257"/>
      <c r="H69" s="257"/>
      <c r="I69" s="257"/>
      <c r="J69" s="257"/>
      <c r="K69" s="280"/>
      <c r="L69" s="280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82"/>
      <c r="Z69" s="282"/>
      <c r="AA69" s="282"/>
      <c r="AB69" s="158"/>
      <c r="AC69" s="282"/>
      <c r="AD69" s="152"/>
      <c r="AE69" s="92"/>
      <c r="AF69" s="92"/>
      <c r="AG69" s="92"/>
      <c r="AH69" s="92"/>
      <c r="AI69" s="92"/>
      <c r="AJ69" s="92"/>
      <c r="AK69" s="92"/>
      <c r="AL69" s="92"/>
      <c r="AM69" s="60"/>
      <c r="AN69" s="52"/>
      <c r="AO69" s="52"/>
    </row>
    <row r="70" spans="1:41" ht="15.75" thickBot="1">
      <c r="A70" s="117">
        <f t="shared" si="0"/>
        <v>57</v>
      </c>
      <c r="B70" s="34" t="s">
        <v>210</v>
      </c>
      <c r="C70" s="28"/>
      <c r="D70" s="28"/>
      <c r="E70" s="211" t="s">
        <v>385</v>
      </c>
      <c r="F70" s="255">
        <v>3985.593651536594</v>
      </c>
      <c r="G70" s="159">
        <v>-1316.8505958203673</v>
      </c>
      <c r="H70" s="159">
        <v>-9500.478480391303</v>
      </c>
      <c r="I70" s="159">
        <v>-1193.3744750174703</v>
      </c>
      <c r="J70" s="159">
        <v>-1195.4267097122554</v>
      </c>
      <c r="K70" s="292"/>
      <c r="L70" s="292"/>
      <c r="M70" s="159">
        <v>343.7493113764855</v>
      </c>
      <c r="N70" s="159">
        <v>675.63612383505</v>
      </c>
      <c r="O70" s="159">
        <v>-62.3</v>
      </c>
      <c r="P70" s="159">
        <v>0</v>
      </c>
      <c r="Q70" s="159">
        <v>633.7472148393388</v>
      </c>
      <c r="R70" s="159">
        <v>0</v>
      </c>
      <c r="S70" s="159">
        <v>0</v>
      </c>
      <c r="T70" s="159">
        <v>0</v>
      </c>
      <c r="U70" s="159">
        <v>584.0738359880677</v>
      </c>
      <c r="V70" s="159">
        <v>5454.774387273959</v>
      </c>
      <c r="W70" s="159">
        <v>0</v>
      </c>
      <c r="X70" s="159">
        <v>4064.9</v>
      </c>
      <c r="Y70" s="282"/>
      <c r="Z70" s="282"/>
      <c r="AA70" s="282"/>
      <c r="AB70" s="216">
        <v>3967.2433633915048</v>
      </c>
      <c r="AC70" s="272"/>
      <c r="AD70" s="218">
        <v>-2843.6291764690422</v>
      </c>
      <c r="AE70" s="92"/>
      <c r="AF70" s="92"/>
      <c r="AG70" s="92"/>
      <c r="AH70" s="92"/>
      <c r="AI70" s="92"/>
      <c r="AJ70" s="92"/>
      <c r="AK70" s="92"/>
      <c r="AL70" s="92"/>
      <c r="AM70" s="60"/>
      <c r="AN70" s="52"/>
      <c r="AO70" s="52"/>
    </row>
    <row r="71" spans="1:41" ht="12.75">
      <c r="A71" s="58">
        <f t="shared" si="0"/>
        <v>58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61"/>
      <c r="AA71" s="61"/>
      <c r="AB71" s="61"/>
      <c r="AC71" s="61"/>
      <c r="AD71" s="49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</row>
    <row r="72" spans="1:41" ht="12.75">
      <c r="A72" s="58">
        <f t="shared" si="0"/>
        <v>59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61"/>
      <c r="AA72" s="49"/>
      <c r="AB72" s="61"/>
      <c r="AC72" s="49"/>
      <c r="AD72" s="49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</row>
    <row r="73" spans="1:41" ht="12.75">
      <c r="A73" s="58">
        <f t="shared" si="0"/>
        <v>60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61"/>
      <c r="AA73" s="49"/>
      <c r="AB73" s="61"/>
      <c r="AC73" s="49"/>
      <c r="AD73" s="49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</row>
    <row r="74" spans="1:41" ht="12.75">
      <c r="A74" s="58">
        <f t="shared" si="0"/>
        <v>61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61"/>
      <c r="AA74" s="49"/>
      <c r="AB74" s="61"/>
      <c r="AC74" s="49"/>
      <c r="AD74" s="49"/>
      <c r="AE74" s="52"/>
      <c r="AF74" s="52"/>
      <c r="AG74" s="52"/>
      <c r="AH74" s="52"/>
      <c r="AI74" s="52"/>
      <c r="AJ74" s="52"/>
      <c r="AK74" s="52"/>
      <c r="AL74" s="52"/>
      <c r="AM74" s="49"/>
      <c r="AN74" s="49"/>
      <c r="AO74" s="49"/>
    </row>
    <row r="75" spans="1:41" ht="12.75">
      <c r="A75" s="58">
        <f t="shared" si="0"/>
        <v>62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61"/>
      <c r="AA75" s="49"/>
      <c r="AB75" s="61"/>
      <c r="AC75" s="49"/>
      <c r="AD75" s="49"/>
      <c r="AE75" s="52"/>
      <c r="AF75" s="52"/>
      <c r="AG75" s="52"/>
      <c r="AH75" s="52"/>
      <c r="AI75" s="52"/>
      <c r="AJ75" s="52"/>
      <c r="AK75" s="52"/>
      <c r="AL75" s="52"/>
      <c r="AM75" s="49"/>
      <c r="AN75" s="49"/>
      <c r="AO75" s="49"/>
    </row>
    <row r="76" spans="1:41" ht="15">
      <c r="A76" s="58">
        <f t="shared" si="0"/>
        <v>63</v>
      </c>
      <c r="B76" s="22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61"/>
      <c r="AA76" s="49"/>
      <c r="AB76" s="61"/>
      <c r="AC76" s="49"/>
      <c r="AD76" s="49"/>
      <c r="AE76" s="52"/>
      <c r="AF76" s="52"/>
      <c r="AG76" s="52"/>
      <c r="AH76" s="52"/>
      <c r="AI76" s="52"/>
      <c r="AJ76" s="52"/>
      <c r="AK76" s="52"/>
      <c r="AL76" s="52"/>
      <c r="AM76" s="49"/>
      <c r="AN76" s="49"/>
      <c r="AO76" s="49"/>
    </row>
    <row r="77" spans="1:41" ht="15">
      <c r="A77" s="58">
        <f t="shared" si="0"/>
        <v>64</v>
      </c>
      <c r="B77" s="23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61"/>
      <c r="AA77" s="49"/>
      <c r="AB77" s="61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</row>
    <row r="78" spans="1:41" ht="15">
      <c r="A78" s="58">
        <f t="shared" si="0"/>
        <v>65</v>
      </c>
      <c r="B78" s="23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61"/>
      <c r="AA78" s="49"/>
      <c r="AB78" s="61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</row>
    <row r="79" spans="1:41" ht="15">
      <c r="A79" s="58">
        <f aca="true" t="shared" si="1" ref="A79:A84">+A78+1</f>
        <v>66</v>
      </c>
      <c r="B79" s="23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61"/>
      <c r="AA79" s="49"/>
      <c r="AB79" s="61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</row>
    <row r="80" spans="1:41" ht="15">
      <c r="A80" s="58">
        <f t="shared" si="1"/>
        <v>67</v>
      </c>
      <c r="B80" s="23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61"/>
      <c r="AA80" s="49"/>
      <c r="AB80" s="61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</row>
    <row r="81" spans="1:41" ht="15">
      <c r="A81" s="58">
        <f t="shared" si="1"/>
        <v>68</v>
      </c>
      <c r="B81" s="23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61"/>
      <c r="AA81" s="49"/>
      <c r="AB81" s="61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</row>
    <row r="82" spans="1:41" ht="15">
      <c r="A82" s="58">
        <f t="shared" si="1"/>
        <v>69</v>
      </c>
      <c r="B82" s="24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61"/>
      <c r="AA82" s="49"/>
      <c r="AB82" s="61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</row>
    <row r="83" spans="1:41" ht="15">
      <c r="A83" s="58">
        <f t="shared" si="1"/>
        <v>70</v>
      </c>
      <c r="B83" s="2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61"/>
      <c r="AA83" s="49"/>
      <c r="AB83" s="61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</row>
    <row r="84" spans="1:41" ht="12.75">
      <c r="A84" s="58">
        <f t="shared" si="1"/>
        <v>71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61"/>
      <c r="AA84" s="49"/>
      <c r="AB84" s="61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</row>
    <row r="85" spans="1:41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61"/>
      <c r="AA85" s="49"/>
      <c r="AB85" s="61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</row>
    <row r="86" spans="1:41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61"/>
      <c r="AA86" s="49"/>
      <c r="AB86" s="61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</row>
    <row r="87" spans="1:41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61"/>
      <c r="AA87" s="49"/>
      <c r="AB87" s="61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</row>
  </sheetData>
  <mergeCells count="2">
    <mergeCell ref="F3:N3"/>
    <mergeCell ref="K6:L6"/>
  </mergeCells>
  <printOptions/>
  <pageMargins left="0.75" right="0.75" top="0.84" bottom="0.39" header="0.52" footer="0.46"/>
  <pageSetup fitToWidth="0" fitToHeight="1" horizontalDpi="300" verticalDpi="300" orientation="landscape" scale="45" r:id="rId1"/>
  <headerFooter alignWithMargins="0">
    <oddHeader>&amp;R&amp;12Exhibit No. ___C (PMS-12C), Page &amp;P
Docket No. UT-040788
Witness:  Paula Strain
November 22,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Strain</dc:creator>
  <cp:keywords/>
  <dc:description/>
  <cp:lastModifiedBy>PStrain</cp:lastModifiedBy>
  <cp:lastPrinted>2005-01-14T03:00:16Z</cp:lastPrinted>
  <dcterms:created xsi:type="dcterms:W3CDTF">2004-09-21T20:54:20Z</dcterms:created>
  <dcterms:modified xsi:type="dcterms:W3CDTF">2005-01-14T03:07:48Z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2005-01-14T00:00:00Z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