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420" windowWidth="11970" windowHeight="3315" tabRatio="590" activeTab="0"/>
  </bookViews>
  <sheets>
    <sheet name="REVISED Summary " sheetId="1" r:id="rId1"/>
    <sheet name="Staff P5" sheetId="2" r:id="rId2"/>
    <sheet name="Staff P6" sheetId="3" r:id="rId3"/>
    <sheet name="Staff P21" sheetId="4" r:id="rId4"/>
    <sheet name="REVISED 1-14-05 Staff SP25" sheetId="5" r:id="rId5"/>
    <sheet name="REVISED 1-14-05 Staff P17" sheetId="6" r:id="rId6"/>
    <sheet name="Staff P17.1 " sheetId="7" r:id="rId7"/>
    <sheet name="Staff 17.2 print version" sheetId="8" r:id="rId8"/>
    <sheet name="Staff 17.2 " sheetId="9" r:id="rId9"/>
    <sheet name=" Rev 1-05 Staff DSL Plant" sheetId="10" r:id="rId10"/>
    <sheet name="RVD 1-05 Staff Spec. Acc. Plt." sheetId="11" r:id="rId11"/>
  </sheets>
  <definedNames>
    <definedName name="_xlnm.Print_Area" localSheetId="5">'REVISED 1-14-05 Staff P17'!$A$1:$J$57</definedName>
    <definedName name="_xlnm.Print_Area" localSheetId="0">'REVISED Summary '!$A$12:$J$118</definedName>
    <definedName name="_xlnm.Print_Area" localSheetId="8">'Staff 17.2 '!$P$7:$X$108</definedName>
    <definedName name="_xlnm.Print_Area" localSheetId="7">'Staff 17.2 print version'!$A$1:$J$71</definedName>
    <definedName name="_xlnm.Print_Area" localSheetId="3">'Staff P21'!$A$1:$K$46</definedName>
    <definedName name="_xlnm.Print_Area" localSheetId="1">'Staff P5'!$A$1:$L$36</definedName>
    <definedName name="_xlnm.Print_Area" localSheetId="2">'Staff P6'!$A$1:$J$36</definedName>
    <definedName name="_xlnm.Print_Titles" localSheetId="0">'REVISED Summary '!$1:$10</definedName>
    <definedName name="_xlnm.Print_Titles" localSheetId="8">'Staff 17.2 '!$A:$B,'Staff 17.2 '!$1:$5</definedName>
  </definedNames>
  <calcPr fullCalcOnLoad="1"/>
</workbook>
</file>

<file path=xl/comments5.xml><?xml version="1.0" encoding="utf-8"?>
<comments xmlns="http://schemas.openxmlformats.org/spreadsheetml/2006/main">
  <authors>
    <author>PStrain</author>
  </authors>
  <commentList>
    <comment ref="G19" authorId="0">
      <text>
        <r>
          <rPr>
            <b/>
            <sz val="8"/>
            <rFont val="Tahoma"/>
            <family val="0"/>
          </rPr>
          <t>PStrain:</t>
        </r>
        <r>
          <rPr>
            <sz val="8"/>
            <rFont val="Tahoma"/>
            <family val="0"/>
          </rPr>
          <t xml:space="preserve">
rev reduction for 100 mbps TLS due to rate reduction, rev incr. In 1000 mbps TLS
</t>
        </r>
      </text>
    </comment>
  </commentList>
</comments>
</file>

<file path=xl/sharedStrings.xml><?xml version="1.0" encoding="utf-8"?>
<sst xmlns="http://schemas.openxmlformats.org/spreadsheetml/2006/main" count="847" uniqueCount="480">
  <si>
    <t xml:space="preserve">Line </t>
  </si>
  <si>
    <t>No.</t>
  </si>
  <si>
    <t>Description</t>
  </si>
  <si>
    <t xml:space="preserve"> </t>
  </si>
  <si>
    <t>Code</t>
  </si>
  <si>
    <t>Amount</t>
  </si>
  <si>
    <t>Inc (Dec)</t>
  </si>
  <si>
    <t>CAM</t>
  </si>
  <si>
    <t>Factor</t>
  </si>
  <si>
    <t>Intrastate</t>
  </si>
  <si>
    <t>Adjust.</t>
  </si>
  <si>
    <t>P1</t>
  </si>
  <si>
    <t>P5</t>
  </si>
  <si>
    <t>P7</t>
  </si>
  <si>
    <t>P8</t>
  </si>
  <si>
    <t>656X</t>
  </si>
  <si>
    <t>67XX</t>
  </si>
  <si>
    <t>(a)</t>
  </si>
  <si>
    <t>(b)</t>
  </si>
  <si>
    <t>(c)</t>
  </si>
  <si>
    <t>(d)</t>
  </si>
  <si>
    <t>61XX-64XX</t>
  </si>
  <si>
    <t>65XX</t>
  </si>
  <si>
    <t>66XX</t>
  </si>
  <si>
    <t>5001-506X</t>
  </si>
  <si>
    <t>(Thousands of Dollars)</t>
  </si>
  <si>
    <t>2004 Washington General Rate Case</t>
  </si>
  <si>
    <t>2XXX</t>
  </si>
  <si>
    <t>P10</t>
  </si>
  <si>
    <t>P2</t>
  </si>
  <si>
    <t>P11</t>
  </si>
  <si>
    <t>P3</t>
  </si>
  <si>
    <t>Proforma Adjustment</t>
  </si>
  <si>
    <t>P4</t>
  </si>
  <si>
    <t>Uncollectible Actual Writeoff</t>
  </si>
  <si>
    <t>Account</t>
  </si>
  <si>
    <t>Revenue Related Price Change - TLS (533/12*5)</t>
  </si>
  <si>
    <t>Total</t>
  </si>
  <si>
    <t>Accumulated Depreciation Reserve</t>
  </si>
  <si>
    <t>SFAS 106</t>
  </si>
  <si>
    <t>Investor Supplied Working Capital</t>
  </si>
  <si>
    <t>52XX</t>
  </si>
  <si>
    <t>Revenue Related Price Change - Inmate Corrections Collect Calls</t>
  </si>
  <si>
    <t>(434/12*5.5)</t>
  </si>
  <si>
    <t>P6</t>
  </si>
  <si>
    <t>4XXX</t>
  </si>
  <si>
    <t xml:space="preserve">SFAS 106 </t>
  </si>
  <si>
    <t>P12</t>
  </si>
  <si>
    <t>P13</t>
  </si>
  <si>
    <t>P14</t>
  </si>
  <si>
    <t>P15</t>
  </si>
  <si>
    <t>VERIZON NORTHWEST INC. - WASHINGTON OPERATIONS</t>
  </si>
  <si>
    <t>Revenue Related to Price Changes for Corrections Collect Calls.  The Tariff was filed on February 12, 2003, Advice No. 3072 &amp; No. 3073 and became effective on March 14, 2003. The estimated annual revenue impact of this new service is an increase of $434.  This proforma is to increase revenues for the 5 1/2 months not included in the test year.</t>
  </si>
  <si>
    <t>3XXX</t>
  </si>
  <si>
    <t>Telecom Plant In Service</t>
  </si>
  <si>
    <t>Depreciation expense</t>
  </si>
  <si>
    <t>P17</t>
  </si>
  <si>
    <t>Source:  Tariff Filing</t>
  </si>
  <si>
    <t>See Associated Tariff Filing</t>
  </si>
  <si>
    <t xml:space="preserve">Proforma </t>
  </si>
  <si>
    <t>Pension Asset</t>
  </si>
  <si>
    <t>Expense</t>
  </si>
  <si>
    <t>Source:</t>
  </si>
  <si>
    <t>Uncollectibles</t>
  </si>
  <si>
    <t>P18</t>
  </si>
  <si>
    <t>P19</t>
  </si>
  <si>
    <t>Salary, Wages, Benefits &amp; Other Employee Benefits</t>
  </si>
  <si>
    <t>Recognition of SFAS 106 (Liability)</t>
  </si>
  <si>
    <t>Recognition of SFAS 106 (Capital)</t>
  </si>
  <si>
    <t>(e)</t>
  </si>
  <si>
    <t>Test Year</t>
  </si>
  <si>
    <t>(f)</t>
  </si>
  <si>
    <t>P20</t>
  </si>
  <si>
    <t>Staff Adjustment to Verizon Revenue-Related Proforma</t>
  </si>
  <si>
    <t>Difference</t>
  </si>
  <si>
    <t>New Service Proforma</t>
  </si>
  <si>
    <t>Less test year revenue - 7 months at $533 annually</t>
  </si>
  <si>
    <t>Verizon</t>
  </si>
  <si>
    <t>Staff</t>
  </si>
  <si>
    <t>Revenue Related Price Changes - Transparent LAN Service</t>
  </si>
  <si>
    <t>Revenue Related Price Changes  -  Corrections Collect Calls</t>
  </si>
  <si>
    <t xml:space="preserve">Revenue Related Price Changes - CentraNet CustoPak Promotion </t>
  </si>
  <si>
    <t>P21</t>
  </si>
  <si>
    <t>Less test year revenue - 6.5 months at $434 annually</t>
  </si>
  <si>
    <t>Staff Witness:  Paula Strain</t>
  </si>
  <si>
    <t>(Whole Dollars)</t>
  </si>
  <si>
    <t xml:space="preserve">This pro forma adjustment is to increase revenue for new tariff filings for months not included in the test year. </t>
  </si>
  <si>
    <t>Annual / 12</t>
  </si>
  <si>
    <t>WUTC</t>
  </si>
  <si>
    <t>Months</t>
  </si>
  <si>
    <t xml:space="preserve">times </t>
  </si>
  <si>
    <t>Revenue</t>
  </si>
  <si>
    <t>Advice</t>
  </si>
  <si>
    <t>Docket</t>
  </si>
  <si>
    <t>Effective</t>
  </si>
  <si>
    <t>Annual</t>
  </si>
  <si>
    <t>not in</t>
  </si>
  <si>
    <t>Row</t>
  </si>
  <si>
    <t>Number</t>
  </si>
  <si>
    <t>FCC Account</t>
  </si>
  <si>
    <t>Date</t>
  </si>
  <si>
    <t>Test Yr</t>
  </si>
  <si>
    <t>Not in TY</t>
  </si>
  <si>
    <t>( a )</t>
  </si>
  <si>
    <t>( b )</t>
  </si>
  <si>
    <t>( c )</t>
  </si>
  <si>
    <t>( d )</t>
  </si>
  <si>
    <t>( e )</t>
  </si>
  <si>
    <t>( f )</t>
  </si>
  <si>
    <t>( g )</t>
  </si>
  <si>
    <t>( h = f / 12 * g )</t>
  </si>
  <si>
    <t>( i )</t>
  </si>
  <si>
    <t>( j )</t>
  </si>
  <si>
    <t>UT-030282</t>
  </si>
  <si>
    <t>CyberDS1 Term and Volume Plan</t>
  </si>
  <si>
    <t>UT-030910</t>
  </si>
  <si>
    <t>New Frame Relay Rate Structure</t>
  </si>
  <si>
    <t>Total in whole dollars</t>
  </si>
  <si>
    <t>Summary in Thousands of Dollars:</t>
  </si>
  <si>
    <t>Local Revenues</t>
  </si>
  <si>
    <t>Network Access Revenue- Intrastate</t>
  </si>
  <si>
    <t>Total in thousands of dollars</t>
  </si>
  <si>
    <t>Witness:  Paula Strain</t>
  </si>
  <si>
    <t>Staff Proforma for Additional Revenue</t>
  </si>
  <si>
    <t>Difference:   Line 6 less Line 1</t>
  </si>
  <si>
    <t>Revenue at Year 2 level, beginning March 1, 2004:</t>
  </si>
  <si>
    <t>Revenue at Year 2 level, beginning March 15, 2004:</t>
  </si>
  <si>
    <t xml:space="preserve">Test Year </t>
  </si>
  <si>
    <t>Staff Adjustment:  To recognize revenue levels expected during period rates will be in effect</t>
  </si>
  <si>
    <t xml:space="preserve">Staff Adjustment: To recognize revenue level expected during period rates will be in effect </t>
  </si>
  <si>
    <t xml:space="preserve">Cyber DS1:  </t>
  </si>
  <si>
    <t>Revenues Year 2, beginning 3/21/04</t>
  </si>
  <si>
    <t>less test year revenue per Verizon (col. (f) - col (h)</t>
  </si>
  <si>
    <t xml:space="preserve"> Account 5001</t>
  </si>
  <si>
    <t>Frame Relay:</t>
  </si>
  <si>
    <t>Revenues Year 2, beginning 7/10/04</t>
  </si>
  <si>
    <t>Account 5086</t>
  </si>
  <si>
    <t>Difference - Staff adjustment less Company adjustment</t>
  </si>
  <si>
    <t>Revenue Related Price Changes  - Cyber DS1</t>
  </si>
  <si>
    <t>Revenue Related Price Changes  - Frame Relay</t>
  </si>
  <si>
    <t>Verizon Northwest Inc.- Washington Operations</t>
  </si>
  <si>
    <t>Revised September 2004</t>
  </si>
  <si>
    <t xml:space="preserve">2004 General Rate Case </t>
  </si>
  <si>
    <t xml:space="preserve">Proforma Change in Depreciation Expense </t>
  </si>
  <si>
    <t>For 12 Months Ending September, 2003</t>
  </si>
  <si>
    <t>(A)</t>
  </si>
  <si>
    <t>(B)</t>
  </si>
  <si>
    <t>(C)</t>
  </si>
  <si>
    <t>(D)</t>
  </si>
  <si>
    <t>(E)</t>
  </si>
  <si>
    <t>(I)</t>
  </si>
  <si>
    <t>UT-992009</t>
  </si>
  <si>
    <t>Current</t>
  </si>
  <si>
    <t xml:space="preserve">Line No </t>
  </si>
  <si>
    <t>Acct</t>
  </si>
  <si>
    <t xml:space="preserve">Balance for </t>
  </si>
  <si>
    <t>Rate</t>
  </si>
  <si>
    <t>Change</t>
  </si>
  <si>
    <t>I=H-F</t>
  </si>
  <si>
    <t>2111</t>
  </si>
  <si>
    <t>Land</t>
  </si>
  <si>
    <t xml:space="preserve">2112   </t>
  </si>
  <si>
    <t>Motor Vehicles</t>
  </si>
  <si>
    <t>Tools &amp; Other Work Eq</t>
  </si>
  <si>
    <t xml:space="preserve">2121   </t>
  </si>
  <si>
    <t>Buildings</t>
  </si>
  <si>
    <t xml:space="preserve">2122   </t>
  </si>
  <si>
    <t>Furniture</t>
  </si>
  <si>
    <t>Office Support/Comp Comm.  Eq</t>
  </si>
  <si>
    <t xml:space="preserve">2124   </t>
  </si>
  <si>
    <t>Computers</t>
  </si>
  <si>
    <t xml:space="preserve">2212   </t>
  </si>
  <si>
    <t>Digital Switching</t>
  </si>
  <si>
    <t xml:space="preserve">2220   </t>
  </si>
  <si>
    <t>Operator Systems</t>
  </si>
  <si>
    <t xml:space="preserve">2231   </t>
  </si>
  <si>
    <t>Radio Systems</t>
  </si>
  <si>
    <t xml:space="preserve">2232   </t>
  </si>
  <si>
    <t>Circuit Equipment</t>
  </si>
  <si>
    <t xml:space="preserve">2362   </t>
  </si>
  <si>
    <t>Other Terminal Eq</t>
  </si>
  <si>
    <t xml:space="preserve">2411   </t>
  </si>
  <si>
    <t>Poles</t>
  </si>
  <si>
    <t>Aerial Cable</t>
  </si>
  <si>
    <t xml:space="preserve">U.G. Cable </t>
  </si>
  <si>
    <t>Buried Cable</t>
  </si>
  <si>
    <t>Submarine Cable</t>
  </si>
  <si>
    <t>2426</t>
  </si>
  <si>
    <t>Intrabldg Cable</t>
  </si>
  <si>
    <t xml:space="preserve">2441   </t>
  </si>
  <si>
    <t>Conduit Systems</t>
  </si>
  <si>
    <t>Capital Lease</t>
  </si>
  <si>
    <t>Leasehold Improvement</t>
  </si>
  <si>
    <t>Network Software</t>
  </si>
  <si>
    <t xml:space="preserve">Total </t>
  </si>
  <si>
    <t>Note:</t>
  </si>
  <si>
    <t>2115 &amp; 2116 combined to 2116</t>
  </si>
  <si>
    <t>2431 combined with 2421</t>
  </si>
  <si>
    <t xml:space="preserve">Staff </t>
  </si>
  <si>
    <t>(G)</t>
  </si>
  <si>
    <t>(H)</t>
  </si>
  <si>
    <t>Staff Adjustment:  To recognize revenue level expected during period rates will be in effect.</t>
  </si>
  <si>
    <r>
      <t xml:space="preserve">Revenue Related to Price Changes for Transparent LAN Services (TLS).  The Tariff was filed on January 30, 2003, Advice No. 3070, and became effective on March 1, 2003. The estimated annual revenue impact of this new service is an increase of $533.  The Company proforma is to increase revenues for the 5 months not included in the test year.  </t>
    </r>
    <r>
      <rPr>
        <b/>
        <sz val="10"/>
        <rFont val="Arial"/>
        <family val="2"/>
      </rPr>
      <t>Note:  This is a 100% intrastate regulated service.</t>
    </r>
  </si>
  <si>
    <t>Adjustment</t>
  </si>
  <si>
    <t xml:space="preserve">Total Revenue Adjustments </t>
  </si>
  <si>
    <t>Total Expense Adjustments</t>
  </si>
  <si>
    <t>Total Rate Base Adjustments</t>
  </si>
  <si>
    <t>Description and Revisions to Proforma Adjustments</t>
  </si>
  <si>
    <t>SP22</t>
  </si>
  <si>
    <t>Witness</t>
  </si>
  <si>
    <t>Strain</t>
  </si>
  <si>
    <t>Erdahl</t>
  </si>
  <si>
    <t>Zawislak</t>
  </si>
  <si>
    <t xml:space="preserve">To reflect impact of plant additions and retirements and effect of </t>
  </si>
  <si>
    <t xml:space="preserve">     depreciation rates proposed by Company in Docket No. UT-040520</t>
  </si>
  <si>
    <t>To amortize Management Voluntary Separation Program costs over 5 years,</t>
  </si>
  <si>
    <t xml:space="preserve">  net of annual savings</t>
  </si>
  <si>
    <t xml:space="preserve">To record Gross Receipts Tax and WUTC Regulatory Fees on </t>
  </si>
  <si>
    <t xml:space="preserve">  Proforma Revenue Adjustments </t>
  </si>
  <si>
    <t>Description of Company Proposed Adjustments</t>
  </si>
  <si>
    <t>To record Uncollectibles Applicable to Company Proforma Revenue Adjustments</t>
  </si>
  <si>
    <t>To record Projected Rate Case Expense amortized over 3 years</t>
  </si>
  <si>
    <t>To adjust test year for wage increases, benefit cost</t>
  </si>
  <si>
    <t>increases, and reductions in employee headcount</t>
  </si>
  <si>
    <t>Line Sharing Imputation Pro forma  **CONFIDENTIAL***</t>
  </si>
  <si>
    <t>SP23</t>
  </si>
  <si>
    <t>Test Year - October 2002 to September 2003</t>
  </si>
  <si>
    <t>Interstate</t>
  </si>
  <si>
    <t>No. Lines</t>
  </si>
  <si>
    <t>%</t>
  </si>
  <si>
    <t>source/ref</t>
  </si>
  <si>
    <t>Special Access:</t>
  </si>
  <si>
    <t xml:space="preserve"> Company</t>
  </si>
  <si>
    <t xml:space="preserve">Response </t>
  </si>
  <si>
    <t>to</t>
  </si>
  <si>
    <t>Private Lines</t>
  </si>
  <si>
    <t>DR # 521</t>
  </si>
  <si>
    <t>Total - Special &amp; Private</t>
  </si>
  <si>
    <t>Line 4 + Line 7</t>
  </si>
  <si>
    <t>Line 5 + Line 8</t>
  </si>
  <si>
    <t>Test Year Average - Dedicated Lines</t>
  </si>
  <si>
    <t>Avg Lines 10&amp;11</t>
  </si>
  <si>
    <t>Switched Lines</t>
  </si>
  <si>
    <t>Co. Resp. to</t>
  </si>
  <si>
    <t>Staff DR #521</t>
  </si>
  <si>
    <t>Test Year Average - Switched Lines</t>
  </si>
  <si>
    <t>Avg. Lines 16&amp;17</t>
  </si>
  <si>
    <t>Access Lines in Service</t>
  </si>
  <si>
    <t>Lines 10 + 16</t>
  </si>
  <si>
    <t>Lines 11 + 17</t>
  </si>
  <si>
    <t>Test Year Average - All Lines</t>
  </si>
  <si>
    <t>Avg. lines 21&amp;22</t>
  </si>
  <si>
    <t>Test Year Investment</t>
  </si>
  <si>
    <t xml:space="preserve">  in Cable &amp; Wire Facilities, Acct. 2410</t>
  </si>
  <si>
    <t>$</t>
  </si>
  <si>
    <t>Total per Part 36</t>
  </si>
  <si>
    <t>Less Directly Assigned - DR #448</t>
  </si>
  <si>
    <t>Account 2410 Subject to Allocation</t>
  </si>
  <si>
    <t>Line 24</t>
  </si>
  <si>
    <t>Cable &amp; Wire Plant Supporting Intrastate Service</t>
  </si>
  <si>
    <t>Line 34 x Line 36</t>
  </si>
  <si>
    <t>Plus Directly Assigned Intrastate Cable &amp; Wire Plant</t>
  </si>
  <si>
    <t>Staff Calculated Test Year Intrastate Cable &amp; Wire Plant</t>
  </si>
  <si>
    <t>Line 38+ Line 40</t>
  </si>
  <si>
    <t>Staff Adjustment to Company Intrastate Cable &amp; Wire Plant, Account 2410</t>
  </si>
  <si>
    <t>Co. Workpaper A7</t>
  </si>
  <si>
    <t>Remove Special Access Plant Not Used and Useful for Intrastate Service</t>
  </si>
  <si>
    <t>24xx</t>
  </si>
  <si>
    <t>34xx</t>
  </si>
  <si>
    <t>Recognition of SFAS 106 - Other Post Employment Benefits</t>
  </si>
  <si>
    <t>Pro forma Adjustments to Rate Base:</t>
  </si>
  <si>
    <t>SP24</t>
  </si>
  <si>
    <t>Remove DSL-Related Plant Not Used and Useful for Intrastate Service</t>
  </si>
  <si>
    <t>Pro forma Adjustments to Operating Expenses:</t>
  </si>
  <si>
    <t xml:space="preserve">Staff Adjustment to Remove Non-jurisdictional Special Access Plant </t>
  </si>
  <si>
    <t>Co. Work paper A7</t>
  </si>
  <si>
    <t>Percentage of Lines Providing Intrastate Service</t>
  </si>
  <si>
    <t>Accumulated Depreciation per Co. Workpaper A7:</t>
  </si>
  <si>
    <t xml:space="preserve">Accumulated Depreciation as % of total plant, line 30:  </t>
  </si>
  <si>
    <t xml:space="preserve">Staff Adjustment to Company Accumulated Depreciation </t>
  </si>
  <si>
    <t>line 44 x line 47</t>
  </si>
  <si>
    <t>Depreciation Expense Adjustment, using Composite Cable &amp; Wire Depreciation Rate of</t>
  </si>
  <si>
    <t>Co. WP P17.1</t>
  </si>
  <si>
    <t>Test Year Cable &amp; Wire Expenses  - 6410 Category of Part 36, line 1300</t>
  </si>
  <si>
    <t>Staff Adjustments to 6400 Accounts, Ex. No. PMS-11 &amp; 13</t>
  </si>
  <si>
    <t>PMS-11 and PMS-13</t>
  </si>
  <si>
    <t>Adjusted Test Year Cable &amp; Wire Facilities Expenses</t>
  </si>
  <si>
    <t>line 53 + line 54</t>
  </si>
  <si>
    <t>Percentage of Expenses Supporting Intrastate Services</t>
  </si>
  <si>
    <t>line 36</t>
  </si>
  <si>
    <t>Test Year Cable &amp; Wire Expenses Supporting Intrastate Services</t>
  </si>
  <si>
    <t>line 55 x line 56</t>
  </si>
  <si>
    <t>Booked Intrastate Test Year Cable &amp; Wire Expenses</t>
  </si>
  <si>
    <t>line 55 x 75.78% Co. WP A7)</t>
  </si>
  <si>
    <t>Staff Adjustment to Remove Cable &amp; Wire Expenses not supporting</t>
  </si>
  <si>
    <t xml:space="preserve">  Intrastate Services</t>
  </si>
  <si>
    <t>line 57 - line 58</t>
  </si>
  <si>
    <t>To reduce Local Revenues to recognize post-test year volume declines</t>
  </si>
  <si>
    <t>To reduce Toll Revenues to recognize post-test year volume declines</t>
  </si>
  <si>
    <t>To reduce Access Revenues to recognize post-test year volume increases</t>
  </si>
  <si>
    <t>and UT-020406 Access Charge Reduction</t>
  </si>
  <si>
    <t>To reduce Directory, Rents and other Miscellaneous Revenues</t>
  </si>
  <si>
    <t xml:space="preserve">  for post-test year volume declines</t>
  </si>
  <si>
    <t>UT-030710</t>
  </si>
  <si>
    <t>Call Referral Service</t>
  </si>
  <si>
    <t>5001-5060</t>
  </si>
  <si>
    <t>In</t>
  </si>
  <si>
    <t xml:space="preserve">Pro forma </t>
  </si>
  <si>
    <t>(h)</t>
  </si>
  <si>
    <t>UT-030881</t>
  </si>
  <si>
    <t>ISDN Call. ID w/name</t>
  </si>
  <si>
    <t>UT-032078</t>
  </si>
  <si>
    <t>ISDN Term Package</t>
  </si>
  <si>
    <t>UT-040395</t>
  </si>
  <si>
    <t>Trans LAN 1000 mbps</t>
  </si>
  <si>
    <t>UT-040900</t>
  </si>
  <si>
    <t>Local Packages</t>
  </si>
  <si>
    <t>Data Source:  Tariff Filings approved by WUTC.</t>
  </si>
  <si>
    <t>SP25</t>
  </si>
  <si>
    <t>Rate Base Trending</t>
  </si>
  <si>
    <t>F=(E-D)</t>
  </si>
  <si>
    <t>(I)=(G-H)/2</t>
  </si>
  <si>
    <t>(J)=(D+F+I)</t>
  </si>
  <si>
    <t>(F)</t>
  </si>
  <si>
    <t>(J)</t>
  </si>
  <si>
    <t>(K)</t>
  </si>
  <si>
    <t>(L)</t>
  </si>
  <si>
    <t>(M)</t>
  </si>
  <si>
    <t>(N)</t>
  </si>
  <si>
    <t>Gross</t>
  </si>
  <si>
    <t>Retirement</t>
  </si>
  <si>
    <t>Ending Bal</t>
  </si>
  <si>
    <t xml:space="preserve">Line No. </t>
  </si>
  <si>
    <t>13 Mo Avg</t>
  </si>
  <si>
    <t>Level</t>
  </si>
  <si>
    <t>TPIS</t>
  </si>
  <si>
    <t>Adds</t>
  </si>
  <si>
    <t>E15 Total</t>
  </si>
  <si>
    <t xml:space="preserve">Avg </t>
  </si>
  <si>
    <t>: ---&gt;</t>
  </si>
  <si>
    <t>To:  WP P17, Line 1</t>
  </si>
  <si>
    <t>&lt;---:</t>
  </si>
  <si>
    <t>check</t>
  </si>
  <si>
    <t>Check</t>
  </si>
  <si>
    <t>X112</t>
  </si>
  <si>
    <t>X115</t>
  </si>
  <si>
    <t>X116</t>
  </si>
  <si>
    <t>X121</t>
  </si>
  <si>
    <t>Annualizing post-retirement level</t>
  </si>
  <si>
    <t>X122</t>
  </si>
  <si>
    <t>X123</t>
  </si>
  <si>
    <t>X124</t>
  </si>
  <si>
    <t>X212</t>
  </si>
  <si>
    <t>X220</t>
  </si>
  <si>
    <t>X231</t>
  </si>
  <si>
    <t>X232</t>
  </si>
  <si>
    <t>X362</t>
  </si>
  <si>
    <t>X411</t>
  </si>
  <si>
    <t>X421</t>
  </si>
  <si>
    <t>X422</t>
  </si>
  <si>
    <t>X423</t>
  </si>
  <si>
    <t>X424</t>
  </si>
  <si>
    <t>X426</t>
  </si>
  <si>
    <t>X431</t>
  </si>
  <si>
    <t>X441</t>
  </si>
  <si>
    <t xml:space="preserve">-----&gt; To: WP P17 Line 2 </t>
  </si>
  <si>
    <t>Pro forma</t>
  </si>
  <si>
    <t>Plant</t>
  </si>
  <si>
    <t>Balance</t>
  </si>
  <si>
    <t>G=D*F</t>
  </si>
  <si>
    <t>H=E*F</t>
  </si>
  <si>
    <t>I=H-G</t>
  </si>
  <si>
    <t xml:space="preserve">Depreciation Expense:  </t>
  </si>
  <si>
    <t>Proforma Plant Balances times Current Depreciation Rates</t>
  </si>
  <si>
    <t>Staff P17.1</t>
  </si>
  <si>
    <t>Test Year Plant Balances times Current Depreciation Rates</t>
  </si>
  <si>
    <t>Difference - Depreciation Adjusted for Proforma Plant Changes</t>
  </si>
  <si>
    <t>line 5 + 6</t>
  </si>
  <si>
    <t>Accumulated Depreciation Reserve:</t>
  </si>
  <si>
    <t>Depreciation Expense Adjustment  times 1/2 Year</t>
  </si>
  <si>
    <t>Line 7 / 2</t>
  </si>
  <si>
    <t>Co. WP P17.2 (revised)</t>
  </si>
  <si>
    <t>Deferred Tax Effect:</t>
  </si>
  <si>
    <t xml:space="preserve">Staff Adjustment to Company Number: </t>
  </si>
  <si>
    <t>Line 7 - Line 3</t>
  </si>
  <si>
    <t>2xxx</t>
  </si>
  <si>
    <t>Remove Depreciation Expense proposed in Docket UT-040520</t>
  </si>
  <si>
    <t>656x</t>
  </si>
  <si>
    <t>var</t>
  </si>
  <si>
    <t>4xxx</t>
  </si>
  <si>
    <t xml:space="preserve">Uncollectibles </t>
  </si>
  <si>
    <t>To adjust amortization of employee severance expenses to five years</t>
  </si>
  <si>
    <t>Depreciation Expense Calculated on Disallowed Special Access Plant</t>
  </si>
  <si>
    <t>5001-506x</t>
  </si>
  <si>
    <t>Reserve Reduction Calculated on Proforma Decreases in Plant</t>
  </si>
  <si>
    <t>Staff Adjustment to Remove DSL Plant from Rate Base</t>
  </si>
  <si>
    <t xml:space="preserve">Per Verizon Response to Staff DR 524:  </t>
  </si>
  <si>
    <t>DSLAM equipment contained in Account 2232 and allocated between jurisdictions:</t>
  </si>
  <si>
    <t xml:space="preserve">Frozen Intrastate Separations factor used to allocate Account 2232 </t>
  </si>
  <si>
    <t>Co. WP A7</t>
  </si>
  <si>
    <t>Estimated Amount of DSL Plant contained in intrastate circuit equipment account</t>
  </si>
  <si>
    <t>NOTE:  Staff requested test year balances of plant other than DSLAMs used in the provision of</t>
  </si>
  <si>
    <t xml:space="preserve"> surrogate for test year data for purposes of this adjustment.</t>
  </si>
  <si>
    <t>Proposed Disallowance of Plant - Account 2232</t>
  </si>
  <si>
    <t>Accumulated Depreciation Effect based on total account</t>
  </si>
  <si>
    <t>Current Depreciation Rate</t>
  </si>
  <si>
    <t>Depreciation Expense Adjustment</t>
  </si>
  <si>
    <t>DSL services.   The Company responded that the report it provided was for the test year,</t>
  </si>
  <si>
    <t>not available for the test year, but provided data as of October 29, 2004.  Staff is using that data as a</t>
  </si>
  <si>
    <t>Deferred Income Taxes (Line 2 X 35% (FIT))</t>
  </si>
  <si>
    <t>Depreciation Expense Calculated on Disallowed DSL Plant</t>
  </si>
  <si>
    <t>Remove Operating Expenses related to Disallowed Special Access Plant</t>
  </si>
  <si>
    <t>64xx</t>
  </si>
  <si>
    <t>Deferred Tax Effect, using 11.4% deferred tax factor (Exhibit No. ___ (DPK-1)</t>
  </si>
  <si>
    <t>Confid. Att. 524</t>
  </si>
  <si>
    <r>
      <t>Reserve</t>
    </r>
    <r>
      <rPr>
        <sz val="12"/>
        <rFont val="Arial"/>
        <family val="2"/>
      </rPr>
      <t xml:space="preserve"> </t>
    </r>
    <r>
      <rPr>
        <b/>
        <sz val="12"/>
        <rFont val="Arial"/>
        <family val="2"/>
      </rPr>
      <t>Reduction</t>
    </r>
    <r>
      <rPr>
        <sz val="12"/>
        <rFont val="Arial"/>
        <family val="0"/>
      </rPr>
      <t xml:space="preserve"> on Post-Test Year Plant Retirements</t>
    </r>
  </si>
  <si>
    <t>(Correction to Company Calculation)</t>
  </si>
  <si>
    <t>Co. WP P17.2 (revised) times negative 1</t>
  </si>
  <si>
    <t>Staff Adjustment to Company Deferred Tax - Accum. Depr. X 11.4%</t>
  </si>
  <si>
    <t>line 48 x 11.4% (Ex. No. ___ (DPK-1)</t>
  </si>
  <si>
    <t>Reduction to Reserve</t>
  </si>
  <si>
    <t>line 9 + line 10</t>
  </si>
  <si>
    <t>(Line 8 + Line 11) - Line 2</t>
  </si>
  <si>
    <t>Reduce Deferred Taxes Account for reduction to Accum.Depr.</t>
  </si>
  <si>
    <t>Company Adjustment:  This proforma is to reflect the annualized impact of test year retirements.  In addition, this proforma recognizes test period net additions and the impact of the depreciation rate change per docket UT-040520.</t>
  </si>
  <si>
    <t xml:space="preserve">Staff Pro forma Adjustment to Plant In Service and Depreciation </t>
  </si>
  <si>
    <t>Docket UT-040788</t>
  </si>
  <si>
    <t xml:space="preserve">    Company adjustment to accumulated depreciation.</t>
  </si>
  <si>
    <t>Staff Adjustment:  To remove effect of proposed depreciation rate change still pending in Docket UT-040520, and to correct error in</t>
  </si>
  <si>
    <t>Pro forma Adjustments to Operating Revenues:</t>
  </si>
  <si>
    <t>NOTE:  Entries to 3xxx and 4xxx accounts reverse sign on PMS-12</t>
  </si>
  <si>
    <t>Line 4 - Line 5</t>
  </si>
  <si>
    <t>Line 6 - Line 1</t>
  </si>
  <si>
    <t>51XX</t>
  </si>
  <si>
    <t>Additional New Services Revenues ***CONFIDENTIAL***</t>
  </si>
  <si>
    <t>1/2 year</t>
  </si>
  <si>
    <t>Net Adds</t>
  </si>
  <si>
    <t>Docket No. UT-040788</t>
  </si>
  <si>
    <t>Staff Adjustment P5</t>
  </si>
  <si>
    <t>Staff Adjustment to Verizon Revenue-Related Proforma Adjustment P5</t>
  </si>
  <si>
    <t>Staff Adjustment to Verizon Revenue-Related Proforma Adjustment P6</t>
  </si>
  <si>
    <t>Staff Adjustment to Verizon Revenue Pro forma Adjustment P21</t>
  </si>
  <si>
    <t>Staff Adjustment SP23</t>
  </si>
  <si>
    <t>Staff Adjustment SP24</t>
  </si>
  <si>
    <t>Plant in Service Accounts:</t>
  </si>
  <si>
    <t>Garage Work Equipment</t>
  </si>
  <si>
    <t>Aerial Wire</t>
  </si>
  <si>
    <t>Accum. Amort Capital Leased Eq.</t>
  </si>
  <si>
    <t>Other Jurisdictional Liabilities</t>
  </si>
  <si>
    <t>Accumulated Depreciation Accounts:</t>
  </si>
  <si>
    <t xml:space="preserve">Note:  This exhibit is an extract of the electronic version of Staff Exhibit No. ___ (PMS-13), page 10. </t>
  </si>
  <si>
    <t>It has been included here to provide a more legible version of the electronic worksheet.</t>
  </si>
  <si>
    <t>The electronic version of this worksheet contains all formulae and cell references that were in the original filed by Verizon NW.</t>
  </si>
  <si>
    <t>Staff Adjustment P17</t>
  </si>
  <si>
    <t>Staff Adjustment SP25</t>
  </si>
  <si>
    <t>Staff Adjustment P21</t>
  </si>
  <si>
    <t>Staff Adjustment P6</t>
  </si>
  <si>
    <t>Exhibit No. ___ -C (PMS-13-C), page 10</t>
  </si>
  <si>
    <t>Exhibit No. ___ -C(PMS-13-C), page 10</t>
  </si>
  <si>
    <t>Exhibit No. ___ -C (PMS-13-C), page 9</t>
  </si>
  <si>
    <t>Exhibit No. ___ -C (PMS-13-C, Page 8</t>
  </si>
  <si>
    <t>Exhibit No. ___C (PMS-13-C), page 7</t>
  </si>
  <si>
    <t>Exhibit No. ___ -C (PMS-13-C), page 4</t>
  </si>
  <si>
    <t>Exhibit No. ___ -C (PMS-13-C), page 12</t>
  </si>
  <si>
    <t>Exhibit No. ___C (PMS-13-C), page 11</t>
  </si>
  <si>
    <t>Exhibit No. ___C (PMS-13-C), page 6</t>
  </si>
  <si>
    <t>Exhibit No. ___C (PMS-13-C), page 5</t>
  </si>
  <si>
    <t>line 30 + line 31 - line 32</t>
  </si>
  <si>
    <t>Co.Workpaper P17.2 col.(I)</t>
  </si>
  <si>
    <t>Co. Response to Staff DR #448</t>
  </si>
  <si>
    <t>Plus Co. Pro forma Additions in 24xx accounts</t>
  </si>
  <si>
    <t>Line 32 col (c)</t>
  </si>
  <si>
    <t>Line 42 less col (c), Lines 30 + 31</t>
  </si>
  <si>
    <t>Deferred Tax Effect of Depreciation Expense Adjustment</t>
  </si>
  <si>
    <t>Line 12 + 13 - Line 3</t>
  </si>
  <si>
    <t>Revisions indicated by patterned cell background</t>
  </si>
  <si>
    <t>REDACTED VERSION</t>
  </si>
  <si>
    <t>Second Revision January 14, 2005</t>
  </si>
  <si>
    <t>line 11 x 11% (DPK-1)</t>
  </si>
  <si>
    <t xml:space="preserve"> line 8 x 11% (DPK-1)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</si>
</sst>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_);_(&quot;$&quot;* \(#,##0\);_(&quot;$&quot;* &quot;-&quot;??_);_(@_)"/>
    <numFmt numFmtId="168" formatCode="_(* #,##0.000_);_(* \(#,##0.000\);_(* &quot;-&quot;??_);_(@_)"/>
    <numFmt numFmtId="169" formatCode="_(* #,##0.0000_);_(* \(#,##0.0000\);_(* &quot;-&quot;??_);_(@_)"/>
    <numFmt numFmtId="170" formatCode="_(* #,##0.00000_);_(* \(#,##0.00000\);_(* &quot;-&quot;??_);_(@_)"/>
    <numFmt numFmtId="171" formatCode="0.0000%"/>
    <numFmt numFmtId="172" formatCode="0.000%"/>
    <numFmt numFmtId="173" formatCode="#,##0.00000_);\(#,##0.00000\)"/>
    <numFmt numFmtId="174" formatCode="0.00000%"/>
    <numFmt numFmtId="175" formatCode="_(* #,##0.0_);_(* \(#,##0.0\);_(* &quot;-&quot;?_);_(@_)"/>
    <numFmt numFmtId="176" formatCode="0_);\(0\)"/>
    <numFmt numFmtId="177" formatCode="#,##0.0_);\(#,##0.0\)"/>
    <numFmt numFmtId="178" formatCode="#,##0.0000_);\(#,##0.0000\)"/>
    <numFmt numFmtId="179" formatCode="#,##0.000_);\(#,##0.000\)"/>
    <numFmt numFmtId="180" formatCode="_(* #,##0.0000_);_(* \(#,##0.0000\);_(* &quot;-&quot;????_);_(@_)"/>
    <numFmt numFmtId="181" formatCode="0.00000000"/>
    <numFmt numFmtId="182" formatCode="0.000000000"/>
    <numFmt numFmtId="183" formatCode="0.0000000"/>
    <numFmt numFmtId="184" formatCode="0.000000"/>
    <numFmt numFmtId="185" formatCode="0.00000"/>
    <numFmt numFmtId="186" formatCode="0.0000"/>
    <numFmt numFmtId="187" formatCode="0.000"/>
    <numFmt numFmtId="188" formatCode="0.0"/>
    <numFmt numFmtId="189" formatCode="m/d/yy;@"/>
    <numFmt numFmtId="190" formatCode="#,##0.0"/>
    <numFmt numFmtId="191" formatCode="&quot;$&quot;#,##0"/>
    <numFmt numFmtId="192" formatCode="#,##0;[Red]#,##0"/>
    <numFmt numFmtId="193" formatCode="&quot;$&quot;#,##0.00"/>
    <numFmt numFmtId="194" formatCode="[$-409]dddd\,\ mmmm\ dd\,\ yyyy"/>
    <numFmt numFmtId="195" formatCode="[$-409]mmm\-yy;@"/>
    <numFmt numFmtId="196" formatCode="_(&quot;$&quot;* #,##0.0_);_(&quot;$&quot;* \(#,##0.0\);_(&quot;$&quot;* &quot;-&quot;??_);_(@_)"/>
    <numFmt numFmtId="197" formatCode="_(* #,##0_);_(* \(#,##0\);_(* &quot;-&quot;?_);_(@_)"/>
    <numFmt numFmtId="198" formatCode="#,##0,_);\(#,##0,\)"/>
    <numFmt numFmtId="199" formatCode="#,##0.0_);[Red]\(#,##0.0\)"/>
    <numFmt numFmtId="200" formatCode="#,##0.000_);[Red]\(#,##0.000\)"/>
    <numFmt numFmtId="201" formatCode="#,##0.0000_);[Red]\(#,##0.0000\)"/>
    <numFmt numFmtId="202" formatCode="#,##0.00000_);[Red]\(#,##0.00000\)"/>
    <numFmt numFmtId="203" formatCode="_(* #,##0.00000_);_(* \(#,##0.00000\);_(* &quot;-&quot;?????_);_(@_)"/>
    <numFmt numFmtId="204" formatCode="0_);[Red]\(0\)"/>
    <numFmt numFmtId="205" formatCode="_(* #,##0.000000000_);_(* \(#,##0.000000000\);_(* &quot;-&quot;?????????_);_(@_)"/>
    <numFmt numFmtId="206" formatCode="_(* #,##0.0000000000000_);_(* \(#,##0.0000000000000\);_(* &quot;-&quot;?????????????_);_(@_)"/>
    <numFmt numFmtId="207" formatCode="mmmm\ d\,\ yyyy"/>
    <numFmt numFmtId="208" formatCode="&quot;Yes&quot;;&quot;Yes&quot;;&quot;No&quot;"/>
    <numFmt numFmtId="209" formatCode="&quot;True&quot;;&quot;True&quot;;&quot;False&quot;"/>
    <numFmt numFmtId="210" formatCode="&quot;On&quot;;&quot;On&quot;;&quot;Off&quot;"/>
    <numFmt numFmtId="211" formatCode="_(* #,##0.000_);_(* \(#,##0.000\);_(* &quot;-&quot;???_);_(@_)"/>
  </numFmts>
  <fonts count="18">
    <font>
      <sz val="10"/>
      <name val="Arial"/>
      <family val="0"/>
    </font>
    <font>
      <b/>
      <sz val="10"/>
      <name val="Arial"/>
      <family val="2"/>
    </font>
    <font>
      <u val="single"/>
      <sz val="10"/>
      <color indexed="14"/>
      <name val="MS Sans Serif"/>
      <family val="0"/>
    </font>
    <font>
      <u val="single"/>
      <sz val="10"/>
      <color indexed="12"/>
      <name val="MS Sans Serif"/>
      <family val="0"/>
    </font>
    <font>
      <sz val="12"/>
      <name val="Arial"/>
      <family val="0"/>
    </font>
    <font>
      <b/>
      <sz val="10"/>
      <color indexed="8"/>
      <name val="Arial"/>
      <family val="2"/>
    </font>
    <font>
      <b/>
      <sz val="12"/>
      <name val="Arial"/>
      <family val="2"/>
    </font>
    <font>
      <sz val="8"/>
      <name val="Tahoma"/>
      <family val="0"/>
    </font>
    <font>
      <b/>
      <sz val="8"/>
      <name val="Tahoma"/>
      <family val="0"/>
    </font>
    <font>
      <b/>
      <sz val="7.5"/>
      <name val="Arial"/>
      <family val="2"/>
    </font>
    <font>
      <b/>
      <sz val="11"/>
      <name val="Arial"/>
      <family val="2"/>
    </font>
    <font>
      <b/>
      <sz val="12"/>
      <color indexed="8"/>
      <name val="Arial"/>
      <family val="2"/>
    </font>
    <font>
      <sz val="10"/>
      <color indexed="10"/>
      <name val="Arial"/>
      <family val="2"/>
    </font>
    <font>
      <b/>
      <sz val="14"/>
      <name val="Arial"/>
      <family val="2"/>
    </font>
    <font>
      <b/>
      <i/>
      <sz val="16"/>
      <name val="Arial"/>
      <family val="2"/>
    </font>
    <font>
      <b/>
      <i/>
      <sz val="12"/>
      <name val="Arial"/>
      <family val="2"/>
    </font>
    <font>
      <b/>
      <sz val="16"/>
      <name val="Arial"/>
      <family val="2"/>
    </font>
    <font>
      <b/>
      <sz val="8"/>
      <name val="Arial"/>
      <family val="2"/>
    </font>
  </fonts>
  <fills count="5">
    <fill>
      <patternFill/>
    </fill>
    <fill>
      <patternFill patternType="gray125"/>
    </fill>
    <fill>
      <patternFill patternType="solid">
        <fgColor indexed="8"/>
        <bgColor indexed="64"/>
      </patternFill>
    </fill>
    <fill>
      <patternFill patternType="mediumGray">
        <bgColor indexed="8"/>
      </patternFill>
    </fill>
    <fill>
      <patternFill patternType="gray125">
        <bgColor indexed="8"/>
      </patternFill>
    </fill>
  </fills>
  <borders count="29">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medium"/>
    </border>
  </borders>
  <cellStyleXfs count="22">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7">
    <xf numFmtId="0" fontId="0" fillId="0" borderId="0" xfId="0" applyAlignment="1">
      <alignment/>
    </xf>
    <xf numFmtId="0" fontId="0" fillId="0" borderId="0" xfId="0" applyAlignment="1" quotePrefix="1">
      <alignment/>
    </xf>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0" fillId="0" borderId="0" xfId="0"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Alignment="1">
      <alignment/>
    </xf>
    <xf numFmtId="0" fontId="1" fillId="0" borderId="0" xfId="0" applyFont="1" applyAlignment="1" quotePrefix="1">
      <alignment/>
    </xf>
    <xf numFmtId="0" fontId="0" fillId="0" borderId="0" xfId="15" applyNumberFormat="1" applyAlignment="1">
      <alignment/>
    </xf>
    <xf numFmtId="166" fontId="0" fillId="0" borderId="0" xfId="15" applyNumberFormat="1" applyAlignment="1">
      <alignment/>
    </xf>
    <xf numFmtId="0" fontId="1" fillId="0" borderId="0" xfId="0" applyFont="1" applyAlignment="1">
      <alignment wrapText="1"/>
    </xf>
    <xf numFmtId="171" fontId="0" fillId="0" borderId="0" xfId="21" applyNumberFormat="1" applyAlignment="1">
      <alignment/>
    </xf>
    <xf numFmtId="37" fontId="0" fillId="0" borderId="0" xfId="0" applyNumberFormat="1" applyAlignment="1">
      <alignment/>
    </xf>
    <xf numFmtId="0" fontId="1" fillId="0" borderId="0" xfId="0" applyFont="1" applyBorder="1" applyAlignment="1">
      <alignment horizontal="left"/>
    </xf>
    <xf numFmtId="0" fontId="0" fillId="0" borderId="9" xfId="0" applyBorder="1" applyAlignment="1">
      <alignment/>
    </xf>
    <xf numFmtId="37" fontId="0" fillId="0" borderId="9" xfId="0" applyNumberFormat="1" applyBorder="1" applyAlignment="1">
      <alignment/>
    </xf>
    <xf numFmtId="0" fontId="0" fillId="0" borderId="0" xfId="0" applyFont="1" applyAlignment="1">
      <alignment horizontal="right" wrapText="1"/>
    </xf>
    <xf numFmtId="0" fontId="0" fillId="0" borderId="0" xfId="0" applyAlignment="1">
      <alignment horizontal="right"/>
    </xf>
    <xf numFmtId="0" fontId="0" fillId="0" borderId="0" xfId="0" applyFont="1" applyAlignment="1">
      <alignment/>
    </xf>
    <xf numFmtId="0" fontId="1" fillId="0" borderId="0" xfId="0" applyFont="1" applyAlignment="1">
      <alignment horizontal="center"/>
    </xf>
    <xf numFmtId="0" fontId="0" fillId="0" borderId="9" xfId="0" applyBorder="1" applyAlignment="1">
      <alignment horizontal="center"/>
    </xf>
    <xf numFmtId="166" fontId="0" fillId="0" borderId="0" xfId="0" applyNumberFormat="1" applyAlignment="1">
      <alignment/>
    </xf>
    <xf numFmtId="0" fontId="0" fillId="0" borderId="0" xfId="15" applyNumberFormat="1" applyFont="1" applyAlignment="1" quotePrefix="1">
      <alignment horizontal="right"/>
    </xf>
    <xf numFmtId="0" fontId="1" fillId="0" borderId="0" xfId="0" applyFont="1" applyBorder="1" applyAlignment="1" quotePrefix="1">
      <alignment/>
    </xf>
    <xf numFmtId="37" fontId="0" fillId="0" borderId="0" xfId="0" applyNumberFormat="1" applyFont="1" applyAlignment="1">
      <alignment horizontal="right" wrapText="1"/>
    </xf>
    <xf numFmtId="37" fontId="0" fillId="0" borderId="0" xfId="0" applyNumberFormat="1" applyAlignment="1">
      <alignment horizontal="right"/>
    </xf>
    <xf numFmtId="166" fontId="0" fillId="0" borderId="0" xfId="15" applyNumberFormat="1" applyFont="1" applyAlignment="1">
      <alignment horizontal="right" wrapText="1"/>
    </xf>
    <xf numFmtId="37" fontId="0" fillId="0" borderId="0" xfId="0" applyNumberFormat="1" applyFont="1" applyFill="1" applyBorder="1" applyAlignment="1">
      <alignment/>
    </xf>
    <xf numFmtId="10" fontId="0" fillId="0" borderId="0" xfId="0" applyNumberFormat="1" applyBorder="1" applyAlignment="1">
      <alignment/>
    </xf>
    <xf numFmtId="0" fontId="1" fillId="0" borderId="0" xfId="0" applyFont="1" applyAlignment="1">
      <alignment horizontal="right"/>
    </xf>
    <xf numFmtId="171" fontId="0" fillId="0" borderId="0" xfId="21" applyNumberFormat="1" applyFont="1" applyAlignment="1">
      <alignment/>
    </xf>
    <xf numFmtId="171" fontId="0" fillId="0" borderId="0" xfId="0" applyNumberFormat="1" applyAlignment="1">
      <alignment/>
    </xf>
    <xf numFmtId="0" fontId="0" fillId="0" borderId="0" xfId="0" applyAlignment="1">
      <alignment horizontal="left"/>
    </xf>
    <xf numFmtId="0" fontId="0" fillId="0" borderId="0" xfId="0" applyFont="1" applyAlignment="1">
      <alignment horizontal="left"/>
    </xf>
    <xf numFmtId="0" fontId="0" fillId="0" borderId="0" xfId="0" applyFont="1" applyAlignment="1" quotePrefix="1">
      <alignment/>
    </xf>
    <xf numFmtId="166" fontId="0" fillId="0" borderId="0" xfId="15" applyNumberFormat="1" applyFont="1" applyAlignment="1">
      <alignment/>
    </xf>
    <xf numFmtId="37" fontId="0" fillId="0" borderId="0" xfId="0" applyNumberFormat="1" applyFill="1" applyAlignment="1">
      <alignment/>
    </xf>
    <xf numFmtId="0" fontId="1" fillId="0" borderId="9" xfId="0" applyFont="1" applyBorder="1" applyAlignment="1">
      <alignment/>
    </xf>
    <xf numFmtId="0" fontId="1" fillId="0" borderId="0" xfId="0" applyFont="1" applyFill="1" applyBorder="1" applyAlignment="1">
      <alignment horizontal="center"/>
    </xf>
    <xf numFmtId="166" fontId="0" fillId="0" borderId="0" xfId="15" applyNumberFormat="1" applyFont="1" applyBorder="1" applyAlignment="1">
      <alignment/>
    </xf>
    <xf numFmtId="0" fontId="0" fillId="0" borderId="0" xfId="0" applyFont="1" applyAlignment="1">
      <alignment/>
    </xf>
    <xf numFmtId="10" fontId="0" fillId="0" borderId="0" xfId="0" applyNumberFormat="1" applyAlignment="1">
      <alignment/>
    </xf>
    <xf numFmtId="1" fontId="0" fillId="0" borderId="0" xfId="0" applyNumberFormat="1" applyAlignment="1">
      <alignment/>
    </xf>
    <xf numFmtId="37" fontId="1" fillId="0" borderId="0" xfId="0" applyNumberFormat="1" applyFont="1" applyBorder="1" applyAlignment="1">
      <alignment/>
    </xf>
    <xf numFmtId="0" fontId="0" fillId="0" borderId="0" xfId="0" applyAlignment="1">
      <alignment vertical="top"/>
    </xf>
    <xf numFmtId="14" fontId="0" fillId="0" borderId="0" xfId="0" applyNumberFormat="1" applyAlignment="1">
      <alignment/>
    </xf>
    <xf numFmtId="0" fontId="1" fillId="0" borderId="6" xfId="0" applyFont="1" applyBorder="1" applyAlignment="1">
      <alignment/>
    </xf>
    <xf numFmtId="14" fontId="1" fillId="0" borderId="6" xfId="0" applyNumberFormat="1" applyFont="1" applyBorder="1" applyAlignment="1">
      <alignment/>
    </xf>
    <xf numFmtId="37" fontId="1" fillId="0" borderId="6" xfId="0" applyNumberFormat="1" applyFont="1" applyBorder="1" applyAlignment="1">
      <alignment/>
    </xf>
    <xf numFmtId="0" fontId="1" fillId="0" borderId="7" xfId="0" applyFont="1" applyBorder="1" applyAlignment="1">
      <alignment/>
    </xf>
    <xf numFmtId="14" fontId="1" fillId="0" borderId="7" xfId="0" applyNumberFormat="1" applyFont="1" applyBorder="1" applyAlignment="1">
      <alignment horizontal="center"/>
    </xf>
    <xf numFmtId="37" fontId="1" fillId="0" borderId="7" xfId="0" applyNumberFormat="1" applyFont="1" applyBorder="1" applyAlignment="1">
      <alignment/>
    </xf>
    <xf numFmtId="37" fontId="1" fillId="0" borderId="7" xfId="0" applyNumberFormat="1" applyFont="1" applyBorder="1" applyAlignment="1">
      <alignment horizontal="center"/>
    </xf>
    <xf numFmtId="14" fontId="1" fillId="0" borderId="8" xfId="0" applyNumberFormat="1" applyFont="1" applyBorder="1" applyAlignment="1">
      <alignment horizontal="center"/>
    </xf>
    <xf numFmtId="37" fontId="1" fillId="0" borderId="8" xfId="0" applyNumberFormat="1" applyFont="1" applyBorder="1" applyAlignment="1">
      <alignment horizontal="center"/>
    </xf>
    <xf numFmtId="49" fontId="1" fillId="0" borderId="8" xfId="0" applyNumberFormat="1" applyFont="1" applyBorder="1" applyAlignment="1">
      <alignment horizontal="center"/>
    </xf>
    <xf numFmtId="0" fontId="0" fillId="0" borderId="0" xfId="0" applyFill="1" applyAlignment="1">
      <alignment/>
    </xf>
    <xf numFmtId="0" fontId="4" fillId="0" borderId="0" xfId="0" applyAlignment="1">
      <alignment/>
    </xf>
    <xf numFmtId="3" fontId="0" fillId="0" borderId="0" xfId="0" applyNumberFormat="1" applyAlignment="1">
      <alignment/>
    </xf>
    <xf numFmtId="0" fontId="5" fillId="0" borderId="0" xfId="0" applyFont="1" applyAlignment="1">
      <alignment/>
    </xf>
    <xf numFmtId="0" fontId="4" fillId="0" borderId="0" xfId="0" applyAlignment="1">
      <alignment horizontal="center"/>
    </xf>
    <xf numFmtId="166" fontId="5" fillId="0" borderId="0" xfId="15" applyNumberFormat="1" applyFont="1" applyAlignment="1">
      <alignment/>
    </xf>
    <xf numFmtId="0" fontId="6" fillId="0" borderId="0" xfId="0" applyFont="1" applyAlignment="1">
      <alignment/>
    </xf>
    <xf numFmtId="0" fontId="1" fillId="0" borderId="0" xfId="0" applyFont="1" applyAlignment="1">
      <alignment/>
    </xf>
    <xf numFmtId="189" fontId="5" fillId="0" borderId="6" xfId="0" applyNumberFormat="1" applyFont="1" applyBorder="1" applyAlignment="1">
      <alignment horizontal="center"/>
    </xf>
    <xf numFmtId="0" fontId="0" fillId="0" borderId="7" xfId="0" applyFont="1" applyBorder="1" applyAlignment="1">
      <alignment/>
    </xf>
    <xf numFmtId="0" fontId="0" fillId="0" borderId="8" xfId="0" applyFont="1" applyBorder="1" applyAlignment="1">
      <alignment/>
    </xf>
    <xf numFmtId="166" fontId="0" fillId="0" borderId="0" xfId="15" applyNumberFormat="1" applyFont="1" applyFill="1" applyAlignment="1">
      <alignment/>
    </xf>
    <xf numFmtId="190" fontId="0" fillId="0" borderId="0" xfId="0" applyNumberFormat="1" applyFont="1" applyFill="1" applyAlignment="1">
      <alignment/>
    </xf>
    <xf numFmtId="166" fontId="0" fillId="0" borderId="0" xfId="0" applyNumberFormat="1" applyFont="1" applyFill="1" applyAlignment="1">
      <alignment/>
    </xf>
    <xf numFmtId="0" fontId="0" fillId="0" borderId="0" xfId="0" applyFont="1" applyAlignment="1">
      <alignment horizontal="center"/>
    </xf>
    <xf numFmtId="0" fontId="0" fillId="0" borderId="0" xfId="0" applyFont="1" applyBorder="1" applyAlignment="1">
      <alignment/>
    </xf>
    <xf numFmtId="166" fontId="0" fillId="0" borderId="0" xfId="15" applyNumberFormat="1" applyFont="1" applyFill="1" applyBorder="1" applyAlignment="1">
      <alignment/>
    </xf>
    <xf numFmtId="3" fontId="0" fillId="0" borderId="0" xfId="15" applyNumberFormat="1" applyAlignment="1">
      <alignment/>
    </xf>
    <xf numFmtId="191" fontId="0" fillId="0" borderId="0" xfId="0" applyNumberFormat="1" applyAlignment="1">
      <alignment/>
    </xf>
    <xf numFmtId="41" fontId="0" fillId="0" borderId="0" xfId="0" applyNumberFormat="1" applyAlignment="1">
      <alignment/>
    </xf>
    <xf numFmtId="37" fontId="0" fillId="0" borderId="0" xfId="15" applyNumberFormat="1" applyFont="1" applyAlignment="1">
      <alignment horizontal="right" wrapText="1"/>
    </xf>
    <xf numFmtId="0" fontId="0" fillId="0" borderId="6" xfId="0" applyBorder="1" applyAlignment="1">
      <alignment/>
    </xf>
    <xf numFmtId="0" fontId="0" fillId="0" borderId="7" xfId="0" applyBorder="1" applyAlignment="1">
      <alignment/>
    </xf>
    <xf numFmtId="0" fontId="1" fillId="0" borderId="7" xfId="0" applyFont="1" applyFill="1" applyBorder="1" applyAlignment="1">
      <alignment horizontal="center"/>
    </xf>
    <xf numFmtId="0" fontId="1" fillId="0" borderId="8" xfId="0" applyFont="1" applyFill="1" applyBorder="1" applyAlignment="1">
      <alignment horizontal="center"/>
    </xf>
    <xf numFmtId="37" fontId="0" fillId="0" borderId="0" xfId="0" applyNumberFormat="1" applyFont="1" applyFill="1" applyAlignment="1">
      <alignment/>
    </xf>
    <xf numFmtId="166" fontId="0" fillId="0" borderId="0" xfId="15" applyNumberFormat="1" applyFont="1" applyFill="1" applyAlignment="1">
      <alignment horizontal="right" wrapText="1"/>
    </xf>
    <xf numFmtId="37" fontId="0" fillId="0" borderId="0" xfId="15" applyNumberFormat="1" applyFont="1" applyFill="1" applyAlignment="1">
      <alignment horizontal="right" wrapText="1"/>
    </xf>
    <xf numFmtId="166" fontId="0" fillId="0" borderId="0" xfId="15" applyNumberFormat="1" applyFont="1" applyFill="1" applyBorder="1" applyAlignment="1">
      <alignment horizontal="right"/>
    </xf>
    <xf numFmtId="37" fontId="0" fillId="0" borderId="0" xfId="0" applyNumberFormat="1" applyFill="1" applyBorder="1" applyAlignment="1">
      <alignment/>
    </xf>
    <xf numFmtId="166" fontId="1" fillId="0" borderId="0" xfId="15" applyNumberFormat="1" applyFont="1" applyFill="1" applyAlignment="1">
      <alignment/>
    </xf>
    <xf numFmtId="166" fontId="0" fillId="0" borderId="0" xfId="15" applyNumberFormat="1" applyFont="1" applyFill="1" applyAlignment="1">
      <alignment horizontal="right"/>
    </xf>
    <xf numFmtId="37" fontId="0" fillId="0" borderId="0" xfId="0" applyNumberFormat="1" applyFill="1" applyAlignment="1">
      <alignment horizontal="right"/>
    </xf>
    <xf numFmtId="0" fontId="0" fillId="0" borderId="0" xfId="0" applyFont="1" applyFill="1" applyBorder="1" applyAlignment="1">
      <alignment/>
    </xf>
    <xf numFmtId="0" fontId="4" fillId="0" borderId="0" xfId="0" applyAlignment="1" quotePrefix="1">
      <alignment/>
    </xf>
    <xf numFmtId="38" fontId="0" fillId="0" borderId="0" xfId="0" applyNumberFormat="1" applyAlignment="1">
      <alignment/>
    </xf>
    <xf numFmtId="0" fontId="4" fillId="0" borderId="0" xfId="0" applyBorder="1" applyAlignment="1">
      <alignment/>
    </xf>
    <xf numFmtId="0" fontId="4" fillId="0" borderId="0" xfId="15" applyNumberFormat="1" applyFont="1" applyAlignment="1">
      <alignment/>
    </xf>
    <xf numFmtId="0" fontId="4" fillId="0" borderId="0" xfId="0" applyFont="1" applyAlignment="1">
      <alignment/>
    </xf>
    <xf numFmtId="0" fontId="1" fillId="0" borderId="0" xfId="0" applyFont="1" applyBorder="1" applyAlignment="1">
      <alignment/>
    </xf>
    <xf numFmtId="0" fontId="0" fillId="0" borderId="0" xfId="0" applyBorder="1" applyAlignment="1" quotePrefix="1">
      <alignment/>
    </xf>
    <xf numFmtId="41" fontId="1" fillId="0" borderId="0" xfId="16" applyFont="1" applyFill="1" applyBorder="1" applyAlignment="1">
      <alignment horizontal="center"/>
    </xf>
    <xf numFmtId="41" fontId="0" fillId="0" borderId="0" xfId="16" applyAlignment="1">
      <alignment/>
    </xf>
    <xf numFmtId="0" fontId="0" fillId="0" borderId="0" xfId="0" applyFill="1" applyAlignment="1">
      <alignment horizontal="center"/>
    </xf>
    <xf numFmtId="14" fontId="0" fillId="0" borderId="0" xfId="0" applyNumberFormat="1" applyFill="1" applyAlignment="1">
      <alignment/>
    </xf>
    <xf numFmtId="171" fontId="0" fillId="0" borderId="0" xfId="21" applyNumberFormat="1" applyFill="1" applyAlignment="1">
      <alignment/>
    </xf>
    <xf numFmtId="5" fontId="0" fillId="0" borderId="0" xfId="0" applyNumberFormat="1" applyFill="1" applyAlignment="1">
      <alignment/>
    </xf>
    <xf numFmtId="0" fontId="0" fillId="0" borderId="0" xfId="0" applyFill="1" applyAlignment="1">
      <alignment horizontal="right"/>
    </xf>
    <xf numFmtId="5" fontId="0" fillId="0" borderId="10" xfId="0" applyNumberFormat="1" applyFill="1" applyBorder="1" applyAlignment="1">
      <alignment/>
    </xf>
    <xf numFmtId="41" fontId="0" fillId="0" borderId="0" xfId="16" applyAlignment="1">
      <alignment/>
    </xf>
    <xf numFmtId="41" fontId="0" fillId="0" borderId="9" xfId="16" applyBorder="1" applyAlignment="1">
      <alignment/>
    </xf>
    <xf numFmtId="0" fontId="0" fillId="0" borderId="11" xfId="0" applyBorder="1" applyAlignment="1">
      <alignment horizontal="center"/>
    </xf>
    <xf numFmtId="0" fontId="0" fillId="0" borderId="12" xfId="0" applyBorder="1" applyAlignment="1">
      <alignment/>
    </xf>
    <xf numFmtId="17" fontId="0" fillId="0" borderId="0" xfId="0" applyNumberFormat="1" applyAlignment="1">
      <alignment/>
    </xf>
    <xf numFmtId="10" fontId="0" fillId="0" borderId="12" xfId="0" applyNumberFormat="1" applyBorder="1" applyAlignment="1">
      <alignment/>
    </xf>
    <xf numFmtId="41" fontId="0" fillId="0" borderId="13" xfId="16" applyBorder="1" applyAlignment="1">
      <alignment/>
    </xf>
    <xf numFmtId="166" fontId="0" fillId="0" borderId="0" xfId="15" applyNumberFormat="1" applyAlignment="1">
      <alignment horizontal="right"/>
    </xf>
    <xf numFmtId="166" fontId="0" fillId="0" borderId="0" xfId="15" applyNumberFormat="1" applyFill="1" applyBorder="1" applyAlignment="1">
      <alignment/>
    </xf>
    <xf numFmtId="166" fontId="0" fillId="0" borderId="0" xfId="15" applyNumberFormat="1" applyFill="1" applyBorder="1" applyAlignment="1">
      <alignment horizontal="right"/>
    </xf>
    <xf numFmtId="166" fontId="0" fillId="0" borderId="0" xfId="15" applyNumberFormat="1" applyFont="1" applyFill="1" applyBorder="1" applyAlignment="1">
      <alignment horizontal="right"/>
    </xf>
    <xf numFmtId="166" fontId="0" fillId="0" borderId="0" xfId="15" applyNumberFormat="1" applyFill="1" applyAlignment="1">
      <alignment horizontal="right"/>
    </xf>
    <xf numFmtId="0" fontId="0" fillId="0" borderId="0" xfId="0" applyFill="1" applyBorder="1" applyAlignment="1">
      <alignment/>
    </xf>
    <xf numFmtId="5" fontId="0" fillId="0" borderId="0" xfId="0" applyNumberFormat="1" applyFill="1" applyBorder="1" applyAlignment="1">
      <alignment/>
    </xf>
    <xf numFmtId="0" fontId="1" fillId="0" borderId="0" xfId="0" applyFont="1" applyFill="1" applyAlignment="1">
      <alignment horizontal="right"/>
    </xf>
    <xf numFmtId="0" fontId="5" fillId="0" borderId="0" xfId="0" applyFont="1" applyAlignment="1">
      <alignment horizontal="left"/>
    </xf>
    <xf numFmtId="0" fontId="5" fillId="0" borderId="0" xfId="0" applyFont="1" applyAlignment="1">
      <alignment/>
    </xf>
    <xf numFmtId="0" fontId="1" fillId="0" borderId="0" xfId="0" applyFont="1" applyAlignment="1">
      <alignment horizontal="left"/>
    </xf>
    <xf numFmtId="0" fontId="5" fillId="0" borderId="6" xfId="0" applyFont="1" applyBorder="1" applyAlignment="1">
      <alignment horizontal="center"/>
    </xf>
    <xf numFmtId="0" fontId="5" fillId="0" borderId="6" xfId="0" applyFont="1" applyBorder="1" applyAlignment="1" quotePrefix="1">
      <alignment horizontal="center"/>
    </xf>
    <xf numFmtId="0" fontId="5" fillId="0" borderId="0" xfId="0" applyFont="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195" fontId="5" fillId="0" borderId="8" xfId="0" applyNumberFormat="1" applyFont="1" applyBorder="1" applyAlignment="1">
      <alignment horizontal="center"/>
    </xf>
    <xf numFmtId="166" fontId="0" fillId="0" borderId="0" xfId="15" applyNumberFormat="1" applyAlignment="1">
      <alignment/>
    </xf>
    <xf numFmtId="0" fontId="4" fillId="0" borderId="0" xfId="0" applyFont="1" applyAlignment="1">
      <alignment horizontal="center"/>
    </xf>
    <xf numFmtId="166" fontId="0" fillId="0" borderId="0" xfId="15" applyNumberFormat="1" applyFont="1" applyAlignment="1">
      <alignment/>
    </xf>
    <xf numFmtId="0" fontId="4" fillId="0" borderId="0" xfId="0" applyFont="1" applyBorder="1" applyAlignment="1">
      <alignment horizontal="center"/>
    </xf>
    <xf numFmtId="166" fontId="0" fillId="0" borderId="0" xfId="15" applyNumberFormat="1" applyFont="1" applyBorder="1" applyAlignment="1">
      <alignment/>
    </xf>
    <xf numFmtId="0" fontId="4" fillId="0" borderId="9" xfId="0" applyFont="1" applyBorder="1" applyAlignment="1">
      <alignment horizontal="center"/>
    </xf>
    <xf numFmtId="166" fontId="0" fillId="0" borderId="9" xfId="15" applyNumberFormat="1" applyFont="1" applyBorder="1" applyAlignment="1">
      <alignment/>
    </xf>
    <xf numFmtId="166" fontId="0" fillId="0" borderId="0" xfId="15" applyNumberFormat="1" applyFont="1" applyFill="1" applyBorder="1" applyAlignment="1">
      <alignment horizontal="center"/>
    </xf>
    <xf numFmtId="0" fontId="4" fillId="0" borderId="9" xfId="0" applyBorder="1" applyAlignment="1">
      <alignment horizontal="center"/>
    </xf>
    <xf numFmtId="166" fontId="0" fillId="0" borderId="9" xfId="15" applyNumberFormat="1" applyBorder="1" applyAlignment="1">
      <alignment/>
    </xf>
    <xf numFmtId="166" fontId="0" fillId="0" borderId="14" xfId="15" applyNumberFormat="1" applyFill="1" applyBorder="1" applyAlignment="1">
      <alignment/>
    </xf>
    <xf numFmtId="166" fontId="0" fillId="0" borderId="0" xfId="15" applyNumberFormat="1" applyBorder="1" applyAlignment="1">
      <alignment/>
    </xf>
    <xf numFmtId="0" fontId="4" fillId="0" borderId="0" xfId="0" applyBorder="1" applyAlignment="1">
      <alignment horizontal="center"/>
    </xf>
    <xf numFmtId="0" fontId="4" fillId="0" borderId="0" xfId="0" applyBorder="1" applyAlignment="1">
      <alignment horizontal="left"/>
    </xf>
    <xf numFmtId="37" fontId="0" fillId="0" borderId="0" xfId="15" applyNumberFormat="1" applyBorder="1" applyAlignment="1">
      <alignment/>
    </xf>
    <xf numFmtId="37" fontId="0" fillId="0" borderId="0" xfId="15" applyNumberFormat="1" applyFont="1" applyBorder="1" applyAlignment="1">
      <alignment horizontal="center"/>
    </xf>
    <xf numFmtId="37" fontId="0" fillId="0" borderId="0" xfId="15" applyNumberFormat="1" applyFill="1" applyBorder="1" applyAlignment="1">
      <alignment/>
    </xf>
    <xf numFmtId="37" fontId="0" fillId="0" borderId="0" xfId="15" applyNumberFormat="1" applyFont="1" applyAlignment="1">
      <alignment horizontal="center"/>
    </xf>
    <xf numFmtId="37" fontId="0" fillId="0" borderId="0" xfId="15" applyNumberFormat="1" applyAlignment="1">
      <alignment/>
    </xf>
    <xf numFmtId="164" fontId="0" fillId="0" borderId="0" xfId="21" applyNumberFormat="1" applyFill="1" applyAlignment="1">
      <alignment/>
    </xf>
    <xf numFmtId="164" fontId="0" fillId="0" borderId="0" xfId="21" applyNumberFormat="1" applyAlignment="1">
      <alignment/>
    </xf>
    <xf numFmtId="166" fontId="0" fillId="0" borderId="10" xfId="0" applyNumberFormat="1" applyFont="1" applyFill="1" applyBorder="1" applyAlignment="1">
      <alignment/>
    </xf>
    <xf numFmtId="10" fontId="0" fillId="0" borderId="10" xfId="21" applyNumberFormat="1" applyFont="1" applyFill="1" applyBorder="1" applyAlignment="1">
      <alignment/>
    </xf>
    <xf numFmtId="0" fontId="0" fillId="0" borderId="0" xfId="0" applyFont="1" applyFill="1" applyAlignment="1">
      <alignment/>
    </xf>
    <xf numFmtId="166" fontId="0" fillId="0" borderId="0" xfId="0" applyNumberFormat="1" applyFont="1" applyAlignment="1">
      <alignment/>
    </xf>
    <xf numFmtId="37" fontId="1" fillId="0" borderId="0" xfId="0" applyNumberFormat="1" applyFont="1" applyFill="1" applyAlignment="1">
      <alignment/>
    </xf>
    <xf numFmtId="0" fontId="1" fillId="0" borderId="0" xfId="0" applyFont="1" applyFill="1" applyAlignment="1">
      <alignment/>
    </xf>
    <xf numFmtId="37" fontId="4" fillId="0" borderId="0" xfId="0" applyNumberFormat="1" applyAlignment="1">
      <alignment/>
    </xf>
    <xf numFmtId="37" fontId="4" fillId="0" borderId="9" xfId="0" applyNumberFormat="1" applyBorder="1" applyAlignment="1">
      <alignment/>
    </xf>
    <xf numFmtId="37" fontId="6" fillId="0" borderId="0" xfId="0" applyNumberFormat="1" applyFont="1" applyAlignment="1">
      <alignment/>
    </xf>
    <xf numFmtId="37" fontId="4" fillId="0" borderId="0" xfId="0" applyNumberFormat="1" applyFont="1" applyAlignment="1">
      <alignment/>
    </xf>
    <xf numFmtId="41" fontId="4" fillId="0" borderId="0" xfId="16" applyAlignment="1">
      <alignment/>
    </xf>
    <xf numFmtId="43" fontId="0" fillId="0" borderId="0" xfId="0" applyNumberFormat="1" applyAlignment="1">
      <alignment/>
    </xf>
    <xf numFmtId="166" fontId="1" fillId="0" borderId="9" xfId="15" applyNumberFormat="1" applyFont="1" applyFill="1" applyBorder="1" applyAlignment="1">
      <alignment/>
    </xf>
    <xf numFmtId="166" fontId="1" fillId="0" borderId="9" xfId="15" applyNumberFormat="1" applyFont="1" applyBorder="1" applyAlignment="1">
      <alignment/>
    </xf>
    <xf numFmtId="0" fontId="6" fillId="0" borderId="0" xfId="0" applyFont="1" applyAlignment="1">
      <alignment horizontal="right"/>
    </xf>
    <xf numFmtId="0" fontId="4" fillId="0" borderId="0" xfId="0" applyFont="1" applyAlignment="1">
      <alignment horizontal="right"/>
    </xf>
    <xf numFmtId="207" fontId="6" fillId="0" borderId="0" xfId="0" applyNumberFormat="1" applyFont="1"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0" xfId="0" applyFont="1" applyAlignment="1">
      <alignment/>
    </xf>
    <xf numFmtId="166" fontId="6" fillId="0" borderId="0" xfId="15" applyNumberFormat="1" applyFont="1" applyFill="1" applyAlignment="1">
      <alignment/>
    </xf>
    <xf numFmtId="166" fontId="6" fillId="0" borderId="0" xfId="15" applyNumberFormat="1" applyFont="1" applyAlignment="1">
      <alignment/>
    </xf>
    <xf numFmtId="166" fontId="6" fillId="0" borderId="0" xfId="0" applyNumberFormat="1" applyFont="1" applyAlignment="1">
      <alignment/>
    </xf>
    <xf numFmtId="37" fontId="0" fillId="0" borderId="0" xfId="0" applyNumberFormat="1" applyFont="1" applyFill="1" applyAlignment="1">
      <alignment horizontal="right" wrapText="1"/>
    </xf>
    <xf numFmtId="0" fontId="6" fillId="0" borderId="0" xfId="0" applyFont="1" applyAlignment="1" quotePrefix="1">
      <alignment/>
    </xf>
    <xf numFmtId="0" fontId="6" fillId="0" borderId="0" xfId="0" applyFont="1" applyBorder="1" applyAlignment="1" quotePrefix="1">
      <alignment/>
    </xf>
    <xf numFmtId="166" fontId="0" fillId="0" borderId="0" xfId="15" applyNumberFormat="1" applyFill="1" applyAlignment="1">
      <alignment/>
    </xf>
    <xf numFmtId="166" fontId="0" fillId="0" borderId="14" xfId="15" applyNumberFormat="1" applyFont="1" applyFill="1" applyBorder="1" applyAlignment="1">
      <alignment/>
    </xf>
    <xf numFmtId="166" fontId="0" fillId="0" borderId="15" xfId="15" applyNumberFormat="1" applyFont="1" applyFill="1" applyBorder="1" applyAlignment="1">
      <alignment/>
    </xf>
    <xf numFmtId="166" fontId="0" fillId="0" borderId="16" xfId="15" applyNumberFormat="1" applyFont="1" applyFill="1" applyBorder="1" applyAlignment="1">
      <alignment/>
    </xf>
    <xf numFmtId="166" fontId="0" fillId="0" borderId="17" xfId="15" applyNumberFormat="1" applyFont="1" applyFill="1" applyBorder="1" applyAlignment="1">
      <alignment/>
    </xf>
    <xf numFmtId="166" fontId="0" fillId="0" borderId="18" xfId="15" applyNumberFormat="1" applyFont="1" applyFill="1" applyBorder="1" applyAlignment="1">
      <alignment/>
    </xf>
    <xf numFmtId="166" fontId="0" fillId="0" borderId="19" xfId="15" applyNumberFormat="1" applyFont="1" applyFill="1" applyBorder="1" applyAlignment="1">
      <alignment/>
    </xf>
    <xf numFmtId="166" fontId="0" fillId="0" borderId="20" xfId="15" applyNumberFormat="1" applyFont="1" applyFill="1" applyBorder="1" applyAlignment="1">
      <alignment/>
    </xf>
    <xf numFmtId="166" fontId="0" fillId="0" borderId="9" xfId="15" applyNumberFormat="1" applyFont="1" applyFill="1" applyBorder="1" applyAlignment="1">
      <alignment/>
    </xf>
    <xf numFmtId="166" fontId="0" fillId="0" borderId="0" xfId="15" applyNumberFormat="1" applyFont="1" applyFill="1" applyAlignment="1">
      <alignment/>
    </xf>
    <xf numFmtId="166" fontId="0" fillId="0" borderId="15" xfId="15" applyNumberFormat="1" applyFill="1" applyBorder="1" applyAlignment="1">
      <alignment/>
    </xf>
    <xf numFmtId="166" fontId="0" fillId="0" borderId="16" xfId="15" applyNumberFormat="1" applyFill="1" applyBorder="1" applyAlignment="1">
      <alignment/>
    </xf>
    <xf numFmtId="166" fontId="0" fillId="0" borderId="17" xfId="15" applyNumberFormat="1" applyFill="1" applyBorder="1" applyAlignment="1">
      <alignment/>
    </xf>
    <xf numFmtId="166" fontId="0" fillId="0" borderId="18" xfId="15" applyNumberFormat="1" applyFill="1" applyBorder="1" applyAlignment="1">
      <alignment/>
    </xf>
    <xf numFmtId="166" fontId="0" fillId="0" borderId="19" xfId="15" applyNumberFormat="1" applyFill="1" applyBorder="1" applyAlignment="1">
      <alignment/>
    </xf>
    <xf numFmtId="166" fontId="0" fillId="0" borderId="20" xfId="15" applyNumberFormat="1" applyFill="1" applyBorder="1" applyAlignment="1">
      <alignment/>
    </xf>
    <xf numFmtId="166" fontId="0" fillId="0" borderId="9" xfId="15" applyNumberFormat="1" applyFill="1" applyBorder="1" applyAlignment="1">
      <alignment/>
    </xf>
    <xf numFmtId="166" fontId="0" fillId="0" borderId="21" xfId="15" applyNumberFormat="1" applyFill="1" applyBorder="1" applyAlignment="1">
      <alignment/>
    </xf>
    <xf numFmtId="166" fontId="0" fillId="0" borderId="0" xfId="15" applyNumberFormat="1" applyFont="1" applyFill="1" applyBorder="1" applyAlignment="1" quotePrefix="1">
      <alignment/>
    </xf>
    <xf numFmtId="207" fontId="1" fillId="0" borderId="0" xfId="0" applyNumberFormat="1" applyFont="1" applyAlignment="1">
      <alignment horizontal="center"/>
    </xf>
    <xf numFmtId="207" fontId="1" fillId="0" borderId="0" xfId="0" applyNumberFormat="1" applyFont="1" applyAlignment="1">
      <alignment horizontal="right"/>
    </xf>
    <xf numFmtId="0" fontId="5" fillId="0" borderId="0" xfId="0" applyFont="1" applyBorder="1" applyAlignment="1">
      <alignment horizontal="center"/>
    </xf>
    <xf numFmtId="0" fontId="5" fillId="0" borderId="0" xfId="0" applyFont="1" applyBorder="1" applyAlignment="1" quotePrefix="1">
      <alignment horizontal="center"/>
    </xf>
    <xf numFmtId="189" fontId="5" fillId="0" borderId="7" xfId="0" applyNumberFormat="1" applyFont="1" applyFill="1" applyBorder="1" applyAlignment="1">
      <alignment horizontal="center"/>
    </xf>
    <xf numFmtId="0" fontId="9" fillId="0" borderId="0" xfId="0" applyFont="1" applyAlignment="1">
      <alignment horizontal="right"/>
    </xf>
    <xf numFmtId="0" fontId="6" fillId="0" borderId="0" xfId="0" applyFont="1" applyBorder="1" applyAlignment="1">
      <alignment/>
    </xf>
    <xf numFmtId="189" fontId="5" fillId="0" borderId="2" xfId="0" applyNumberFormat="1" applyFont="1" applyBorder="1" applyAlignment="1">
      <alignment horizontal="center"/>
    </xf>
    <xf numFmtId="0" fontId="5" fillId="0" borderId="2" xfId="0" applyFont="1" applyBorder="1" applyAlignment="1">
      <alignment horizontal="center"/>
    </xf>
    <xf numFmtId="189" fontId="5" fillId="0" borderId="0" xfId="0" applyNumberFormat="1" applyFont="1" applyBorder="1" applyAlignment="1">
      <alignment horizontal="center"/>
    </xf>
    <xf numFmtId="0" fontId="1" fillId="0" borderId="0" xfId="0" applyFont="1" applyFill="1" applyBorder="1" applyAlignment="1">
      <alignment horizontal="left"/>
    </xf>
    <xf numFmtId="0" fontId="6" fillId="0" borderId="0" xfId="0" applyFont="1" applyAlignment="1">
      <alignment horizontal="left"/>
    </xf>
    <xf numFmtId="0" fontId="11" fillId="0" borderId="0" xfId="0" applyFont="1" applyAlignment="1">
      <alignment horizontal="left"/>
    </xf>
    <xf numFmtId="0" fontId="12" fillId="0" borderId="0" xfId="0" applyFont="1" applyAlignment="1" quotePrefix="1">
      <alignment horizontal="left"/>
    </xf>
    <xf numFmtId="10" fontId="12" fillId="0" borderId="0" xfId="0" applyNumberFormat="1" applyFont="1" applyAlignment="1">
      <alignment/>
    </xf>
    <xf numFmtId="37" fontId="12" fillId="0" borderId="0" xfId="0" applyNumberFormat="1" applyFont="1" applyAlignment="1">
      <alignment/>
    </xf>
    <xf numFmtId="0" fontId="12" fillId="0" borderId="0" xfId="0" applyFont="1" applyAlignment="1">
      <alignment/>
    </xf>
    <xf numFmtId="10" fontId="0" fillId="0" borderId="0" xfId="0" applyNumberFormat="1" applyFont="1" applyAlignment="1">
      <alignment/>
    </xf>
    <xf numFmtId="43" fontId="12" fillId="0" borderId="0" xfId="0" applyNumberFormat="1" applyFont="1" applyFill="1" applyAlignment="1">
      <alignment/>
    </xf>
    <xf numFmtId="166" fontId="12" fillId="0" borderId="0" xfId="0" applyNumberFormat="1" applyFont="1" applyFill="1" applyAlignment="1">
      <alignment/>
    </xf>
    <xf numFmtId="10" fontId="0" fillId="0" borderId="12" xfId="0" applyNumberFormat="1" applyFont="1" applyBorder="1" applyAlignment="1">
      <alignment/>
    </xf>
    <xf numFmtId="0" fontId="0" fillId="0" borderId="9" xfId="0" applyFill="1" applyBorder="1" applyAlignment="1">
      <alignment horizontal="center"/>
    </xf>
    <xf numFmtId="37" fontId="6" fillId="0" borderId="0" xfId="0" applyNumberFormat="1" applyFont="1" applyBorder="1" applyAlignment="1">
      <alignment/>
    </xf>
    <xf numFmtId="10" fontId="0" fillId="0" borderId="0" xfId="0" applyNumberFormat="1" applyFont="1" applyBorder="1" applyAlignment="1">
      <alignment/>
    </xf>
    <xf numFmtId="0" fontId="4" fillId="0" borderId="0" xfId="0" applyFill="1" applyAlignment="1">
      <alignment/>
    </xf>
    <xf numFmtId="37" fontId="4" fillId="0" borderId="0" xfId="0" applyNumberFormat="1" applyFill="1" applyBorder="1" applyAlignment="1">
      <alignment/>
    </xf>
    <xf numFmtId="37" fontId="6" fillId="0" borderId="0" xfId="0" applyNumberFormat="1" applyFont="1" applyFill="1" applyAlignment="1">
      <alignment/>
    </xf>
    <xf numFmtId="37" fontId="6" fillId="0" borderId="0" xfId="0" applyNumberFormat="1" applyFont="1" applyFill="1" applyBorder="1" applyAlignment="1">
      <alignment/>
    </xf>
    <xf numFmtId="0" fontId="0" fillId="1" borderId="22" xfId="0" applyFill="1" applyBorder="1" applyAlignment="1">
      <alignment/>
    </xf>
    <xf numFmtId="0" fontId="12" fillId="1" borderId="23" xfId="0" applyFont="1" applyFill="1" applyBorder="1" applyAlignment="1">
      <alignment/>
    </xf>
    <xf numFmtId="0" fontId="13" fillId="0" borderId="0" xfId="0" applyFont="1" applyAlignment="1">
      <alignment/>
    </xf>
    <xf numFmtId="37" fontId="1" fillId="1" borderId="24" xfId="0" applyNumberFormat="1" applyFont="1" applyFill="1" applyBorder="1" applyAlignment="1">
      <alignment/>
    </xf>
    <xf numFmtId="166" fontId="1" fillId="1" borderId="24" xfId="0" applyNumberFormat="1" applyFont="1" applyFill="1" applyBorder="1" applyAlignment="1">
      <alignment/>
    </xf>
    <xf numFmtId="37" fontId="6" fillId="1" borderId="24" xfId="0" applyNumberFormat="1" applyFont="1" applyFill="1" applyBorder="1" applyAlignment="1">
      <alignment/>
    </xf>
    <xf numFmtId="0" fontId="6" fillId="1" borderId="22" xfId="0" applyFont="1" applyFill="1" applyBorder="1" applyAlignment="1">
      <alignment/>
    </xf>
    <xf numFmtId="37" fontId="6" fillId="1" borderId="22" xfId="0" applyNumberFormat="1" applyFont="1" applyFill="1" applyBorder="1" applyAlignment="1">
      <alignment/>
    </xf>
    <xf numFmtId="37" fontId="6" fillId="1" borderId="23" xfId="0" applyNumberFormat="1" applyFont="1" applyFill="1" applyBorder="1" applyAlignment="1">
      <alignment/>
    </xf>
    <xf numFmtId="0" fontId="6" fillId="1" borderId="25" xfId="0" applyFont="1" applyFill="1" applyBorder="1" applyAlignment="1">
      <alignment/>
    </xf>
    <xf numFmtId="166" fontId="1" fillId="1" borderId="24" xfId="15" applyNumberFormat="1" applyFont="1" applyFill="1" applyBorder="1" applyAlignment="1">
      <alignment/>
    </xf>
    <xf numFmtId="37" fontId="1" fillId="1" borderId="25" xfId="0" applyNumberFormat="1" applyFont="1" applyFill="1" applyBorder="1" applyAlignment="1">
      <alignment/>
    </xf>
    <xf numFmtId="0" fontId="1" fillId="1" borderId="25" xfId="0" applyFont="1" applyFill="1" applyBorder="1" applyAlignment="1" quotePrefix="1">
      <alignment horizontal="left"/>
    </xf>
    <xf numFmtId="0" fontId="1" fillId="1" borderId="23" xfId="0" applyFont="1" applyFill="1" applyBorder="1" applyAlignment="1">
      <alignment/>
    </xf>
    <xf numFmtId="0" fontId="1" fillId="1" borderId="22" xfId="0" applyFont="1" applyFill="1" applyBorder="1" applyAlignment="1">
      <alignment/>
    </xf>
    <xf numFmtId="0" fontId="4" fillId="0" borderId="25" xfId="0" applyBorder="1" applyAlignment="1">
      <alignment/>
    </xf>
    <xf numFmtId="0" fontId="4" fillId="0" borderId="22" xfId="0" applyBorder="1" applyAlignment="1">
      <alignment/>
    </xf>
    <xf numFmtId="0" fontId="4" fillId="0" borderId="25" xfId="0" applyBorder="1" applyAlignment="1">
      <alignment horizontal="right"/>
    </xf>
    <xf numFmtId="0" fontId="4" fillId="0" borderId="22" xfId="0" applyBorder="1" applyAlignment="1">
      <alignment horizontal="right"/>
    </xf>
    <xf numFmtId="0" fontId="4" fillId="0" borderId="25" xfId="0" applyFill="1" applyBorder="1" applyAlignment="1">
      <alignment horizontal="right"/>
    </xf>
    <xf numFmtId="0" fontId="0" fillId="1" borderId="0" xfId="0" applyFill="1" applyAlignment="1">
      <alignment/>
    </xf>
    <xf numFmtId="0" fontId="4" fillId="1" borderId="0" xfId="0" applyFill="1" applyAlignment="1">
      <alignment horizontal="right"/>
    </xf>
    <xf numFmtId="0" fontId="6" fillId="1" borderId="0" xfId="0" applyFont="1" applyFill="1" applyAlignment="1">
      <alignment horizontal="right"/>
    </xf>
    <xf numFmtId="0" fontId="15" fillId="0" borderId="23" xfId="0" applyFont="1" applyBorder="1" applyAlignment="1">
      <alignment horizontal="right"/>
    </xf>
    <xf numFmtId="0" fontId="4" fillId="0" borderId="0" xfId="0" applyFill="1" applyBorder="1" applyAlignment="1">
      <alignment/>
    </xf>
    <xf numFmtId="0" fontId="4" fillId="0" borderId="0" xfId="0" applyFill="1" applyAlignment="1">
      <alignment horizontal="right"/>
    </xf>
    <xf numFmtId="0" fontId="15" fillId="0" borderId="26" xfId="0" applyFont="1" applyBorder="1" applyAlignment="1">
      <alignment horizontal="right"/>
    </xf>
    <xf numFmtId="0" fontId="6" fillId="0" borderId="0" xfId="0" applyFont="1" applyFill="1" applyAlignment="1">
      <alignment horizontal="right"/>
    </xf>
    <xf numFmtId="41" fontId="0" fillId="0" borderId="0" xfId="16" applyBorder="1" applyAlignment="1">
      <alignment/>
    </xf>
    <xf numFmtId="37" fontId="6" fillId="1" borderId="25" xfId="0" applyNumberFormat="1" applyFont="1" applyFill="1" applyBorder="1" applyAlignment="1">
      <alignment/>
    </xf>
    <xf numFmtId="166" fontId="0" fillId="0" borderId="0" xfId="0" applyNumberFormat="1" applyFont="1" applyFill="1" applyBorder="1" applyAlignment="1">
      <alignment/>
    </xf>
    <xf numFmtId="0" fontId="14" fillId="0" borderId="0" xfId="0" applyFont="1" applyFill="1" applyBorder="1" applyAlignment="1">
      <alignment horizontal="right"/>
    </xf>
    <xf numFmtId="0" fontId="4" fillId="0" borderId="1" xfId="0" applyFill="1" applyBorder="1" applyAlignment="1">
      <alignment/>
    </xf>
    <xf numFmtId="0" fontId="0" fillId="1" borderId="25" xfId="0" applyFill="1" applyBorder="1" applyAlignment="1">
      <alignment/>
    </xf>
    <xf numFmtId="0" fontId="4" fillId="1" borderId="22" xfId="0" applyFill="1" applyBorder="1" applyAlignment="1">
      <alignment/>
    </xf>
    <xf numFmtId="0" fontId="6" fillId="1" borderId="23" xfId="0" applyFont="1" applyFill="1" applyBorder="1" applyAlignment="1">
      <alignment horizontal="right"/>
    </xf>
    <xf numFmtId="0" fontId="0" fillId="0" borderId="4" xfId="0" applyBorder="1" applyAlignment="1">
      <alignment/>
    </xf>
    <xf numFmtId="5" fontId="0" fillId="2" borderId="0" xfId="16" applyNumberFormat="1" applyFill="1" applyAlignment="1">
      <alignment/>
    </xf>
    <xf numFmtId="166" fontId="0" fillId="2" borderId="0" xfId="0" applyNumberFormat="1" applyFill="1" applyAlignment="1">
      <alignment/>
    </xf>
    <xf numFmtId="41" fontId="0" fillId="2" borderId="0" xfId="16" applyFill="1" applyAlignment="1">
      <alignment/>
    </xf>
    <xf numFmtId="37" fontId="0" fillId="2" borderId="0" xfId="0" applyNumberFormat="1" applyFill="1" applyAlignment="1">
      <alignment/>
    </xf>
    <xf numFmtId="41" fontId="0" fillId="2" borderId="0" xfId="16" applyFill="1" applyAlignment="1">
      <alignment/>
    </xf>
    <xf numFmtId="166" fontId="0" fillId="3" borderId="1" xfId="15" applyNumberFormat="1" applyFont="1" applyFill="1" applyBorder="1" applyAlignment="1">
      <alignment horizontal="right"/>
    </xf>
    <xf numFmtId="166" fontId="0" fillId="3" borderId="26" xfId="15" applyNumberFormat="1" applyFont="1" applyFill="1" applyBorder="1" applyAlignment="1">
      <alignment horizontal="right"/>
    </xf>
    <xf numFmtId="166" fontId="0" fillId="3" borderId="3" xfId="15" applyNumberFormat="1" applyFont="1" applyFill="1" applyBorder="1" applyAlignment="1">
      <alignment horizontal="right"/>
    </xf>
    <xf numFmtId="166" fontId="0" fillId="3" borderId="27" xfId="15" applyNumberFormat="1" applyFont="1" applyFill="1" applyBorder="1" applyAlignment="1">
      <alignment horizontal="right"/>
    </xf>
    <xf numFmtId="0" fontId="0" fillId="2" borderId="0" xfId="0" applyFill="1" applyAlignment="1">
      <alignment horizontal="right"/>
    </xf>
    <xf numFmtId="0" fontId="0" fillId="2" borderId="0" xfId="0" applyFill="1" applyAlignment="1">
      <alignment/>
    </xf>
    <xf numFmtId="1" fontId="0" fillId="2" borderId="0" xfId="0" applyNumberFormat="1" applyFill="1" applyAlignment="1">
      <alignment/>
    </xf>
    <xf numFmtId="3" fontId="0" fillId="2" borderId="0" xfId="0" applyNumberFormat="1" applyFill="1" applyAlignment="1">
      <alignment/>
    </xf>
    <xf numFmtId="191" fontId="0" fillId="2" borderId="14" xfId="0" applyNumberFormat="1" applyFill="1" applyBorder="1" applyAlignment="1">
      <alignment/>
    </xf>
    <xf numFmtId="5" fontId="1" fillId="2" borderId="14" xfId="0" applyNumberFormat="1" applyFont="1" applyFill="1" applyBorder="1" applyAlignment="1">
      <alignment/>
    </xf>
    <xf numFmtId="37" fontId="0" fillId="2" borderId="28" xfId="0" applyNumberFormat="1" applyFill="1" applyBorder="1" applyAlignment="1">
      <alignment/>
    </xf>
    <xf numFmtId="37" fontId="1" fillId="2" borderId="28" xfId="0" applyNumberFormat="1" applyFont="1" applyFill="1" applyBorder="1" applyAlignment="1">
      <alignment/>
    </xf>
    <xf numFmtId="3" fontId="0" fillId="2" borderId="28" xfId="0" applyNumberFormat="1" applyFill="1" applyBorder="1" applyAlignment="1">
      <alignment/>
    </xf>
    <xf numFmtId="177" fontId="0" fillId="2" borderId="0" xfId="0" applyNumberFormat="1" applyFill="1" applyAlignment="1">
      <alignment/>
    </xf>
    <xf numFmtId="37" fontId="0" fillId="2" borderId="0" xfId="0" applyNumberFormat="1" applyFill="1" applyAlignment="1">
      <alignment horizontal="right"/>
    </xf>
    <xf numFmtId="171" fontId="0" fillId="2" borderId="0" xfId="21" applyNumberFormat="1" applyFill="1" applyAlignment="1">
      <alignment/>
    </xf>
    <xf numFmtId="5" fontId="0" fillId="2" borderId="0" xfId="0" applyNumberFormat="1" applyFill="1" applyAlignment="1">
      <alignment/>
    </xf>
    <xf numFmtId="37" fontId="0" fillId="3" borderId="25" xfId="0" applyNumberFormat="1" applyFill="1" applyBorder="1" applyAlignment="1">
      <alignment/>
    </xf>
    <xf numFmtId="0" fontId="0" fillId="3" borderId="22" xfId="0" applyFill="1" applyBorder="1" applyAlignment="1">
      <alignment/>
    </xf>
    <xf numFmtId="37" fontId="0" fillId="3" borderId="22" xfId="0" applyNumberFormat="1" applyFill="1" applyBorder="1" applyAlignment="1">
      <alignment horizontal="right"/>
    </xf>
    <xf numFmtId="171" fontId="0" fillId="3" borderId="22" xfId="21" applyNumberFormat="1" applyFill="1" applyBorder="1" applyAlignment="1">
      <alignment/>
    </xf>
    <xf numFmtId="5" fontId="0" fillId="3" borderId="23" xfId="0" applyNumberFormat="1" applyFill="1" applyBorder="1" applyAlignment="1">
      <alignment/>
    </xf>
    <xf numFmtId="37" fontId="0" fillId="3" borderId="24" xfId="0" applyNumberFormat="1" applyFill="1" applyBorder="1" applyAlignment="1">
      <alignment/>
    </xf>
    <xf numFmtId="43" fontId="0" fillId="2" borderId="0" xfId="15" applyFill="1" applyAlignment="1">
      <alignment/>
    </xf>
    <xf numFmtId="41" fontId="1" fillId="2" borderId="0" xfId="16" applyFont="1" applyFill="1" applyAlignment="1">
      <alignment/>
    </xf>
    <xf numFmtId="0" fontId="0" fillId="4" borderId="0" xfId="0" applyFill="1" applyBorder="1" applyAlignment="1">
      <alignment/>
    </xf>
    <xf numFmtId="41" fontId="0" fillId="1" borderId="25" xfId="16" applyFont="1" applyFill="1" applyBorder="1" applyAlignment="1">
      <alignment/>
    </xf>
    <xf numFmtId="37" fontId="0" fillId="1" borderId="23" xfId="0" applyNumberFormat="1"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41" fontId="6" fillId="0" borderId="0" xfId="16" applyFont="1" applyFill="1" applyBorder="1" applyAlignment="1">
      <alignment/>
    </xf>
    <xf numFmtId="37" fontId="0" fillId="1" borderId="25" xfId="0" applyNumberFormat="1" applyFont="1" applyFill="1" applyBorder="1" applyAlignment="1">
      <alignment/>
    </xf>
    <xf numFmtId="166" fontId="0" fillId="1" borderId="23" xfId="0" applyNumberFormat="1" applyFont="1" applyFill="1" applyBorder="1" applyAlignment="1">
      <alignment/>
    </xf>
    <xf numFmtId="41" fontId="0" fillId="0" borderId="0" xfId="16" applyBorder="1" applyAlignment="1">
      <alignment/>
    </xf>
    <xf numFmtId="166" fontId="6" fillId="1" borderId="25" xfId="0" applyNumberFormat="1" applyFont="1" applyFill="1" applyBorder="1" applyAlignment="1">
      <alignment/>
    </xf>
    <xf numFmtId="166" fontId="6" fillId="1" borderId="23" xfId="0" applyNumberFormat="1" applyFont="1" applyFill="1" applyBorder="1" applyAlignment="1">
      <alignment/>
    </xf>
    <xf numFmtId="0" fontId="0" fillId="2" borderId="0" xfId="0" applyFill="1" applyBorder="1" applyAlignment="1">
      <alignment horizontal="right"/>
    </xf>
    <xf numFmtId="166" fontId="0" fillId="2" borderId="0" xfId="15" applyNumberFormat="1" applyFill="1" applyBorder="1" applyAlignment="1">
      <alignment/>
    </xf>
    <xf numFmtId="41" fontId="0" fillId="2" borderId="0" xfId="16" applyFill="1" applyBorder="1" applyAlignment="1">
      <alignment/>
    </xf>
    <xf numFmtId="0" fontId="4" fillId="0" borderId="1" xfId="0" applyFill="1" applyBorder="1" applyAlignment="1">
      <alignment horizontal="right"/>
    </xf>
    <xf numFmtId="0" fontId="4" fillId="0" borderId="1" xfId="0" applyBorder="1" applyAlignment="1">
      <alignment horizontal="right"/>
    </xf>
    <xf numFmtId="0" fontId="4" fillId="0" borderId="4" xfId="0" applyBorder="1" applyAlignment="1">
      <alignment horizontal="right"/>
    </xf>
    <xf numFmtId="0" fontId="14" fillId="0" borderId="26" xfId="0" applyFont="1" applyBorder="1" applyAlignment="1">
      <alignment horizontal="right"/>
    </xf>
    <xf numFmtId="0" fontId="4" fillId="1" borderId="22" xfId="0" applyFill="1" applyBorder="1" applyAlignment="1">
      <alignment horizontal="right"/>
    </xf>
    <xf numFmtId="0" fontId="10" fillId="0" borderId="0" xfId="0" applyFont="1" applyAlignment="1">
      <alignment horizontal="center"/>
    </xf>
    <xf numFmtId="0" fontId="0" fillId="0" borderId="0" xfId="0" applyAlignment="1">
      <alignment horizontal="center"/>
    </xf>
    <xf numFmtId="0" fontId="0" fillId="0" borderId="0" xfId="0" applyFont="1" applyAlignment="1">
      <alignment wrapText="1"/>
    </xf>
    <xf numFmtId="0" fontId="0" fillId="0" borderId="0" xfId="0" applyAlignment="1">
      <alignment wrapText="1"/>
    </xf>
    <xf numFmtId="207" fontId="6" fillId="0" borderId="0" xfId="0" applyNumberFormat="1" applyFont="1" applyAlignment="1">
      <alignment horizontal="right"/>
    </xf>
    <xf numFmtId="0" fontId="10" fillId="0" borderId="0" xfId="0" applyFont="1" applyAlignment="1">
      <alignment horizontal="left"/>
    </xf>
    <xf numFmtId="0" fontId="0" fillId="0" borderId="0" xfId="0" applyAlignment="1">
      <alignment/>
    </xf>
    <xf numFmtId="0" fontId="6" fillId="0" borderId="0" xfId="0" applyFont="1" applyAlignment="1">
      <alignment horizontal="center"/>
    </xf>
    <xf numFmtId="207" fontId="1" fillId="0" borderId="0" xfId="0" applyNumberFormat="1" applyFont="1" applyAlignment="1">
      <alignment horizontal="right"/>
    </xf>
    <xf numFmtId="0" fontId="0" fillId="0" borderId="0" xfId="0" applyFont="1" applyAlignment="1" quotePrefix="1">
      <alignment wrapText="1"/>
    </xf>
    <xf numFmtId="0" fontId="4" fillId="0" borderId="0" xfId="0" applyAlignment="1">
      <alignment wrapText="1"/>
    </xf>
    <xf numFmtId="0" fontId="4" fillId="0" borderId="0" xfId="0" applyFont="1" applyAlignment="1">
      <alignment/>
    </xf>
    <xf numFmtId="0" fontId="4" fillId="1" borderId="5" xfId="0" applyFill="1" applyBorder="1" applyAlignment="1">
      <alignment/>
    </xf>
    <xf numFmtId="0" fontId="6" fillId="1" borderId="27" xfId="0" applyFont="1" applyFill="1" applyBorder="1" applyAlignment="1">
      <alignment horizontal="right"/>
    </xf>
    <xf numFmtId="0" fontId="0" fillId="1" borderId="3" xfId="0" applyFill="1" applyBorder="1" applyAlignment="1">
      <alignment/>
    </xf>
    <xf numFmtId="0" fontId="0" fillId="0" borderId="25" xfId="0" applyBorder="1" applyAlignment="1">
      <alignment/>
    </xf>
    <xf numFmtId="0" fontId="6" fillId="0" borderId="22" xfId="0" applyFont="1" applyFill="1" applyBorder="1" applyAlignment="1">
      <alignment/>
    </xf>
    <xf numFmtId="0" fontId="6" fillId="0" borderId="22" xfId="0" applyFont="1" applyBorder="1" applyAlignment="1">
      <alignment/>
    </xf>
    <xf numFmtId="0" fontId="16" fillId="0" borderId="23" xfId="0" applyFont="1" applyBorder="1" applyAlignment="1">
      <alignment horizontal="right"/>
    </xf>
    <xf numFmtId="0" fontId="4" fillId="1" borderId="25"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17"/>
  <sheetViews>
    <sheetView tabSelected="1" view="pageBreakPreview" zoomScale="60" zoomScaleNormal="75" workbookViewId="0" topLeftCell="A73">
      <selection activeCell="F89" sqref="F89:J90"/>
    </sheetView>
  </sheetViews>
  <sheetFormatPr defaultColWidth="9.140625" defaultRowHeight="12.75"/>
  <cols>
    <col min="1" max="1" width="6.140625" style="2" customWidth="1"/>
    <col min="5" max="5" width="49.421875" style="0" customWidth="1"/>
    <col min="6" max="6" width="14.421875" style="0" customWidth="1"/>
    <col min="7" max="7" width="16.28125" style="0" customWidth="1"/>
    <col min="8" max="8" width="15.57421875" style="0" bestFit="1" customWidth="1"/>
    <col min="9" max="9" width="13.7109375" style="0" bestFit="1" customWidth="1"/>
  </cols>
  <sheetData>
    <row r="1" spans="1:2" ht="15.75">
      <c r="A1" s="69" t="s">
        <v>51</v>
      </c>
      <c r="B1" s="177"/>
    </row>
    <row r="2" spans="1:7" ht="18">
      <c r="A2" s="182" t="s">
        <v>26</v>
      </c>
      <c r="B2" s="177"/>
      <c r="G2" s="233"/>
    </row>
    <row r="3" spans="1:2" ht="15.75">
      <c r="A3" s="69" t="s">
        <v>207</v>
      </c>
      <c r="B3" s="177"/>
    </row>
    <row r="4" spans="1:10" ht="15.75">
      <c r="A4" s="183" t="s">
        <v>25</v>
      </c>
      <c r="B4" s="177"/>
      <c r="E4" s="317" t="s">
        <v>476</v>
      </c>
      <c r="F4" s="317"/>
      <c r="G4" s="317"/>
      <c r="H4" s="317"/>
      <c r="I4" s="317"/>
      <c r="J4" s="318"/>
    </row>
    <row r="6" spans="1:10" s="13" customFormat="1" ht="13.5" thickBot="1">
      <c r="A6" s="26"/>
      <c r="E6" s="13" t="s">
        <v>17</v>
      </c>
      <c r="F6" s="26" t="s">
        <v>18</v>
      </c>
      <c r="G6" s="26" t="s">
        <v>19</v>
      </c>
      <c r="H6" s="26" t="s">
        <v>20</v>
      </c>
      <c r="I6" s="26" t="s">
        <v>69</v>
      </c>
      <c r="J6" s="26" t="s">
        <v>71</v>
      </c>
    </row>
    <row r="7" spans="1:10" ht="12.75">
      <c r="A7" s="174"/>
      <c r="B7" s="10"/>
      <c r="C7" s="3"/>
      <c r="D7" s="6"/>
      <c r="E7" s="6"/>
      <c r="F7" s="10"/>
      <c r="G7" s="10" t="s">
        <v>77</v>
      </c>
      <c r="H7" s="10"/>
      <c r="I7" s="10" t="s">
        <v>78</v>
      </c>
      <c r="J7" s="84"/>
    </row>
    <row r="8" spans="1:10" ht="12.75">
      <c r="A8" s="175"/>
      <c r="B8" s="11" t="s">
        <v>10</v>
      </c>
      <c r="C8" s="4"/>
      <c r="D8" s="20" t="s">
        <v>219</v>
      </c>
      <c r="F8" s="11" t="s">
        <v>35</v>
      </c>
      <c r="G8" s="11" t="s">
        <v>9</v>
      </c>
      <c r="H8" s="11" t="s">
        <v>74</v>
      </c>
      <c r="I8" s="11" t="s">
        <v>9</v>
      </c>
      <c r="J8" s="85"/>
    </row>
    <row r="9" spans="1:10" ht="12.75">
      <c r="A9" s="175"/>
      <c r="B9" s="11" t="s">
        <v>1</v>
      </c>
      <c r="C9" s="4"/>
      <c r="D9" s="7"/>
      <c r="E9" s="7"/>
      <c r="F9" s="11" t="s">
        <v>4</v>
      </c>
      <c r="G9" s="11" t="s">
        <v>5</v>
      </c>
      <c r="H9" s="11" t="s">
        <v>198</v>
      </c>
      <c r="I9" s="11" t="s">
        <v>5</v>
      </c>
      <c r="J9" s="86" t="s">
        <v>78</v>
      </c>
    </row>
    <row r="10" spans="1:10" ht="13.5" thickBot="1">
      <c r="A10" s="176"/>
      <c r="B10" s="12"/>
      <c r="C10" s="5"/>
      <c r="D10" s="9"/>
      <c r="E10" s="9"/>
      <c r="F10" s="12" t="s">
        <v>3</v>
      </c>
      <c r="G10" s="12" t="s">
        <v>6</v>
      </c>
      <c r="H10" s="12" t="s">
        <v>203</v>
      </c>
      <c r="I10" s="12" t="s">
        <v>6</v>
      </c>
      <c r="J10" s="87" t="s">
        <v>209</v>
      </c>
    </row>
    <row r="11" ht="13.5" thickBot="1"/>
    <row r="12" spans="2:10" ht="21" thickBot="1">
      <c r="B12" s="69" t="s">
        <v>429</v>
      </c>
      <c r="F12" s="332"/>
      <c r="G12" s="333"/>
      <c r="H12" s="334"/>
      <c r="I12" s="334"/>
      <c r="J12" s="335" t="s">
        <v>477</v>
      </c>
    </row>
    <row r="13" spans="2:10" ht="16.5" thickBot="1">
      <c r="B13" s="69"/>
      <c r="F13" s="331"/>
      <c r="G13" s="329"/>
      <c r="H13" s="329"/>
      <c r="I13" s="329"/>
      <c r="J13" s="330" t="s">
        <v>475</v>
      </c>
    </row>
    <row r="14" spans="1:10" ht="12.75">
      <c r="A14" s="2">
        <v>1</v>
      </c>
      <c r="B14" t="s">
        <v>11</v>
      </c>
      <c r="C14" t="s">
        <v>297</v>
      </c>
      <c r="D14" s="17"/>
      <c r="F14" s="23" t="s">
        <v>24</v>
      </c>
      <c r="G14" s="33">
        <v>-3850</v>
      </c>
      <c r="H14" s="104"/>
      <c r="I14" s="28">
        <v>-3850</v>
      </c>
      <c r="J14" t="s">
        <v>210</v>
      </c>
    </row>
    <row r="15" spans="1:9" ht="12.75">
      <c r="A15" s="2">
        <v>2</v>
      </c>
      <c r="B15" t="s">
        <v>3</v>
      </c>
      <c r="E15" t="s">
        <v>390</v>
      </c>
      <c r="F15">
        <v>5301</v>
      </c>
      <c r="G15" s="16"/>
      <c r="H15" s="112">
        <v>62.5345798</v>
      </c>
      <c r="I15" s="28">
        <v>62.5345798</v>
      </c>
    </row>
    <row r="16" spans="1:8" ht="12.75">
      <c r="A16" s="2">
        <v>3</v>
      </c>
      <c r="G16" s="16"/>
      <c r="H16" s="112"/>
    </row>
    <row r="17" spans="1:10" ht="12.75">
      <c r="A17" s="2">
        <v>4</v>
      </c>
      <c r="B17" t="s">
        <v>29</v>
      </c>
      <c r="C17" t="s">
        <v>299</v>
      </c>
      <c r="F17" s="23">
        <v>5085</v>
      </c>
      <c r="G17" s="33">
        <v>-27776.35110500235</v>
      </c>
      <c r="H17" s="104"/>
      <c r="I17" s="28">
        <v>-27776</v>
      </c>
      <c r="J17" t="s">
        <v>210</v>
      </c>
    </row>
    <row r="18" spans="1:8" ht="12.75">
      <c r="A18" s="2">
        <v>5</v>
      </c>
      <c r="C18" t="s">
        <v>300</v>
      </c>
      <c r="G18" s="16"/>
      <c r="H18" s="112"/>
    </row>
    <row r="19" spans="1:9" ht="12.75">
      <c r="A19" s="2">
        <v>6</v>
      </c>
      <c r="E19" t="s">
        <v>63</v>
      </c>
      <c r="F19">
        <v>5301</v>
      </c>
      <c r="G19" s="16"/>
      <c r="H19" s="112">
        <v>451.16427135807476</v>
      </c>
      <c r="I19" s="28">
        <v>451.16427135807476</v>
      </c>
    </row>
    <row r="20" spans="1:8" ht="12.75">
      <c r="A20" s="2">
        <v>7</v>
      </c>
      <c r="G20" s="16"/>
      <c r="H20" s="112"/>
    </row>
    <row r="21" spans="1:10" ht="12.75">
      <c r="A21" s="2">
        <v>8</v>
      </c>
      <c r="B21" t="s">
        <v>31</v>
      </c>
      <c r="C21" t="s">
        <v>298</v>
      </c>
      <c r="F21" s="23" t="s">
        <v>433</v>
      </c>
      <c r="G21" s="33">
        <v>-3488.8559967984916</v>
      </c>
      <c r="H21" s="112"/>
      <c r="I21" s="28">
        <v>-3489</v>
      </c>
      <c r="J21" t="s">
        <v>210</v>
      </c>
    </row>
    <row r="22" spans="1:9" ht="12.75">
      <c r="A22" s="2">
        <v>9</v>
      </c>
      <c r="E22" t="s">
        <v>63</v>
      </c>
      <c r="F22">
        <v>5301</v>
      </c>
      <c r="G22" s="16"/>
      <c r="H22" s="112">
        <v>56.66860876428671</v>
      </c>
      <c r="I22" s="28">
        <v>56.66860876428671</v>
      </c>
    </row>
    <row r="23" spans="1:8" ht="12.75">
      <c r="A23" s="2">
        <v>10</v>
      </c>
      <c r="G23" s="16"/>
      <c r="H23" s="112"/>
    </row>
    <row r="24" spans="1:10" ht="12.75">
      <c r="A24" s="2">
        <v>11</v>
      </c>
      <c r="B24" t="s">
        <v>33</v>
      </c>
      <c r="C24" t="s">
        <v>301</v>
      </c>
      <c r="F24" s="23" t="s">
        <v>41</v>
      </c>
      <c r="G24" s="33">
        <v>-3495.48969752195</v>
      </c>
      <c r="H24" s="112"/>
      <c r="I24" s="28">
        <v>-3495</v>
      </c>
      <c r="J24" t="s">
        <v>210</v>
      </c>
    </row>
    <row r="25" spans="1:7" ht="12.75">
      <c r="A25" s="2">
        <v>12</v>
      </c>
      <c r="C25" t="s">
        <v>302</v>
      </c>
      <c r="G25" s="16"/>
    </row>
    <row r="26" spans="1:9" ht="12.75">
      <c r="A26" s="2">
        <v>13</v>
      </c>
      <c r="E26" t="s">
        <v>63</v>
      </c>
      <c r="F26">
        <v>5301</v>
      </c>
      <c r="G26" s="16"/>
      <c r="H26" s="112">
        <v>56.77635829344526</v>
      </c>
      <c r="I26" s="28">
        <v>56.77635829344526</v>
      </c>
    </row>
    <row r="27" spans="1:8" ht="12.75">
      <c r="A27" s="2">
        <v>14</v>
      </c>
      <c r="G27" s="16"/>
      <c r="H27" s="112"/>
    </row>
    <row r="28" spans="1:10" ht="12.75">
      <c r="A28" s="2">
        <v>15</v>
      </c>
      <c r="B28" t="s">
        <v>12</v>
      </c>
      <c r="C28" t="s">
        <v>79</v>
      </c>
      <c r="F28" s="23" t="s">
        <v>24</v>
      </c>
      <c r="G28" s="33">
        <v>222.08333333333331</v>
      </c>
      <c r="H28" s="268"/>
      <c r="I28" s="269"/>
      <c r="J28" t="s">
        <v>210</v>
      </c>
    </row>
    <row r="29" spans="1:9" ht="12.75">
      <c r="A29" s="2">
        <v>16</v>
      </c>
      <c r="E29" t="s">
        <v>63</v>
      </c>
      <c r="F29">
        <v>5301</v>
      </c>
      <c r="G29" s="33"/>
      <c r="H29" s="270"/>
      <c r="I29" s="269"/>
    </row>
    <row r="30" spans="1:8" ht="12.75">
      <c r="A30" s="2">
        <v>17</v>
      </c>
      <c r="F30" s="23"/>
      <c r="G30" s="33"/>
      <c r="H30" s="112"/>
    </row>
    <row r="31" spans="1:10" ht="12.75">
      <c r="A31" s="2">
        <v>18</v>
      </c>
      <c r="B31" t="s">
        <v>44</v>
      </c>
      <c r="C31" t="s">
        <v>80</v>
      </c>
      <c r="F31" s="23" t="s">
        <v>24</v>
      </c>
      <c r="G31" s="33">
        <v>199</v>
      </c>
      <c r="H31" s="270"/>
      <c r="I31" s="269"/>
      <c r="J31" t="s">
        <v>210</v>
      </c>
    </row>
    <row r="32" spans="1:9" ht="12.75">
      <c r="A32" s="2">
        <v>19</v>
      </c>
      <c r="E32" t="s">
        <v>63</v>
      </c>
      <c r="F32">
        <v>5301</v>
      </c>
      <c r="G32" s="33"/>
      <c r="H32" s="270"/>
      <c r="I32" s="269"/>
    </row>
    <row r="33" spans="1:8" ht="12.75">
      <c r="A33" s="2">
        <v>20</v>
      </c>
      <c r="F33" s="23"/>
      <c r="G33" s="33"/>
      <c r="H33" s="112"/>
    </row>
    <row r="34" spans="1:9" ht="12.75">
      <c r="A34" s="2">
        <v>21</v>
      </c>
      <c r="B34" t="s">
        <v>13</v>
      </c>
      <c r="C34" t="s">
        <v>81</v>
      </c>
      <c r="F34" s="23" t="s">
        <v>24</v>
      </c>
      <c r="G34" s="33">
        <v>1005</v>
      </c>
      <c r="H34" s="112"/>
      <c r="I34" s="28">
        <v>1005</v>
      </c>
    </row>
    <row r="35" spans="1:9" ht="12.75">
      <c r="A35" s="2">
        <v>22</v>
      </c>
      <c r="E35" t="s">
        <v>63</v>
      </c>
      <c r="F35" s="23">
        <v>5301</v>
      </c>
      <c r="G35" s="31"/>
      <c r="H35" s="112">
        <v>-16.32396174</v>
      </c>
      <c r="I35" s="28">
        <v>-16.32396174</v>
      </c>
    </row>
    <row r="36" spans="1:8" ht="12.75">
      <c r="A36" s="2">
        <v>23</v>
      </c>
      <c r="F36" s="23"/>
      <c r="G36" s="31"/>
      <c r="H36" s="112"/>
    </row>
    <row r="37" spans="1:9" ht="12.75">
      <c r="A37" s="2">
        <v>24</v>
      </c>
      <c r="B37" t="s">
        <v>14</v>
      </c>
      <c r="C37" t="s">
        <v>34</v>
      </c>
      <c r="F37" s="23">
        <v>5301</v>
      </c>
      <c r="G37" s="33">
        <v>1943.2337</v>
      </c>
      <c r="H37" s="112"/>
      <c r="I37" s="28">
        <v>1943.2337</v>
      </c>
    </row>
    <row r="38" spans="1:8" ht="12.75">
      <c r="A38" s="2">
        <v>25</v>
      </c>
      <c r="F38" s="23"/>
      <c r="G38" s="89"/>
      <c r="H38" s="112"/>
    </row>
    <row r="39" spans="1:10" ht="12.75">
      <c r="A39" s="2">
        <v>26</v>
      </c>
      <c r="B39" t="s">
        <v>65</v>
      </c>
      <c r="C39" t="s">
        <v>220</v>
      </c>
      <c r="F39" s="23">
        <v>5301</v>
      </c>
      <c r="G39" s="90">
        <v>-551.8763476092878</v>
      </c>
      <c r="H39" s="112">
        <v>552</v>
      </c>
      <c r="I39" s="19">
        <v>0.12365239071220913</v>
      </c>
      <c r="J39" t="s">
        <v>210</v>
      </c>
    </row>
    <row r="40" spans="1:9" ht="12.75">
      <c r="A40" s="2">
        <v>27</v>
      </c>
      <c r="F40" s="23"/>
      <c r="G40" s="90"/>
      <c r="H40" s="112"/>
      <c r="I40" s="19"/>
    </row>
    <row r="41" spans="1:9" ht="12.75">
      <c r="A41" s="2">
        <v>28</v>
      </c>
      <c r="F41" s="23"/>
      <c r="G41" s="90"/>
      <c r="H41" s="112"/>
      <c r="I41" s="19"/>
    </row>
    <row r="42" spans="1:10" ht="12.75">
      <c r="A42" s="2">
        <v>29</v>
      </c>
      <c r="B42" s="96" t="s">
        <v>82</v>
      </c>
      <c r="C42" s="96" t="s">
        <v>138</v>
      </c>
      <c r="D42" s="96"/>
      <c r="E42" s="96"/>
      <c r="F42" s="96">
        <v>5001</v>
      </c>
      <c r="G42" s="34">
        <v>627</v>
      </c>
      <c r="H42" s="270"/>
      <c r="I42" s="271"/>
      <c r="J42" t="s">
        <v>210</v>
      </c>
    </row>
    <row r="43" spans="1:10" ht="12.75">
      <c r="A43" s="2">
        <v>30</v>
      </c>
      <c r="B43" s="96" t="s">
        <v>82</v>
      </c>
      <c r="C43" s="96" t="s">
        <v>139</v>
      </c>
      <c r="D43" s="96"/>
      <c r="E43" s="96"/>
      <c r="F43" s="96">
        <v>5086</v>
      </c>
      <c r="G43" s="88">
        <v>739</v>
      </c>
      <c r="H43" s="270"/>
      <c r="I43" s="271"/>
      <c r="J43" t="s">
        <v>210</v>
      </c>
    </row>
    <row r="44" spans="1:9" ht="12.75">
      <c r="A44" s="2">
        <v>31</v>
      </c>
      <c r="E44" t="s">
        <v>63</v>
      </c>
      <c r="F44">
        <v>5301</v>
      </c>
      <c r="H44" s="270"/>
      <c r="I44" s="269"/>
    </row>
    <row r="45" spans="1:9" ht="12.75">
      <c r="A45" s="2">
        <v>32</v>
      </c>
      <c r="F45" s="23"/>
      <c r="G45" s="83"/>
      <c r="H45" s="112"/>
      <c r="I45" s="19"/>
    </row>
    <row r="46" spans="1:10" ht="12.75">
      <c r="A46" s="2">
        <v>33</v>
      </c>
      <c r="B46" s="63" t="s">
        <v>208</v>
      </c>
      <c r="C46" s="63" t="s">
        <v>224</v>
      </c>
      <c r="D46" s="63"/>
      <c r="E46" s="63"/>
      <c r="F46" s="63">
        <v>5240</v>
      </c>
      <c r="G46" s="63"/>
      <c r="H46" s="272"/>
      <c r="I46" s="271"/>
      <c r="J46" s="63" t="s">
        <v>212</v>
      </c>
    </row>
    <row r="47" spans="1:10" ht="13.5" thickBot="1">
      <c r="A47" s="2">
        <v>34</v>
      </c>
      <c r="B47" s="63"/>
      <c r="C47" s="63"/>
      <c r="D47" s="63"/>
      <c r="E47" s="63" t="s">
        <v>63</v>
      </c>
      <c r="F47" s="63">
        <v>5301</v>
      </c>
      <c r="G47" s="181"/>
      <c r="H47" s="270"/>
      <c r="I47" s="269"/>
      <c r="J47" s="63"/>
    </row>
    <row r="48" spans="1:10" ht="12.75">
      <c r="A48" s="2">
        <v>35</v>
      </c>
      <c r="B48" s="63" t="s">
        <v>318</v>
      </c>
      <c r="C48" s="63" t="s">
        <v>434</v>
      </c>
      <c r="D48" s="63"/>
      <c r="E48" s="63"/>
      <c r="F48" s="110" t="s">
        <v>393</v>
      </c>
      <c r="G48" s="63"/>
      <c r="H48" s="273"/>
      <c r="I48" s="274"/>
      <c r="J48" s="63" t="s">
        <v>210</v>
      </c>
    </row>
    <row r="49" spans="1:10" ht="13.5" thickBot="1">
      <c r="A49" s="2">
        <v>36</v>
      </c>
      <c r="B49" s="63"/>
      <c r="C49" s="63"/>
      <c r="D49" s="63"/>
      <c r="E49" s="63" t="s">
        <v>63</v>
      </c>
      <c r="F49" s="63">
        <v>5301</v>
      </c>
      <c r="G49" s="181"/>
      <c r="H49" s="275"/>
      <c r="I49" s="276"/>
      <c r="J49" s="63"/>
    </row>
    <row r="50" spans="1:9" ht="13.5" thickBot="1">
      <c r="A50" s="2">
        <v>37</v>
      </c>
      <c r="C50" s="21"/>
      <c r="D50" s="21"/>
      <c r="E50" s="21"/>
      <c r="F50" s="21"/>
      <c r="G50" s="21"/>
      <c r="H50" s="259"/>
      <c r="I50" s="8"/>
    </row>
    <row r="51" spans="1:9" ht="16.5" thickBot="1">
      <c r="A51" s="2">
        <v>38</v>
      </c>
      <c r="C51" s="69" t="s">
        <v>204</v>
      </c>
      <c r="D51" s="177"/>
      <c r="E51" s="177"/>
      <c r="F51" s="172"/>
      <c r="G51" s="165">
        <v>-34427.25611359875</v>
      </c>
      <c r="H51" s="260">
        <v>11812.644921430314</v>
      </c>
      <c r="I51" s="239">
        <v>-22613.91439284565</v>
      </c>
    </row>
    <row r="52" spans="1:2" ht="12.75">
      <c r="A52" s="2">
        <v>39</v>
      </c>
      <c r="B52" s="8"/>
    </row>
    <row r="53" spans="1:10" ht="20.25">
      <c r="A53" s="2">
        <v>40</v>
      </c>
      <c r="F53" s="63"/>
      <c r="G53" s="255"/>
      <c r="H53" s="255"/>
      <c r="I53" s="255"/>
      <c r="J53" s="262"/>
    </row>
    <row r="54" spans="1:10" ht="15.75">
      <c r="A54" s="2">
        <v>41</v>
      </c>
      <c r="F54" s="63"/>
      <c r="G54" s="227"/>
      <c r="H54" s="227"/>
      <c r="I54" s="227"/>
      <c r="J54" s="258"/>
    </row>
    <row r="55" spans="1:10" ht="12.75">
      <c r="A55" s="2">
        <v>42</v>
      </c>
      <c r="B55" s="7"/>
      <c r="C55" s="7"/>
      <c r="D55" s="7"/>
      <c r="E55" s="7"/>
      <c r="F55" s="7"/>
      <c r="G55" s="7"/>
      <c r="H55" s="7"/>
      <c r="I55" s="7"/>
      <c r="J55" s="45"/>
    </row>
    <row r="56" spans="1:2" ht="15.75">
      <c r="A56" s="2">
        <v>43</v>
      </c>
      <c r="B56" s="69" t="s">
        <v>273</v>
      </c>
    </row>
    <row r="57" spans="1:2" ht="12.75">
      <c r="A57" s="2">
        <v>44</v>
      </c>
      <c r="B57" s="13"/>
    </row>
    <row r="58" spans="1:9" ht="12.75">
      <c r="A58" s="2">
        <v>45</v>
      </c>
      <c r="B58" t="s">
        <v>28</v>
      </c>
      <c r="C58" t="s">
        <v>221</v>
      </c>
      <c r="F58" s="24">
        <v>6728</v>
      </c>
      <c r="G58" s="119">
        <v>178</v>
      </c>
      <c r="I58" s="28">
        <v>178</v>
      </c>
    </row>
    <row r="59" spans="1:7" ht="12.75">
      <c r="A59" s="2">
        <v>46</v>
      </c>
      <c r="F59" s="24"/>
      <c r="G59" s="120"/>
    </row>
    <row r="60" spans="1:10" ht="12.75">
      <c r="A60" s="2">
        <v>47</v>
      </c>
      <c r="B60" t="s">
        <v>47</v>
      </c>
      <c r="C60" s="19" t="s">
        <v>66</v>
      </c>
      <c r="F60" s="24" t="s">
        <v>21</v>
      </c>
      <c r="G60" s="91">
        <v>491</v>
      </c>
      <c r="H60" s="19">
        <v>-1066.2114313644292</v>
      </c>
      <c r="I60" s="28">
        <v>-575.2114313644292</v>
      </c>
      <c r="J60" t="s">
        <v>211</v>
      </c>
    </row>
    <row r="61" spans="1:9" ht="12.75">
      <c r="A61" s="2">
        <v>48</v>
      </c>
      <c r="C61" s="19"/>
      <c r="D61" t="s">
        <v>222</v>
      </c>
      <c r="F61" s="24" t="s">
        <v>22</v>
      </c>
      <c r="G61" s="91">
        <v>453</v>
      </c>
      <c r="H61" s="19">
        <v>-301.83030235126625</v>
      </c>
      <c r="I61" s="28">
        <v>151.16969764873375</v>
      </c>
    </row>
    <row r="62" spans="1:9" ht="12.75">
      <c r="A62" s="2">
        <v>49</v>
      </c>
      <c r="C62" s="19"/>
      <c r="D62" t="s">
        <v>223</v>
      </c>
      <c r="F62" s="24" t="s">
        <v>23</v>
      </c>
      <c r="G62" s="91">
        <v>266</v>
      </c>
      <c r="H62" s="19">
        <v>-275.2795171929891</v>
      </c>
      <c r="I62" s="28">
        <v>-9.27951719298909</v>
      </c>
    </row>
    <row r="63" spans="1:9" ht="12.75">
      <c r="A63" s="2">
        <v>50</v>
      </c>
      <c r="C63" s="19"/>
      <c r="F63" s="24" t="s">
        <v>16</v>
      </c>
      <c r="G63" s="91">
        <v>1007</v>
      </c>
      <c r="H63" s="19">
        <v>-2384.385077203712</v>
      </c>
      <c r="I63" s="28">
        <v>-1377.3850772037122</v>
      </c>
    </row>
    <row r="64" spans="1:7" ht="12.75">
      <c r="A64" s="2">
        <v>51</v>
      </c>
      <c r="F64" s="24"/>
      <c r="G64" s="121"/>
    </row>
    <row r="65" spans="1:10" ht="12.75">
      <c r="A65" s="2">
        <v>52</v>
      </c>
      <c r="B65" t="s">
        <v>50</v>
      </c>
      <c r="C65" t="s">
        <v>269</v>
      </c>
      <c r="F65" s="24" t="s">
        <v>21</v>
      </c>
      <c r="G65" s="122">
        <v>2196</v>
      </c>
      <c r="H65" s="82">
        <v>-2196</v>
      </c>
      <c r="I65" s="28">
        <v>0</v>
      </c>
      <c r="J65" t="s">
        <v>211</v>
      </c>
    </row>
    <row r="66" spans="1:9" ht="12.75">
      <c r="A66" s="2">
        <v>53</v>
      </c>
      <c r="F66" s="24" t="s">
        <v>22</v>
      </c>
      <c r="G66" s="122">
        <v>1332</v>
      </c>
      <c r="H66" s="82">
        <v>-1332</v>
      </c>
      <c r="I66" s="28">
        <v>0</v>
      </c>
    </row>
    <row r="67" spans="1:9" ht="12.75">
      <c r="A67" s="2">
        <v>54</v>
      </c>
      <c r="F67" s="24" t="s">
        <v>23</v>
      </c>
      <c r="G67" s="122">
        <v>2099</v>
      </c>
      <c r="H67" s="82">
        <v>-2099</v>
      </c>
      <c r="I67" s="28">
        <v>0</v>
      </c>
    </row>
    <row r="68" spans="1:9" ht="12.75">
      <c r="A68" s="2">
        <v>55</v>
      </c>
      <c r="F68" s="24" t="s">
        <v>16</v>
      </c>
      <c r="G68" s="122">
        <v>-7012</v>
      </c>
      <c r="H68" s="82">
        <v>7012</v>
      </c>
      <c r="I68" s="28">
        <v>0</v>
      </c>
    </row>
    <row r="69" spans="1:7" ht="12.75">
      <c r="A69" s="2">
        <v>56</v>
      </c>
      <c r="F69" s="24"/>
      <c r="G69" s="122"/>
    </row>
    <row r="70" spans="1:10" ht="12.75">
      <c r="A70" s="2">
        <v>57</v>
      </c>
      <c r="B70" t="s">
        <v>56</v>
      </c>
      <c r="C70" t="s">
        <v>386</v>
      </c>
      <c r="F70" s="24" t="s">
        <v>387</v>
      </c>
      <c r="G70" s="91">
        <v>47119</v>
      </c>
      <c r="H70" s="19">
        <v>-48787.78238853734</v>
      </c>
      <c r="I70" s="28">
        <v>-1668.7823885373364</v>
      </c>
      <c r="J70" t="s">
        <v>210</v>
      </c>
    </row>
    <row r="71" spans="1:9" ht="12.75">
      <c r="A71" s="2">
        <v>58</v>
      </c>
      <c r="F71" s="24"/>
      <c r="G71" s="91"/>
      <c r="I71" s="28"/>
    </row>
    <row r="72" spans="1:7" ht="12.75">
      <c r="A72" s="2">
        <v>59</v>
      </c>
      <c r="F72" s="24"/>
      <c r="G72" s="122"/>
    </row>
    <row r="73" spans="1:10" ht="12.75">
      <c r="A73" s="2">
        <v>60</v>
      </c>
      <c r="B73" t="s">
        <v>64</v>
      </c>
      <c r="C73" t="s">
        <v>391</v>
      </c>
      <c r="F73">
        <v>6728</v>
      </c>
      <c r="G73" s="92">
        <v>-11323.0696779256</v>
      </c>
      <c r="H73" s="105">
        <v>-4262</v>
      </c>
      <c r="I73" s="28">
        <v>-15585.0696779256</v>
      </c>
      <c r="J73" t="s">
        <v>211</v>
      </c>
    </row>
    <row r="74" spans="1:9" ht="12.75">
      <c r="A74" s="2">
        <v>61</v>
      </c>
      <c r="F74" s="24"/>
      <c r="G74" s="122"/>
      <c r="H74" s="19"/>
      <c r="I74" s="28"/>
    </row>
    <row r="75" spans="1:7" ht="12.75">
      <c r="A75" s="2">
        <v>62</v>
      </c>
      <c r="F75" s="24"/>
      <c r="G75" s="122"/>
    </row>
    <row r="76" spans="1:10" ht="12.75">
      <c r="A76" s="2">
        <v>63</v>
      </c>
      <c r="B76" t="s">
        <v>65</v>
      </c>
      <c r="C76" t="s">
        <v>217</v>
      </c>
      <c r="F76" s="24">
        <v>7240</v>
      </c>
      <c r="G76" s="91">
        <v>-147.95379142964458</v>
      </c>
      <c r="H76" s="82">
        <v>147.95379142964458</v>
      </c>
      <c r="I76" s="28">
        <v>0</v>
      </c>
      <c r="J76" t="s">
        <v>210</v>
      </c>
    </row>
    <row r="77" spans="1:9" ht="12.75">
      <c r="A77" s="2">
        <v>64</v>
      </c>
      <c r="C77" t="s">
        <v>218</v>
      </c>
      <c r="F77" s="24"/>
      <c r="G77" s="91"/>
      <c r="H77" s="82">
        <v>-149.47886569890863</v>
      </c>
      <c r="I77" s="28">
        <v>-149.47886569890863</v>
      </c>
    </row>
    <row r="78" spans="1:7" ht="12.75">
      <c r="A78" s="2">
        <v>65</v>
      </c>
      <c r="F78" s="24"/>
      <c r="G78" s="91"/>
    </row>
    <row r="79" spans="1:10" ht="12.75">
      <c r="A79" s="2">
        <v>66</v>
      </c>
      <c r="B79" t="s">
        <v>72</v>
      </c>
      <c r="C79" t="s">
        <v>215</v>
      </c>
      <c r="F79" s="24">
        <v>6728</v>
      </c>
      <c r="G79" s="91">
        <v>525</v>
      </c>
      <c r="H79">
        <v>-12139</v>
      </c>
      <c r="I79" s="28">
        <v>-11614</v>
      </c>
      <c r="J79" t="s">
        <v>211</v>
      </c>
    </row>
    <row r="80" spans="1:9" ht="12.75">
      <c r="A80" s="2">
        <v>67</v>
      </c>
      <c r="C80" t="s">
        <v>216</v>
      </c>
      <c r="F80" s="24"/>
      <c r="G80" s="91"/>
      <c r="I80" s="28"/>
    </row>
    <row r="81" spans="1:9" ht="12.75">
      <c r="A81" s="2">
        <v>68</v>
      </c>
      <c r="F81" s="24"/>
      <c r="G81" s="91"/>
      <c r="H81" s="98"/>
      <c r="I81" s="28"/>
    </row>
    <row r="82" spans="1:10" ht="12.75">
      <c r="A82" s="2">
        <v>69</v>
      </c>
      <c r="B82" t="s">
        <v>271</v>
      </c>
      <c r="C82" t="s">
        <v>392</v>
      </c>
      <c r="F82" s="24" t="s">
        <v>387</v>
      </c>
      <c r="G82" s="122"/>
      <c r="H82" s="34">
        <v>-7843.171</v>
      </c>
      <c r="I82" s="261">
        <v>-7843.171</v>
      </c>
      <c r="J82" t="s">
        <v>210</v>
      </c>
    </row>
    <row r="83" spans="1:10" ht="12.75">
      <c r="A83" s="2">
        <v>70</v>
      </c>
      <c r="C83" t="s">
        <v>411</v>
      </c>
      <c r="F83" s="24" t="s">
        <v>412</v>
      </c>
      <c r="G83" s="122"/>
      <c r="H83" s="19">
        <v>-3491.8100382614434</v>
      </c>
      <c r="I83" s="28">
        <v>-3491.8100382614434</v>
      </c>
      <c r="J83" t="s">
        <v>210</v>
      </c>
    </row>
    <row r="84" spans="1:9" ht="12.75">
      <c r="A84" s="2">
        <v>71</v>
      </c>
      <c r="F84" s="24"/>
      <c r="G84" s="122"/>
      <c r="H84" s="19"/>
      <c r="I84" s="28"/>
    </row>
    <row r="85" spans="1:10" ht="12.75">
      <c r="A85" s="2">
        <v>72</v>
      </c>
      <c r="B85" t="s">
        <v>225</v>
      </c>
      <c r="C85" s="124" t="s">
        <v>410</v>
      </c>
      <c r="F85" s="309"/>
      <c r="G85" s="310"/>
      <c r="H85" s="311"/>
      <c r="I85" s="269"/>
      <c r="J85" t="s">
        <v>210</v>
      </c>
    </row>
    <row r="86" ht="12.75">
      <c r="A86" s="2">
        <v>73</v>
      </c>
    </row>
    <row r="87" spans="1:10" ht="12.75">
      <c r="A87" s="2">
        <v>74</v>
      </c>
      <c r="C87" s="44"/>
      <c r="D87" s="21"/>
      <c r="E87" s="21"/>
      <c r="F87" s="21"/>
      <c r="G87" s="169"/>
      <c r="H87" s="170"/>
      <c r="I87" s="170"/>
      <c r="J87" s="21"/>
    </row>
    <row r="88" spans="1:10" ht="16.5" thickBot="1">
      <c r="A88" s="2">
        <v>75</v>
      </c>
      <c r="B88" s="102"/>
      <c r="C88" s="69" t="s">
        <v>205</v>
      </c>
      <c r="D88" s="177"/>
      <c r="E88" s="177"/>
      <c r="F88" s="177"/>
      <c r="G88" s="178">
        <v>37182.97653064476</v>
      </c>
      <c r="H88" s="179">
        <v>-79309.09102718046</v>
      </c>
      <c r="I88" s="179">
        <v>-42126.11449653568</v>
      </c>
      <c r="J88" s="7"/>
    </row>
    <row r="89" spans="1:10" ht="21" thickBot="1">
      <c r="A89" s="2">
        <v>76</v>
      </c>
      <c r="B89" s="103"/>
      <c r="C89" s="8"/>
      <c r="D89" s="8"/>
      <c r="E89" s="8"/>
      <c r="F89" s="332"/>
      <c r="G89" s="333"/>
      <c r="H89" s="334"/>
      <c r="I89" s="334"/>
      <c r="J89" s="335" t="s">
        <v>477</v>
      </c>
    </row>
    <row r="90" spans="1:10" ht="16.5" thickBot="1">
      <c r="A90" s="2">
        <v>77</v>
      </c>
      <c r="B90" s="69" t="s">
        <v>270</v>
      </c>
      <c r="F90" s="331"/>
      <c r="G90" s="329"/>
      <c r="H90" s="329"/>
      <c r="I90" s="329"/>
      <c r="J90" s="330" t="s">
        <v>475</v>
      </c>
    </row>
    <row r="91" spans="1:7" ht="12.75">
      <c r="A91" s="2">
        <v>78</v>
      </c>
      <c r="G91" s="63"/>
    </row>
    <row r="92" spans="1:10" ht="12.75">
      <c r="A92" s="2">
        <v>79</v>
      </c>
      <c r="B92" t="s">
        <v>30</v>
      </c>
      <c r="C92" t="s">
        <v>39</v>
      </c>
      <c r="E92" t="s">
        <v>3</v>
      </c>
      <c r="F92" s="24">
        <v>4310</v>
      </c>
      <c r="G92" s="123">
        <v>-2439</v>
      </c>
      <c r="H92" s="82">
        <v>2439</v>
      </c>
      <c r="I92" s="28">
        <v>0</v>
      </c>
      <c r="J92" t="s">
        <v>211</v>
      </c>
    </row>
    <row r="93" spans="1:9" ht="12.75">
      <c r="A93" s="2">
        <v>80</v>
      </c>
      <c r="B93" t="s">
        <v>30</v>
      </c>
      <c r="C93" t="s">
        <v>46</v>
      </c>
      <c r="F93" s="24" t="s">
        <v>385</v>
      </c>
      <c r="G93" s="123">
        <v>805</v>
      </c>
      <c r="H93" s="82">
        <v>-805</v>
      </c>
      <c r="I93" s="28">
        <v>0</v>
      </c>
    </row>
    <row r="94" spans="1:7" ht="12.75">
      <c r="A94" s="2">
        <v>81</v>
      </c>
      <c r="F94" s="24"/>
      <c r="G94" s="123"/>
    </row>
    <row r="95" spans="1:10" ht="12.75">
      <c r="A95" s="2">
        <v>82</v>
      </c>
      <c r="B95" t="s">
        <v>48</v>
      </c>
      <c r="C95" t="s">
        <v>40</v>
      </c>
      <c r="F95" s="24" t="s">
        <v>388</v>
      </c>
      <c r="G95" s="94">
        <v>4533.706732</v>
      </c>
      <c r="H95" s="28">
        <v>-25196.369732</v>
      </c>
      <c r="I95" s="28">
        <v>-20662.663</v>
      </c>
      <c r="J95" t="s">
        <v>212</v>
      </c>
    </row>
    <row r="96" spans="1:7" ht="12.75">
      <c r="A96" s="2">
        <v>83</v>
      </c>
      <c r="F96" s="24"/>
      <c r="G96" s="123"/>
    </row>
    <row r="97" spans="1:10" ht="12.75">
      <c r="A97" s="2">
        <v>84</v>
      </c>
      <c r="B97" t="s">
        <v>49</v>
      </c>
      <c r="C97" t="s">
        <v>60</v>
      </c>
      <c r="F97" s="24">
        <v>1410</v>
      </c>
      <c r="G97" s="95">
        <v>2499</v>
      </c>
      <c r="H97">
        <v>-2499</v>
      </c>
      <c r="I97" s="28">
        <v>0</v>
      </c>
      <c r="J97" t="s">
        <v>211</v>
      </c>
    </row>
    <row r="98" spans="1:9" ht="12.75">
      <c r="A98" s="2">
        <v>85</v>
      </c>
      <c r="B98" t="s">
        <v>49</v>
      </c>
      <c r="C98" t="s">
        <v>60</v>
      </c>
      <c r="F98" s="24" t="s">
        <v>385</v>
      </c>
      <c r="G98" s="95">
        <v>-626</v>
      </c>
      <c r="H98">
        <v>626</v>
      </c>
      <c r="I98" s="28">
        <v>0</v>
      </c>
    </row>
    <row r="99" spans="1:9" ht="12.75">
      <c r="A99" s="2">
        <v>86</v>
      </c>
      <c r="B99" t="s">
        <v>49</v>
      </c>
      <c r="C99" t="s">
        <v>60</v>
      </c>
      <c r="F99" s="24" t="s">
        <v>389</v>
      </c>
      <c r="G99" s="32">
        <v>-875</v>
      </c>
      <c r="H99" s="82">
        <v>875</v>
      </c>
      <c r="I99" s="28">
        <v>0</v>
      </c>
    </row>
    <row r="100" spans="1:7" ht="12.75">
      <c r="A100" s="2">
        <v>87</v>
      </c>
      <c r="F100" s="24"/>
      <c r="G100" s="32"/>
    </row>
    <row r="101" spans="1:10" ht="12.75">
      <c r="A101" s="2">
        <v>88</v>
      </c>
      <c r="B101" t="s">
        <v>50</v>
      </c>
      <c r="C101" t="s">
        <v>67</v>
      </c>
      <c r="F101" s="24">
        <v>4310</v>
      </c>
      <c r="G101" s="119">
        <v>-17990</v>
      </c>
      <c r="H101" s="82">
        <v>17990</v>
      </c>
      <c r="I101" s="28">
        <v>0</v>
      </c>
      <c r="J101" t="s">
        <v>211</v>
      </c>
    </row>
    <row r="102" spans="1:9" ht="12.75">
      <c r="A102" s="2">
        <v>89</v>
      </c>
      <c r="B102" t="s">
        <v>50</v>
      </c>
      <c r="C102" t="s">
        <v>68</v>
      </c>
      <c r="F102" s="24" t="s">
        <v>385</v>
      </c>
      <c r="G102" s="119">
        <v>2123</v>
      </c>
      <c r="H102" s="82">
        <v>-2123</v>
      </c>
      <c r="I102" s="28">
        <v>0</v>
      </c>
    </row>
    <row r="103" spans="1:7" ht="12.75">
      <c r="A103" s="2">
        <v>90</v>
      </c>
      <c r="F103" s="24"/>
      <c r="G103" s="119"/>
    </row>
    <row r="104" spans="1:9" ht="12.75">
      <c r="A104" s="2">
        <v>91</v>
      </c>
      <c r="B104" t="s">
        <v>56</v>
      </c>
      <c r="C104" t="s">
        <v>213</v>
      </c>
      <c r="F104" s="24" t="s">
        <v>27</v>
      </c>
      <c r="G104" s="91">
        <v>-4196</v>
      </c>
      <c r="I104" s="28">
        <v>-4196</v>
      </c>
    </row>
    <row r="105" spans="1:10" ht="13.5" thickBot="1">
      <c r="A105" s="2">
        <v>92</v>
      </c>
      <c r="C105" t="s">
        <v>214</v>
      </c>
      <c r="F105" s="32" t="s">
        <v>53</v>
      </c>
      <c r="G105" s="91">
        <v>-30196</v>
      </c>
      <c r="H105" s="19">
        <v>65461.69285402022</v>
      </c>
      <c r="I105" s="28">
        <v>35265.69285402022</v>
      </c>
      <c r="J105" t="s">
        <v>210</v>
      </c>
    </row>
    <row r="106" spans="1:9" ht="13.5" thickBot="1">
      <c r="A106" s="2">
        <v>93</v>
      </c>
      <c r="D106" t="s">
        <v>430</v>
      </c>
      <c r="F106" s="24" t="s">
        <v>45</v>
      </c>
      <c r="G106" s="91">
        <v>10568.47780312336</v>
      </c>
      <c r="H106" s="304">
        <v>-14539.273653350328</v>
      </c>
      <c r="I106" s="305">
        <v>-3970.7958502269685</v>
      </c>
    </row>
    <row r="107" ht="12.75">
      <c r="A107" s="2">
        <v>94</v>
      </c>
    </row>
    <row r="108" ht="12.75">
      <c r="A108" s="2">
        <v>95</v>
      </c>
    </row>
    <row r="109" spans="1:10" ht="12.75">
      <c r="A109" s="2">
        <v>96</v>
      </c>
      <c r="B109" t="s">
        <v>271</v>
      </c>
      <c r="C109" t="s">
        <v>272</v>
      </c>
      <c r="F109" s="277"/>
      <c r="G109" s="278"/>
      <c r="H109" s="272"/>
      <c r="I109" s="271"/>
      <c r="J109" t="s">
        <v>210</v>
      </c>
    </row>
    <row r="110" spans="1:9" ht="12.75">
      <c r="A110" s="2">
        <v>97</v>
      </c>
      <c r="D110" t="s">
        <v>430</v>
      </c>
      <c r="F110" s="277"/>
      <c r="G110" s="278"/>
      <c r="H110" s="272"/>
      <c r="I110" s="271"/>
    </row>
    <row r="111" spans="1:9" ht="12.75">
      <c r="A111" s="2">
        <v>98</v>
      </c>
      <c r="F111" s="277"/>
      <c r="G111" s="278"/>
      <c r="H111" s="272"/>
      <c r="I111" s="271"/>
    </row>
    <row r="112" ht="12.75">
      <c r="A112" s="2">
        <v>99</v>
      </c>
    </row>
    <row r="113" spans="1:10" ht="12.75">
      <c r="A113" s="2">
        <v>100</v>
      </c>
      <c r="B113" t="s">
        <v>225</v>
      </c>
      <c r="C113" t="s">
        <v>266</v>
      </c>
      <c r="F113" s="23" t="s">
        <v>267</v>
      </c>
      <c r="G113" s="83"/>
      <c r="H113" s="34">
        <v>-167793.91288</v>
      </c>
      <c r="I113" s="34">
        <v>-167793.91288</v>
      </c>
      <c r="J113" t="s">
        <v>210</v>
      </c>
    </row>
    <row r="114" spans="1:9" ht="13.5" thickBot="1">
      <c r="A114" s="2">
        <v>101</v>
      </c>
      <c r="D114" t="s">
        <v>430</v>
      </c>
      <c r="F114" s="23" t="s">
        <v>268</v>
      </c>
      <c r="G114" s="83"/>
      <c r="H114" s="34">
        <v>92577.19295</v>
      </c>
      <c r="I114" s="34">
        <v>92577.19295</v>
      </c>
    </row>
    <row r="115" spans="1:9" ht="13.5" thickBot="1">
      <c r="A115" s="2">
        <v>102</v>
      </c>
      <c r="F115" s="24" t="s">
        <v>389</v>
      </c>
      <c r="H115" s="299">
        <v>-10183</v>
      </c>
      <c r="I115" s="300">
        <v>-10183</v>
      </c>
    </row>
    <row r="116" spans="1:9" ht="13.5" thickBot="1">
      <c r="A116" s="2">
        <v>103</v>
      </c>
      <c r="C116" s="21"/>
      <c r="D116" s="21"/>
      <c r="E116" s="21"/>
      <c r="F116" s="21"/>
      <c r="G116" s="21"/>
      <c r="H116" s="306"/>
      <c r="I116" s="306"/>
    </row>
    <row r="117" spans="1:9" ht="16.5" thickBot="1">
      <c r="A117" s="2">
        <v>104</v>
      </c>
      <c r="C117" s="69" t="s">
        <v>206</v>
      </c>
      <c r="D117" s="177"/>
      <c r="E117" s="177"/>
      <c r="F117" s="177"/>
      <c r="G117" s="180">
        <v>-35792.81546487664</v>
      </c>
      <c r="H117" s="307">
        <v>-43938.38664637102</v>
      </c>
      <c r="I117" s="308">
        <v>-79731.20211124764</v>
      </c>
    </row>
  </sheetData>
  <mergeCells count="1">
    <mergeCell ref="E4:J4"/>
  </mergeCells>
  <printOptions/>
  <pageMargins left="0.75" right="0.75" top="0.64" bottom="0.48" header="0.5" footer="0.39"/>
  <pageSetup fitToHeight="0" fitToWidth="1" horizontalDpi="600" verticalDpi="600" orientation="landscape" scale="81" r:id="rId1"/>
  <headerFooter alignWithMargins="0">
    <oddHeader>&amp;RExhibit No. ___C (PMS-13C), Page &amp;P 
Docket  No. UT-040788
Witness:  Paula Strain
November 22, 2004</oddHeader>
  </headerFooter>
  <rowBreaks count="2" manualBreakCount="2">
    <brk id="51" max="9" man="1"/>
    <brk id="88" max="9" man="1"/>
  </rowBreaks>
  <colBreaks count="1" manualBreakCount="1">
    <brk id="1" min="11" max="117" man="1"/>
  </colBreaks>
</worksheet>
</file>

<file path=xl/worksheets/sheet10.xml><?xml version="1.0" encoding="utf-8"?>
<worksheet xmlns="http://schemas.openxmlformats.org/spreadsheetml/2006/main" xmlns:r="http://schemas.openxmlformats.org/officeDocument/2006/relationships">
  <sheetPr>
    <pageSetUpPr fitToPage="1"/>
  </sheetPr>
  <dimension ref="A1:O40"/>
  <sheetViews>
    <sheetView zoomScale="75" zoomScaleNormal="75" workbookViewId="0" topLeftCell="B1">
      <selection activeCell="I5" sqref="I5"/>
    </sheetView>
  </sheetViews>
  <sheetFormatPr defaultColWidth="9.140625" defaultRowHeight="12.75"/>
  <cols>
    <col min="12" max="12" width="12.8515625" style="0" bestFit="1" customWidth="1"/>
    <col min="15" max="15" width="13.8515625" style="0" customWidth="1"/>
  </cols>
  <sheetData>
    <row r="1" spans="1:15" ht="15.75">
      <c r="A1" s="69" t="s">
        <v>51</v>
      </c>
      <c r="B1" s="177"/>
      <c r="M1" s="36"/>
      <c r="N1" s="177"/>
      <c r="O1" s="171" t="s">
        <v>464</v>
      </c>
    </row>
    <row r="2" spans="1:15" ht="15.75">
      <c r="A2" s="69" t="s">
        <v>26</v>
      </c>
      <c r="B2" s="177"/>
      <c r="M2" s="36"/>
      <c r="N2" s="177"/>
      <c r="O2" s="171" t="s">
        <v>437</v>
      </c>
    </row>
    <row r="3" spans="1:15" ht="15.75">
      <c r="A3" s="69" t="s">
        <v>395</v>
      </c>
      <c r="B3" s="177"/>
      <c r="M3" s="36"/>
      <c r="N3" s="177"/>
      <c r="O3" s="171" t="s">
        <v>84</v>
      </c>
    </row>
    <row r="4" spans="1:15" ht="16.5" thickBot="1">
      <c r="A4" s="69" t="s">
        <v>226</v>
      </c>
      <c r="B4" s="177"/>
      <c r="N4" s="321">
        <v>38313</v>
      </c>
      <c r="O4" s="321"/>
    </row>
    <row r="5" spans="1:15" ht="16.5" thickBot="1">
      <c r="A5" s="209" t="s">
        <v>25</v>
      </c>
      <c r="B5" s="177"/>
      <c r="L5" s="250"/>
      <c r="M5" s="248"/>
      <c r="N5" s="249"/>
      <c r="O5" s="254" t="s">
        <v>477</v>
      </c>
    </row>
    <row r="6" spans="1:15" ht="15.75">
      <c r="A6" s="209"/>
      <c r="B6" s="177"/>
      <c r="J6" s="256"/>
      <c r="K6" s="251"/>
      <c r="L6" s="252"/>
      <c r="M6" s="252"/>
      <c r="N6" s="251"/>
      <c r="O6" s="253" t="s">
        <v>475</v>
      </c>
    </row>
    <row r="7" spans="1:2" ht="15.75">
      <c r="A7" s="209"/>
      <c r="B7" s="177"/>
    </row>
    <row r="8" spans="1:8" ht="15">
      <c r="A8" s="317" t="s">
        <v>476</v>
      </c>
      <c r="B8" s="317"/>
      <c r="C8" s="317"/>
      <c r="D8" s="317"/>
      <c r="E8" s="317"/>
      <c r="F8" s="318"/>
      <c r="G8" s="318"/>
      <c r="H8" s="318"/>
    </row>
    <row r="9" spans="1:15" ht="15.75">
      <c r="A9" s="209"/>
      <c r="B9" s="177"/>
      <c r="O9" s="171" t="s">
        <v>442</v>
      </c>
    </row>
    <row r="12" spans="2:10" ht="12.75">
      <c r="B12" t="s">
        <v>396</v>
      </c>
      <c r="J12" t="s">
        <v>62</v>
      </c>
    </row>
    <row r="14" spans="1:12" ht="12.75">
      <c r="A14" s="2">
        <v>1</v>
      </c>
      <c r="B14" t="s">
        <v>397</v>
      </c>
      <c r="J14" t="s">
        <v>414</v>
      </c>
      <c r="L14" s="296"/>
    </row>
    <row r="15" ht="12.75">
      <c r="A15" s="2">
        <f>A14+1</f>
        <v>2</v>
      </c>
    </row>
    <row r="16" spans="1:12" ht="12.75">
      <c r="A16" s="2">
        <f aca="true" t="shared" si="0" ref="A16:A36">A15+1</f>
        <v>3</v>
      </c>
      <c r="B16" t="s">
        <v>398</v>
      </c>
      <c r="J16" t="s">
        <v>399</v>
      </c>
      <c r="L16" s="48">
        <v>0.7471</v>
      </c>
    </row>
    <row r="17" ht="12.75">
      <c r="A17" s="2">
        <f t="shared" si="0"/>
        <v>4</v>
      </c>
    </row>
    <row r="18" spans="1:12" ht="12.75">
      <c r="A18" s="2">
        <f t="shared" si="0"/>
        <v>5</v>
      </c>
      <c r="B18" t="s">
        <v>403</v>
      </c>
      <c r="L18" s="168"/>
    </row>
    <row r="19" spans="1:14" ht="12.75">
      <c r="A19" s="2">
        <f t="shared" si="0"/>
        <v>6</v>
      </c>
      <c r="B19" t="s">
        <v>400</v>
      </c>
      <c r="L19" s="297"/>
      <c r="M19" s="278"/>
      <c r="N19" s="298"/>
    </row>
    <row r="20" spans="1:14" ht="12.75">
      <c r="A20" s="2">
        <f t="shared" si="0"/>
        <v>7</v>
      </c>
      <c r="L20" s="105"/>
      <c r="M20" s="278"/>
      <c r="N20" s="298"/>
    </row>
    <row r="21" spans="1:14" ht="12.75">
      <c r="A21" s="2">
        <f t="shared" si="0"/>
        <v>8</v>
      </c>
      <c r="B21" t="s">
        <v>404</v>
      </c>
      <c r="L21" s="297"/>
      <c r="M21" s="278"/>
      <c r="N21" s="298"/>
    </row>
    <row r="22" ht="12.75">
      <c r="A22" s="2">
        <f t="shared" si="0"/>
        <v>9</v>
      </c>
    </row>
    <row r="23" spans="1:12" ht="12.75">
      <c r="A23" s="2">
        <f t="shared" si="0"/>
        <v>10</v>
      </c>
      <c r="B23" t="s">
        <v>413</v>
      </c>
      <c r="L23" s="297"/>
    </row>
    <row r="24" ht="12.75">
      <c r="A24" s="2">
        <f t="shared" si="0"/>
        <v>11</v>
      </c>
    </row>
    <row r="25" spans="1:12" ht="12.75">
      <c r="A25" s="2">
        <f t="shared" si="0"/>
        <v>12</v>
      </c>
      <c r="B25" t="s">
        <v>405</v>
      </c>
      <c r="L25" s="48">
        <v>0.103</v>
      </c>
    </row>
    <row r="26" spans="1:12" ht="12.75">
      <c r="A26" s="2">
        <f t="shared" si="0"/>
        <v>13</v>
      </c>
      <c r="L26" s="105"/>
    </row>
    <row r="27" spans="1:12" ht="12.75">
      <c r="A27" s="2">
        <f t="shared" si="0"/>
        <v>14</v>
      </c>
      <c r="B27" t="s">
        <v>406</v>
      </c>
      <c r="L27" s="297"/>
    </row>
    <row r="28" spans="1:12" ht="12.75">
      <c r="A28" s="2">
        <f t="shared" si="0"/>
        <v>15</v>
      </c>
      <c r="L28" s="105"/>
    </row>
    <row r="29" ht="12.75">
      <c r="A29" s="2">
        <f t="shared" si="0"/>
        <v>16</v>
      </c>
    </row>
    <row r="30" ht="12.75">
      <c r="A30" s="2">
        <f t="shared" si="0"/>
        <v>17</v>
      </c>
    </row>
    <row r="31" ht="12.75">
      <c r="A31" s="2">
        <f t="shared" si="0"/>
        <v>18</v>
      </c>
    </row>
    <row r="32" ht="12.75">
      <c r="A32" s="2">
        <f t="shared" si="0"/>
        <v>19</v>
      </c>
    </row>
    <row r="33" spans="1:2" ht="12.75">
      <c r="A33" s="2">
        <f t="shared" si="0"/>
        <v>20</v>
      </c>
      <c r="B33" s="13" t="s">
        <v>401</v>
      </c>
    </row>
    <row r="34" spans="1:3" ht="12.75">
      <c r="A34" s="2">
        <f t="shared" si="0"/>
        <v>21</v>
      </c>
      <c r="C34" s="13" t="s">
        <v>407</v>
      </c>
    </row>
    <row r="35" spans="1:3" ht="12.75">
      <c r="A35" s="2">
        <f t="shared" si="0"/>
        <v>22</v>
      </c>
      <c r="C35" s="13" t="s">
        <v>408</v>
      </c>
    </row>
    <row r="36" spans="1:3" ht="12.75">
      <c r="A36" s="2">
        <f t="shared" si="0"/>
        <v>23</v>
      </c>
      <c r="C36" s="13" t="s">
        <v>402</v>
      </c>
    </row>
    <row r="37" ht="12.75">
      <c r="A37" s="2"/>
    </row>
    <row r="38" ht="12.75">
      <c r="A38" s="2"/>
    </row>
    <row r="39" ht="12.75">
      <c r="A39" s="2"/>
    </row>
    <row r="40" ht="12.75">
      <c r="A40" s="2"/>
    </row>
  </sheetData>
  <mergeCells count="2">
    <mergeCell ref="N4:O4"/>
    <mergeCell ref="A8:H8"/>
  </mergeCells>
  <printOptions/>
  <pageMargins left="0.75" right="0.75" top="1" bottom="1" header="0.5" footer="0.5"/>
  <pageSetup fitToHeight="1" fitToWidth="1" horizontalDpi="600" verticalDpi="600" orientation="landscape" scale="84" r:id="rId1"/>
</worksheet>
</file>

<file path=xl/worksheets/sheet11.xml><?xml version="1.0" encoding="utf-8"?>
<worksheet xmlns="http://schemas.openxmlformats.org/spreadsheetml/2006/main" xmlns:r="http://schemas.openxmlformats.org/officeDocument/2006/relationships">
  <sheetPr>
    <pageSetUpPr fitToPage="1"/>
  </sheetPr>
  <dimension ref="A1:N73"/>
  <sheetViews>
    <sheetView zoomScale="75" zoomScaleNormal="75" workbookViewId="0" topLeftCell="C1">
      <selection activeCell="L6" sqref="H6:L6"/>
    </sheetView>
  </sheetViews>
  <sheetFormatPr defaultColWidth="9.140625" defaultRowHeight="12.75"/>
  <cols>
    <col min="3" max="3" width="12.00390625" style="0" customWidth="1"/>
    <col min="4" max="4" width="9.28125" style="0" bestFit="1" customWidth="1"/>
    <col min="5" max="5" width="10.7109375" style="0" bestFit="1" customWidth="1"/>
    <col min="6" max="6" width="12.8515625" style="0" bestFit="1" customWidth="1"/>
    <col min="7" max="7" width="11.7109375" style="0" bestFit="1" customWidth="1"/>
    <col min="8" max="8" width="15.8515625" style="0" customWidth="1"/>
    <col min="9" max="9" width="11.7109375" style="0" customWidth="1"/>
    <col min="10" max="10" width="15.00390625" style="0" customWidth="1"/>
    <col min="11" max="11" width="13.57421875" style="0" bestFit="1" customWidth="1"/>
    <col min="12" max="12" width="12.00390625" style="0" customWidth="1"/>
  </cols>
  <sheetData>
    <row r="1" spans="1:12" ht="15.75">
      <c r="A1" s="69" t="s">
        <v>51</v>
      </c>
      <c r="B1" s="177"/>
      <c r="C1" s="177"/>
      <c r="K1" s="177"/>
      <c r="L1" s="171" t="s">
        <v>463</v>
      </c>
    </row>
    <row r="2" spans="1:12" ht="15.75">
      <c r="A2" s="69" t="s">
        <v>26</v>
      </c>
      <c r="B2" s="177"/>
      <c r="C2" s="177"/>
      <c r="K2" s="177"/>
      <c r="L2" s="171" t="s">
        <v>437</v>
      </c>
    </row>
    <row r="3" spans="1:12" ht="15.75">
      <c r="A3" s="69" t="s">
        <v>274</v>
      </c>
      <c r="B3" s="177"/>
      <c r="C3" s="177"/>
      <c r="K3" s="177"/>
      <c r="L3" s="171" t="s">
        <v>84</v>
      </c>
    </row>
    <row r="4" spans="1:12" ht="16.5" thickBot="1">
      <c r="A4" s="69" t="s">
        <v>226</v>
      </c>
      <c r="B4" s="177"/>
      <c r="C4" s="177"/>
      <c r="K4" s="321">
        <v>38313</v>
      </c>
      <c r="L4" s="321"/>
    </row>
    <row r="5" spans="1:12" ht="21" thickBot="1">
      <c r="A5" s="209" t="s">
        <v>25</v>
      </c>
      <c r="B5" s="177"/>
      <c r="C5" s="177"/>
      <c r="I5" s="312"/>
      <c r="J5" s="313"/>
      <c r="K5" s="314"/>
      <c r="L5" s="315" t="s">
        <v>477</v>
      </c>
    </row>
    <row r="6" spans="6:12" ht="16.5" thickBot="1">
      <c r="F6" s="26"/>
      <c r="G6" s="26"/>
      <c r="H6" s="264"/>
      <c r="I6" s="316"/>
      <c r="J6" s="316"/>
      <c r="K6" s="316"/>
      <c r="L6" s="266" t="s">
        <v>475</v>
      </c>
    </row>
    <row r="7" spans="6:12" ht="15.75">
      <c r="F7" s="26"/>
      <c r="G7" s="26"/>
      <c r="H7" s="26"/>
      <c r="I7" s="26"/>
      <c r="J7" s="26"/>
      <c r="K7" s="26"/>
      <c r="L7" s="171" t="s">
        <v>443</v>
      </c>
    </row>
    <row r="8" spans="6:11" ht="12.75">
      <c r="F8" s="26" t="s">
        <v>17</v>
      </c>
      <c r="G8" s="26" t="s">
        <v>18</v>
      </c>
      <c r="H8" s="26" t="s">
        <v>19</v>
      </c>
      <c r="I8" s="26" t="s">
        <v>20</v>
      </c>
      <c r="J8" s="26" t="s">
        <v>69</v>
      </c>
      <c r="K8" s="26" t="s">
        <v>71</v>
      </c>
    </row>
    <row r="9" spans="1:10" ht="12.75">
      <c r="A9" s="2">
        <v>1</v>
      </c>
      <c r="F9" s="318" t="s">
        <v>227</v>
      </c>
      <c r="G9" s="318"/>
      <c r="H9" s="318" t="s">
        <v>9</v>
      </c>
      <c r="I9" s="318"/>
      <c r="J9" s="2" t="s">
        <v>37</v>
      </c>
    </row>
    <row r="10" spans="1:11" ht="12.75">
      <c r="A10" s="2">
        <f aca="true" t="shared" si="0" ref="A10:A41">A9+1</f>
        <v>2</v>
      </c>
      <c r="F10" s="27" t="s">
        <v>228</v>
      </c>
      <c r="G10" s="114" t="s">
        <v>229</v>
      </c>
      <c r="H10" s="27" t="s">
        <v>228</v>
      </c>
      <c r="I10" s="114" t="s">
        <v>229</v>
      </c>
      <c r="J10" s="27"/>
      <c r="K10" s="224" t="s">
        <v>230</v>
      </c>
    </row>
    <row r="11" spans="1:9" ht="12.75">
      <c r="A11" s="2">
        <f t="shared" si="0"/>
        <v>3</v>
      </c>
      <c r="G11" s="115"/>
      <c r="I11" s="115"/>
    </row>
    <row r="12" spans="1:11" ht="12.75">
      <c r="A12" s="2">
        <f t="shared" si="0"/>
        <v>4</v>
      </c>
      <c r="B12" t="s">
        <v>231</v>
      </c>
      <c r="D12" s="116">
        <v>37591</v>
      </c>
      <c r="F12" s="19">
        <f>3174+850592</f>
        <v>853766</v>
      </c>
      <c r="G12" s="117">
        <f>F12/J12</f>
        <v>0.9783332607594588</v>
      </c>
      <c r="H12" s="19">
        <f>8420+10488</f>
        <v>18908</v>
      </c>
      <c r="I12" s="117">
        <f>H12/J12</f>
        <v>0.02166673924054114</v>
      </c>
      <c r="J12" s="19">
        <f>H12+F12</f>
        <v>872674</v>
      </c>
      <c r="K12" s="2" t="s">
        <v>232</v>
      </c>
    </row>
    <row r="13" spans="1:11" ht="12.75">
      <c r="A13" s="2">
        <f t="shared" si="0"/>
        <v>5</v>
      </c>
      <c r="D13" s="116">
        <v>37956</v>
      </c>
      <c r="F13" s="19">
        <f>2889+948304</f>
        <v>951193</v>
      </c>
      <c r="G13" s="117">
        <f>F13/J13</f>
        <v>0.9817013323040118</v>
      </c>
      <c r="H13" s="19">
        <f>7458+10272</f>
        <v>17730</v>
      </c>
      <c r="I13" s="117">
        <f>H13/J13</f>
        <v>0.018298667695988226</v>
      </c>
      <c r="J13" s="19">
        <f>H13+F13</f>
        <v>968923</v>
      </c>
      <c r="K13" s="2" t="s">
        <v>233</v>
      </c>
    </row>
    <row r="14" spans="1:11" ht="12.75">
      <c r="A14" s="2">
        <f t="shared" si="0"/>
        <v>6</v>
      </c>
      <c r="G14" s="115"/>
      <c r="I14" s="115"/>
      <c r="K14" s="2" t="s">
        <v>234</v>
      </c>
    </row>
    <row r="15" spans="1:11" ht="12.75">
      <c r="A15" s="2">
        <f t="shared" si="0"/>
        <v>7</v>
      </c>
      <c r="B15" t="s">
        <v>235</v>
      </c>
      <c r="D15" s="116">
        <v>37591</v>
      </c>
      <c r="G15" s="115"/>
      <c r="H15" s="19">
        <v>272362</v>
      </c>
      <c r="I15" s="115"/>
      <c r="J15" s="19">
        <f>H15+F15</f>
        <v>272362</v>
      </c>
      <c r="K15" s="2" t="s">
        <v>236</v>
      </c>
    </row>
    <row r="16" spans="1:10" ht="12.75">
      <c r="A16" s="2">
        <f t="shared" si="0"/>
        <v>8</v>
      </c>
      <c r="D16" s="116">
        <v>37956</v>
      </c>
      <c r="G16" s="115"/>
      <c r="H16" s="19">
        <v>404390</v>
      </c>
      <c r="I16" s="115"/>
      <c r="J16" s="19">
        <f>H16+F16</f>
        <v>404390</v>
      </c>
    </row>
    <row r="17" spans="1:9" ht="12.75">
      <c r="A17" s="2">
        <f t="shared" si="0"/>
        <v>9</v>
      </c>
      <c r="G17" s="115"/>
      <c r="H17" s="19"/>
      <c r="I17" s="115"/>
    </row>
    <row r="18" spans="1:11" ht="12.75">
      <c r="A18" s="2">
        <f t="shared" si="0"/>
        <v>10</v>
      </c>
      <c r="B18" t="s">
        <v>237</v>
      </c>
      <c r="D18" s="116">
        <v>37591</v>
      </c>
      <c r="F18" s="19">
        <f>F15+F12</f>
        <v>853766</v>
      </c>
      <c r="G18" s="117">
        <f>F18/J18</f>
        <v>0.7456237183809068</v>
      </c>
      <c r="H18" s="19">
        <f>H15+H12</f>
        <v>291270</v>
      </c>
      <c r="I18" s="117">
        <f>H18/J18</f>
        <v>0.2543762816190932</v>
      </c>
      <c r="J18" s="19">
        <f>H18+F18</f>
        <v>1145036</v>
      </c>
      <c r="K18" s="2" t="s">
        <v>238</v>
      </c>
    </row>
    <row r="19" spans="1:11" ht="12.75">
      <c r="A19" s="2">
        <f t="shared" si="0"/>
        <v>11</v>
      </c>
      <c r="D19" s="116">
        <v>37956</v>
      </c>
      <c r="F19" s="19">
        <f>F16+F13</f>
        <v>951193</v>
      </c>
      <c r="G19" s="117">
        <f>F19/J19</f>
        <v>0.6926265170430922</v>
      </c>
      <c r="H19" s="19">
        <f>H16+H13</f>
        <v>422120</v>
      </c>
      <c r="I19" s="117">
        <f>H19/J19</f>
        <v>0.30737348295690786</v>
      </c>
      <c r="J19" s="19">
        <f>H19+F19</f>
        <v>1373313</v>
      </c>
      <c r="K19" s="2" t="s">
        <v>239</v>
      </c>
    </row>
    <row r="20" spans="1:9" ht="12.75">
      <c r="A20" s="2">
        <f t="shared" si="0"/>
        <v>12</v>
      </c>
      <c r="G20" s="115"/>
      <c r="H20" s="19"/>
      <c r="I20" s="115"/>
    </row>
    <row r="21" spans="1:11" ht="12.75">
      <c r="A21" s="2">
        <f t="shared" si="0"/>
        <v>13</v>
      </c>
      <c r="B21" t="s">
        <v>240</v>
      </c>
      <c r="F21" s="19">
        <f>(F19+F18)/2</f>
        <v>902479.5</v>
      </c>
      <c r="G21" s="117">
        <f>F21/J21</f>
        <v>0.7167231388500959</v>
      </c>
      <c r="H21" s="19">
        <f>SUM(H12:H16)/2</f>
        <v>356695</v>
      </c>
      <c r="I21" s="117">
        <f>H21/J21</f>
        <v>0.2832768611499042</v>
      </c>
      <c r="J21" s="19">
        <f>H21+F21</f>
        <v>1259174.5</v>
      </c>
      <c r="K21" t="s">
        <v>241</v>
      </c>
    </row>
    <row r="22" spans="1:9" ht="12.75">
      <c r="A22" s="2">
        <f t="shared" si="0"/>
        <v>14</v>
      </c>
      <c r="G22" s="117"/>
      <c r="I22" s="115"/>
    </row>
    <row r="23" spans="1:9" ht="12.75">
      <c r="A23" s="2">
        <f t="shared" si="0"/>
        <v>15</v>
      </c>
      <c r="G23" s="117"/>
      <c r="I23" s="115"/>
    </row>
    <row r="24" spans="1:11" ht="12.75">
      <c r="A24" s="2">
        <f t="shared" si="0"/>
        <v>16</v>
      </c>
      <c r="B24" t="s">
        <v>242</v>
      </c>
      <c r="D24" s="116">
        <v>37591</v>
      </c>
      <c r="F24" s="42">
        <v>24887</v>
      </c>
      <c r="G24" s="223">
        <f>F24/J24</f>
        <v>0.027754636832132792</v>
      </c>
      <c r="H24" s="42">
        <v>871792</v>
      </c>
      <c r="I24" s="117">
        <f>H24/J24</f>
        <v>0.9722453631678672</v>
      </c>
      <c r="J24" s="19">
        <f>H24+F24</f>
        <v>896679</v>
      </c>
      <c r="K24" t="s">
        <v>243</v>
      </c>
    </row>
    <row r="25" spans="1:11" ht="12.75">
      <c r="A25" s="2">
        <f t="shared" si="0"/>
        <v>17</v>
      </c>
      <c r="D25" s="116">
        <v>37956</v>
      </c>
      <c r="F25" s="42">
        <v>17121</v>
      </c>
      <c r="G25" s="223">
        <f>F25/J25</f>
        <v>0.01988711931226181</v>
      </c>
      <c r="H25" s="42">
        <v>843788</v>
      </c>
      <c r="I25" s="117">
        <f>H25/J25</f>
        <v>0.9801128806877382</v>
      </c>
      <c r="J25" s="19">
        <f>H25+F25</f>
        <v>860909</v>
      </c>
      <c r="K25" t="s">
        <v>244</v>
      </c>
    </row>
    <row r="26" spans="1:9" ht="12.75">
      <c r="A26" s="2">
        <f t="shared" si="0"/>
        <v>18</v>
      </c>
      <c r="G26" s="115"/>
      <c r="I26" s="115"/>
    </row>
    <row r="27" spans="1:11" ht="12.75">
      <c r="A27" s="2">
        <f t="shared" si="0"/>
        <v>19</v>
      </c>
      <c r="B27" t="s">
        <v>245</v>
      </c>
      <c r="F27" s="19">
        <f>(F25+F24)/2</f>
        <v>21004</v>
      </c>
      <c r="G27" s="117">
        <f>F27/J27</f>
        <v>0.02390093696588734</v>
      </c>
      <c r="H27" s="19">
        <f>(H25+H24)/2</f>
        <v>857790</v>
      </c>
      <c r="I27" s="117">
        <f>H27/J27</f>
        <v>0.9760990630341126</v>
      </c>
      <c r="J27" s="19">
        <f>(J25+J24)/2</f>
        <v>878794</v>
      </c>
      <c r="K27" t="s">
        <v>246</v>
      </c>
    </row>
    <row r="28" spans="1:9" ht="12.75">
      <c r="A28" s="2">
        <f t="shared" si="0"/>
        <v>20</v>
      </c>
      <c r="G28" s="115"/>
      <c r="I28" s="115"/>
    </row>
    <row r="29" spans="1:11" ht="12.75">
      <c r="A29" s="2">
        <f t="shared" si="0"/>
        <v>21</v>
      </c>
      <c r="B29" t="s">
        <v>247</v>
      </c>
      <c r="D29" s="116">
        <v>37591</v>
      </c>
      <c r="F29" s="19">
        <f>F18+F24</f>
        <v>878653</v>
      </c>
      <c r="G29" s="117">
        <f>F29/J29</f>
        <v>0.43035046517266123</v>
      </c>
      <c r="H29" s="19">
        <f>H18+H24</f>
        <v>1163062</v>
      </c>
      <c r="I29" s="117">
        <f>H29/J29</f>
        <v>0.5696495348273388</v>
      </c>
      <c r="J29" s="19">
        <f>J18+J24</f>
        <v>2041715</v>
      </c>
      <c r="K29" t="s">
        <v>248</v>
      </c>
    </row>
    <row r="30" spans="1:11" ht="12.75">
      <c r="A30" s="2">
        <f t="shared" si="0"/>
        <v>22</v>
      </c>
      <c r="D30" s="116">
        <v>37956</v>
      </c>
      <c r="F30" s="19">
        <f>F19+F25</f>
        <v>968314</v>
      </c>
      <c r="G30" s="117">
        <f>F30/J30</f>
        <v>0.43340097805858147</v>
      </c>
      <c r="H30" s="19">
        <f>H19+H25</f>
        <v>1265908</v>
      </c>
      <c r="I30" s="117">
        <f>H30/J30</f>
        <v>0.5665990219414185</v>
      </c>
      <c r="J30" s="19">
        <f>J19+J25</f>
        <v>2234222</v>
      </c>
      <c r="K30" t="s">
        <v>249</v>
      </c>
    </row>
    <row r="31" spans="1:9" ht="12.75">
      <c r="A31" s="2">
        <f t="shared" si="0"/>
        <v>23</v>
      </c>
      <c r="G31" s="115"/>
      <c r="I31" s="115"/>
    </row>
    <row r="32" spans="1:11" ht="12.75">
      <c r="A32" s="2">
        <f t="shared" si="0"/>
        <v>24</v>
      </c>
      <c r="B32" t="s">
        <v>250</v>
      </c>
      <c r="F32" s="19">
        <f>(F30+F29)/2</f>
        <v>923483.5</v>
      </c>
      <c r="G32" s="117">
        <f>F32/J32</f>
        <v>0.4319443902003233</v>
      </c>
      <c r="H32" s="19">
        <f>(H30+H29)/2</f>
        <v>1214485</v>
      </c>
      <c r="I32" s="117">
        <f>H32/J32</f>
        <v>0.5680556097996766</v>
      </c>
      <c r="J32" s="19">
        <f>(J30+J29)/2</f>
        <v>2137968.5</v>
      </c>
      <c r="K32" t="s">
        <v>251</v>
      </c>
    </row>
    <row r="33" spans="1:10" ht="12.75">
      <c r="A33" s="2">
        <f t="shared" si="0"/>
        <v>25</v>
      </c>
      <c r="F33" s="19"/>
      <c r="G33" s="35"/>
      <c r="H33" s="19"/>
      <c r="I33" s="35"/>
      <c r="J33" s="19"/>
    </row>
    <row r="34" ht="12.75">
      <c r="A34" s="2">
        <f t="shared" si="0"/>
        <v>26</v>
      </c>
    </row>
    <row r="35" spans="1:9" ht="12.75">
      <c r="A35" s="2">
        <f t="shared" si="0"/>
        <v>27</v>
      </c>
      <c r="B35" t="s">
        <v>252</v>
      </c>
      <c r="F35" s="318" t="s">
        <v>227</v>
      </c>
      <c r="G35" s="318"/>
      <c r="H35" s="318" t="s">
        <v>9</v>
      </c>
      <c r="I35" s="318"/>
    </row>
    <row r="36" spans="1:9" ht="12.75">
      <c r="A36" s="2">
        <f t="shared" si="0"/>
        <v>28</v>
      </c>
      <c r="B36" t="s">
        <v>253</v>
      </c>
      <c r="F36" s="2" t="s">
        <v>254</v>
      </c>
      <c r="G36" s="2" t="s">
        <v>229</v>
      </c>
      <c r="H36" s="2" t="s">
        <v>254</v>
      </c>
      <c r="I36" s="2" t="s">
        <v>229</v>
      </c>
    </row>
    <row r="37" spans="1:10" ht="12.75">
      <c r="A37" s="2">
        <f t="shared" si="0"/>
        <v>29</v>
      </c>
      <c r="J37" s="19"/>
    </row>
    <row r="38" spans="1:11" ht="13.5" thickBot="1">
      <c r="A38" s="2">
        <f t="shared" si="0"/>
        <v>30</v>
      </c>
      <c r="B38" t="s">
        <v>255</v>
      </c>
      <c r="F38" s="19">
        <v>273309734</v>
      </c>
      <c r="G38" s="48">
        <f>F38/J38</f>
        <v>0.24252970532784277</v>
      </c>
      <c r="H38" s="19">
        <v>853602673</v>
      </c>
      <c r="I38" s="48">
        <f>H38/J38</f>
        <v>0.7574702946721572</v>
      </c>
      <c r="J38" s="19">
        <f>H38+F38</f>
        <v>1126912407</v>
      </c>
      <c r="K38" t="s">
        <v>275</v>
      </c>
    </row>
    <row r="39" spans="1:14" ht="13.5" thickBot="1">
      <c r="A39" s="2">
        <f t="shared" si="0"/>
        <v>31</v>
      </c>
      <c r="B39" t="s">
        <v>470</v>
      </c>
      <c r="F39" s="235">
        <f>J39*G39</f>
        <v>3228501.3531999546</v>
      </c>
      <c r="G39" s="226">
        <v>0.24252970532784277</v>
      </c>
      <c r="H39" s="241">
        <f>J39*I38</f>
        <v>10083275.646800045</v>
      </c>
      <c r="I39" s="226">
        <f>H39/J39</f>
        <v>0.7574702946721572</v>
      </c>
      <c r="J39" s="19">
        <f>860207+2222109+6139723+4110626+634-21522</f>
        <v>13311777</v>
      </c>
      <c r="K39" s="8" t="s">
        <v>468</v>
      </c>
      <c r="L39" s="8"/>
      <c r="M39" s="8"/>
      <c r="N39" s="8"/>
    </row>
    <row r="40" spans="1:14" ht="12.75">
      <c r="A40" s="2">
        <f t="shared" si="0"/>
        <v>32</v>
      </c>
      <c r="B40" t="s">
        <v>256</v>
      </c>
      <c r="F40" s="19">
        <v>39269877.125</v>
      </c>
      <c r="G40" s="220"/>
      <c r="H40" s="19">
        <v>163189445.7083333</v>
      </c>
      <c r="I40" s="220"/>
      <c r="J40" s="22">
        <f>F40+H40</f>
        <v>202459322.8333333</v>
      </c>
      <c r="K40" s="8" t="s">
        <v>469</v>
      </c>
      <c r="L40" s="8"/>
      <c r="M40" s="8"/>
      <c r="N40" s="8"/>
    </row>
    <row r="41" ht="13.5" thickBot="1">
      <c r="A41" s="2">
        <f t="shared" si="0"/>
        <v>33</v>
      </c>
    </row>
    <row r="42" spans="1:13" ht="13.5" thickBot="1">
      <c r="A42" s="2">
        <f aca="true" t="shared" si="1" ref="A42:A70">A41+1</f>
        <v>34</v>
      </c>
      <c r="B42" t="s">
        <v>257</v>
      </c>
      <c r="F42" s="218"/>
      <c r="G42" s="217"/>
      <c r="H42" s="218"/>
      <c r="I42" s="217"/>
      <c r="J42" s="19">
        <f>J38+J39-J40</f>
        <v>937764861.1666667</v>
      </c>
      <c r="K42" s="243" t="s">
        <v>467</v>
      </c>
      <c r="L42" s="244"/>
      <c r="M42" s="216"/>
    </row>
    <row r="43" ht="12.75">
      <c r="A43" s="2">
        <f t="shared" si="1"/>
        <v>35</v>
      </c>
    </row>
    <row r="44" spans="1:11" ht="12.75">
      <c r="A44" s="2">
        <f t="shared" si="1"/>
        <v>36</v>
      </c>
      <c r="B44" t="s">
        <v>276</v>
      </c>
      <c r="F44" s="19"/>
      <c r="H44" s="19"/>
      <c r="J44" s="48">
        <f>I32</f>
        <v>0.5680556097996766</v>
      </c>
      <c r="K44" t="s">
        <v>258</v>
      </c>
    </row>
    <row r="45" spans="1:8" ht="12.75">
      <c r="A45" s="2">
        <f t="shared" si="1"/>
        <v>37</v>
      </c>
      <c r="F45" s="48"/>
      <c r="H45" s="19"/>
    </row>
    <row r="46" spans="1:11" ht="12.75">
      <c r="A46" s="2">
        <f t="shared" si="1"/>
        <v>38</v>
      </c>
      <c r="C46" t="s">
        <v>259</v>
      </c>
      <c r="F46" s="218"/>
      <c r="G46" s="217"/>
      <c r="H46" s="218"/>
      <c r="I46" s="219"/>
      <c r="J46" s="19">
        <f>J42*J44</f>
        <v>532702590.05873996</v>
      </c>
      <c r="K46" t="s">
        <v>260</v>
      </c>
    </row>
    <row r="47" spans="1:10" ht="12.75">
      <c r="A47" s="2">
        <f t="shared" si="1"/>
        <v>39</v>
      </c>
      <c r="J47" s="19"/>
    </row>
    <row r="48" spans="1:11" ht="12.75">
      <c r="A48" s="2">
        <f t="shared" si="1"/>
        <v>40</v>
      </c>
      <c r="C48" t="s">
        <v>261</v>
      </c>
      <c r="H48" s="218"/>
      <c r="J48" s="22">
        <f>H40</f>
        <v>163189445.7083333</v>
      </c>
      <c r="K48" t="s">
        <v>471</v>
      </c>
    </row>
    <row r="49" spans="1:10" ht="12.75">
      <c r="A49" s="2">
        <f t="shared" si="1"/>
        <v>41</v>
      </c>
      <c r="J49" s="19"/>
    </row>
    <row r="50" spans="1:11" ht="12.75">
      <c r="A50" s="2">
        <f t="shared" si="1"/>
        <v>42</v>
      </c>
      <c r="C50" t="s">
        <v>262</v>
      </c>
      <c r="H50" s="218"/>
      <c r="J50" s="22">
        <f>J46+J48</f>
        <v>695892035.7670733</v>
      </c>
      <c r="K50" t="s">
        <v>263</v>
      </c>
    </row>
    <row r="51" spans="1:10" ht="13.5" thickBot="1">
      <c r="A51" s="2">
        <f t="shared" si="1"/>
        <v>43</v>
      </c>
      <c r="J51" s="19"/>
    </row>
    <row r="52" spans="1:13" ht="13.5" thickBot="1">
      <c r="A52" s="2">
        <f t="shared" si="1"/>
        <v>44</v>
      </c>
      <c r="C52" t="s">
        <v>264</v>
      </c>
      <c r="H52" s="221"/>
      <c r="J52" s="242">
        <f>J50-H38-H39</f>
        <v>-167793912.87972677</v>
      </c>
      <c r="K52" s="245" t="s">
        <v>472</v>
      </c>
      <c r="L52" s="231"/>
      <c r="M52" s="232"/>
    </row>
    <row r="53" spans="1:13" ht="12.75">
      <c r="A53" s="2">
        <f t="shared" si="1"/>
        <v>45</v>
      </c>
      <c r="M53" s="219"/>
    </row>
    <row r="54" spans="1:14" ht="12.75">
      <c r="A54" s="2">
        <f t="shared" si="1"/>
        <v>46</v>
      </c>
      <c r="C54" t="s">
        <v>277</v>
      </c>
      <c r="H54" s="19">
        <v>621753111</v>
      </c>
      <c r="J54" s="19"/>
      <c r="K54" s="19"/>
      <c r="L54" s="19"/>
      <c r="M54" s="19"/>
      <c r="N54" s="19"/>
    </row>
    <row r="55" spans="1:14" ht="13.5" thickBot="1">
      <c r="A55" s="2">
        <f t="shared" si="1"/>
        <v>47</v>
      </c>
      <c r="C55" t="s">
        <v>278</v>
      </c>
      <c r="H55" s="38">
        <f>H54/J38</f>
        <v>0.5517315340020034</v>
      </c>
      <c r="J55" s="19"/>
      <c r="K55" s="19"/>
      <c r="L55" s="19"/>
      <c r="M55" s="19"/>
      <c r="N55" s="19"/>
    </row>
    <row r="56" spans="1:14" ht="13.5" thickBot="1">
      <c r="A56" s="2">
        <f t="shared" si="1"/>
        <v>48</v>
      </c>
      <c r="C56" t="s">
        <v>279</v>
      </c>
      <c r="H56" s="221"/>
      <c r="J56" s="234">
        <f>H55*J52</f>
        <v>-92577192.94933017</v>
      </c>
      <c r="K56" s="19" t="s">
        <v>280</v>
      </c>
      <c r="L56" s="19"/>
      <c r="M56" s="19"/>
      <c r="N56" s="19"/>
    </row>
    <row r="57" spans="1:14" ht="13.5" thickBot="1">
      <c r="A57" s="2">
        <f t="shared" si="1"/>
        <v>49</v>
      </c>
      <c r="H57" s="63"/>
      <c r="J57" s="78"/>
      <c r="L57" s="19"/>
      <c r="M57" s="19"/>
      <c r="N57" s="19"/>
    </row>
    <row r="58" spans="1:14" ht="13.5" thickBot="1">
      <c r="A58" s="2">
        <f t="shared" si="1"/>
        <v>50</v>
      </c>
      <c r="C58" t="s">
        <v>418</v>
      </c>
      <c r="H58" s="221"/>
      <c r="J58" s="234">
        <f>J56*0.114</f>
        <v>-10553799.99622364</v>
      </c>
      <c r="K58" s="19" t="s">
        <v>419</v>
      </c>
      <c r="L58" s="19"/>
      <c r="M58" s="19"/>
      <c r="N58" s="19"/>
    </row>
    <row r="59" spans="1:14" ht="13.5" thickBot="1">
      <c r="A59" s="2">
        <f t="shared" si="1"/>
        <v>51</v>
      </c>
      <c r="H59" s="63"/>
      <c r="L59" s="19"/>
      <c r="M59" s="19"/>
      <c r="N59" s="19"/>
    </row>
    <row r="60" spans="1:14" ht="13.5" thickBot="1">
      <c r="A60" s="2">
        <f t="shared" si="1"/>
        <v>52</v>
      </c>
      <c r="C60" t="s">
        <v>281</v>
      </c>
      <c r="H60" s="222"/>
      <c r="I60" s="48">
        <f>(3222297+11155892+15467281+20154756+56595+2147+3350999)/(46032808+223117845+297447708+428824599+1380356+134190+145695629)</f>
        <v>0.046742883051435404</v>
      </c>
      <c r="J60" s="234">
        <f>J52*I60</f>
        <v>-7843171.246479809</v>
      </c>
      <c r="K60" t="s">
        <v>282</v>
      </c>
      <c r="L60" s="19"/>
      <c r="M60" s="19"/>
      <c r="N60" s="19"/>
    </row>
    <row r="61" spans="1:14" ht="12.75">
      <c r="A61" s="2">
        <f t="shared" si="1"/>
        <v>53</v>
      </c>
      <c r="J61" s="19"/>
      <c r="K61" s="19"/>
      <c r="L61" s="19"/>
      <c r="M61" s="19"/>
      <c r="N61" s="19"/>
    </row>
    <row r="62" spans="1:14" ht="12.75">
      <c r="A62" s="2">
        <f t="shared" si="1"/>
        <v>54</v>
      </c>
      <c r="C62" t="s">
        <v>283</v>
      </c>
      <c r="H62" s="19">
        <f>21031705</f>
        <v>21031705</v>
      </c>
      <c r="J62" s="19"/>
      <c r="K62" s="19" t="s">
        <v>265</v>
      </c>
      <c r="L62" s="19"/>
      <c r="M62" s="19"/>
      <c r="N62" s="19"/>
    </row>
    <row r="63" spans="1:14" ht="12.75">
      <c r="A63" s="2">
        <f t="shared" si="1"/>
        <v>55</v>
      </c>
      <c r="C63" t="s">
        <v>284</v>
      </c>
      <c r="H63" s="19">
        <f>(581-1014-2196)*1000</f>
        <v>-2629000</v>
      </c>
      <c r="J63" s="19"/>
      <c r="K63" s="19" t="s">
        <v>285</v>
      </c>
      <c r="L63" s="19"/>
      <c r="M63" s="19"/>
      <c r="N63" s="19"/>
    </row>
    <row r="64" spans="1:14" ht="12.75">
      <c r="A64" s="2">
        <f t="shared" si="1"/>
        <v>56</v>
      </c>
      <c r="C64" t="s">
        <v>286</v>
      </c>
      <c r="H64" s="19">
        <f>H62+H63</f>
        <v>18402705</v>
      </c>
      <c r="J64" s="19"/>
      <c r="K64" s="19" t="s">
        <v>287</v>
      </c>
      <c r="L64" s="19"/>
      <c r="M64" s="19"/>
      <c r="N64" s="19"/>
    </row>
    <row r="65" spans="1:14" ht="12.75">
      <c r="A65" s="2">
        <f t="shared" si="1"/>
        <v>57</v>
      </c>
      <c r="C65" t="s">
        <v>288</v>
      </c>
      <c r="H65" s="48">
        <f>J44</f>
        <v>0.5680556097996766</v>
      </c>
      <c r="J65" s="19"/>
      <c r="K65" s="19" t="s">
        <v>289</v>
      </c>
      <c r="L65" s="19"/>
      <c r="M65" s="19"/>
      <c r="N65" s="19"/>
    </row>
    <row r="66" spans="1:14" ht="12.75">
      <c r="A66" s="2">
        <f t="shared" si="1"/>
        <v>58</v>
      </c>
      <c r="C66" t="s">
        <v>290</v>
      </c>
      <c r="H66" s="112">
        <f>H64*H65</f>
        <v>10453759.810738558</v>
      </c>
      <c r="I66" s="112"/>
      <c r="J66" s="112"/>
      <c r="K66" s="19" t="s">
        <v>291</v>
      </c>
      <c r="L66" s="19"/>
      <c r="M66" s="19"/>
      <c r="N66" s="19"/>
    </row>
    <row r="67" spans="1:14" ht="12.75">
      <c r="A67" s="2">
        <f t="shared" si="1"/>
        <v>59</v>
      </c>
      <c r="C67" t="s">
        <v>292</v>
      </c>
      <c r="H67" s="113">
        <f>H64*0.7578</f>
        <v>13945569.849000001</v>
      </c>
      <c r="I67" s="112"/>
      <c r="J67" s="112"/>
      <c r="K67" s="19" t="s">
        <v>293</v>
      </c>
      <c r="L67" s="19"/>
      <c r="M67" s="19"/>
      <c r="N67" s="19"/>
    </row>
    <row r="68" spans="1:14" ht="12.75">
      <c r="A68" s="2">
        <f t="shared" si="1"/>
        <v>60</v>
      </c>
      <c r="C68" t="s">
        <v>294</v>
      </c>
      <c r="H68" s="112"/>
      <c r="I68" s="112"/>
      <c r="J68" s="112"/>
      <c r="K68" s="19"/>
      <c r="L68" s="19"/>
      <c r="M68" s="19"/>
      <c r="N68" s="19"/>
    </row>
    <row r="69" spans="1:14" ht="13.5" thickBot="1">
      <c r="A69" s="2">
        <f t="shared" si="1"/>
        <v>61</v>
      </c>
      <c r="C69" t="s">
        <v>295</v>
      </c>
      <c r="H69" s="112">
        <f>H66-H67</f>
        <v>-3491810.0382614434</v>
      </c>
      <c r="I69" s="112"/>
      <c r="J69" s="118">
        <f>H69</f>
        <v>-3491810.0382614434</v>
      </c>
      <c r="K69" s="19" t="s">
        <v>296</v>
      </c>
      <c r="L69" s="19"/>
      <c r="M69" s="19"/>
      <c r="N69" s="19"/>
    </row>
    <row r="70" spans="1:14" ht="13.5" thickTop="1">
      <c r="A70" s="2">
        <f t="shared" si="1"/>
        <v>62</v>
      </c>
      <c r="J70" s="19"/>
      <c r="K70" s="19"/>
      <c r="L70" s="19"/>
      <c r="M70" s="19"/>
      <c r="N70" s="19"/>
    </row>
    <row r="71" spans="10:14" ht="12.75">
      <c r="J71" s="19"/>
      <c r="K71" s="19"/>
      <c r="L71" s="19"/>
      <c r="M71" s="19"/>
      <c r="N71" s="19"/>
    </row>
    <row r="72" spans="10:14" ht="12.75">
      <c r="J72" s="19"/>
      <c r="K72" s="19"/>
      <c r="L72" s="19"/>
      <c r="M72" s="19"/>
      <c r="N72" s="19"/>
    </row>
    <row r="73" spans="10:14" ht="12.75">
      <c r="J73" s="19"/>
      <c r="K73" s="19"/>
      <c r="L73" s="19"/>
      <c r="M73" s="19"/>
      <c r="N73" s="19"/>
    </row>
  </sheetData>
  <mergeCells count="5">
    <mergeCell ref="K4:L4"/>
    <mergeCell ref="F9:G9"/>
    <mergeCell ref="H9:I9"/>
    <mergeCell ref="F35:G35"/>
    <mergeCell ref="H35:I35"/>
  </mergeCells>
  <printOptions/>
  <pageMargins left="0.75" right="0.7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zoomScale="75" zoomScaleNormal="75" workbookViewId="0" topLeftCell="A1">
      <selection activeCell="A7" sqref="A7:G7"/>
    </sheetView>
  </sheetViews>
  <sheetFormatPr defaultColWidth="9.140625" defaultRowHeight="12.75"/>
  <cols>
    <col min="2" max="2" width="29.7109375" style="0" customWidth="1"/>
    <col min="3" max="3" width="6.7109375" style="0" bestFit="1" customWidth="1"/>
    <col min="4" max="4" width="6.00390625" style="0" customWidth="1"/>
    <col min="5" max="5" width="7.140625" style="0" customWidth="1"/>
    <col min="6" max="7" width="12.421875" style="0" customWidth="1"/>
    <col min="8" max="8" width="12.57421875" style="0" customWidth="1"/>
    <col min="9" max="9" width="11.140625" style="0" customWidth="1"/>
    <col min="10" max="10" width="12.57421875" style="0" customWidth="1"/>
  </cols>
  <sheetData>
    <row r="1" spans="1:10" ht="15.75">
      <c r="A1" s="69" t="s">
        <v>51</v>
      </c>
      <c r="B1" s="177"/>
      <c r="C1" s="177"/>
      <c r="D1" s="177"/>
      <c r="E1" s="177"/>
      <c r="F1" s="177"/>
      <c r="G1" s="177"/>
      <c r="H1" s="177"/>
      <c r="I1" s="177"/>
      <c r="J1" s="171" t="s">
        <v>462</v>
      </c>
    </row>
    <row r="2" spans="1:10" ht="15.75">
      <c r="A2" s="182" t="s">
        <v>26</v>
      </c>
      <c r="B2" s="177"/>
      <c r="C2" s="177"/>
      <c r="D2" s="177"/>
      <c r="E2" s="177"/>
      <c r="F2" s="177"/>
      <c r="G2" s="177"/>
      <c r="H2" s="177"/>
      <c r="I2" s="177"/>
      <c r="J2" s="171" t="s">
        <v>437</v>
      </c>
    </row>
    <row r="3" spans="1:10" ht="15.75">
      <c r="A3" s="69" t="s">
        <v>439</v>
      </c>
      <c r="B3" s="177"/>
      <c r="C3" s="177"/>
      <c r="D3" s="177"/>
      <c r="E3" s="177"/>
      <c r="F3" s="177"/>
      <c r="G3" s="177"/>
      <c r="H3" s="177"/>
      <c r="I3" s="177"/>
      <c r="J3" s="171" t="s">
        <v>84</v>
      </c>
    </row>
    <row r="4" spans="1:10" ht="15.75">
      <c r="A4" s="183" t="s">
        <v>25</v>
      </c>
      <c r="B4" s="177"/>
      <c r="C4" s="177"/>
      <c r="D4" s="177"/>
      <c r="E4" s="177"/>
      <c r="F4" s="177"/>
      <c r="G4" s="177"/>
      <c r="H4" s="177"/>
      <c r="I4" s="321">
        <v>38313</v>
      </c>
      <c r="J4" s="321"/>
    </row>
    <row r="6" ht="15.75">
      <c r="J6" s="171" t="s">
        <v>438</v>
      </c>
    </row>
    <row r="7" spans="1:7" ht="15">
      <c r="A7" s="317" t="s">
        <v>476</v>
      </c>
      <c r="B7" s="317"/>
      <c r="C7" s="317"/>
      <c r="D7" s="317"/>
      <c r="E7" s="317"/>
      <c r="F7" s="317"/>
      <c r="G7" s="317"/>
    </row>
    <row r="8" ht="12.75">
      <c r="J8" s="208"/>
    </row>
    <row r="9" spans="1:10" ht="12" customHeight="1">
      <c r="A9" s="319" t="s">
        <v>202</v>
      </c>
      <c r="B9" s="320"/>
      <c r="C9" s="320"/>
      <c r="D9" s="320"/>
      <c r="E9" s="320"/>
      <c r="F9" s="320"/>
      <c r="G9" s="320"/>
      <c r="H9" s="320"/>
      <c r="I9" s="320"/>
      <c r="J9" s="320"/>
    </row>
    <row r="10" spans="1:10" ht="27.75" customHeight="1">
      <c r="A10" s="320"/>
      <c r="B10" s="320"/>
      <c r="C10" s="320"/>
      <c r="D10" s="320"/>
      <c r="E10" s="320"/>
      <c r="F10" s="320"/>
      <c r="G10" s="320"/>
      <c r="H10" s="320"/>
      <c r="I10" s="320"/>
      <c r="J10" s="320"/>
    </row>
    <row r="11" ht="13.5" thickBot="1">
      <c r="A11" s="1"/>
    </row>
    <row r="12" spans="1:10" ht="12.75">
      <c r="A12" s="10"/>
      <c r="B12" s="3"/>
      <c r="C12" s="6"/>
      <c r="D12" s="6"/>
      <c r="E12" s="6"/>
      <c r="F12" s="10"/>
      <c r="G12" s="10"/>
      <c r="H12" s="10"/>
      <c r="I12" s="10"/>
      <c r="J12" s="10"/>
    </row>
    <row r="13" spans="1:10" ht="12.75">
      <c r="A13" s="11" t="s">
        <v>0</v>
      </c>
      <c r="B13" s="4"/>
      <c r="C13" s="7" t="s">
        <v>2</v>
      </c>
      <c r="D13" s="7"/>
      <c r="F13" s="11" t="s">
        <v>35</v>
      </c>
      <c r="G13" s="11" t="s">
        <v>7</v>
      </c>
      <c r="H13" s="11" t="s">
        <v>9</v>
      </c>
      <c r="I13" s="11" t="s">
        <v>5</v>
      </c>
      <c r="J13" s="11" t="s">
        <v>9</v>
      </c>
    </row>
    <row r="14" spans="1:10" ht="12.75">
      <c r="A14" s="11" t="s">
        <v>1</v>
      </c>
      <c r="B14" s="4"/>
      <c r="C14" s="7"/>
      <c r="D14" s="7"/>
      <c r="E14" s="7"/>
      <c r="F14" s="11" t="s">
        <v>4</v>
      </c>
      <c r="G14" s="11" t="s">
        <v>8</v>
      </c>
      <c r="H14" s="11" t="s">
        <v>8</v>
      </c>
      <c r="I14" s="11" t="s">
        <v>6</v>
      </c>
      <c r="J14" s="11" t="s">
        <v>5</v>
      </c>
    </row>
    <row r="15" spans="1:10" ht="13.5" thickBot="1">
      <c r="A15" s="12"/>
      <c r="B15" s="5"/>
      <c r="C15" s="9"/>
      <c r="D15" s="9"/>
      <c r="E15" s="9"/>
      <c r="F15" s="12" t="s">
        <v>3</v>
      </c>
      <c r="G15" s="12"/>
      <c r="H15" s="12"/>
      <c r="I15" s="12" t="s">
        <v>3</v>
      </c>
      <c r="J15" s="12" t="s">
        <v>6</v>
      </c>
    </row>
    <row r="16" ht="12.75">
      <c r="A16" s="2"/>
    </row>
    <row r="17" spans="1:10" ht="12.75">
      <c r="A17" s="2">
        <v>1</v>
      </c>
      <c r="B17" t="s">
        <v>36</v>
      </c>
      <c r="F17" s="29" t="s">
        <v>24</v>
      </c>
      <c r="G17" s="18">
        <v>0</v>
      </c>
      <c r="H17" s="18">
        <v>1</v>
      </c>
      <c r="I17" s="80">
        <v>222.08333333333331</v>
      </c>
      <c r="J17" s="81">
        <v>222.08333333333331</v>
      </c>
    </row>
    <row r="18" spans="1:10" ht="12.75">
      <c r="A18" s="2"/>
      <c r="I18" s="65"/>
      <c r="J18" s="81"/>
    </row>
    <row r="19" spans="9:10" ht="12.75">
      <c r="I19" s="65"/>
      <c r="J19" s="81"/>
    </row>
    <row r="20" spans="1:10" ht="12.75">
      <c r="A20" s="2">
        <v>2</v>
      </c>
      <c r="B20" t="s">
        <v>57</v>
      </c>
      <c r="I20" s="65"/>
      <c r="J20" s="81"/>
    </row>
    <row r="21" spans="1:10" ht="12.75">
      <c r="A21" s="2">
        <v>3</v>
      </c>
      <c r="B21" t="s">
        <v>58</v>
      </c>
      <c r="I21" s="65"/>
      <c r="J21" s="81"/>
    </row>
    <row r="22" spans="9:10" ht="12.75">
      <c r="I22" s="65"/>
      <c r="J22" s="81"/>
    </row>
    <row r="23" spans="9:10" ht="12.75">
      <c r="I23" s="65"/>
      <c r="J23" s="81"/>
    </row>
    <row r="24" spans="9:10" ht="12.75">
      <c r="I24" s="65"/>
      <c r="J24" s="81"/>
    </row>
    <row r="25" spans="1:10" ht="12.75">
      <c r="A25" s="13" t="s">
        <v>201</v>
      </c>
      <c r="F25" s="39"/>
      <c r="I25" s="65"/>
      <c r="J25" s="81"/>
    </row>
    <row r="26" spans="9:10" ht="12.75">
      <c r="I26" s="65"/>
      <c r="J26" s="81"/>
    </row>
    <row r="27" spans="6:10" ht="12.75">
      <c r="F27" s="49"/>
      <c r="I27" s="65"/>
      <c r="J27" s="81"/>
    </row>
    <row r="28" spans="1:10" ht="12.75">
      <c r="A28" s="2">
        <v>4</v>
      </c>
      <c r="B28" t="s">
        <v>125</v>
      </c>
      <c r="F28" s="279"/>
      <c r="I28" s="65"/>
      <c r="J28" s="81"/>
    </row>
    <row r="29" spans="1:10" ht="12.75">
      <c r="A29" s="2">
        <v>5</v>
      </c>
      <c r="B29" t="s">
        <v>76</v>
      </c>
      <c r="F29" s="279"/>
      <c r="G29" s="18"/>
      <c r="H29" s="18"/>
      <c r="I29" s="65"/>
      <c r="J29" s="81"/>
    </row>
    <row r="30" spans="1:10" ht="12.75">
      <c r="A30" s="2">
        <v>6</v>
      </c>
      <c r="B30" t="s">
        <v>123</v>
      </c>
      <c r="F30" s="279"/>
      <c r="G30" s="18">
        <v>0</v>
      </c>
      <c r="H30" s="18">
        <v>1</v>
      </c>
      <c r="I30" s="280"/>
      <c r="J30" s="281"/>
    </row>
    <row r="31" ht="12.75">
      <c r="A31" s="2"/>
    </row>
    <row r="32" ht="12.75">
      <c r="A32" s="2"/>
    </row>
    <row r="33" spans="1:10" ht="12.75">
      <c r="A33" s="2">
        <v>7</v>
      </c>
      <c r="B33" s="13" t="s">
        <v>124</v>
      </c>
      <c r="J33" s="282"/>
    </row>
    <row r="34" ht="12.75">
      <c r="A34" s="2"/>
    </row>
  </sheetData>
  <mergeCells count="3">
    <mergeCell ref="A9:J10"/>
    <mergeCell ref="I4:J4"/>
    <mergeCell ref="A7:G7"/>
  </mergeCells>
  <printOptions/>
  <pageMargins left="0.75" right="0.75" top="1" bottom="1" header="0.5" footer="0.5"/>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zoomScale="75" zoomScaleNormal="75" workbookViewId="0" topLeftCell="A1">
      <selection activeCell="A7" sqref="A7:F7"/>
    </sheetView>
  </sheetViews>
  <sheetFormatPr defaultColWidth="9.140625" defaultRowHeight="12.75"/>
  <cols>
    <col min="5" max="5" width="29.00390625" style="0" customWidth="1"/>
    <col min="6" max="6" width="15.00390625" style="0" bestFit="1" customWidth="1"/>
    <col min="7" max="8" width="13.57421875" style="0" customWidth="1"/>
    <col min="9" max="9" width="13.140625" style="0" customWidth="1"/>
    <col min="10" max="10" width="13.7109375" style="0" customWidth="1"/>
  </cols>
  <sheetData>
    <row r="1" spans="1:10" ht="15.75">
      <c r="A1" s="69" t="s">
        <v>51</v>
      </c>
      <c r="I1" s="177"/>
      <c r="J1" s="171" t="s">
        <v>466</v>
      </c>
    </row>
    <row r="2" spans="1:10" ht="15.75">
      <c r="A2" s="182" t="s">
        <v>26</v>
      </c>
      <c r="I2" s="177"/>
      <c r="J2" s="171" t="s">
        <v>437</v>
      </c>
    </row>
    <row r="3" spans="1:10" ht="15.75">
      <c r="A3" s="69" t="s">
        <v>440</v>
      </c>
      <c r="I3" s="177"/>
      <c r="J3" s="171" t="s">
        <v>84</v>
      </c>
    </row>
    <row r="4" spans="1:11" ht="15.75">
      <c r="A4" s="183" t="s">
        <v>25</v>
      </c>
      <c r="I4" s="321">
        <v>38313</v>
      </c>
      <c r="J4" s="321"/>
      <c r="K4" s="203"/>
    </row>
    <row r="5" spans="1:11" ht="15.75">
      <c r="A5" s="183"/>
      <c r="I5" s="173"/>
      <c r="J5" s="173"/>
      <c r="K5" s="203"/>
    </row>
    <row r="6" ht="15.75">
      <c r="J6" s="171" t="s">
        <v>456</v>
      </c>
    </row>
    <row r="7" spans="1:6" ht="15">
      <c r="A7" s="322" t="s">
        <v>476</v>
      </c>
      <c r="B7" s="322"/>
      <c r="C7" s="322"/>
      <c r="D7" s="322"/>
      <c r="E7" s="322"/>
      <c r="F7" s="323"/>
    </row>
    <row r="8" spans="1:10" ht="12" customHeight="1">
      <c r="A8" s="319" t="s">
        <v>52</v>
      </c>
      <c r="B8" s="320"/>
      <c r="C8" s="320"/>
      <c r="D8" s="320"/>
      <c r="E8" s="320"/>
      <c r="F8" s="320"/>
      <c r="G8" s="320"/>
      <c r="H8" s="320"/>
      <c r="I8" s="320"/>
      <c r="J8" s="320"/>
    </row>
    <row r="9" spans="1:10" ht="31.5" customHeight="1">
      <c r="A9" s="320"/>
      <c r="B9" s="320"/>
      <c r="C9" s="320"/>
      <c r="D9" s="320"/>
      <c r="E9" s="320"/>
      <c r="F9" s="320"/>
      <c r="G9" s="320"/>
      <c r="H9" s="320"/>
      <c r="I9" s="320"/>
      <c r="J9" s="320"/>
    </row>
    <row r="10" ht="13.5" thickBot="1">
      <c r="A10" s="1"/>
    </row>
    <row r="11" spans="1:10" ht="12.75">
      <c r="A11" s="10"/>
      <c r="B11" s="3"/>
      <c r="C11" s="6"/>
      <c r="D11" s="6"/>
      <c r="E11" s="6"/>
      <c r="F11" s="10"/>
      <c r="G11" s="10"/>
      <c r="H11" s="10"/>
      <c r="I11" s="10"/>
      <c r="J11" s="10"/>
    </row>
    <row r="12" spans="1:10" ht="12.75">
      <c r="A12" s="11" t="s">
        <v>0</v>
      </c>
      <c r="B12" s="4"/>
      <c r="C12" s="7" t="s">
        <v>2</v>
      </c>
      <c r="D12" s="7"/>
      <c r="F12" s="11" t="s">
        <v>35</v>
      </c>
      <c r="G12" s="11" t="s">
        <v>7</v>
      </c>
      <c r="H12" s="11" t="s">
        <v>9</v>
      </c>
      <c r="I12" s="11" t="s">
        <v>5</v>
      </c>
      <c r="J12" s="11" t="s">
        <v>9</v>
      </c>
    </row>
    <row r="13" spans="1:10" ht="12.75">
      <c r="A13" s="11" t="s">
        <v>1</v>
      </c>
      <c r="B13" s="4"/>
      <c r="C13" s="7"/>
      <c r="D13" s="7"/>
      <c r="E13" s="7"/>
      <c r="F13" s="11" t="s">
        <v>4</v>
      </c>
      <c r="G13" s="11" t="s">
        <v>8</v>
      </c>
      <c r="H13" s="11" t="s">
        <v>8</v>
      </c>
      <c r="I13" s="11" t="s">
        <v>6</v>
      </c>
      <c r="J13" s="11" t="s">
        <v>5</v>
      </c>
    </row>
    <row r="14" spans="1:10" ht="13.5" thickBot="1">
      <c r="A14" s="12"/>
      <c r="B14" s="5"/>
      <c r="C14" s="9"/>
      <c r="D14" s="9"/>
      <c r="E14" s="9"/>
      <c r="F14" s="12" t="s">
        <v>3</v>
      </c>
      <c r="G14" s="12"/>
      <c r="H14" s="12"/>
      <c r="I14" s="12" t="s">
        <v>3</v>
      </c>
      <c r="J14" s="12" t="s">
        <v>6</v>
      </c>
    </row>
    <row r="15" ht="12.75">
      <c r="A15" s="2"/>
    </row>
    <row r="16" spans="1:10" ht="12.75">
      <c r="A16" s="2">
        <v>1</v>
      </c>
      <c r="B16" t="s">
        <v>42</v>
      </c>
      <c r="F16" s="29" t="s">
        <v>24</v>
      </c>
      <c r="G16" s="18">
        <v>0</v>
      </c>
      <c r="H16" s="18">
        <v>1</v>
      </c>
      <c r="I16" s="16">
        <v>199</v>
      </c>
      <c r="J16" s="19">
        <f>I16*(1-G16)*H16</f>
        <v>199</v>
      </c>
    </row>
    <row r="17" spans="1:3" ht="12.75">
      <c r="A17" s="2"/>
      <c r="C17" t="s">
        <v>43</v>
      </c>
    </row>
    <row r="18" ht="12.75">
      <c r="C18" t="s">
        <v>3</v>
      </c>
    </row>
    <row r="20" spans="1:2" ht="12.75">
      <c r="A20" s="2">
        <v>2</v>
      </c>
      <c r="B20" t="s">
        <v>57</v>
      </c>
    </row>
    <row r="21" spans="1:2" ht="12.75">
      <c r="A21" s="2">
        <v>3</v>
      </c>
      <c r="B21" t="s">
        <v>58</v>
      </c>
    </row>
    <row r="25" spans="1:6" ht="12.75">
      <c r="A25" s="13" t="s">
        <v>128</v>
      </c>
      <c r="F25" s="39"/>
    </row>
    <row r="26" spans="1:6" ht="12.75">
      <c r="A26" s="2"/>
      <c r="F26" s="49"/>
    </row>
    <row r="27" spans="1:6" ht="12.75">
      <c r="A27" s="2">
        <v>4</v>
      </c>
      <c r="B27" t="s">
        <v>126</v>
      </c>
      <c r="F27" s="279"/>
    </row>
    <row r="28" spans="1:8" ht="12.75">
      <c r="A28" s="2"/>
      <c r="F28" s="49"/>
      <c r="G28" s="18"/>
      <c r="H28" s="18"/>
    </row>
    <row r="29" spans="1:8" ht="12.75">
      <c r="A29" s="2">
        <v>5</v>
      </c>
      <c r="B29" s="47" t="s">
        <v>83</v>
      </c>
      <c r="C29" s="47"/>
      <c r="D29" s="47"/>
      <c r="E29" s="47"/>
      <c r="F29" s="279"/>
      <c r="G29" s="18"/>
      <c r="H29" s="18"/>
    </row>
    <row r="30" spans="1:10" ht="13.5" thickBot="1">
      <c r="A30" s="2">
        <v>6</v>
      </c>
      <c r="B30" t="s">
        <v>75</v>
      </c>
      <c r="E30" t="s">
        <v>431</v>
      </c>
      <c r="F30" s="279"/>
      <c r="G30" s="18">
        <v>0</v>
      </c>
      <c r="H30" s="18">
        <v>1</v>
      </c>
      <c r="I30" s="279"/>
      <c r="J30" s="283"/>
    </row>
    <row r="31" ht="12.75">
      <c r="A31" s="2"/>
    </row>
    <row r="32" ht="12.75">
      <c r="A32" s="2"/>
    </row>
    <row r="33" spans="1:10" ht="13.5" thickBot="1">
      <c r="A33" s="2">
        <v>7</v>
      </c>
      <c r="B33" s="13" t="s">
        <v>74</v>
      </c>
      <c r="E33" t="s">
        <v>432</v>
      </c>
      <c r="J33" s="284"/>
    </row>
    <row r="34" ht="12.75">
      <c r="A34" s="2"/>
    </row>
    <row r="35" ht="12.75">
      <c r="A35" s="2"/>
    </row>
  </sheetData>
  <mergeCells count="3">
    <mergeCell ref="A8:J9"/>
    <mergeCell ref="I4:J4"/>
    <mergeCell ref="A7:F7"/>
  </mergeCells>
  <printOptions/>
  <pageMargins left="0.75" right="0.75" top="1" bottom="1" header="0.5" footer="0.5"/>
  <pageSetup fitToHeight="1" fitToWidth="1" horizontalDpi="600" verticalDpi="600" orientation="landscape" scale="91" r:id="rId1"/>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zoomScale="75" zoomScaleNormal="75" workbookViewId="0" topLeftCell="A1">
      <selection activeCell="A7" sqref="A7"/>
    </sheetView>
  </sheetViews>
  <sheetFormatPr defaultColWidth="9.140625" defaultRowHeight="12.75"/>
  <cols>
    <col min="4" max="4" width="31.7109375" style="0" bestFit="1" customWidth="1"/>
    <col min="5" max="5" width="15.00390625" style="0" bestFit="1" customWidth="1"/>
    <col min="6" max="6" width="10.421875" style="0" bestFit="1" customWidth="1"/>
    <col min="7" max="7" width="10.00390625" style="0" bestFit="1" customWidth="1"/>
    <col min="8" max="8" width="13.140625" style="0" bestFit="1" customWidth="1"/>
    <col min="9" max="9" width="15.57421875" style="0" bestFit="1" customWidth="1"/>
    <col min="10" max="10" width="10.57421875" style="0" bestFit="1" customWidth="1"/>
    <col min="11" max="11" width="24.28125" style="0" bestFit="1" customWidth="1"/>
  </cols>
  <sheetData>
    <row r="1" spans="1:11" ht="15.75">
      <c r="A1" s="69" t="s">
        <v>51</v>
      </c>
      <c r="J1" s="177"/>
      <c r="K1" s="171" t="s">
        <v>465</v>
      </c>
    </row>
    <row r="2" spans="1:11" ht="15.75">
      <c r="A2" s="182" t="s">
        <v>26</v>
      </c>
      <c r="I2" s="24"/>
      <c r="J2" s="177"/>
      <c r="K2" s="171" t="s">
        <v>437</v>
      </c>
    </row>
    <row r="3" spans="1:11" ht="15.75">
      <c r="A3" s="69" t="s">
        <v>441</v>
      </c>
      <c r="J3" s="177"/>
      <c r="K3" s="171" t="s">
        <v>84</v>
      </c>
    </row>
    <row r="4" spans="10:11" ht="15.75">
      <c r="J4" s="321">
        <v>38313</v>
      </c>
      <c r="K4" s="321"/>
    </row>
    <row r="6" spans="1:11" ht="15.75">
      <c r="A6" s="324" t="s">
        <v>476</v>
      </c>
      <c r="B6" s="324"/>
      <c r="C6" s="324"/>
      <c r="D6" s="324"/>
      <c r="E6" s="324"/>
      <c r="F6" s="324"/>
      <c r="G6" s="324"/>
      <c r="H6" s="324"/>
      <c r="I6" s="51"/>
      <c r="K6" s="171" t="s">
        <v>455</v>
      </c>
    </row>
    <row r="7" spans="1:9" ht="12.75">
      <c r="A7" s="51"/>
      <c r="B7" s="51"/>
      <c r="C7" s="51"/>
      <c r="D7" s="51"/>
      <c r="E7" s="51"/>
      <c r="F7" s="51"/>
      <c r="G7" s="51"/>
      <c r="H7" s="51"/>
      <c r="I7" s="51"/>
    </row>
    <row r="8" spans="1:9" ht="12.75">
      <c r="A8" s="51" t="s">
        <v>86</v>
      </c>
      <c r="F8" s="52"/>
      <c r="G8" s="19"/>
      <c r="I8" s="24"/>
    </row>
    <row r="9" spans="6:11" ht="16.5" thickBot="1">
      <c r="F9" s="52"/>
      <c r="G9" s="19"/>
      <c r="I9" s="24"/>
      <c r="K9" s="183" t="s">
        <v>85</v>
      </c>
    </row>
    <row r="10" spans="1:11" ht="12.75">
      <c r="A10" s="53"/>
      <c r="B10" s="53"/>
      <c r="C10" s="53"/>
      <c r="D10" s="53"/>
      <c r="E10" s="53"/>
      <c r="F10" s="54"/>
      <c r="G10" s="55"/>
      <c r="H10" s="10"/>
      <c r="I10" s="10" t="s">
        <v>87</v>
      </c>
      <c r="J10" s="10"/>
      <c r="K10" s="10" t="s">
        <v>9</v>
      </c>
    </row>
    <row r="11" spans="1:11" ht="12.75">
      <c r="A11" s="56"/>
      <c r="B11" s="56"/>
      <c r="C11" s="56"/>
      <c r="D11" s="56"/>
      <c r="E11" s="56"/>
      <c r="F11" s="57" t="s">
        <v>88</v>
      </c>
      <c r="G11" s="58"/>
      <c r="H11" s="11" t="s">
        <v>89</v>
      </c>
      <c r="I11" s="11" t="s">
        <v>90</v>
      </c>
      <c r="J11" s="11" t="s">
        <v>9</v>
      </c>
      <c r="K11" s="11" t="s">
        <v>91</v>
      </c>
    </row>
    <row r="12" spans="1:11" ht="12.75">
      <c r="A12" s="56"/>
      <c r="B12" s="11" t="s">
        <v>92</v>
      </c>
      <c r="C12" s="11" t="s">
        <v>93</v>
      </c>
      <c r="D12" s="56"/>
      <c r="E12" s="56"/>
      <c r="F12" s="57" t="s">
        <v>94</v>
      </c>
      <c r="G12" s="59" t="s">
        <v>95</v>
      </c>
      <c r="H12" s="11" t="s">
        <v>96</v>
      </c>
      <c r="I12" s="11" t="s">
        <v>89</v>
      </c>
      <c r="J12" s="11" t="s">
        <v>8</v>
      </c>
      <c r="K12" s="11" t="s">
        <v>5</v>
      </c>
    </row>
    <row r="13" spans="1:11" ht="12.75">
      <c r="A13" s="11" t="s">
        <v>97</v>
      </c>
      <c r="B13" s="11" t="s">
        <v>98</v>
      </c>
      <c r="C13" s="11" t="s">
        <v>98</v>
      </c>
      <c r="D13" s="11" t="s">
        <v>2</v>
      </c>
      <c r="E13" s="11" t="s">
        <v>99</v>
      </c>
      <c r="F13" s="57" t="s">
        <v>100</v>
      </c>
      <c r="G13" s="59" t="s">
        <v>91</v>
      </c>
      <c r="H13" s="11" t="s">
        <v>101</v>
      </c>
      <c r="I13" s="11" t="s">
        <v>102</v>
      </c>
      <c r="J13" s="11"/>
      <c r="K13" s="11" t="s">
        <v>6</v>
      </c>
    </row>
    <row r="14" spans="1:11" ht="13.5" thickBot="1">
      <c r="A14" s="12" t="s">
        <v>1</v>
      </c>
      <c r="B14" s="12" t="s">
        <v>103</v>
      </c>
      <c r="C14" s="12" t="s">
        <v>104</v>
      </c>
      <c r="D14" s="12" t="s">
        <v>105</v>
      </c>
      <c r="E14" s="12" t="s">
        <v>106</v>
      </c>
      <c r="F14" s="60" t="s">
        <v>107</v>
      </c>
      <c r="G14" s="61" t="s">
        <v>108</v>
      </c>
      <c r="H14" s="12" t="s">
        <v>109</v>
      </c>
      <c r="I14" s="12" t="s">
        <v>110</v>
      </c>
      <c r="J14" s="62" t="s">
        <v>111</v>
      </c>
      <c r="K14" s="12" t="s">
        <v>112</v>
      </c>
    </row>
    <row r="15" spans="1:11" ht="12.75">
      <c r="A15" s="63">
        <v>1</v>
      </c>
      <c r="B15" s="106">
        <v>3074</v>
      </c>
      <c r="C15" s="63" t="s">
        <v>113</v>
      </c>
      <c r="D15" s="63" t="s">
        <v>114</v>
      </c>
      <c r="E15" s="106">
        <v>5001</v>
      </c>
      <c r="F15" s="107">
        <v>37701</v>
      </c>
      <c r="G15" s="43">
        <v>1254500</v>
      </c>
      <c r="H15" s="43">
        <v>6</v>
      </c>
      <c r="I15" s="95">
        <f>ROUND(G15/12*H15,0)</f>
        <v>627250</v>
      </c>
      <c r="J15" s="108">
        <v>1</v>
      </c>
      <c r="K15" s="109">
        <f>ROUND(I15*J15,0)</f>
        <v>627250</v>
      </c>
    </row>
    <row r="16" spans="1:11" ht="12.75">
      <c r="A16" s="63">
        <v>2</v>
      </c>
      <c r="B16" s="106">
        <v>3093</v>
      </c>
      <c r="C16" s="63" t="s">
        <v>115</v>
      </c>
      <c r="D16" s="63" t="s">
        <v>116</v>
      </c>
      <c r="E16" s="106">
        <v>5086</v>
      </c>
      <c r="F16" s="107">
        <v>37812</v>
      </c>
      <c r="G16" s="43">
        <v>984924</v>
      </c>
      <c r="H16" s="43">
        <v>9</v>
      </c>
      <c r="I16" s="95">
        <f>ROUND(G16/12*H16,0)</f>
        <v>738693</v>
      </c>
      <c r="J16" s="108">
        <v>1</v>
      </c>
      <c r="K16" s="43">
        <f>ROUND(I16*J16,0)</f>
        <v>738693</v>
      </c>
    </row>
    <row r="17" spans="1:11" ht="13.5" thickBot="1">
      <c r="A17" s="63">
        <v>3</v>
      </c>
      <c r="B17" s="63"/>
      <c r="C17" s="63"/>
      <c r="D17" s="63" t="s">
        <v>117</v>
      </c>
      <c r="E17" s="63"/>
      <c r="F17" s="107"/>
      <c r="G17" s="43"/>
      <c r="H17" s="63"/>
      <c r="I17" s="110"/>
      <c r="J17" s="63"/>
      <c r="K17" s="111">
        <f>SUM(K15:K16)</f>
        <v>1365943</v>
      </c>
    </row>
    <row r="18" spans="1:11" ht="13.5" thickTop="1">
      <c r="A18" s="63">
        <v>4</v>
      </c>
      <c r="B18" s="63"/>
      <c r="C18" s="63"/>
      <c r="D18" s="63"/>
      <c r="E18" s="63"/>
      <c r="F18" s="107"/>
      <c r="G18" s="43"/>
      <c r="H18" s="63"/>
      <c r="I18" s="110"/>
      <c r="J18" s="63"/>
      <c r="K18" s="92"/>
    </row>
    <row r="19" spans="1:11" ht="12.75">
      <c r="A19" s="63">
        <v>5</v>
      </c>
      <c r="B19" s="63"/>
      <c r="C19" s="63"/>
      <c r="D19" s="63" t="s">
        <v>118</v>
      </c>
      <c r="E19" s="63"/>
      <c r="F19" s="107"/>
      <c r="G19" s="43"/>
      <c r="H19" s="63"/>
      <c r="I19" s="110"/>
      <c r="J19" s="63"/>
      <c r="K19" s="63"/>
    </row>
    <row r="20" spans="1:11" ht="12.75">
      <c r="A20" s="63">
        <v>6</v>
      </c>
      <c r="B20" s="63"/>
      <c r="C20" s="63"/>
      <c r="D20" s="63" t="s">
        <v>119</v>
      </c>
      <c r="E20" s="106">
        <v>5001</v>
      </c>
      <c r="F20" s="107"/>
      <c r="G20" s="43"/>
      <c r="H20" s="63"/>
      <c r="I20" s="110"/>
      <c r="J20" s="63"/>
      <c r="K20" s="109">
        <f>ROUND((K15)/1000,0)</f>
        <v>627</v>
      </c>
    </row>
    <row r="21" spans="1:11" ht="12.75">
      <c r="A21" s="63">
        <v>7</v>
      </c>
      <c r="B21" s="63"/>
      <c r="C21" s="63"/>
      <c r="D21" s="63" t="s">
        <v>120</v>
      </c>
      <c r="E21" s="106">
        <v>5086</v>
      </c>
      <c r="F21" s="107"/>
      <c r="G21" s="43"/>
      <c r="H21" s="63"/>
      <c r="I21" s="110"/>
      <c r="J21" s="63"/>
      <c r="K21" s="43">
        <f>ROUND((K16)/1000,0)</f>
        <v>739</v>
      </c>
    </row>
    <row r="22" spans="1:11" ht="13.5" thickBot="1">
      <c r="A22" s="63">
        <v>8</v>
      </c>
      <c r="B22" s="63"/>
      <c r="C22" s="63"/>
      <c r="D22" s="63" t="s">
        <v>121</v>
      </c>
      <c r="E22" s="63"/>
      <c r="F22" s="107"/>
      <c r="G22" s="43"/>
      <c r="H22" s="63"/>
      <c r="I22" s="110"/>
      <c r="J22" s="63"/>
      <c r="K22" s="111">
        <f>SUM(K20:K21)</f>
        <v>1366</v>
      </c>
    </row>
    <row r="23" spans="2:11" ht="13.5" thickTop="1">
      <c r="B23" s="63"/>
      <c r="C23" s="63"/>
      <c r="D23" s="63"/>
      <c r="E23" s="63"/>
      <c r="F23" s="107"/>
      <c r="G23" s="43"/>
      <c r="H23" s="63"/>
      <c r="I23" s="110"/>
      <c r="J23" s="63"/>
      <c r="K23" s="63"/>
    </row>
    <row r="24" spans="2:11" ht="12.75">
      <c r="B24" s="63"/>
      <c r="C24" s="63"/>
      <c r="D24" s="63"/>
      <c r="E24" s="63"/>
      <c r="F24" s="107"/>
      <c r="G24" s="43"/>
      <c r="H24" s="63"/>
      <c r="I24" s="110"/>
      <c r="J24" s="63"/>
      <c r="K24" s="63"/>
    </row>
    <row r="25" spans="6:9" ht="12.75">
      <c r="F25" s="52"/>
      <c r="G25" s="19"/>
      <c r="I25" s="24"/>
    </row>
    <row r="26" spans="6:9" ht="12.75">
      <c r="F26" s="52"/>
      <c r="G26" s="19"/>
      <c r="I26" s="24"/>
    </row>
    <row r="27" spans="1:11" ht="15.75">
      <c r="A27" s="69" t="s">
        <v>129</v>
      </c>
      <c r="F27" s="39"/>
      <c r="K27" s="183" t="s">
        <v>25</v>
      </c>
    </row>
    <row r="29" spans="4:6" ht="12.75">
      <c r="D29" t="s">
        <v>130</v>
      </c>
      <c r="F29" s="49"/>
    </row>
    <row r="30" spans="4:10" ht="12.75">
      <c r="D30" t="s">
        <v>131</v>
      </c>
      <c r="F30" s="49"/>
      <c r="J30" s="280"/>
    </row>
    <row r="31" spans="4:10" ht="12.75">
      <c r="D31" t="s">
        <v>132</v>
      </c>
      <c r="F31" s="49"/>
      <c r="H31" s="18"/>
      <c r="J31" s="280"/>
    </row>
    <row r="32" spans="4:11" ht="13.5" thickBot="1">
      <c r="D32" t="s">
        <v>32</v>
      </c>
      <c r="F32" s="49"/>
      <c r="G32" s="18"/>
      <c r="H32" s="18" t="s">
        <v>133</v>
      </c>
      <c r="I32" s="49"/>
      <c r="J32" s="285"/>
      <c r="K32" s="280"/>
    </row>
    <row r="33" spans="10:11" ht="12.75">
      <c r="J33" s="65"/>
      <c r="K33" s="65"/>
    </row>
    <row r="34" spans="4:11" ht="12.75">
      <c r="D34" t="s">
        <v>134</v>
      </c>
      <c r="J34" s="65"/>
      <c r="K34" s="65"/>
    </row>
    <row r="35" spans="4:11" ht="12.75">
      <c r="D35" t="s">
        <v>135</v>
      </c>
      <c r="J35" s="280"/>
      <c r="K35" s="65"/>
    </row>
    <row r="36" spans="4:11" ht="12.75">
      <c r="D36" t="s">
        <v>132</v>
      </c>
      <c r="J36" s="280"/>
      <c r="K36" s="65"/>
    </row>
    <row r="37" spans="2:11" ht="13.5" thickBot="1">
      <c r="B37" s="13"/>
      <c r="D37" t="s">
        <v>32</v>
      </c>
      <c r="H37" t="s">
        <v>136</v>
      </c>
      <c r="J37" s="285"/>
      <c r="K37" s="280"/>
    </row>
    <row r="38" ht="12.75">
      <c r="K38" s="65"/>
    </row>
    <row r="39" ht="12.75">
      <c r="K39" s="65"/>
    </row>
    <row r="40" spans="4:11" ht="13.5" thickBot="1">
      <c r="D40" s="13" t="s">
        <v>137</v>
      </c>
      <c r="H40" s="18" t="s">
        <v>133</v>
      </c>
      <c r="K40" s="285"/>
    </row>
    <row r="41" ht="12.75">
      <c r="K41" s="65"/>
    </row>
    <row r="42" ht="12.75">
      <c r="K42" s="65"/>
    </row>
    <row r="43" spans="8:11" ht="13.5" thickBot="1">
      <c r="H43" t="s">
        <v>136</v>
      </c>
      <c r="K43" s="285"/>
    </row>
    <row r="44" ht="12.75">
      <c r="K44" s="65"/>
    </row>
  </sheetData>
  <mergeCells count="2">
    <mergeCell ref="J4:K4"/>
    <mergeCell ref="A6:H6"/>
  </mergeCells>
  <printOptions/>
  <pageMargins left="0.75" right="0.75" top="0.89" bottom="1" header="0.5" footer="0.5"/>
  <pageSetup fitToHeight="1"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workbookViewId="0" topLeftCell="F1">
      <selection activeCell="J18" sqref="J18"/>
    </sheetView>
  </sheetViews>
  <sheetFormatPr defaultColWidth="9.140625" defaultRowHeight="12.75"/>
  <cols>
    <col min="3" max="3" width="10.00390625" style="0" bestFit="1" customWidth="1"/>
    <col min="4" max="4" width="17.8515625" style="0" bestFit="1" customWidth="1"/>
    <col min="5" max="5" width="12.57421875" style="0" bestFit="1" customWidth="1"/>
    <col min="7" max="7" width="9.7109375" style="0" bestFit="1" customWidth="1"/>
    <col min="8" max="8" width="8.57421875" style="0" customWidth="1"/>
    <col min="9" max="9" width="14.8515625" style="0" customWidth="1"/>
    <col min="10" max="10" width="10.28125" style="0" bestFit="1" customWidth="1"/>
    <col min="11" max="11" width="13.421875" style="0" customWidth="1"/>
  </cols>
  <sheetData>
    <row r="1" ht="12.75">
      <c r="K1" s="36" t="s">
        <v>461</v>
      </c>
    </row>
    <row r="2" spans="1:11" ht="12.75">
      <c r="A2" s="13" t="s">
        <v>51</v>
      </c>
      <c r="I2" s="24"/>
      <c r="K2" s="36" t="s">
        <v>437</v>
      </c>
    </row>
    <row r="3" spans="1:11" ht="12.75">
      <c r="A3" s="14" t="s">
        <v>26</v>
      </c>
      <c r="K3" s="36" t="s">
        <v>84</v>
      </c>
    </row>
    <row r="4" spans="1:11" ht="13.5" thickBot="1">
      <c r="A4" s="13" t="s">
        <v>73</v>
      </c>
      <c r="J4" s="325">
        <v>38313</v>
      </c>
      <c r="K4" s="325"/>
    </row>
    <row r="5" spans="1:12" ht="15.75" thickBot="1">
      <c r="A5" s="30" t="s">
        <v>85</v>
      </c>
      <c r="I5" s="263"/>
      <c r="J5" s="267"/>
      <c r="K5" s="257" t="s">
        <v>477</v>
      </c>
      <c r="L5" s="255"/>
    </row>
    <row r="6" spans="7:12" ht="16.5" thickBot="1">
      <c r="G6" s="264"/>
      <c r="H6" s="231"/>
      <c r="I6" s="231"/>
      <c r="J6" s="265"/>
      <c r="K6" s="266" t="s">
        <v>475</v>
      </c>
      <c r="L6" s="255"/>
    </row>
    <row r="7" spans="1:11" ht="15">
      <c r="A7" s="317" t="s">
        <v>476</v>
      </c>
      <c r="B7" s="317"/>
      <c r="C7" s="317"/>
      <c r="D7" s="317"/>
      <c r="E7" s="317"/>
      <c r="F7" s="318"/>
      <c r="G7" s="318"/>
      <c r="H7" s="318"/>
      <c r="I7" s="318"/>
      <c r="K7" s="36" t="s">
        <v>454</v>
      </c>
    </row>
    <row r="8" spans="5:9" ht="14.25" customHeight="1">
      <c r="E8" s="51"/>
      <c r="F8" s="51"/>
      <c r="G8" s="51"/>
      <c r="H8" s="51"/>
      <c r="I8" s="51"/>
    </row>
    <row r="9" spans="1:9" ht="12.75">
      <c r="A9" s="13" t="s">
        <v>129</v>
      </c>
      <c r="F9" s="52"/>
      <c r="G9" s="19"/>
      <c r="I9" s="24"/>
    </row>
    <row r="10" spans="1:9" ht="13.5" thickBot="1">
      <c r="A10" s="51"/>
      <c r="B10" s="51" t="s">
        <v>317</v>
      </c>
      <c r="C10" s="51"/>
      <c r="D10" s="51"/>
      <c r="F10" s="52"/>
      <c r="G10" s="19"/>
      <c r="I10" s="24"/>
    </row>
    <row r="11" spans="1:11" ht="12.75">
      <c r="A11" s="53"/>
      <c r="B11" s="53"/>
      <c r="C11" s="53"/>
      <c r="D11" s="53"/>
      <c r="E11" s="53"/>
      <c r="F11" s="54"/>
      <c r="G11" s="55"/>
      <c r="H11" s="10"/>
      <c r="I11" s="10"/>
      <c r="J11" s="10"/>
      <c r="K11" s="10" t="s">
        <v>9</v>
      </c>
    </row>
    <row r="12" spans="1:11" ht="12.75">
      <c r="A12" s="56"/>
      <c r="B12" s="56"/>
      <c r="C12" s="56"/>
      <c r="D12" s="56"/>
      <c r="E12" s="56"/>
      <c r="F12" s="57" t="s">
        <v>88</v>
      </c>
      <c r="G12" s="58"/>
      <c r="H12" s="11" t="s">
        <v>91</v>
      </c>
      <c r="I12" s="11"/>
      <c r="J12" s="11" t="s">
        <v>9</v>
      </c>
      <c r="K12" s="11" t="s">
        <v>91</v>
      </c>
    </row>
    <row r="13" spans="1:11" ht="12.75">
      <c r="A13" s="56"/>
      <c r="B13" s="11" t="s">
        <v>92</v>
      </c>
      <c r="C13" s="11" t="s">
        <v>93</v>
      </c>
      <c r="D13" s="56"/>
      <c r="E13" s="56"/>
      <c r="F13" s="57" t="s">
        <v>94</v>
      </c>
      <c r="G13" s="59" t="s">
        <v>95</v>
      </c>
      <c r="H13" s="11" t="s">
        <v>306</v>
      </c>
      <c r="I13" s="11" t="s">
        <v>307</v>
      </c>
      <c r="J13" s="11" t="s">
        <v>8</v>
      </c>
      <c r="K13" s="11" t="s">
        <v>5</v>
      </c>
    </row>
    <row r="14" spans="1:11" ht="12.75">
      <c r="A14" s="11" t="s">
        <v>97</v>
      </c>
      <c r="B14" s="11" t="s">
        <v>98</v>
      </c>
      <c r="C14" s="11" t="s">
        <v>98</v>
      </c>
      <c r="D14" s="11" t="s">
        <v>2</v>
      </c>
      <c r="E14" s="11" t="s">
        <v>99</v>
      </c>
      <c r="F14" s="57" t="s">
        <v>100</v>
      </c>
      <c r="G14" s="59" t="s">
        <v>91</v>
      </c>
      <c r="H14" s="11" t="s">
        <v>101</v>
      </c>
      <c r="I14" s="11" t="s">
        <v>203</v>
      </c>
      <c r="J14" s="11"/>
      <c r="K14" s="11" t="s">
        <v>6</v>
      </c>
    </row>
    <row r="15" spans="1:11" ht="13.5" thickBot="1">
      <c r="A15" s="12" t="s">
        <v>1</v>
      </c>
      <c r="B15" s="12" t="s">
        <v>103</v>
      </c>
      <c r="C15" s="12" t="s">
        <v>104</v>
      </c>
      <c r="D15" s="12" t="s">
        <v>105</v>
      </c>
      <c r="E15" s="12" t="s">
        <v>106</v>
      </c>
      <c r="F15" s="60" t="s">
        <v>107</v>
      </c>
      <c r="G15" s="61" t="s">
        <v>108</v>
      </c>
      <c r="H15" s="12" t="s">
        <v>109</v>
      </c>
      <c r="I15" s="12" t="s">
        <v>308</v>
      </c>
      <c r="J15" s="62" t="s">
        <v>111</v>
      </c>
      <c r="K15" s="12" t="s">
        <v>112</v>
      </c>
    </row>
    <row r="16" spans="1:11" ht="12.75">
      <c r="A16" s="63">
        <v>1</v>
      </c>
      <c r="B16" s="106">
        <v>3085</v>
      </c>
      <c r="C16" s="86" t="s">
        <v>303</v>
      </c>
      <c r="D16" s="63" t="s">
        <v>304</v>
      </c>
      <c r="E16" s="106" t="s">
        <v>305</v>
      </c>
      <c r="F16" s="107">
        <v>37787</v>
      </c>
      <c r="G16" s="271"/>
      <c r="H16" s="286"/>
      <c r="I16" s="287"/>
      <c r="J16" s="288"/>
      <c r="K16" s="289"/>
    </row>
    <row r="17" spans="1:11" ht="12.75">
      <c r="A17" s="63">
        <v>1</v>
      </c>
      <c r="B17" s="106">
        <v>3092</v>
      </c>
      <c r="C17" s="86" t="s">
        <v>309</v>
      </c>
      <c r="D17" s="63" t="s">
        <v>310</v>
      </c>
      <c r="E17" s="106" t="s">
        <v>305</v>
      </c>
      <c r="F17" s="107">
        <v>37805</v>
      </c>
      <c r="G17" s="271"/>
      <c r="H17" s="271"/>
      <c r="I17" s="287"/>
      <c r="J17" s="288"/>
      <c r="K17" s="289"/>
    </row>
    <row r="18" spans="1:11" ht="12.75">
      <c r="A18" s="63">
        <v>3</v>
      </c>
      <c r="B18" s="106">
        <v>3114</v>
      </c>
      <c r="C18" s="86" t="s">
        <v>311</v>
      </c>
      <c r="D18" s="63" t="s">
        <v>312</v>
      </c>
      <c r="E18" s="106" t="s">
        <v>305</v>
      </c>
      <c r="F18" s="107">
        <v>38001</v>
      </c>
      <c r="G18" s="271"/>
      <c r="H18" s="278"/>
      <c r="I18" s="287"/>
      <c r="J18" s="288"/>
      <c r="K18" s="289"/>
    </row>
    <row r="19" spans="1:11" ht="13.5" thickBot="1">
      <c r="A19" s="63">
        <v>4</v>
      </c>
      <c r="B19" s="106">
        <v>3118</v>
      </c>
      <c r="C19" s="86" t="s">
        <v>313</v>
      </c>
      <c r="D19" s="124" t="s">
        <v>314</v>
      </c>
      <c r="E19" s="106" t="s">
        <v>305</v>
      </c>
      <c r="F19" s="107">
        <v>38078</v>
      </c>
      <c r="G19" s="271"/>
      <c r="H19" s="278"/>
      <c r="I19" s="287"/>
      <c r="J19" s="288"/>
      <c r="K19" s="289"/>
    </row>
    <row r="20" spans="1:11" ht="13.5" thickBot="1">
      <c r="A20" s="63">
        <v>5</v>
      </c>
      <c r="B20" s="106">
        <v>3123</v>
      </c>
      <c r="C20" s="86" t="s">
        <v>315</v>
      </c>
      <c r="D20" s="124" t="s">
        <v>316</v>
      </c>
      <c r="E20" s="106" t="s">
        <v>305</v>
      </c>
      <c r="F20" s="107">
        <v>38157</v>
      </c>
      <c r="G20" s="290"/>
      <c r="H20" s="291"/>
      <c r="I20" s="292"/>
      <c r="J20" s="293"/>
      <c r="K20" s="294"/>
    </row>
    <row r="21" spans="1:11" ht="13.5" thickBot="1">
      <c r="A21" s="63">
        <v>6</v>
      </c>
      <c r="B21" s="63"/>
      <c r="C21" s="63"/>
      <c r="D21" s="124"/>
      <c r="E21" s="106"/>
      <c r="F21" s="107"/>
      <c r="G21" s="43"/>
      <c r="H21" s="63"/>
      <c r="I21" s="110"/>
      <c r="J21" s="63"/>
      <c r="K21" s="109"/>
    </row>
    <row r="22" spans="1:11" ht="13.5" thickBot="1">
      <c r="A22" s="63">
        <v>7</v>
      </c>
      <c r="B22" s="63"/>
      <c r="C22" s="63"/>
      <c r="D22" s="63"/>
      <c r="E22" s="106"/>
      <c r="F22" s="107"/>
      <c r="G22" s="43"/>
      <c r="H22" s="63"/>
      <c r="I22" s="126" t="s">
        <v>37</v>
      </c>
      <c r="J22" s="63"/>
      <c r="K22" s="295"/>
    </row>
    <row r="23" spans="1:11" ht="12.75">
      <c r="A23" s="63"/>
      <c r="B23" s="63"/>
      <c r="C23" s="63"/>
      <c r="D23" s="63"/>
      <c r="E23" s="63"/>
      <c r="F23" s="107"/>
      <c r="G23" s="43"/>
      <c r="H23" s="63"/>
      <c r="I23" s="110"/>
      <c r="J23" s="63"/>
      <c r="K23" s="125"/>
    </row>
    <row r="24" spans="2:11" ht="12.75">
      <c r="B24" s="63"/>
      <c r="C24" s="63"/>
      <c r="D24" s="63"/>
      <c r="E24" s="63"/>
      <c r="F24" s="107"/>
      <c r="G24" s="43"/>
      <c r="H24" s="63"/>
      <c r="I24" s="110"/>
      <c r="J24" s="63"/>
      <c r="K24" s="124"/>
    </row>
    <row r="25" spans="2:11" ht="12.75">
      <c r="B25" s="63"/>
      <c r="C25" s="63"/>
      <c r="D25" s="63"/>
      <c r="E25" s="63"/>
      <c r="F25" s="107"/>
      <c r="G25" s="43"/>
      <c r="H25" s="63"/>
      <c r="I25" s="110"/>
      <c r="J25" s="63"/>
      <c r="K25" s="124"/>
    </row>
    <row r="26" spans="6:9" ht="12.75">
      <c r="F26" s="52"/>
      <c r="G26" s="19"/>
      <c r="I26" s="24"/>
    </row>
    <row r="27" spans="6:9" ht="12.75">
      <c r="F27" s="52"/>
      <c r="G27" s="19"/>
      <c r="I27" s="24"/>
    </row>
    <row r="31" ht="12.75">
      <c r="J31" s="8"/>
    </row>
    <row r="32" spans="2:10" ht="12.75">
      <c r="B32" s="13"/>
      <c r="J32" s="50"/>
    </row>
    <row r="33" ht="12.75">
      <c r="J33" s="8"/>
    </row>
    <row r="34" ht="12.75">
      <c r="J34" s="8"/>
    </row>
    <row r="35" ht="12.75">
      <c r="J35" s="8"/>
    </row>
  </sheetData>
  <mergeCells count="2">
    <mergeCell ref="J4:K4"/>
    <mergeCell ref="A7:I7"/>
  </mergeCells>
  <printOptions/>
  <pageMargins left="0.75" right="0.75" top="1" bottom="1" header="0.5" footer="0.5"/>
  <pageSetup fitToHeight="1" fitToWidth="1" horizontalDpi="600" verticalDpi="600" orientation="landscape" scale="9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56"/>
  <sheetViews>
    <sheetView zoomScale="75" zoomScaleNormal="75" workbookViewId="0" topLeftCell="E1">
      <selection activeCell="J5" sqref="J5"/>
    </sheetView>
  </sheetViews>
  <sheetFormatPr defaultColWidth="9.140625" defaultRowHeight="12.75"/>
  <cols>
    <col min="1" max="3" width="9.140625" style="64" customWidth="1"/>
    <col min="4" max="4" width="58.7109375" style="64" customWidth="1"/>
    <col min="5" max="5" width="15.421875" style="64" bestFit="1" customWidth="1"/>
    <col min="6" max="7" width="13.57421875" style="64" customWidth="1"/>
    <col min="8" max="9" width="15.421875" style="64" bestFit="1" customWidth="1"/>
    <col min="10" max="10" width="22.7109375" style="64" bestFit="1" customWidth="1"/>
    <col min="11" max="16384" width="9.140625" style="64" customWidth="1"/>
  </cols>
  <sheetData>
    <row r="1" spans="8:10" ht="15.75">
      <c r="H1" s="13"/>
      <c r="J1" s="171" t="s">
        <v>460</v>
      </c>
    </row>
    <row r="2" spans="1:10" ht="15.75">
      <c r="A2" s="69" t="s">
        <v>51</v>
      </c>
      <c r="J2" s="171" t="s">
        <v>426</v>
      </c>
    </row>
    <row r="3" spans="1:10" ht="15.75">
      <c r="A3" s="69" t="s">
        <v>26</v>
      </c>
      <c r="J3" s="171" t="s">
        <v>122</v>
      </c>
    </row>
    <row r="4" spans="1:10" ht="16.5" thickBot="1">
      <c r="A4" s="69" t="s">
        <v>425</v>
      </c>
      <c r="J4" s="173">
        <v>38313</v>
      </c>
    </row>
    <row r="5" spans="1:10" ht="21" thickBot="1">
      <c r="A5" s="69" t="s">
        <v>25</v>
      </c>
      <c r="G5" s="227"/>
      <c r="H5" s="246"/>
      <c r="I5" s="247"/>
      <c r="J5" s="335" t="s">
        <v>477</v>
      </c>
    </row>
    <row r="6" spans="1:10" ht="18" customHeight="1" thickBot="1">
      <c r="A6" s="97"/>
      <c r="G6" s="227"/>
      <c r="H6" s="336"/>
      <c r="I6" s="265"/>
      <c r="J6" s="266" t="s">
        <v>475</v>
      </c>
    </row>
    <row r="7" spans="1:10" ht="18" customHeight="1">
      <c r="A7" s="64" t="s">
        <v>3</v>
      </c>
      <c r="B7" s="69"/>
      <c r="J7" s="171" t="s">
        <v>453</v>
      </c>
    </row>
    <row r="8" spans="1:9" ht="15">
      <c r="A8" s="326" t="s">
        <v>424</v>
      </c>
      <c r="B8" s="327"/>
      <c r="C8" s="327"/>
      <c r="D8" s="327"/>
      <c r="E8" s="327"/>
      <c r="F8" s="327"/>
      <c r="G8" s="327"/>
      <c r="H8" s="327"/>
      <c r="I8" s="327"/>
    </row>
    <row r="9" spans="1:9" ht="16.5" customHeight="1">
      <c r="A9" s="327"/>
      <c r="B9" s="327"/>
      <c r="C9" s="327"/>
      <c r="D9" s="327"/>
      <c r="E9" s="327"/>
      <c r="F9" s="327"/>
      <c r="G9" s="327"/>
      <c r="H9" s="327"/>
      <c r="I9" s="327"/>
    </row>
    <row r="10" ht="15.75" thickBot="1">
      <c r="A10" s="97"/>
    </row>
    <row r="11" spans="1:9" ht="15">
      <c r="A11" s="10"/>
      <c r="B11" s="3"/>
      <c r="C11" s="6"/>
      <c r="D11" s="6"/>
      <c r="E11" s="10"/>
      <c r="F11" s="10"/>
      <c r="G11" s="10"/>
      <c r="H11" s="10"/>
      <c r="I11" s="10"/>
    </row>
    <row r="12" spans="1:9" ht="15">
      <c r="A12" s="11" t="s">
        <v>0</v>
      </c>
      <c r="B12" s="4"/>
      <c r="C12" s="99"/>
      <c r="D12" s="7" t="s">
        <v>2</v>
      </c>
      <c r="E12" s="11" t="s">
        <v>35</v>
      </c>
      <c r="F12" s="11" t="s">
        <v>7</v>
      </c>
      <c r="G12" s="11" t="s">
        <v>9</v>
      </c>
      <c r="H12" s="11" t="s">
        <v>5</v>
      </c>
      <c r="I12" s="11" t="s">
        <v>9</v>
      </c>
    </row>
    <row r="13" spans="1:9" ht="15">
      <c r="A13" s="11" t="s">
        <v>1</v>
      </c>
      <c r="B13" s="4"/>
      <c r="C13" s="7"/>
      <c r="D13" s="7"/>
      <c r="E13" s="11" t="s">
        <v>4</v>
      </c>
      <c r="F13" s="11" t="s">
        <v>8</v>
      </c>
      <c r="G13" s="11" t="s">
        <v>8</v>
      </c>
      <c r="H13" s="11" t="s">
        <v>6</v>
      </c>
      <c r="I13" s="11" t="s">
        <v>5</v>
      </c>
    </row>
    <row r="14" spans="1:9" ht="15.75" thickBot="1">
      <c r="A14" s="12"/>
      <c r="B14" s="5"/>
      <c r="C14" s="9"/>
      <c r="D14" s="9"/>
      <c r="E14" s="12" t="s">
        <v>3</v>
      </c>
      <c r="F14" s="12"/>
      <c r="G14" s="12"/>
      <c r="H14" s="12" t="s">
        <v>3</v>
      </c>
      <c r="I14" s="12" t="s">
        <v>6</v>
      </c>
    </row>
    <row r="15" ht="15">
      <c r="A15" s="67"/>
    </row>
    <row r="16" spans="1:9" ht="15">
      <c r="A16" s="67">
        <v>1</v>
      </c>
      <c r="B16" s="64" t="s">
        <v>54</v>
      </c>
      <c r="E16" s="64" t="s">
        <v>27</v>
      </c>
      <c r="F16" s="18">
        <v>0.05109314</v>
      </c>
      <c r="G16" s="37">
        <v>0.755366</v>
      </c>
      <c r="H16" s="93">
        <f>('Staff 17.2 '!R59+'Staff 17.2 '!U59)/1000</f>
        <v>-5853.770740416575</v>
      </c>
      <c r="I16" s="161">
        <f>H16*(1-F16)*G16</f>
        <v>-4195.818839454424</v>
      </c>
    </row>
    <row r="17" spans="7:9" ht="15">
      <c r="G17" s="25"/>
      <c r="H17" s="162"/>
      <c r="I17" s="162"/>
    </row>
    <row r="18" spans="1:9" ht="15">
      <c r="A18" s="67">
        <v>2</v>
      </c>
      <c r="B18" s="64" t="s">
        <v>38</v>
      </c>
      <c r="E18" s="64" t="s">
        <v>53</v>
      </c>
      <c r="F18" s="18">
        <v>0.03791622</v>
      </c>
      <c r="G18" s="37">
        <v>0.75722801</v>
      </c>
      <c r="H18" s="93">
        <f>(-'Staff 17.2 '!R107-'Staff 17.2 '!T107)/1000+(H22/2)</f>
        <v>41448.119574962126</v>
      </c>
      <c r="I18" s="161">
        <f>H18*(1-F18)*G18</f>
        <v>30195.650866066742</v>
      </c>
    </row>
    <row r="19" spans="7:9" ht="15">
      <c r="G19" s="25"/>
      <c r="H19" s="162"/>
      <c r="I19" s="162"/>
    </row>
    <row r="20" spans="1:9" ht="15">
      <c r="A20" s="67">
        <v>3</v>
      </c>
      <c r="B20" s="101" t="s">
        <v>409</v>
      </c>
      <c r="E20" s="64" t="s">
        <v>45</v>
      </c>
      <c r="G20" s="25"/>
      <c r="H20" s="162"/>
      <c r="I20" s="93">
        <f>-I18*0.35</f>
        <v>-10568.47780312336</v>
      </c>
    </row>
    <row r="21" spans="7:9" ht="15">
      <c r="G21" s="25"/>
      <c r="H21" s="162"/>
      <c r="I21" s="162"/>
    </row>
    <row r="22" spans="1:9" ht="15">
      <c r="A22" s="67">
        <v>4</v>
      </c>
      <c r="B22" s="64" t="s">
        <v>55</v>
      </c>
      <c r="E22" s="100" t="s">
        <v>15</v>
      </c>
      <c r="F22" s="18">
        <v>0.02545418</v>
      </c>
      <c r="G22" s="37">
        <v>0.74943456</v>
      </c>
      <c r="H22" s="93">
        <f>64515.417</f>
        <v>64515.417</v>
      </c>
      <c r="I22" s="161">
        <f>H22*(1-F22)*G22</f>
        <v>47119.37143302998</v>
      </c>
    </row>
    <row r="23" spans="1:8" ht="15">
      <c r="A23" s="67"/>
      <c r="E23" s="15"/>
      <c r="F23" s="15"/>
      <c r="G23" s="15"/>
      <c r="H23" s="16"/>
    </row>
    <row r="25" ht="15.75">
      <c r="B25" s="69" t="s">
        <v>428</v>
      </c>
    </row>
    <row r="26" ht="15.75">
      <c r="D26" s="69" t="s">
        <v>427</v>
      </c>
    </row>
    <row r="28" spans="2:4" ht="15.75">
      <c r="B28" s="69" t="s">
        <v>372</v>
      </c>
      <c r="D28" s="69"/>
    </row>
    <row r="29" spans="1:10" ht="15">
      <c r="A29" s="67">
        <v>5</v>
      </c>
      <c r="C29" s="101" t="s">
        <v>373</v>
      </c>
      <c r="E29" s="163">
        <f>'Staff P17.1 '!H36/1000</f>
        <v>159901.8609888593</v>
      </c>
      <c r="F29" s="101" t="s">
        <v>374</v>
      </c>
      <c r="I29" s="163"/>
      <c r="J29" s="163"/>
    </row>
    <row r="30" spans="1:10" ht="15">
      <c r="A30" s="67"/>
      <c r="E30" s="163"/>
      <c r="I30" s="163"/>
      <c r="J30" s="163"/>
    </row>
    <row r="31" spans="1:10" ht="15">
      <c r="A31" s="67">
        <v>6</v>
      </c>
      <c r="C31" s="101" t="s">
        <v>375</v>
      </c>
      <c r="E31" s="164">
        <f>'Staff P17.1 '!G36/1000</f>
        <v>162186.23417229427</v>
      </c>
      <c r="F31" s="101" t="s">
        <v>374</v>
      </c>
      <c r="I31" s="163"/>
      <c r="J31" s="163"/>
    </row>
    <row r="32" spans="1:10" ht="15">
      <c r="A32" s="67"/>
      <c r="E32" s="163"/>
      <c r="I32" s="163"/>
      <c r="J32" s="163"/>
    </row>
    <row r="33" spans="1:10" ht="15.75">
      <c r="A33" s="67">
        <v>7</v>
      </c>
      <c r="C33" s="101" t="s">
        <v>376</v>
      </c>
      <c r="E33" s="163">
        <f>E29-E31</f>
        <v>-2284.3731834349746</v>
      </c>
      <c r="F33" s="101" t="s">
        <v>377</v>
      </c>
      <c r="H33" s="165">
        <f>E33</f>
        <v>-2284.3731834349746</v>
      </c>
      <c r="I33" s="165">
        <f>H33*(1-F22)*G22</f>
        <v>-1668.4109555073587</v>
      </c>
      <c r="J33" s="163"/>
    </row>
    <row r="34" spans="1:10" ht="15.75">
      <c r="A34" s="67"/>
      <c r="E34" s="163"/>
      <c r="H34" s="165"/>
      <c r="I34" s="165"/>
      <c r="J34" s="163"/>
    </row>
    <row r="35" spans="1:10" ht="15.75">
      <c r="A35" s="67"/>
      <c r="C35" s="101" t="s">
        <v>383</v>
      </c>
      <c r="E35" s="163"/>
      <c r="F35" s="101" t="s">
        <v>384</v>
      </c>
      <c r="H35" s="165"/>
      <c r="I35" s="165">
        <f>I33-I22</f>
        <v>-48787.78238853734</v>
      </c>
      <c r="J35" s="163"/>
    </row>
    <row r="36" spans="1:10" ht="15.75">
      <c r="A36" s="67"/>
      <c r="E36" s="163"/>
      <c r="H36" s="165"/>
      <c r="I36" s="165"/>
      <c r="J36" s="163"/>
    </row>
    <row r="37" spans="1:10" ht="15.75">
      <c r="A37" s="67"/>
      <c r="B37" s="69" t="s">
        <v>378</v>
      </c>
      <c r="E37" s="163"/>
      <c r="H37" s="165"/>
      <c r="I37" s="165"/>
      <c r="J37" s="163"/>
    </row>
    <row r="38" spans="1:10" ht="15.75">
      <c r="A38" s="67">
        <v>8</v>
      </c>
      <c r="C38" s="101" t="s">
        <v>379</v>
      </c>
      <c r="E38" s="163">
        <f>E33*0.5</f>
        <v>-1142.1865917174873</v>
      </c>
      <c r="F38" s="101" t="s">
        <v>380</v>
      </c>
      <c r="H38" s="225">
        <f>E38</f>
        <v>-1142.1865917174873</v>
      </c>
      <c r="I38" s="225">
        <f>H38*(1-F18)*G18</f>
        <v>-832.1021050189701</v>
      </c>
      <c r="J38" s="163"/>
    </row>
    <row r="39" spans="1:10" ht="15.75">
      <c r="A39" s="67"/>
      <c r="G39" s="163"/>
      <c r="H39" s="165"/>
      <c r="I39" s="165"/>
      <c r="J39" s="163"/>
    </row>
    <row r="40" spans="8:10" ht="15.75">
      <c r="H40" s="165"/>
      <c r="I40" s="165"/>
      <c r="J40" s="163"/>
    </row>
    <row r="41" spans="1:10" ht="15.75">
      <c r="A41" s="67">
        <v>9</v>
      </c>
      <c r="C41" s="101" t="s">
        <v>394</v>
      </c>
      <c r="E41" s="163">
        <f>-'Staff 17.2 '!R107/1000</f>
        <v>-19608.79542503788</v>
      </c>
      <c r="F41" s="166" t="s">
        <v>381</v>
      </c>
      <c r="G41" s="163"/>
      <c r="H41" s="165"/>
      <c r="I41" s="165"/>
      <c r="J41" s="163"/>
    </row>
    <row r="42" spans="1:10" ht="15.75">
      <c r="A42" s="67">
        <v>10</v>
      </c>
      <c r="C42" s="101" t="s">
        <v>415</v>
      </c>
      <c r="E42" s="164">
        <f>-'Staff 17.2 '!T107/1000*-1</f>
        <v>-28799.2065</v>
      </c>
      <c r="F42" s="166" t="s">
        <v>417</v>
      </c>
      <c r="G42" s="163"/>
      <c r="H42" s="165"/>
      <c r="I42" s="165"/>
      <c r="J42" s="163"/>
    </row>
    <row r="43" spans="1:10" ht="15.75">
      <c r="A43" s="67"/>
      <c r="C43" s="101" t="s">
        <v>416</v>
      </c>
      <c r="E43" s="163"/>
      <c r="F43" s="163"/>
      <c r="G43" s="163"/>
      <c r="H43" s="165"/>
      <c r="I43" s="165"/>
      <c r="J43" s="163"/>
    </row>
    <row r="44" spans="1:10" ht="15.75">
      <c r="A44" s="67">
        <v>11</v>
      </c>
      <c r="C44" s="101" t="s">
        <v>420</v>
      </c>
      <c r="E44" s="163">
        <f>SUM(E40:E42)</f>
        <v>-48408.00192503788</v>
      </c>
      <c r="F44" s="166" t="s">
        <v>421</v>
      </c>
      <c r="G44" s="163"/>
      <c r="H44" s="229">
        <f>E44</f>
        <v>-48408.00192503788</v>
      </c>
      <c r="I44" s="229">
        <f>H44*(1-F18)*G18</f>
        <v>-35266.041987953475</v>
      </c>
      <c r="J44" s="163"/>
    </row>
    <row r="45" spans="1:10" ht="15.75">
      <c r="A45" s="67"/>
      <c r="E45" s="163"/>
      <c r="F45" s="163"/>
      <c r="G45" s="163"/>
      <c r="H45" s="229"/>
      <c r="I45" s="229"/>
      <c r="J45" s="163"/>
    </row>
    <row r="46" spans="1:10" ht="15.75">
      <c r="A46" s="67"/>
      <c r="C46" s="101" t="s">
        <v>383</v>
      </c>
      <c r="E46" s="163"/>
      <c r="F46" s="101" t="s">
        <v>422</v>
      </c>
      <c r="G46" s="163"/>
      <c r="H46" s="229"/>
      <c r="I46" s="229">
        <f>I44-I18</f>
        <v>-65461.69285402022</v>
      </c>
      <c r="J46" s="163"/>
    </row>
    <row r="47" spans="1:10" ht="15.75">
      <c r="A47" s="67"/>
      <c r="C47" s="101"/>
      <c r="E47" s="163"/>
      <c r="F47" s="101"/>
      <c r="G47" s="163"/>
      <c r="H47" s="229"/>
      <c r="I47" s="229"/>
      <c r="J47" s="163"/>
    </row>
    <row r="48" spans="1:10" ht="15.75">
      <c r="A48" s="67"/>
      <c r="C48" s="101"/>
      <c r="E48" s="163"/>
      <c r="F48" s="101"/>
      <c r="G48" s="163"/>
      <c r="H48" s="229"/>
      <c r="I48" s="229"/>
      <c r="J48" s="163"/>
    </row>
    <row r="49" spans="1:10" ht="15.75">
      <c r="A49" s="67"/>
      <c r="B49" s="69" t="s">
        <v>382</v>
      </c>
      <c r="E49" s="163"/>
      <c r="F49" s="163"/>
      <c r="G49" s="163"/>
      <c r="H49" s="229"/>
      <c r="I49" s="229"/>
      <c r="J49" s="163"/>
    </row>
    <row r="50" spans="1:10" ht="15.75">
      <c r="A50" s="67"/>
      <c r="E50" s="163"/>
      <c r="F50" s="167"/>
      <c r="G50" s="163"/>
      <c r="H50" s="230"/>
      <c r="I50" s="230"/>
      <c r="J50" s="163"/>
    </row>
    <row r="51" spans="1:10" ht="15.75">
      <c r="A51" s="67">
        <v>12</v>
      </c>
      <c r="C51" s="101" t="s">
        <v>423</v>
      </c>
      <c r="E51" s="163">
        <f>E44*0.11*-1</f>
        <v>5324.880211754167</v>
      </c>
      <c r="F51" s="163" t="s">
        <v>478</v>
      </c>
      <c r="G51" s="163"/>
      <c r="H51" s="230">
        <f>E51</f>
        <v>5324.880211754167</v>
      </c>
      <c r="I51" s="230">
        <f>I44*0.11*-1</f>
        <v>3879.264618674882</v>
      </c>
      <c r="J51" s="163"/>
    </row>
    <row r="52" spans="1:10" ht="16.5" thickBot="1">
      <c r="A52" s="67"/>
      <c r="E52" s="163"/>
      <c r="F52" s="163"/>
      <c r="G52" s="163"/>
      <c r="H52" s="229"/>
      <c r="I52" s="229"/>
      <c r="J52" s="163"/>
    </row>
    <row r="53" spans="1:10" ht="16.5" thickBot="1">
      <c r="A53" s="301">
        <v>13</v>
      </c>
      <c r="B53" s="302"/>
      <c r="C53" s="302" t="s">
        <v>473</v>
      </c>
      <c r="D53" s="302"/>
      <c r="E53" s="303">
        <f>E38*0.11*-1</f>
        <v>125.64052508892361</v>
      </c>
      <c r="F53" s="237" t="s">
        <v>479</v>
      </c>
      <c r="G53" s="237"/>
      <c r="H53" s="238">
        <f>E53</f>
        <v>125.64052508892361</v>
      </c>
      <c r="I53" s="239">
        <f>I38*0.11*-1</f>
        <v>91.53123155208671</v>
      </c>
      <c r="J53" s="163"/>
    </row>
    <row r="54" spans="8:9" ht="15.75" thickBot="1">
      <c r="H54" s="227"/>
      <c r="I54" s="227"/>
    </row>
    <row r="55" spans="3:9" ht="16.5" thickBot="1">
      <c r="C55" s="101" t="s">
        <v>383</v>
      </c>
      <c r="E55" s="163"/>
      <c r="F55" s="240" t="s">
        <v>474</v>
      </c>
      <c r="G55" s="239"/>
      <c r="H55" s="228"/>
      <c r="I55" s="236">
        <f>I51+I53-I20</f>
        <v>14539.273653350328</v>
      </c>
    </row>
    <row r="56" spans="8:9" ht="15">
      <c r="H56" s="227"/>
      <c r="I56" s="227"/>
    </row>
  </sheetData>
  <mergeCells count="1">
    <mergeCell ref="A8:I9"/>
  </mergeCells>
  <printOptions/>
  <pageMargins left="0.75" right="0.75" top="1" bottom="1" header="0.5" footer="0.5"/>
  <pageSetup fitToHeight="1"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M72"/>
  <sheetViews>
    <sheetView workbookViewId="0" topLeftCell="H1">
      <selection activeCell="E14" sqref="E14"/>
    </sheetView>
  </sheetViews>
  <sheetFormatPr defaultColWidth="9.140625" defaultRowHeight="12.75"/>
  <cols>
    <col min="1" max="1" width="9.140625" style="64" customWidth="1"/>
    <col min="2" max="2" width="8.421875" style="47" customWidth="1"/>
    <col min="3" max="3" width="29.7109375" style="47" customWidth="1"/>
    <col min="4" max="4" width="17.7109375" style="47" customWidth="1"/>
    <col min="5" max="5" width="14.7109375" style="47" customWidth="1"/>
    <col min="6" max="6" width="11.7109375" style="47" customWidth="1"/>
    <col min="7" max="9" width="12.7109375" style="47" customWidth="1"/>
    <col min="10" max="10" width="10.00390625" style="47" bestFit="1" customWidth="1"/>
    <col min="11" max="12" width="12.7109375" style="47" customWidth="1"/>
    <col min="13" max="16384" width="15.8515625" style="64" customWidth="1"/>
  </cols>
  <sheetData>
    <row r="1" spans="1:12" ht="15.75">
      <c r="A1" s="66" t="s">
        <v>140</v>
      </c>
      <c r="C1" s="67"/>
      <c r="D1" s="67"/>
      <c r="E1" s="68"/>
      <c r="F1" s="68"/>
      <c r="H1" s="69"/>
      <c r="I1" s="69"/>
      <c r="J1" s="68"/>
      <c r="K1" s="68"/>
      <c r="L1" s="36" t="s">
        <v>459</v>
      </c>
    </row>
    <row r="2" spans="1:12" ht="15">
      <c r="A2" s="66" t="s">
        <v>142</v>
      </c>
      <c r="C2" s="67"/>
      <c r="D2" s="67"/>
      <c r="E2" s="68"/>
      <c r="F2" s="68"/>
      <c r="G2" s="68"/>
      <c r="H2" s="68"/>
      <c r="I2" s="68"/>
      <c r="J2" s="68"/>
      <c r="K2" s="68"/>
      <c r="L2" s="36" t="s">
        <v>437</v>
      </c>
    </row>
    <row r="3" spans="1:12" ht="15">
      <c r="A3" s="70" t="s">
        <v>143</v>
      </c>
      <c r="C3" s="67"/>
      <c r="D3" s="67"/>
      <c r="E3" s="68"/>
      <c r="F3" s="68"/>
      <c r="G3" s="68"/>
      <c r="H3" s="68"/>
      <c r="I3" s="68"/>
      <c r="J3" s="68"/>
      <c r="K3" s="68"/>
      <c r="L3" s="36" t="s">
        <v>84</v>
      </c>
    </row>
    <row r="4" spans="1:12" ht="15">
      <c r="A4" s="70" t="s">
        <v>144</v>
      </c>
      <c r="C4" s="67"/>
      <c r="D4" s="67"/>
      <c r="E4" s="64"/>
      <c r="F4" s="64"/>
      <c r="G4" s="64"/>
      <c r="H4" s="64"/>
      <c r="I4" s="64"/>
      <c r="J4" s="64"/>
      <c r="K4" s="325">
        <v>38313</v>
      </c>
      <c r="L4" s="325"/>
    </row>
    <row r="5" ht="15">
      <c r="K5" s="13"/>
    </row>
    <row r="6" spans="1:12" ht="15.75">
      <c r="A6" s="69" t="s">
        <v>141</v>
      </c>
      <c r="K6" s="13"/>
      <c r="L6" s="36" t="s">
        <v>453</v>
      </c>
    </row>
    <row r="7" ht="15.75" thickBot="1">
      <c r="K7" s="13"/>
    </row>
    <row r="8" spans="1:12" ht="15">
      <c r="A8" s="71" t="s">
        <v>145</v>
      </c>
      <c r="B8" s="71" t="s">
        <v>146</v>
      </c>
      <c r="C8" s="71" t="s">
        <v>147</v>
      </c>
      <c r="D8" s="71" t="s">
        <v>148</v>
      </c>
      <c r="E8" s="71" t="s">
        <v>149</v>
      </c>
      <c r="F8" s="71" t="s">
        <v>323</v>
      </c>
      <c r="G8" s="71" t="s">
        <v>199</v>
      </c>
      <c r="H8" s="71" t="s">
        <v>200</v>
      </c>
      <c r="I8" s="71" t="s">
        <v>150</v>
      </c>
      <c r="J8" s="71"/>
      <c r="K8" s="71"/>
      <c r="L8" s="71" t="s">
        <v>150</v>
      </c>
    </row>
    <row r="9" spans="1:12" ht="15">
      <c r="A9" s="72"/>
      <c r="B9" s="72"/>
      <c r="C9" s="72"/>
      <c r="E9" s="11" t="s">
        <v>366</v>
      </c>
      <c r="G9" s="11"/>
      <c r="H9" s="11"/>
      <c r="I9" s="11"/>
      <c r="J9" s="11"/>
      <c r="K9" s="11"/>
      <c r="L9" s="11"/>
    </row>
    <row r="10" spans="1:12" ht="15">
      <c r="A10" s="72"/>
      <c r="B10" s="72"/>
      <c r="C10" s="72"/>
      <c r="D10" s="11" t="s">
        <v>70</v>
      </c>
      <c r="E10" s="11" t="s">
        <v>367</v>
      </c>
      <c r="F10" s="11" t="s">
        <v>151</v>
      </c>
      <c r="G10" s="11" t="s">
        <v>70</v>
      </c>
      <c r="H10" s="11" t="s">
        <v>366</v>
      </c>
      <c r="I10" s="11"/>
      <c r="J10" s="11"/>
      <c r="K10" s="11"/>
      <c r="L10" s="11"/>
    </row>
    <row r="11" spans="1:12" ht="15">
      <c r="A11" s="11" t="s">
        <v>153</v>
      </c>
      <c r="B11" s="11" t="s">
        <v>154</v>
      </c>
      <c r="C11" s="11" t="s">
        <v>2</v>
      </c>
      <c r="D11" s="11" t="s">
        <v>367</v>
      </c>
      <c r="E11" s="11" t="s">
        <v>155</v>
      </c>
      <c r="F11" s="11" t="s">
        <v>152</v>
      </c>
      <c r="G11" s="11" t="s">
        <v>61</v>
      </c>
      <c r="H11" s="11" t="s">
        <v>61</v>
      </c>
      <c r="I11" s="11" t="s">
        <v>74</v>
      </c>
      <c r="J11" s="11"/>
      <c r="K11" s="11"/>
      <c r="L11" s="11" t="s">
        <v>157</v>
      </c>
    </row>
    <row r="12" spans="1:12" ht="15.75" thickBot="1">
      <c r="A12" s="73"/>
      <c r="B12" s="73"/>
      <c r="C12" s="73"/>
      <c r="D12" s="12" t="s">
        <v>368</v>
      </c>
      <c r="E12" s="12" t="s">
        <v>127</v>
      </c>
      <c r="F12" s="12" t="s">
        <v>156</v>
      </c>
      <c r="G12" s="12" t="s">
        <v>369</v>
      </c>
      <c r="H12" s="12" t="s">
        <v>370</v>
      </c>
      <c r="I12" s="12" t="s">
        <v>371</v>
      </c>
      <c r="J12" s="12"/>
      <c r="K12" s="12"/>
      <c r="L12" s="12" t="s">
        <v>158</v>
      </c>
    </row>
    <row r="14" spans="1:13" ht="15">
      <c r="A14" s="67">
        <v>1</v>
      </c>
      <c r="B14" s="41" t="s">
        <v>159</v>
      </c>
      <c r="C14" s="47" t="s">
        <v>160</v>
      </c>
      <c r="D14" s="138">
        <v>8207265.09375</v>
      </c>
      <c r="E14" s="74">
        <f>'Staff 17.2 '!V11</f>
        <v>8207265.09375</v>
      </c>
      <c r="F14" s="155">
        <v>0</v>
      </c>
      <c r="G14" s="74">
        <f aca="true" t="shared" si="0" ref="G14:G35">D14*F14</f>
        <v>0</v>
      </c>
      <c r="H14" s="74">
        <f aca="true" t="shared" si="1" ref="H14:H35">E14*F14</f>
        <v>0</v>
      </c>
      <c r="I14" s="74">
        <f aca="true" t="shared" si="2" ref="I14:I35">H14-G14</f>
        <v>0</v>
      </c>
      <c r="J14" s="155"/>
      <c r="K14" s="74"/>
      <c r="L14" s="75">
        <f aca="true" t="shared" si="3" ref="L14:L35">K14-G14</f>
        <v>0</v>
      </c>
      <c r="M14" s="156"/>
    </row>
    <row r="15" spans="1:13" ht="15">
      <c r="A15" s="67">
        <v>2</v>
      </c>
      <c r="B15" s="47" t="s">
        <v>161</v>
      </c>
      <c r="C15" s="47" t="s">
        <v>162</v>
      </c>
      <c r="D15" s="138">
        <f>12144318.82</f>
        <v>12144318.82</v>
      </c>
      <c r="E15" s="74">
        <f>'Staff 17.2 '!V13</f>
        <v>11992510.82</v>
      </c>
      <c r="F15" s="155">
        <v>0.046</v>
      </c>
      <c r="G15" s="74">
        <f t="shared" si="0"/>
        <v>558638.66572</v>
      </c>
      <c r="H15" s="74">
        <f t="shared" si="1"/>
        <v>551655.49772</v>
      </c>
      <c r="I15" s="74">
        <f t="shared" si="2"/>
        <v>-6983.168000000063</v>
      </c>
      <c r="J15" s="155"/>
      <c r="K15" s="74"/>
      <c r="L15" s="76">
        <f t="shared" si="3"/>
        <v>-558638.66572</v>
      </c>
      <c r="M15" s="156"/>
    </row>
    <row r="16" spans="1:13" ht="15">
      <c r="A16" s="67">
        <v>3</v>
      </c>
      <c r="B16" s="40">
        <v>2116</v>
      </c>
      <c r="C16" s="47" t="s">
        <v>163</v>
      </c>
      <c r="D16" s="138">
        <f>636498.542+22313416</f>
        <v>22949914.542</v>
      </c>
      <c r="E16" s="74">
        <f>'Staff 17.2 '!V15+'Staff 17.2 '!V17</f>
        <v>23157131.290416665</v>
      </c>
      <c r="F16" s="155">
        <v>0.1</v>
      </c>
      <c r="G16" s="74">
        <f t="shared" si="0"/>
        <v>2294991.4542</v>
      </c>
      <c r="H16" s="74">
        <f t="shared" si="1"/>
        <v>2315713.1290416666</v>
      </c>
      <c r="I16" s="74">
        <f t="shared" si="2"/>
        <v>20721.674841666594</v>
      </c>
      <c r="J16" s="155"/>
      <c r="K16" s="74"/>
      <c r="L16" s="76">
        <f t="shared" si="3"/>
        <v>-2294991.4542</v>
      </c>
      <c r="M16" s="156"/>
    </row>
    <row r="17" spans="1:13" ht="15">
      <c r="A17" s="67">
        <v>4</v>
      </c>
      <c r="B17" s="47" t="s">
        <v>164</v>
      </c>
      <c r="C17" s="47" t="s">
        <v>165</v>
      </c>
      <c r="D17" s="138">
        <v>180327019.44958332</v>
      </c>
      <c r="E17" s="74">
        <f>'Staff 17.2 '!V19</f>
        <v>181374104.44958332</v>
      </c>
      <c r="F17" s="155">
        <v>0.027</v>
      </c>
      <c r="G17" s="74">
        <f t="shared" si="0"/>
        <v>4868829.52513875</v>
      </c>
      <c r="H17" s="74">
        <f t="shared" si="1"/>
        <v>4897100.82013875</v>
      </c>
      <c r="I17" s="74">
        <f t="shared" si="2"/>
        <v>28271.294999999925</v>
      </c>
      <c r="J17" s="155"/>
      <c r="K17" s="74"/>
      <c r="L17" s="76">
        <f t="shared" si="3"/>
        <v>-4868829.52513875</v>
      </c>
      <c r="M17" s="156"/>
    </row>
    <row r="18" spans="1:13" ht="15">
      <c r="A18" s="67">
        <v>5</v>
      </c>
      <c r="B18" s="47" t="s">
        <v>166</v>
      </c>
      <c r="C18" s="47" t="s">
        <v>167</v>
      </c>
      <c r="D18" s="138">
        <v>6406340.575</v>
      </c>
      <c r="E18" s="74">
        <f>'Staff 17.2 '!V21</f>
        <v>6266258.075</v>
      </c>
      <c r="F18" s="155">
        <v>0.099</v>
      </c>
      <c r="G18" s="74">
        <f t="shared" si="0"/>
        <v>634227.7169250001</v>
      </c>
      <c r="H18" s="74">
        <f t="shared" si="1"/>
        <v>620359.5494250001</v>
      </c>
      <c r="I18" s="74">
        <f t="shared" si="2"/>
        <v>-13868.167499999981</v>
      </c>
      <c r="J18" s="155"/>
      <c r="K18" s="74"/>
      <c r="L18" s="76">
        <f t="shared" si="3"/>
        <v>-634227.7169250001</v>
      </c>
      <c r="M18" s="156"/>
    </row>
    <row r="19" spans="1:13" ht="15">
      <c r="A19" s="67">
        <v>6</v>
      </c>
      <c r="B19" s="40">
        <v>2123</v>
      </c>
      <c r="C19" s="47" t="s">
        <v>168</v>
      </c>
      <c r="D19" s="138">
        <v>13274773.534166666</v>
      </c>
      <c r="E19" s="74">
        <f>'Staff 17.2 '!V23</f>
        <v>12404838.034166666</v>
      </c>
      <c r="F19" s="155">
        <v>0.1</v>
      </c>
      <c r="G19" s="74">
        <f t="shared" si="0"/>
        <v>1327477.3534166666</v>
      </c>
      <c r="H19" s="74">
        <f t="shared" si="1"/>
        <v>1240483.8034166666</v>
      </c>
      <c r="I19" s="74">
        <f t="shared" si="2"/>
        <v>-86993.55000000005</v>
      </c>
      <c r="J19" s="155"/>
      <c r="K19" s="74"/>
      <c r="L19" s="76">
        <f t="shared" si="3"/>
        <v>-1327477.3534166666</v>
      </c>
      <c r="M19" s="156"/>
    </row>
    <row r="20" spans="1:13" ht="15">
      <c r="A20" s="67">
        <v>7</v>
      </c>
      <c r="B20" s="47" t="s">
        <v>169</v>
      </c>
      <c r="C20" s="47" t="s">
        <v>170</v>
      </c>
      <c r="D20" s="138">
        <v>36286504.157083325</v>
      </c>
      <c r="E20" s="74">
        <f>'Staff 17.2 '!V25</f>
        <v>21522081.2825</v>
      </c>
      <c r="F20" s="155">
        <v>0.065</v>
      </c>
      <c r="G20" s="74">
        <f t="shared" si="0"/>
        <v>2358622.770210416</v>
      </c>
      <c r="H20" s="74">
        <f t="shared" si="1"/>
        <v>1398935.2833625</v>
      </c>
      <c r="I20" s="74">
        <f t="shared" si="2"/>
        <v>-959687.4868479162</v>
      </c>
      <c r="J20" s="155"/>
      <c r="K20" s="74"/>
      <c r="L20" s="76">
        <f t="shared" si="3"/>
        <v>-2358622.770210416</v>
      </c>
      <c r="M20" s="156"/>
    </row>
    <row r="21" spans="1:13" ht="15">
      <c r="A21" s="67">
        <v>8</v>
      </c>
      <c r="B21" s="47" t="s">
        <v>171</v>
      </c>
      <c r="C21" s="47" t="s">
        <v>172</v>
      </c>
      <c r="D21" s="138">
        <v>496663944.1366666</v>
      </c>
      <c r="E21" s="74">
        <f>'Staff 17.2 '!V27</f>
        <v>499940838.425</v>
      </c>
      <c r="F21" s="155">
        <v>0.075</v>
      </c>
      <c r="G21" s="74">
        <f t="shared" si="0"/>
        <v>37249795.81024999</v>
      </c>
      <c r="H21" s="74">
        <f t="shared" si="1"/>
        <v>37495562.881875</v>
      </c>
      <c r="I21" s="74">
        <f t="shared" si="2"/>
        <v>245767.07162500918</v>
      </c>
      <c r="J21" s="155"/>
      <c r="K21" s="74"/>
      <c r="L21" s="76">
        <f t="shared" si="3"/>
        <v>-37249795.81024999</v>
      </c>
      <c r="M21" s="156"/>
    </row>
    <row r="22" spans="1:13" ht="15">
      <c r="A22" s="67">
        <v>9</v>
      </c>
      <c r="B22" s="47" t="s">
        <v>173</v>
      </c>
      <c r="C22" s="47" t="s">
        <v>174</v>
      </c>
      <c r="D22" s="138">
        <v>499848.4620833334</v>
      </c>
      <c r="E22" s="74">
        <f>'Staff 17.2 '!V29</f>
        <v>498371.4620833334</v>
      </c>
      <c r="F22" s="155">
        <v>0.072</v>
      </c>
      <c r="G22" s="74">
        <f t="shared" si="0"/>
        <v>35989.089270000004</v>
      </c>
      <c r="H22" s="74">
        <f t="shared" si="1"/>
        <v>35882.74527</v>
      </c>
      <c r="I22" s="74">
        <f t="shared" si="2"/>
        <v>-106.3440000000046</v>
      </c>
      <c r="J22" s="155"/>
      <c r="K22" s="74"/>
      <c r="L22" s="76">
        <f t="shared" si="3"/>
        <v>-35989.089270000004</v>
      </c>
      <c r="M22" s="156"/>
    </row>
    <row r="23" spans="1:13" ht="15">
      <c r="A23" s="67">
        <v>10</v>
      </c>
      <c r="B23" s="47" t="s">
        <v>175</v>
      </c>
      <c r="C23" s="47" t="s">
        <v>176</v>
      </c>
      <c r="D23" s="138">
        <v>8997168.383750001</v>
      </c>
      <c r="E23" s="74">
        <f>'Staff 17.2 '!V31</f>
        <v>8881157.883750001</v>
      </c>
      <c r="F23" s="155">
        <v>0.139</v>
      </c>
      <c r="G23" s="74">
        <f t="shared" si="0"/>
        <v>1250606.4053412504</v>
      </c>
      <c r="H23" s="74">
        <f t="shared" si="1"/>
        <v>1234480.9458412502</v>
      </c>
      <c r="I23" s="74">
        <f t="shared" si="2"/>
        <v>-16125.459500000114</v>
      </c>
      <c r="J23" s="155"/>
      <c r="K23" s="74"/>
      <c r="L23" s="76">
        <f t="shared" si="3"/>
        <v>-1250606.4053412504</v>
      </c>
      <c r="M23" s="156"/>
    </row>
    <row r="24" spans="1:13" ht="15">
      <c r="A24" s="67">
        <v>11</v>
      </c>
      <c r="B24" s="47" t="s">
        <v>177</v>
      </c>
      <c r="C24" s="47" t="s">
        <v>178</v>
      </c>
      <c r="D24" s="138">
        <v>515173917.9541666</v>
      </c>
      <c r="E24" s="74">
        <f>'Staff 17.2 '!V33</f>
        <v>518306648.4541666</v>
      </c>
      <c r="F24" s="155">
        <v>0.103</v>
      </c>
      <c r="G24" s="74">
        <f t="shared" si="0"/>
        <v>53062913.54927915</v>
      </c>
      <c r="H24" s="74">
        <f t="shared" si="1"/>
        <v>53385584.79077916</v>
      </c>
      <c r="I24" s="74">
        <f t="shared" si="2"/>
        <v>322671.2415000051</v>
      </c>
      <c r="J24" s="155"/>
      <c r="K24" s="74"/>
      <c r="L24" s="76">
        <f t="shared" si="3"/>
        <v>-53062913.54927915</v>
      </c>
      <c r="M24" s="156"/>
    </row>
    <row r="25" spans="1:13" ht="15">
      <c r="A25" s="67">
        <v>12</v>
      </c>
      <c r="B25" s="47" t="s">
        <v>179</v>
      </c>
      <c r="C25" s="47" t="s">
        <v>180</v>
      </c>
      <c r="D25" s="138">
        <v>23294494.920416664</v>
      </c>
      <c r="E25" s="74">
        <f>'Staff 17.2 '!V35</f>
        <v>14635178.5425</v>
      </c>
      <c r="F25" s="155">
        <v>0.123</v>
      </c>
      <c r="G25" s="74">
        <f t="shared" si="0"/>
        <v>2865222.8752112496</v>
      </c>
      <c r="H25" s="74">
        <f t="shared" si="1"/>
        <v>1800126.9607275</v>
      </c>
      <c r="I25" s="74">
        <f t="shared" si="2"/>
        <v>-1065095.9144837495</v>
      </c>
      <c r="J25" s="155"/>
      <c r="K25" s="74"/>
      <c r="L25" s="76">
        <f t="shared" si="3"/>
        <v>-2865222.8752112496</v>
      </c>
      <c r="M25" s="156"/>
    </row>
    <row r="26" spans="1:13" ht="15">
      <c r="A26" s="67">
        <v>13</v>
      </c>
      <c r="B26" s="47" t="s">
        <v>181</v>
      </c>
      <c r="C26" s="47" t="s">
        <v>182</v>
      </c>
      <c r="D26" s="138">
        <v>45172601.65083333</v>
      </c>
      <c r="E26" s="74">
        <f>'Staff 17.2 '!V37</f>
        <v>46032808.15083333</v>
      </c>
      <c r="F26" s="155">
        <v>0.07</v>
      </c>
      <c r="G26" s="74">
        <f t="shared" si="0"/>
        <v>3162082.1155583337</v>
      </c>
      <c r="H26" s="74">
        <f t="shared" si="1"/>
        <v>3222296.5705583333</v>
      </c>
      <c r="I26" s="74">
        <f t="shared" si="2"/>
        <v>60214.45499999961</v>
      </c>
      <c r="J26" s="155"/>
      <c r="K26" s="74"/>
      <c r="L26" s="76">
        <f t="shared" si="3"/>
        <v>-3162082.1155583337</v>
      </c>
      <c r="M26" s="156"/>
    </row>
    <row r="27" spans="1:13" ht="15">
      <c r="A27" s="67">
        <v>14</v>
      </c>
      <c r="B27" s="40">
        <v>2421</v>
      </c>
      <c r="C27" s="47" t="s">
        <v>183</v>
      </c>
      <c r="D27" s="138">
        <v>220852773.33375</v>
      </c>
      <c r="E27" s="74">
        <f>'Staff 17.2 '!V39</f>
        <v>223074881.83375</v>
      </c>
      <c r="F27" s="155">
        <v>0.05</v>
      </c>
      <c r="G27" s="74">
        <f t="shared" si="0"/>
        <v>11042638.666687502</v>
      </c>
      <c r="H27" s="74">
        <f t="shared" si="1"/>
        <v>11153744.0916875</v>
      </c>
      <c r="I27" s="74">
        <f t="shared" si="2"/>
        <v>111105.42499999888</v>
      </c>
      <c r="J27" s="155"/>
      <c r="K27" s="74"/>
      <c r="L27" s="76">
        <f t="shared" si="3"/>
        <v>-11042638.666687502</v>
      </c>
      <c r="M27" s="156"/>
    </row>
    <row r="28" spans="1:13" ht="15">
      <c r="A28" s="67">
        <v>15</v>
      </c>
      <c r="B28" s="40">
        <v>2422</v>
      </c>
      <c r="C28" s="47" t="s">
        <v>184</v>
      </c>
      <c r="D28" s="138">
        <v>291307985.30625</v>
      </c>
      <c r="E28" s="74">
        <f>'Staff 17.2 '!V41</f>
        <v>297447708.30625</v>
      </c>
      <c r="F28" s="155">
        <v>0.052</v>
      </c>
      <c r="G28" s="74">
        <f t="shared" si="0"/>
        <v>15148015.235924998</v>
      </c>
      <c r="H28" s="74">
        <f t="shared" si="1"/>
        <v>15467280.831924997</v>
      </c>
      <c r="I28" s="74">
        <f t="shared" si="2"/>
        <v>319265.595999999</v>
      </c>
      <c r="J28" s="155"/>
      <c r="K28" s="74"/>
      <c r="L28" s="76">
        <f t="shared" si="3"/>
        <v>-15148015.235924998</v>
      </c>
      <c r="M28" s="156"/>
    </row>
    <row r="29" spans="1:13" ht="15">
      <c r="A29" s="67">
        <v>16</v>
      </c>
      <c r="B29" s="40">
        <v>2423</v>
      </c>
      <c r="C29" s="47" t="s">
        <v>185</v>
      </c>
      <c r="D29" s="138">
        <v>424713973.2483333</v>
      </c>
      <c r="E29" s="74">
        <f>'Staff 17.2 '!V43</f>
        <v>428824599.2483333</v>
      </c>
      <c r="F29" s="155">
        <v>0.047</v>
      </c>
      <c r="G29" s="74">
        <f t="shared" si="0"/>
        <v>19961556.742671665</v>
      </c>
      <c r="H29" s="74">
        <f t="shared" si="1"/>
        <v>20154756.164671663</v>
      </c>
      <c r="I29" s="74">
        <f t="shared" si="2"/>
        <v>193199.4219999984</v>
      </c>
      <c r="J29" s="155"/>
      <c r="K29" s="74"/>
      <c r="L29" s="76">
        <f t="shared" si="3"/>
        <v>-19961556.742671665</v>
      </c>
      <c r="M29" s="156"/>
    </row>
    <row r="30" spans="1:13" ht="15">
      <c r="A30" s="67">
        <v>17</v>
      </c>
      <c r="B30" s="40">
        <v>2424</v>
      </c>
      <c r="C30" s="47" t="s">
        <v>186</v>
      </c>
      <c r="D30" s="138">
        <v>1379721.585</v>
      </c>
      <c r="E30" s="74">
        <f>'Staff 17.2 '!V45</f>
        <v>1380355.585</v>
      </c>
      <c r="F30" s="155">
        <v>0.041</v>
      </c>
      <c r="G30" s="74">
        <f t="shared" si="0"/>
        <v>56568.584985</v>
      </c>
      <c r="H30" s="74">
        <f t="shared" si="1"/>
        <v>56594.578985</v>
      </c>
      <c r="I30" s="74">
        <f t="shared" si="2"/>
        <v>25.993999999998778</v>
      </c>
      <c r="J30" s="155"/>
      <c r="K30" s="74"/>
      <c r="L30" s="76">
        <f t="shared" si="3"/>
        <v>-56568.584985</v>
      </c>
      <c r="M30" s="156"/>
    </row>
    <row r="31" spans="1:13" ht="15">
      <c r="A31" s="67">
        <v>18</v>
      </c>
      <c r="B31" s="47" t="s">
        <v>187</v>
      </c>
      <c r="C31" s="47" t="s">
        <v>188</v>
      </c>
      <c r="D31" s="138">
        <f>42963+836054.60625</f>
        <v>879017.60625</v>
      </c>
      <c r="E31" s="74">
        <f>'Staff 17.2 '!V47</f>
        <v>134190.32999999996</v>
      </c>
      <c r="F31" s="155">
        <v>0.016</v>
      </c>
      <c r="G31" s="74">
        <f t="shared" si="0"/>
        <v>14064.2817</v>
      </c>
      <c r="H31" s="74">
        <f t="shared" si="1"/>
        <v>2147.0452799999994</v>
      </c>
      <c r="I31" s="74">
        <f t="shared" si="2"/>
        <v>-11917.236420000001</v>
      </c>
      <c r="J31" s="155"/>
      <c r="K31" s="74"/>
      <c r="L31" s="76">
        <f t="shared" si="3"/>
        <v>-14064.2817</v>
      </c>
      <c r="M31" s="156"/>
    </row>
    <row r="32" spans="1:13" ht="15">
      <c r="A32" s="67">
        <v>19</v>
      </c>
      <c r="B32" s="47" t="s">
        <v>189</v>
      </c>
      <c r="C32" s="47" t="s">
        <v>190</v>
      </c>
      <c r="D32" s="138">
        <v>142606336.85208333</v>
      </c>
      <c r="E32" s="74">
        <f>'Staff 17.2 '!V51</f>
        <v>145695628.85208333</v>
      </c>
      <c r="F32" s="155">
        <v>0.023</v>
      </c>
      <c r="G32" s="74">
        <f t="shared" si="0"/>
        <v>3279945.7475979165</v>
      </c>
      <c r="H32" s="74">
        <f t="shared" si="1"/>
        <v>3350999.4635979165</v>
      </c>
      <c r="I32" s="74">
        <f t="shared" si="2"/>
        <v>71053.71600000001</v>
      </c>
      <c r="J32" s="155"/>
      <c r="K32" s="74"/>
      <c r="L32" s="76">
        <f t="shared" si="3"/>
        <v>-3279945.7475979165</v>
      </c>
      <c r="M32" s="156"/>
    </row>
    <row r="33" spans="1:13" ht="15">
      <c r="A33" s="67">
        <v>20</v>
      </c>
      <c r="B33" s="40">
        <v>2681</v>
      </c>
      <c r="C33" s="47" t="s">
        <v>191</v>
      </c>
      <c r="D33" s="138">
        <v>52385.013333333336</v>
      </c>
      <c r="E33" s="74">
        <f>'Staff 17.2 '!V53</f>
        <v>52385.013333333336</v>
      </c>
      <c r="F33" s="155">
        <v>0.1338</v>
      </c>
      <c r="G33" s="74">
        <f t="shared" si="0"/>
        <v>7009.114784</v>
      </c>
      <c r="H33" s="74">
        <f t="shared" si="1"/>
        <v>7009.114784</v>
      </c>
      <c r="I33" s="74">
        <f t="shared" si="2"/>
        <v>0</v>
      </c>
      <c r="J33" s="155"/>
      <c r="K33" s="74"/>
      <c r="L33" s="76">
        <f t="shared" si="3"/>
        <v>-7009.114784</v>
      </c>
      <c r="M33" s="156"/>
    </row>
    <row r="34" spans="1:13" ht="15">
      <c r="A34" s="67">
        <v>21</v>
      </c>
      <c r="B34" s="40">
        <v>2682</v>
      </c>
      <c r="C34" s="47" t="s">
        <v>192</v>
      </c>
      <c r="D34" s="138">
        <v>234994.97791666666</v>
      </c>
      <c r="E34" s="74">
        <f>'Staff 17.2 '!V55</f>
        <v>156144.97791666666</v>
      </c>
      <c r="F34" s="155">
        <v>0.1338</v>
      </c>
      <c r="G34" s="74">
        <f t="shared" si="0"/>
        <v>31442.32804525</v>
      </c>
      <c r="H34" s="74">
        <f t="shared" si="1"/>
        <v>20892.19804525</v>
      </c>
      <c r="I34" s="74">
        <f t="shared" si="2"/>
        <v>-10550.130000000001</v>
      </c>
      <c r="J34" s="155"/>
      <c r="K34" s="74"/>
      <c r="L34" s="76">
        <f t="shared" si="3"/>
        <v>-31442.32804525</v>
      </c>
      <c r="M34" s="156"/>
    </row>
    <row r="35" spans="1:13" ht="15">
      <c r="A35" s="67">
        <v>22</v>
      </c>
      <c r="B35" s="40">
        <v>2690</v>
      </c>
      <c r="C35" s="47" t="s">
        <v>193</v>
      </c>
      <c r="D35" s="142">
        <v>8927681.18625</v>
      </c>
      <c r="E35" s="74">
        <f>'Staff 17.2 '!V57</f>
        <v>4471210.686249999</v>
      </c>
      <c r="F35" s="155">
        <v>0.3333</v>
      </c>
      <c r="G35" s="74">
        <f t="shared" si="0"/>
        <v>2975596.1393771246</v>
      </c>
      <c r="H35" s="74">
        <f t="shared" si="1"/>
        <v>1490254.5217271247</v>
      </c>
      <c r="I35" s="74">
        <f t="shared" si="2"/>
        <v>-1485341.61765</v>
      </c>
      <c r="J35" s="155"/>
      <c r="K35" s="74"/>
      <c r="L35" s="76">
        <f t="shared" si="3"/>
        <v>-2975596.1393771246</v>
      </c>
      <c r="M35" s="156"/>
    </row>
    <row r="36" spans="1:13" ht="15.75" thickBot="1">
      <c r="A36" s="67">
        <v>23</v>
      </c>
      <c r="C36" s="47" t="s">
        <v>194</v>
      </c>
      <c r="D36" s="157">
        <f>SUM(D14:D35)</f>
        <v>2460352980.7886667</v>
      </c>
      <c r="E36" s="157">
        <f>SUM(E14:E35)</f>
        <v>2454456296.7966666</v>
      </c>
      <c r="F36" s="158">
        <f>G36/E36</f>
        <v>0.06607827337727097</v>
      </c>
      <c r="G36" s="157">
        <f>SUM(G15:G35)</f>
        <v>162186234.17229426</v>
      </c>
      <c r="H36" s="157">
        <f>SUM(H15:H35)</f>
        <v>159901860.9888593</v>
      </c>
      <c r="I36" s="157">
        <f>SUM(I15:I35)</f>
        <v>-2284373.1834349893</v>
      </c>
      <c r="J36" s="158"/>
      <c r="K36" s="157"/>
      <c r="L36" s="157">
        <f>SUM(L15:L35)</f>
        <v>-162186234.17229426</v>
      </c>
      <c r="M36" s="156"/>
    </row>
    <row r="37" spans="1:13" ht="15.75" thickTop="1">
      <c r="A37" s="67">
        <v>24</v>
      </c>
      <c r="D37" s="138"/>
      <c r="E37" s="159"/>
      <c r="F37" s="159"/>
      <c r="G37" s="159"/>
      <c r="H37" s="159"/>
      <c r="I37" s="159"/>
      <c r="J37" s="159"/>
      <c r="K37" s="159"/>
      <c r="L37" s="159"/>
      <c r="M37" s="156"/>
    </row>
    <row r="38" spans="1:13" ht="15">
      <c r="A38" s="67">
        <v>25</v>
      </c>
      <c r="B38" s="77" t="s">
        <v>195</v>
      </c>
      <c r="C38" s="47" t="s">
        <v>196</v>
      </c>
      <c r="K38" s="78"/>
      <c r="L38" s="78"/>
      <c r="M38" s="156"/>
    </row>
    <row r="39" spans="1:13" ht="15">
      <c r="A39" s="67"/>
      <c r="B39" s="77"/>
      <c r="C39" s="47" t="s">
        <v>197</v>
      </c>
      <c r="D39" s="140"/>
      <c r="K39" s="78"/>
      <c r="L39" s="46"/>
      <c r="M39" s="156"/>
    </row>
    <row r="40" spans="11:13" ht="15">
      <c r="K40" s="78"/>
      <c r="L40" s="46"/>
      <c r="M40" s="156"/>
    </row>
    <row r="41" spans="11:13" ht="15">
      <c r="K41" s="78"/>
      <c r="L41" s="79"/>
      <c r="M41" s="156"/>
    </row>
    <row r="42" spans="11:13" ht="15">
      <c r="K42" s="78"/>
      <c r="L42" s="46"/>
      <c r="M42" s="156"/>
    </row>
    <row r="43" spans="12:13" ht="15">
      <c r="L43" s="42"/>
      <c r="M43" s="156"/>
    </row>
    <row r="44" spans="12:13" ht="15">
      <c r="L44" s="42"/>
      <c r="M44" s="156"/>
    </row>
    <row r="45" spans="3:13" ht="15">
      <c r="C45" s="42"/>
      <c r="L45" s="42"/>
      <c r="M45" s="156"/>
    </row>
    <row r="46" spans="3:13" ht="15">
      <c r="C46" s="42"/>
      <c r="L46" s="42"/>
      <c r="M46" s="156"/>
    </row>
    <row r="47" spans="3:12" ht="15">
      <c r="C47" s="42"/>
      <c r="L47" s="42"/>
    </row>
    <row r="48" spans="3:12" ht="15">
      <c r="C48" s="42"/>
      <c r="L48" s="42"/>
    </row>
    <row r="49" spans="3:12" ht="15">
      <c r="C49" s="42"/>
      <c r="L49" s="42"/>
    </row>
    <row r="50" ht="15">
      <c r="C50" s="42"/>
    </row>
    <row r="51" spans="3:4" ht="15">
      <c r="C51" s="42"/>
      <c r="D51" s="138"/>
    </row>
    <row r="52" ht="15">
      <c r="C52" s="42"/>
    </row>
    <row r="53" ht="15">
      <c r="C53" s="42"/>
    </row>
    <row r="54" ht="15">
      <c r="C54" s="42"/>
    </row>
    <row r="55" ht="15">
      <c r="C55" s="42"/>
    </row>
    <row r="56" ht="15">
      <c r="C56" s="42"/>
    </row>
    <row r="57" ht="15">
      <c r="C57" s="42"/>
    </row>
    <row r="58" ht="15">
      <c r="C58" s="42"/>
    </row>
    <row r="59" ht="15">
      <c r="C59" s="42"/>
    </row>
    <row r="60" ht="15">
      <c r="C60" s="42"/>
    </row>
    <row r="61" spans="3:4" ht="15">
      <c r="C61" s="42"/>
      <c r="D61" s="42"/>
    </row>
    <row r="62" spans="3:4" ht="15">
      <c r="C62" s="42"/>
      <c r="D62" s="42"/>
    </row>
    <row r="63" spans="3:4" ht="15">
      <c r="C63" s="42"/>
      <c r="D63" s="42"/>
    </row>
    <row r="64" spans="3:4" ht="15">
      <c r="C64" s="42"/>
      <c r="D64" s="42"/>
    </row>
    <row r="65" spans="3:4" ht="15">
      <c r="C65" s="42"/>
      <c r="D65" s="42"/>
    </row>
    <row r="66" spans="3:4" ht="15">
      <c r="C66" s="42"/>
      <c r="D66" s="42"/>
    </row>
    <row r="67" spans="3:4" ht="15">
      <c r="C67" s="42"/>
      <c r="D67" s="42"/>
    </row>
    <row r="68" spans="3:4" ht="15">
      <c r="C68" s="42"/>
      <c r="D68" s="42"/>
    </row>
    <row r="69" spans="3:4" ht="15">
      <c r="C69" s="160"/>
      <c r="D69" s="160"/>
    </row>
    <row r="70" spans="3:4" ht="15">
      <c r="C70" s="160"/>
      <c r="D70" s="160"/>
    </row>
    <row r="71" spans="3:4" ht="15">
      <c r="C71" s="160"/>
      <c r="D71" s="160"/>
    </row>
    <row r="72" spans="3:4" ht="15">
      <c r="C72" s="160"/>
      <c r="D72" s="160"/>
    </row>
  </sheetData>
  <mergeCells count="1">
    <mergeCell ref="K4:L4"/>
  </mergeCells>
  <printOptions/>
  <pageMargins left="0.75" right="0.75" top="1" bottom="1" header="0.5" footer="0.5"/>
  <pageSetup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sheetPr>
    <pageSetUpPr fitToPage="1"/>
  </sheetPr>
  <dimension ref="A1:K70"/>
  <sheetViews>
    <sheetView view="pageBreakPreview" zoomScale="60" workbookViewId="0" topLeftCell="E13">
      <selection activeCell="E37" sqref="E37"/>
    </sheetView>
  </sheetViews>
  <sheetFormatPr defaultColWidth="9.140625" defaultRowHeight="12.75"/>
  <cols>
    <col min="1" max="1" width="9.28125" style="0" bestFit="1" customWidth="1"/>
    <col min="2" max="2" width="10.8515625" style="0" bestFit="1" customWidth="1"/>
    <col min="3" max="3" width="27.421875" style="0" customWidth="1"/>
    <col min="4" max="5" width="14.8515625" style="0" bestFit="1" customWidth="1"/>
    <col min="6" max="6" width="22.57421875" style="0" bestFit="1" customWidth="1"/>
    <col min="7" max="7" width="13.57421875" style="0" customWidth="1"/>
    <col min="8" max="8" width="14.7109375" style="0" customWidth="1"/>
    <col min="9" max="9" width="14.140625" style="0" bestFit="1" customWidth="1"/>
    <col min="10" max="10" width="17.00390625" style="0" bestFit="1" customWidth="1"/>
  </cols>
  <sheetData>
    <row r="1" spans="1:10" ht="15.75">
      <c r="A1" s="215" t="s">
        <v>140</v>
      </c>
      <c r="B1" s="137"/>
      <c r="C1" s="177"/>
      <c r="D1" s="177"/>
      <c r="I1" s="177"/>
      <c r="J1" s="171" t="s">
        <v>458</v>
      </c>
    </row>
    <row r="2" spans="1:10" ht="15.75">
      <c r="A2" s="215" t="s">
        <v>142</v>
      </c>
      <c r="B2" s="137"/>
      <c r="C2" s="177"/>
      <c r="D2" s="177"/>
      <c r="I2" s="177"/>
      <c r="J2" s="171" t="s">
        <v>437</v>
      </c>
    </row>
    <row r="3" spans="1:10" ht="15.75">
      <c r="A3" s="215" t="s">
        <v>319</v>
      </c>
      <c r="B3" s="137"/>
      <c r="C3" s="177"/>
      <c r="D3" s="177"/>
      <c r="I3" s="177"/>
      <c r="J3" s="171" t="s">
        <v>84</v>
      </c>
    </row>
    <row r="4" spans="1:10" ht="15.75">
      <c r="A4" s="214" t="s">
        <v>144</v>
      </c>
      <c r="B4" s="137"/>
      <c r="C4" s="177"/>
      <c r="D4" s="177"/>
      <c r="I4" s="321">
        <v>38313</v>
      </c>
      <c r="J4" s="328"/>
    </row>
    <row r="5" spans="1:4" ht="15.75">
      <c r="A5" s="214"/>
      <c r="B5" s="137"/>
      <c r="C5" s="177"/>
      <c r="D5" s="177"/>
    </row>
    <row r="6" ht="12.75">
      <c r="J6" s="36" t="s">
        <v>453</v>
      </c>
    </row>
    <row r="7" spans="1:2" ht="15">
      <c r="A7" s="129"/>
      <c r="B7" s="67"/>
    </row>
    <row r="8" spans="1:10" ht="15">
      <c r="A8" s="20"/>
      <c r="B8" s="148"/>
      <c r="D8" s="26"/>
      <c r="E8" s="26" t="s">
        <v>149</v>
      </c>
      <c r="F8" s="26" t="s">
        <v>320</v>
      </c>
      <c r="G8" s="26" t="s">
        <v>199</v>
      </c>
      <c r="H8" s="26" t="s">
        <v>200</v>
      </c>
      <c r="I8" s="26" t="s">
        <v>321</v>
      </c>
      <c r="J8" s="26" t="s">
        <v>322</v>
      </c>
    </row>
    <row r="9" spans="1:10" ht="12.75">
      <c r="A9" s="210" t="s">
        <v>145</v>
      </c>
      <c r="B9" s="212" t="s">
        <v>146</v>
      </c>
      <c r="D9" s="26" t="s">
        <v>148</v>
      </c>
      <c r="E9" s="26" t="s">
        <v>59</v>
      </c>
      <c r="F9" s="26" t="s">
        <v>59</v>
      </c>
      <c r="G9" s="26" t="s">
        <v>329</v>
      </c>
      <c r="H9" s="26" t="s">
        <v>330</v>
      </c>
      <c r="I9" s="26" t="s">
        <v>435</v>
      </c>
      <c r="J9" s="26" t="s">
        <v>331</v>
      </c>
    </row>
    <row r="10" spans="1:10" ht="12.75">
      <c r="A10" s="211" t="s">
        <v>332</v>
      </c>
      <c r="B10" s="205" t="s">
        <v>154</v>
      </c>
      <c r="D10" s="26" t="s">
        <v>333</v>
      </c>
      <c r="E10" s="26" t="s">
        <v>334</v>
      </c>
      <c r="F10" s="26" t="s">
        <v>335</v>
      </c>
      <c r="G10" s="26" t="s">
        <v>336</v>
      </c>
      <c r="H10" s="26"/>
      <c r="I10" s="26" t="s">
        <v>436</v>
      </c>
      <c r="J10" s="26"/>
    </row>
    <row r="11" ht="12.75">
      <c r="A11" s="213" t="s">
        <v>444</v>
      </c>
    </row>
    <row r="12" spans="1:10" ht="15">
      <c r="A12" s="67">
        <v>1</v>
      </c>
      <c r="B12" s="67">
        <v>2111</v>
      </c>
      <c r="C12" s="47" t="s">
        <v>160</v>
      </c>
      <c r="D12" s="105">
        <v>8207265.09375</v>
      </c>
      <c r="E12" s="105">
        <v>8207265.09375</v>
      </c>
      <c r="F12" s="105">
        <v>0</v>
      </c>
      <c r="G12" s="105"/>
      <c r="H12" s="105"/>
      <c r="I12" s="105">
        <v>0</v>
      </c>
      <c r="J12" s="105">
        <v>8207265.09375</v>
      </c>
    </row>
    <row r="13" spans="1:10" ht="15">
      <c r="A13" s="137">
        <f>A12+1</f>
        <v>2</v>
      </c>
      <c r="B13" s="137">
        <v>2112</v>
      </c>
      <c r="C13" s="47" t="s">
        <v>162</v>
      </c>
      <c r="D13" s="105">
        <v>12144318.82</v>
      </c>
      <c r="E13" s="105">
        <v>12144318.82</v>
      </c>
      <c r="F13" s="105">
        <v>0</v>
      </c>
      <c r="G13" s="105">
        <v>322786</v>
      </c>
      <c r="H13" s="105">
        <v>626402</v>
      </c>
      <c r="I13" s="105">
        <v>-151808</v>
      </c>
      <c r="J13" s="105">
        <v>11992510.82</v>
      </c>
    </row>
    <row r="14" spans="1:10" ht="15">
      <c r="A14" s="137">
        <f aca="true" t="shared" si="0" ref="A14:A64">A13+1</f>
        <v>3</v>
      </c>
      <c r="B14" s="137">
        <v>2115</v>
      </c>
      <c r="C14" t="s">
        <v>445</v>
      </c>
      <c r="D14" s="105">
        <v>636498.5425</v>
      </c>
      <c r="E14" s="105">
        <v>636498.5425</v>
      </c>
      <c r="F14" s="105">
        <v>0</v>
      </c>
      <c r="G14" s="105"/>
      <c r="H14" s="105"/>
      <c r="I14" s="105">
        <v>0</v>
      </c>
      <c r="J14" s="105">
        <v>636498.5425</v>
      </c>
    </row>
    <row r="15" spans="1:10" ht="15">
      <c r="A15" s="137">
        <f t="shared" si="0"/>
        <v>4</v>
      </c>
      <c r="B15" s="137">
        <v>2116</v>
      </c>
      <c r="C15" s="47" t="s">
        <v>163</v>
      </c>
      <c r="D15" s="105">
        <v>22313465.747916665</v>
      </c>
      <c r="E15" s="105">
        <v>22313465.747916665</v>
      </c>
      <c r="F15" s="105">
        <v>0</v>
      </c>
      <c r="G15" s="105">
        <v>414334</v>
      </c>
      <c r="H15" s="105"/>
      <c r="I15" s="105">
        <v>207167</v>
      </c>
      <c r="J15" s="105">
        <v>22520632.747916665</v>
      </c>
    </row>
    <row r="16" spans="1:10" ht="15">
      <c r="A16" s="137">
        <f t="shared" si="0"/>
        <v>5</v>
      </c>
      <c r="B16" s="137">
        <v>2121</v>
      </c>
      <c r="C16" s="47" t="s">
        <v>165</v>
      </c>
      <c r="D16" s="105">
        <v>180327019.44958332</v>
      </c>
      <c r="E16" s="105">
        <v>180327019.44958332</v>
      </c>
      <c r="F16" s="105">
        <v>0</v>
      </c>
      <c r="G16" s="105">
        <v>3970502</v>
      </c>
      <c r="H16" s="105">
        <v>1876332</v>
      </c>
      <c r="I16" s="105">
        <v>1047085</v>
      </c>
      <c r="J16" s="105">
        <v>181374104.44958332</v>
      </c>
    </row>
    <row r="17" spans="1:10" ht="15">
      <c r="A17" s="137">
        <f t="shared" si="0"/>
        <v>6</v>
      </c>
      <c r="B17" s="137">
        <v>2122</v>
      </c>
      <c r="C17" s="47" t="s">
        <v>167</v>
      </c>
      <c r="D17" s="105">
        <v>6406340.575</v>
      </c>
      <c r="E17" s="105">
        <v>6406340.575</v>
      </c>
      <c r="F17" s="105">
        <v>0</v>
      </c>
      <c r="G17" s="105"/>
      <c r="H17" s="105">
        <v>280165</v>
      </c>
      <c r="I17" s="105">
        <v>-140082.5</v>
      </c>
      <c r="J17" s="105">
        <v>6266258.075</v>
      </c>
    </row>
    <row r="18" spans="1:10" ht="15">
      <c r="A18" s="137">
        <f t="shared" si="0"/>
        <v>7</v>
      </c>
      <c r="B18" s="137">
        <v>2123</v>
      </c>
      <c r="C18" s="47" t="s">
        <v>168</v>
      </c>
      <c r="D18" s="105">
        <v>13274773.534166666</v>
      </c>
      <c r="E18" s="105">
        <v>13274773.534166666</v>
      </c>
      <c r="F18" s="105">
        <v>0</v>
      </c>
      <c r="G18" s="105"/>
      <c r="H18" s="105">
        <v>1739871</v>
      </c>
      <c r="I18" s="105">
        <v>-869935.5</v>
      </c>
      <c r="J18" s="105">
        <v>12404838.034166666</v>
      </c>
    </row>
    <row r="19" spans="1:10" ht="15">
      <c r="A19" s="137">
        <f t="shared" si="0"/>
        <v>8</v>
      </c>
      <c r="B19" s="137">
        <v>2124</v>
      </c>
      <c r="C19" s="47" t="s">
        <v>170</v>
      </c>
      <c r="D19" s="105">
        <v>36286504.157083325</v>
      </c>
      <c r="E19" s="105">
        <v>24434394.7825</v>
      </c>
      <c r="F19" s="105">
        <v>-11852109.374583326</v>
      </c>
      <c r="G19" s="105">
        <v>241497</v>
      </c>
      <c r="H19" s="105">
        <v>6066124</v>
      </c>
      <c r="I19" s="105">
        <v>-2912313.5</v>
      </c>
      <c r="J19" s="105">
        <v>21522081.2825</v>
      </c>
    </row>
    <row r="20" spans="1:10" ht="15">
      <c r="A20" s="137">
        <f t="shared" si="0"/>
        <v>9</v>
      </c>
      <c r="B20" s="137">
        <v>2212</v>
      </c>
      <c r="C20" s="47" t="s">
        <v>172</v>
      </c>
      <c r="D20" s="105">
        <v>496663944.1366666</v>
      </c>
      <c r="E20" s="105">
        <v>495422559.425</v>
      </c>
      <c r="F20" s="105">
        <v>-1241384.711666584</v>
      </c>
      <c r="G20" s="105">
        <v>23654122</v>
      </c>
      <c r="H20" s="105">
        <v>14617564</v>
      </c>
      <c r="I20" s="105">
        <v>4518279</v>
      </c>
      <c r="J20" s="105">
        <v>499940838.425</v>
      </c>
    </row>
    <row r="21" spans="1:10" ht="15">
      <c r="A21" s="137">
        <f t="shared" si="0"/>
        <v>10</v>
      </c>
      <c r="B21" s="137">
        <v>2220</v>
      </c>
      <c r="C21" s="47" t="s">
        <v>174</v>
      </c>
      <c r="D21" s="105">
        <v>499848.4620833334</v>
      </c>
      <c r="E21" s="105">
        <v>499848.4620833334</v>
      </c>
      <c r="F21" s="105">
        <v>0</v>
      </c>
      <c r="G21" s="105"/>
      <c r="H21" s="105">
        <v>2954</v>
      </c>
      <c r="I21" s="105">
        <v>-1477</v>
      </c>
      <c r="J21" s="105">
        <v>498371.4620833334</v>
      </c>
    </row>
    <row r="22" spans="1:10" ht="15">
      <c r="A22" s="137">
        <f t="shared" si="0"/>
        <v>11</v>
      </c>
      <c r="B22" s="137">
        <v>2231</v>
      </c>
      <c r="C22" s="47" t="s">
        <v>176</v>
      </c>
      <c r="D22" s="105">
        <v>8997168.383750001</v>
      </c>
      <c r="E22" s="105">
        <v>8997168.383750001</v>
      </c>
      <c r="F22" s="105">
        <v>0</v>
      </c>
      <c r="G22" s="105"/>
      <c r="H22" s="105">
        <v>232021</v>
      </c>
      <c r="I22" s="105">
        <v>-116010.5</v>
      </c>
      <c r="J22" s="105">
        <v>8881157.883750001</v>
      </c>
    </row>
    <row r="23" spans="1:10" ht="15">
      <c r="A23" s="137">
        <f t="shared" si="0"/>
        <v>12</v>
      </c>
      <c r="B23" s="137">
        <v>2232</v>
      </c>
      <c r="C23" s="47" t="s">
        <v>178</v>
      </c>
      <c r="D23" s="105">
        <v>515173917.9541666</v>
      </c>
      <c r="E23" s="105">
        <v>515173917.9541666</v>
      </c>
      <c r="F23" s="105">
        <v>0</v>
      </c>
      <c r="G23" s="105">
        <v>21205211</v>
      </c>
      <c r="H23" s="105">
        <v>14939750</v>
      </c>
      <c r="I23" s="105">
        <v>3132730.5</v>
      </c>
      <c r="J23" s="105">
        <v>518306648.4541666</v>
      </c>
    </row>
    <row r="24" spans="1:10" ht="15">
      <c r="A24" s="137">
        <f t="shared" si="0"/>
        <v>13</v>
      </c>
      <c r="B24" s="137">
        <v>2362</v>
      </c>
      <c r="C24" s="47" t="s">
        <v>180</v>
      </c>
      <c r="D24" s="105">
        <v>23294494.920416664</v>
      </c>
      <c r="E24" s="105">
        <v>15649267.5425</v>
      </c>
      <c r="F24" s="105">
        <v>-7645227.377916664</v>
      </c>
      <c r="G24" s="105"/>
      <c r="H24" s="105">
        <v>2028178</v>
      </c>
      <c r="I24" s="105">
        <v>-1014089</v>
      </c>
      <c r="J24" s="105">
        <v>14635178.5425</v>
      </c>
    </row>
    <row r="25" spans="1:10" ht="15">
      <c r="A25" s="137">
        <f t="shared" si="0"/>
        <v>14</v>
      </c>
      <c r="B25" s="137">
        <v>2411</v>
      </c>
      <c r="C25" s="47" t="s">
        <v>182</v>
      </c>
      <c r="D25" s="105">
        <v>45172601.65083333</v>
      </c>
      <c r="E25" s="105">
        <v>45172601.65083333</v>
      </c>
      <c r="F25" s="105">
        <v>0</v>
      </c>
      <c r="G25" s="105">
        <v>2193907</v>
      </c>
      <c r="H25" s="105">
        <v>473494</v>
      </c>
      <c r="I25" s="105">
        <v>860206.5</v>
      </c>
      <c r="J25" s="105">
        <v>46032808.15083333</v>
      </c>
    </row>
    <row r="26" spans="1:10" ht="15">
      <c r="A26" s="137">
        <f t="shared" si="0"/>
        <v>15</v>
      </c>
      <c r="B26" s="137">
        <v>2421</v>
      </c>
      <c r="C26" s="47" t="s">
        <v>183</v>
      </c>
      <c r="D26" s="105">
        <v>220852773.33375</v>
      </c>
      <c r="E26" s="105">
        <v>220852773.33375</v>
      </c>
      <c r="F26" s="105">
        <v>0</v>
      </c>
      <c r="G26" s="105">
        <v>5141691</v>
      </c>
      <c r="H26" s="105">
        <v>697474</v>
      </c>
      <c r="I26" s="105">
        <v>2222108.5</v>
      </c>
      <c r="J26" s="105">
        <v>223074881.83375</v>
      </c>
    </row>
    <row r="27" spans="1:10" ht="15">
      <c r="A27" s="137">
        <f t="shared" si="0"/>
        <v>16</v>
      </c>
      <c r="B27" s="137">
        <v>2422</v>
      </c>
      <c r="C27" s="47" t="s">
        <v>184</v>
      </c>
      <c r="D27" s="105">
        <v>291307985.30625</v>
      </c>
      <c r="E27" s="105">
        <v>291307985.30625</v>
      </c>
      <c r="F27" s="105">
        <v>0</v>
      </c>
      <c r="G27" s="105">
        <v>13369935</v>
      </c>
      <c r="H27" s="105">
        <v>1090489</v>
      </c>
      <c r="I27" s="105">
        <v>6139723</v>
      </c>
      <c r="J27" s="105">
        <v>297447708.30625</v>
      </c>
    </row>
    <row r="28" spans="1:10" ht="15">
      <c r="A28" s="137">
        <f t="shared" si="0"/>
        <v>17</v>
      </c>
      <c r="B28" s="137">
        <v>2423</v>
      </c>
      <c r="C28" s="47" t="s">
        <v>185</v>
      </c>
      <c r="D28" s="105">
        <v>424713973.2483333</v>
      </c>
      <c r="E28" s="105">
        <v>424713973.2483333</v>
      </c>
      <c r="F28" s="105">
        <v>0</v>
      </c>
      <c r="G28" s="105">
        <v>9357287</v>
      </c>
      <c r="H28" s="105">
        <v>1136035</v>
      </c>
      <c r="I28" s="105">
        <v>4110626</v>
      </c>
      <c r="J28" s="105">
        <v>428824599.2483333</v>
      </c>
    </row>
    <row r="29" spans="1:10" ht="15">
      <c r="A29" s="137">
        <f t="shared" si="0"/>
        <v>18</v>
      </c>
      <c r="B29" s="137">
        <v>2424</v>
      </c>
      <c r="C29" s="47" t="s">
        <v>186</v>
      </c>
      <c r="D29" s="105">
        <v>1379721.585</v>
      </c>
      <c r="E29" s="105">
        <v>1379721.585</v>
      </c>
      <c r="F29" s="105">
        <v>0</v>
      </c>
      <c r="G29" s="105">
        <v>1268</v>
      </c>
      <c r="H29" s="105"/>
      <c r="I29" s="105">
        <v>634</v>
      </c>
      <c r="J29" s="105">
        <v>1380355.585</v>
      </c>
    </row>
    <row r="30" spans="1:10" ht="15">
      <c r="A30" s="137">
        <f t="shared" si="0"/>
        <v>19</v>
      </c>
      <c r="B30" s="137">
        <v>2426</v>
      </c>
      <c r="C30" s="47" t="s">
        <v>188</v>
      </c>
      <c r="D30" s="105">
        <v>836054.6062500001</v>
      </c>
      <c r="E30" s="105">
        <v>155711.83</v>
      </c>
      <c r="F30" s="105">
        <v>-680342.7762500001</v>
      </c>
      <c r="G30" s="105"/>
      <c r="H30" s="105">
        <v>43043</v>
      </c>
      <c r="I30" s="105">
        <v>-21521.5</v>
      </c>
      <c r="J30" s="105">
        <v>134190.33</v>
      </c>
    </row>
    <row r="31" spans="1:10" ht="15">
      <c r="A31" s="137">
        <f t="shared" si="0"/>
        <v>20</v>
      </c>
      <c r="B31" s="137">
        <v>2431</v>
      </c>
      <c r="C31" s="47" t="s">
        <v>446</v>
      </c>
      <c r="D31" s="105">
        <v>42963.10124999999</v>
      </c>
      <c r="E31" s="105">
        <v>42963.10124999999</v>
      </c>
      <c r="F31" s="105">
        <v>0</v>
      </c>
      <c r="G31" s="105"/>
      <c r="H31" s="105"/>
      <c r="I31" s="105">
        <v>0</v>
      </c>
      <c r="J31" s="105">
        <v>42963.10124999999</v>
      </c>
    </row>
    <row r="32" spans="1:10" ht="15">
      <c r="A32" s="137">
        <f t="shared" si="0"/>
        <v>21</v>
      </c>
      <c r="B32" s="137">
        <v>2441</v>
      </c>
      <c r="C32" s="47" t="s">
        <v>190</v>
      </c>
      <c r="D32" s="105">
        <v>142606336.85208333</v>
      </c>
      <c r="E32" s="105">
        <v>142606336.85208333</v>
      </c>
      <c r="F32" s="105">
        <v>0</v>
      </c>
      <c r="G32" s="105">
        <v>6928427</v>
      </c>
      <c r="H32" s="105">
        <v>749843</v>
      </c>
      <c r="I32" s="105">
        <v>3089292</v>
      </c>
      <c r="J32" s="105">
        <v>145695628.85208333</v>
      </c>
    </row>
    <row r="33" spans="1:10" ht="15">
      <c r="A33" s="137">
        <f t="shared" si="0"/>
        <v>22</v>
      </c>
      <c r="B33" s="137">
        <v>2681</v>
      </c>
      <c r="C33" s="47" t="s">
        <v>191</v>
      </c>
      <c r="D33" s="105">
        <v>52385.013333333336</v>
      </c>
      <c r="E33" s="105">
        <v>52385.013333333336</v>
      </c>
      <c r="F33" s="105">
        <v>0</v>
      </c>
      <c r="G33" s="105"/>
      <c r="H33" s="105"/>
      <c r="I33" s="105">
        <v>0</v>
      </c>
      <c r="J33" s="105">
        <v>52385.013333333336</v>
      </c>
    </row>
    <row r="34" spans="1:10" ht="15">
      <c r="A34" s="137">
        <f t="shared" si="0"/>
        <v>23</v>
      </c>
      <c r="B34" s="137">
        <v>2682</v>
      </c>
      <c r="C34" s="47" t="s">
        <v>192</v>
      </c>
      <c r="D34" s="105">
        <v>234994.97791666666</v>
      </c>
      <c r="E34" s="105">
        <v>234994.97791666666</v>
      </c>
      <c r="F34" s="105">
        <v>0</v>
      </c>
      <c r="G34" s="105"/>
      <c r="H34" s="105">
        <v>157700</v>
      </c>
      <c r="I34" s="105">
        <v>-78850</v>
      </c>
      <c r="J34" s="105">
        <v>156144.97791666666</v>
      </c>
    </row>
    <row r="35" spans="1:10" ht="15">
      <c r="A35" s="137">
        <f t="shared" si="0"/>
        <v>24</v>
      </c>
      <c r="B35" s="139">
        <v>2690</v>
      </c>
      <c r="C35" s="47" t="s">
        <v>193</v>
      </c>
      <c r="D35" s="105">
        <v>8927681.18625</v>
      </c>
      <c r="E35" s="105">
        <v>8927681.18625</v>
      </c>
      <c r="F35" s="105">
        <v>0</v>
      </c>
      <c r="G35" s="105">
        <v>1928033</v>
      </c>
      <c r="H35" s="105">
        <v>10840974</v>
      </c>
      <c r="I35" s="105">
        <v>-4456470.5</v>
      </c>
      <c r="J35" s="105">
        <v>4471210.686249999</v>
      </c>
    </row>
    <row r="36" spans="1:10" ht="15">
      <c r="A36" s="137">
        <f t="shared" si="0"/>
        <v>25</v>
      </c>
      <c r="B36" s="141"/>
      <c r="D36" s="105"/>
      <c r="E36" s="105"/>
      <c r="F36" s="105"/>
      <c r="G36" s="105"/>
      <c r="H36" s="105"/>
      <c r="I36" s="105"/>
      <c r="J36" s="105"/>
    </row>
    <row r="37" spans="1:10" ht="15">
      <c r="A37" s="137">
        <f t="shared" si="0"/>
        <v>26</v>
      </c>
      <c r="B37" s="137" t="s">
        <v>337</v>
      </c>
      <c r="D37" s="105">
        <v>2460353030.6383333</v>
      </c>
      <c r="E37" s="105">
        <v>2438933966.397917</v>
      </c>
      <c r="F37" s="105">
        <v>-21419064.240416575</v>
      </c>
      <c r="G37" s="105">
        <v>88729000</v>
      </c>
      <c r="H37" s="105">
        <v>57598413</v>
      </c>
      <c r="I37" s="105">
        <v>15565293.5</v>
      </c>
      <c r="J37" s="105">
        <v>2454499259.897917</v>
      </c>
    </row>
    <row r="38" spans="1:11" ht="15">
      <c r="A38" s="137">
        <f t="shared" si="0"/>
        <v>27</v>
      </c>
      <c r="B38" s="137" t="s">
        <v>338</v>
      </c>
      <c r="D38" s="105"/>
      <c r="E38" s="105"/>
      <c r="F38" s="105" t="s">
        <v>339</v>
      </c>
      <c r="G38" s="105" t="s">
        <v>340</v>
      </c>
      <c r="H38" s="105"/>
      <c r="I38" s="105" t="s">
        <v>341</v>
      </c>
      <c r="J38" s="105">
        <v>2454499259.897917</v>
      </c>
      <c r="K38" t="s">
        <v>342</v>
      </c>
    </row>
    <row r="39" spans="1:10" ht="15">
      <c r="A39" s="137">
        <f t="shared" si="0"/>
        <v>28</v>
      </c>
      <c r="B39" s="137"/>
      <c r="D39" s="105"/>
      <c r="E39" s="105"/>
      <c r="F39" s="105"/>
      <c r="G39" s="105"/>
      <c r="H39" s="105"/>
      <c r="I39" s="105"/>
      <c r="J39" s="105"/>
    </row>
    <row r="40" spans="1:10" ht="15.75">
      <c r="A40" s="137">
        <f t="shared" si="0"/>
        <v>29</v>
      </c>
      <c r="B40" s="214" t="s">
        <v>449</v>
      </c>
      <c r="D40" s="105"/>
      <c r="E40" s="105"/>
      <c r="F40" s="105"/>
      <c r="G40" s="105"/>
      <c r="H40" s="105"/>
      <c r="I40" s="105"/>
      <c r="J40" s="105"/>
    </row>
    <row r="41" spans="1:10" ht="15">
      <c r="A41" s="137">
        <f t="shared" si="0"/>
        <v>30</v>
      </c>
      <c r="B41" s="137">
        <v>3410</v>
      </c>
      <c r="C41" t="s">
        <v>447</v>
      </c>
      <c r="D41" s="105">
        <v>-2583.2295833333333</v>
      </c>
      <c r="E41" s="105">
        <v>-2583.2295833333333</v>
      </c>
      <c r="F41" s="105">
        <v>0</v>
      </c>
      <c r="G41" s="105"/>
      <c r="H41" s="105"/>
      <c r="I41" s="105"/>
      <c r="J41" s="105"/>
    </row>
    <row r="42" spans="1:10" ht="15">
      <c r="A42" s="137">
        <f t="shared" si="0"/>
        <v>31</v>
      </c>
      <c r="B42" s="67">
        <v>4371</v>
      </c>
      <c r="C42" t="s">
        <v>448</v>
      </c>
      <c r="D42" s="105">
        <v>234726082.33124998</v>
      </c>
      <c r="E42" s="105">
        <v>234726082.33124998</v>
      </c>
      <c r="F42" s="105">
        <v>0</v>
      </c>
      <c r="G42" s="105"/>
      <c r="H42" s="105"/>
      <c r="I42" s="105"/>
      <c r="J42" s="105"/>
    </row>
    <row r="43" spans="1:10" ht="15">
      <c r="A43" s="137">
        <f t="shared" si="0"/>
        <v>32</v>
      </c>
      <c r="B43" s="67" t="s">
        <v>344</v>
      </c>
      <c r="C43" s="47" t="s">
        <v>162</v>
      </c>
      <c r="D43" s="105">
        <v>-8129167.281666666</v>
      </c>
      <c r="E43" s="105">
        <v>-8129167.281666666</v>
      </c>
      <c r="F43" s="105">
        <v>0</v>
      </c>
      <c r="G43" s="105"/>
      <c r="H43" s="105"/>
      <c r="I43" s="105"/>
      <c r="J43" s="105"/>
    </row>
    <row r="44" spans="1:10" ht="15">
      <c r="A44" s="137">
        <f t="shared" si="0"/>
        <v>33</v>
      </c>
      <c r="B44" s="67" t="s">
        <v>345</v>
      </c>
      <c r="C44" t="s">
        <v>445</v>
      </c>
      <c r="D44" s="105">
        <v>-418242.94416666665</v>
      </c>
      <c r="E44" s="105">
        <v>-418242.94416666665</v>
      </c>
      <c r="F44" s="105">
        <v>0</v>
      </c>
      <c r="G44" s="105"/>
      <c r="H44" s="105"/>
      <c r="I44" s="105"/>
      <c r="J44" s="105"/>
    </row>
    <row r="45" spans="1:10" ht="15">
      <c r="A45" s="137">
        <f t="shared" si="0"/>
        <v>34</v>
      </c>
      <c r="B45" s="67" t="s">
        <v>346</v>
      </c>
      <c r="C45" s="47" t="s">
        <v>163</v>
      </c>
      <c r="D45" s="105">
        <v>-14167705.744583333</v>
      </c>
      <c r="E45" s="105">
        <v>-14167705.744583333</v>
      </c>
      <c r="F45" s="105">
        <v>0</v>
      </c>
      <c r="G45" s="105"/>
      <c r="H45" s="105"/>
      <c r="I45" s="105"/>
      <c r="J45" s="105"/>
    </row>
    <row r="46" spans="1:10" ht="15">
      <c r="A46" s="137">
        <f t="shared" si="0"/>
        <v>35</v>
      </c>
      <c r="B46" s="67" t="s">
        <v>347</v>
      </c>
      <c r="C46" s="47" t="s">
        <v>165</v>
      </c>
      <c r="D46" s="105">
        <v>-40133774.80291667</v>
      </c>
      <c r="E46" s="105">
        <v>-40133774.80291667</v>
      </c>
      <c r="F46" s="105">
        <v>0</v>
      </c>
      <c r="G46" s="105"/>
      <c r="H46" s="105"/>
      <c r="I46" s="105"/>
      <c r="J46" s="105"/>
    </row>
    <row r="47" spans="1:10" ht="15">
      <c r="A47" s="137">
        <f t="shared" si="0"/>
        <v>36</v>
      </c>
      <c r="B47" s="67" t="s">
        <v>349</v>
      </c>
      <c r="C47" s="47" t="s">
        <v>167</v>
      </c>
      <c r="D47" s="105">
        <v>-4932998.742916667</v>
      </c>
      <c r="E47" s="105">
        <v>-4932998.742916667</v>
      </c>
      <c r="F47" s="105">
        <v>0</v>
      </c>
      <c r="G47" s="105"/>
      <c r="H47" s="105"/>
      <c r="I47" s="105"/>
      <c r="J47" s="105"/>
    </row>
    <row r="48" spans="1:10" ht="15">
      <c r="A48" s="137">
        <f t="shared" si="0"/>
        <v>37</v>
      </c>
      <c r="B48" s="67" t="s">
        <v>350</v>
      </c>
      <c r="C48" s="47" t="s">
        <v>168</v>
      </c>
      <c r="D48" s="105">
        <v>-10652244.712499999</v>
      </c>
      <c r="E48" s="105">
        <v>-10652244.712499999</v>
      </c>
      <c r="F48" s="105">
        <v>0</v>
      </c>
      <c r="G48" s="105"/>
      <c r="H48" s="105"/>
      <c r="I48" s="105"/>
      <c r="J48" s="105"/>
    </row>
    <row r="49" spans="1:10" ht="15">
      <c r="A49" s="137">
        <f t="shared" si="0"/>
        <v>38</v>
      </c>
      <c r="B49" s="67" t="s">
        <v>351</v>
      </c>
      <c r="C49" s="47" t="s">
        <v>170</v>
      </c>
      <c r="D49" s="105">
        <v>-31195628.85166667</v>
      </c>
      <c r="E49" s="105">
        <v>-19290024.634999998</v>
      </c>
      <c r="F49" s="105">
        <v>11905604.216666672</v>
      </c>
      <c r="G49" s="105"/>
      <c r="H49" s="105"/>
      <c r="I49" s="105"/>
      <c r="J49" s="105"/>
    </row>
    <row r="50" spans="1:10" ht="15">
      <c r="A50" s="137">
        <f t="shared" si="0"/>
        <v>39</v>
      </c>
      <c r="B50" s="67" t="s">
        <v>352</v>
      </c>
      <c r="C50" s="47" t="s">
        <v>172</v>
      </c>
      <c r="D50" s="105">
        <v>-234209046.5116667</v>
      </c>
      <c r="E50" s="105">
        <v>-234245707.84954548</v>
      </c>
      <c r="F50" s="105">
        <v>-36661.33787879348</v>
      </c>
      <c r="G50" s="105"/>
      <c r="H50" s="105">
        <v>-28799206.5</v>
      </c>
      <c r="I50" s="105"/>
      <c r="J50" s="105"/>
    </row>
    <row r="51" spans="1:10" ht="15">
      <c r="A51" s="137">
        <f t="shared" si="0"/>
        <v>40</v>
      </c>
      <c r="B51" s="67" t="s">
        <v>353</v>
      </c>
      <c r="C51" s="47" t="s">
        <v>174</v>
      </c>
      <c r="D51" s="105">
        <v>-81396.24541666667</v>
      </c>
      <c r="E51" s="105">
        <v>-31504.31583333333</v>
      </c>
      <c r="F51" s="105">
        <v>49891.929583333345</v>
      </c>
      <c r="G51" s="105"/>
      <c r="H51" s="105"/>
      <c r="I51" s="105"/>
      <c r="J51" s="105"/>
    </row>
    <row r="52" spans="1:10" ht="15">
      <c r="A52" s="137">
        <f t="shared" si="0"/>
        <v>41</v>
      </c>
      <c r="B52" s="67" t="s">
        <v>354</v>
      </c>
      <c r="C52" s="47" t="s">
        <v>176</v>
      </c>
      <c r="D52" s="105">
        <v>-6741740.27375</v>
      </c>
      <c r="E52" s="105">
        <v>-6741740.27375</v>
      </c>
      <c r="F52" s="105">
        <v>0</v>
      </c>
      <c r="G52" s="105"/>
      <c r="H52" s="105"/>
      <c r="I52" s="105"/>
      <c r="J52" s="105"/>
    </row>
    <row r="53" spans="1:10" ht="15">
      <c r="A53" s="137">
        <f t="shared" si="0"/>
        <v>42</v>
      </c>
      <c r="B53" s="67" t="s">
        <v>355</v>
      </c>
      <c r="C53" s="47" t="s">
        <v>178</v>
      </c>
      <c r="D53" s="105">
        <v>-237517105.46875</v>
      </c>
      <c r="E53" s="105">
        <v>-237517105.46875</v>
      </c>
      <c r="F53" s="105">
        <v>0</v>
      </c>
      <c r="G53" s="105"/>
      <c r="H53" s="105"/>
      <c r="I53" s="105"/>
      <c r="J53" s="105"/>
    </row>
    <row r="54" spans="1:10" ht="15">
      <c r="A54" s="137">
        <f t="shared" si="0"/>
        <v>43</v>
      </c>
      <c r="B54" s="67" t="s">
        <v>356</v>
      </c>
      <c r="C54" s="47" t="s">
        <v>180</v>
      </c>
      <c r="D54" s="105">
        <v>-23443580.829166666</v>
      </c>
      <c r="E54" s="105">
        <v>-15753620.212499999</v>
      </c>
      <c r="F54" s="105">
        <v>7689960.616666667</v>
      </c>
      <c r="G54" s="105"/>
      <c r="H54" s="105"/>
      <c r="I54" s="105"/>
      <c r="J54" s="105"/>
    </row>
    <row r="55" spans="1:10" ht="15">
      <c r="A55" s="137">
        <f t="shared" si="0"/>
        <v>44</v>
      </c>
      <c r="B55" s="67" t="s">
        <v>357</v>
      </c>
      <c r="C55" s="47" t="s">
        <v>182</v>
      </c>
      <c r="D55" s="105">
        <v>-35096672.80291667</v>
      </c>
      <c r="E55" s="105">
        <v>-35096672.80291667</v>
      </c>
      <c r="F55" s="105">
        <v>0</v>
      </c>
      <c r="G55" s="105"/>
      <c r="H55" s="105"/>
      <c r="I55" s="105"/>
      <c r="J55" s="105"/>
    </row>
    <row r="56" spans="1:10" ht="15">
      <c r="A56" s="137">
        <f t="shared" si="0"/>
        <v>45</v>
      </c>
      <c r="B56" s="67" t="s">
        <v>358</v>
      </c>
      <c r="C56" s="47" t="s">
        <v>183</v>
      </c>
      <c r="D56" s="105">
        <v>-154403833.35791662</v>
      </c>
      <c r="E56" s="105">
        <v>-154403833.35791662</v>
      </c>
      <c r="F56" s="105">
        <v>0</v>
      </c>
      <c r="G56" s="105"/>
      <c r="H56" s="105"/>
      <c r="I56" s="105"/>
      <c r="J56" s="105"/>
    </row>
    <row r="57" spans="1:10" ht="15">
      <c r="A57" s="137">
        <f t="shared" si="0"/>
        <v>46</v>
      </c>
      <c r="B57" s="67" t="s">
        <v>359</v>
      </c>
      <c r="C57" s="47" t="s">
        <v>184</v>
      </c>
      <c r="D57" s="105">
        <v>-148239895.26500002</v>
      </c>
      <c r="E57" s="105">
        <v>-148239895.26500002</v>
      </c>
      <c r="F57" s="105">
        <v>0</v>
      </c>
      <c r="G57" s="105"/>
      <c r="H57" s="105"/>
      <c r="I57" s="105"/>
      <c r="J57" s="105"/>
    </row>
    <row r="58" spans="1:10" ht="15">
      <c r="A58" s="137">
        <f t="shared" si="0"/>
        <v>47</v>
      </c>
      <c r="B58" s="67" t="s">
        <v>360</v>
      </c>
      <c r="C58" s="47" t="s">
        <v>185</v>
      </c>
      <c r="D58" s="105">
        <v>-241702257.64041662</v>
      </c>
      <c r="E58" s="105">
        <v>-241702257.64041662</v>
      </c>
      <c r="F58" s="105">
        <v>0</v>
      </c>
      <c r="G58" s="105"/>
      <c r="H58" s="105"/>
      <c r="I58" s="105"/>
      <c r="J58" s="105"/>
    </row>
    <row r="59" spans="1:10" ht="15">
      <c r="A59" s="137">
        <f t="shared" si="0"/>
        <v>48</v>
      </c>
      <c r="B59" s="67" t="s">
        <v>361</v>
      </c>
      <c r="C59" s="47" t="s">
        <v>186</v>
      </c>
      <c r="D59" s="105">
        <v>-1042529.6462499999</v>
      </c>
      <c r="E59" s="105">
        <v>-1042529.6462499999</v>
      </c>
      <c r="F59" s="105">
        <v>0</v>
      </c>
      <c r="G59" s="105"/>
      <c r="H59" s="105"/>
      <c r="I59" s="105"/>
      <c r="J59" s="105"/>
    </row>
    <row r="60" spans="1:10" ht="15">
      <c r="A60" s="137">
        <f t="shared" si="0"/>
        <v>49</v>
      </c>
      <c r="B60" s="67" t="s">
        <v>362</v>
      </c>
      <c r="C60" s="47" t="s">
        <v>188</v>
      </c>
      <c r="D60" s="105">
        <v>-944330.7616666667</v>
      </c>
      <c r="E60" s="105">
        <v>-944330.7616666667</v>
      </c>
      <c r="F60" s="105">
        <v>0</v>
      </c>
      <c r="G60" s="105"/>
      <c r="H60" s="105"/>
      <c r="I60" s="105"/>
      <c r="J60" s="105"/>
    </row>
    <row r="61" spans="1:10" ht="15">
      <c r="A61" s="137">
        <f t="shared" si="0"/>
        <v>50</v>
      </c>
      <c r="B61" s="67" t="s">
        <v>363</v>
      </c>
      <c r="C61" s="47" t="s">
        <v>446</v>
      </c>
      <c r="D61" s="105">
        <v>-60464.45208333333</v>
      </c>
      <c r="E61" s="105">
        <v>-60464.45208333333</v>
      </c>
      <c r="F61" s="105">
        <v>0</v>
      </c>
      <c r="G61" s="105"/>
      <c r="H61" s="105"/>
      <c r="I61" s="105"/>
      <c r="J61" s="105"/>
    </row>
    <row r="62" spans="1:10" ht="15">
      <c r="A62" s="137">
        <f t="shared" si="0"/>
        <v>51</v>
      </c>
      <c r="B62" s="67" t="s">
        <v>364</v>
      </c>
      <c r="C62" s="47" t="s">
        <v>190</v>
      </c>
      <c r="D62" s="105">
        <v>-40263128.25875001</v>
      </c>
      <c r="E62" s="105">
        <v>-40263128.25875001</v>
      </c>
      <c r="F62" s="105">
        <v>0</v>
      </c>
      <c r="G62" s="105"/>
      <c r="H62" s="105"/>
      <c r="I62" s="105"/>
      <c r="J62" s="105"/>
    </row>
    <row r="63" spans="1:10" ht="15">
      <c r="A63" s="137">
        <f t="shared" si="0"/>
        <v>52</v>
      </c>
      <c r="B63" s="67" t="s">
        <v>194</v>
      </c>
      <c r="C63" s="47"/>
      <c r="D63" s="105">
        <f>SUM(D41:D62)</f>
        <v>-998652245.4924998</v>
      </c>
      <c r="E63" s="105">
        <f>SUM(E41:E62)</f>
        <v>-979043450.067462</v>
      </c>
      <c r="F63" s="105">
        <f>SUM(F41:F62)</f>
        <v>19608795.42503788</v>
      </c>
      <c r="G63" s="105"/>
      <c r="H63" s="105">
        <v>-28799206.5</v>
      </c>
      <c r="I63" s="105"/>
      <c r="J63" s="105"/>
    </row>
    <row r="64" spans="1:8" ht="15">
      <c r="A64" s="137">
        <f t="shared" si="0"/>
        <v>53</v>
      </c>
      <c r="B64" s="67" t="s">
        <v>338</v>
      </c>
      <c r="C64" s="47"/>
      <c r="F64" t="s">
        <v>365</v>
      </c>
      <c r="H64" t="s">
        <v>365</v>
      </c>
    </row>
    <row r="65" ht="12.75">
      <c r="C65" s="47"/>
    </row>
    <row r="68" ht="15.75">
      <c r="A68" s="69" t="s">
        <v>450</v>
      </c>
    </row>
    <row r="69" ht="15.75">
      <c r="B69" s="69" t="s">
        <v>451</v>
      </c>
    </row>
    <row r="70" ht="12.75">
      <c r="B70" s="13" t="s">
        <v>452</v>
      </c>
    </row>
  </sheetData>
  <mergeCells count="1">
    <mergeCell ref="I4:J4"/>
  </mergeCells>
  <printOptions/>
  <pageMargins left="0.75" right="0.41" top="1" bottom="1" header="0.5" footer="0.5"/>
  <pageSetup fitToHeight="1" fitToWidth="1" horizontalDpi="600" verticalDpi="600" orientation="portrait" scale="60" r:id="rId1"/>
</worksheet>
</file>

<file path=xl/worksheets/sheet9.xml><?xml version="1.0" encoding="utf-8"?>
<worksheet xmlns="http://schemas.openxmlformats.org/spreadsheetml/2006/main" xmlns:r="http://schemas.openxmlformats.org/officeDocument/2006/relationships">
  <sheetPr>
    <pageSetUpPr fitToPage="1"/>
  </sheetPr>
  <dimension ref="A1:X111"/>
  <sheetViews>
    <sheetView zoomScale="80" zoomScaleNormal="80" workbookViewId="0" topLeftCell="A1">
      <pane xSplit="2" ySplit="9" topLeftCell="P10" activePane="bottomRight" state="frozen"/>
      <selection pane="topLeft" activeCell="A1" sqref="A1"/>
      <selection pane="topRight" activeCell="C1" sqref="C1"/>
      <selection pane="bottomLeft" activeCell="A8" sqref="A8"/>
      <selection pane="bottomRight" activeCell="T109" sqref="T109"/>
    </sheetView>
  </sheetViews>
  <sheetFormatPr defaultColWidth="9.140625" defaultRowHeight="12.75"/>
  <cols>
    <col min="1" max="1" width="9.140625" style="64" customWidth="1"/>
    <col min="2" max="2" width="11.57421875" style="67" customWidth="1"/>
    <col min="3" max="3" width="15.421875" style="136" customWidth="1"/>
    <col min="4" max="14" width="17.28125" style="136" customWidth="1"/>
    <col min="15" max="16" width="17.421875" style="136" bestFit="1" customWidth="1"/>
    <col min="17" max="17" width="15.421875" style="136" bestFit="1" customWidth="1"/>
    <col min="18" max="18" width="15.8515625" style="136" customWidth="1"/>
    <col min="19" max="19" width="13.421875" style="136" bestFit="1" customWidth="1"/>
    <col min="20" max="20" width="13.7109375" style="136" bestFit="1" customWidth="1"/>
    <col min="21" max="21" width="13.7109375" style="136" customWidth="1"/>
    <col min="22" max="22" width="17.28125" style="136" customWidth="1"/>
    <col min="23" max="24" width="15.7109375" style="136" customWidth="1"/>
    <col min="25" max="16384" width="9.140625" style="136" customWidth="1"/>
  </cols>
  <sheetData>
    <row r="1" spans="1:24" s="64" customFormat="1" ht="15.75">
      <c r="A1" s="127" t="s">
        <v>140</v>
      </c>
      <c r="B1" s="67"/>
      <c r="C1" s="68"/>
      <c r="D1" s="68"/>
      <c r="E1" s="68"/>
      <c r="F1" s="68"/>
      <c r="G1" s="68"/>
      <c r="H1" s="68"/>
      <c r="I1" s="68"/>
      <c r="J1" s="68"/>
      <c r="K1" s="68"/>
      <c r="L1" s="68"/>
      <c r="M1" s="68"/>
      <c r="N1" s="68"/>
      <c r="O1" s="68"/>
      <c r="P1" s="128"/>
      <c r="S1" s="69"/>
      <c r="X1" s="36" t="s">
        <v>457</v>
      </c>
    </row>
    <row r="2" spans="1:24" s="64" customFormat="1" ht="15">
      <c r="A2" s="127" t="s">
        <v>142</v>
      </c>
      <c r="B2" s="67"/>
      <c r="C2" s="68"/>
      <c r="D2" s="68"/>
      <c r="E2" s="68"/>
      <c r="F2" s="68"/>
      <c r="G2" s="68"/>
      <c r="H2" s="68"/>
      <c r="I2" s="68"/>
      <c r="J2" s="68"/>
      <c r="K2" s="68"/>
      <c r="L2" s="68"/>
      <c r="M2" s="68"/>
      <c r="N2" s="68"/>
      <c r="O2" s="68"/>
      <c r="P2" s="128"/>
      <c r="X2" s="36" t="s">
        <v>437</v>
      </c>
    </row>
    <row r="3" spans="1:24" s="64" customFormat="1" ht="15">
      <c r="A3" s="127" t="s">
        <v>319</v>
      </c>
      <c r="B3" s="67"/>
      <c r="C3" s="68"/>
      <c r="D3" s="68"/>
      <c r="E3" s="68"/>
      <c r="F3" s="68"/>
      <c r="G3" s="68"/>
      <c r="H3" s="68"/>
      <c r="I3" s="68"/>
      <c r="J3" s="68"/>
      <c r="K3" s="68"/>
      <c r="L3" s="68"/>
      <c r="M3" s="68"/>
      <c r="N3" s="68"/>
      <c r="O3" s="68"/>
      <c r="P3" s="128"/>
      <c r="X3" s="36" t="s">
        <v>84</v>
      </c>
    </row>
    <row r="4" spans="1:24" s="64" customFormat="1" ht="15">
      <c r="A4" s="129" t="s">
        <v>144</v>
      </c>
      <c r="B4" s="67"/>
      <c r="W4" s="325">
        <v>38313</v>
      </c>
      <c r="X4" s="325"/>
    </row>
    <row r="5" spans="1:22" s="64" customFormat="1" ht="15">
      <c r="A5" s="129"/>
      <c r="B5" s="67"/>
      <c r="Q5" s="205"/>
      <c r="R5" s="206"/>
      <c r="U5" s="204"/>
      <c r="V5" s="204"/>
    </row>
    <row r="6" spans="1:22" s="64" customFormat="1" ht="15.75" thickBot="1">
      <c r="A6" s="129"/>
      <c r="B6" s="67"/>
      <c r="Q6" s="205"/>
      <c r="R6" s="206"/>
      <c r="U6" s="204"/>
      <c r="V6" s="204"/>
    </row>
    <row r="7" spans="1:22" s="64" customFormat="1" ht="15.75" thickBot="1">
      <c r="A7" s="132"/>
      <c r="B7" s="132"/>
      <c r="C7" s="68"/>
      <c r="D7" s="68"/>
      <c r="E7" s="68"/>
      <c r="F7" s="68"/>
      <c r="G7" s="68"/>
      <c r="H7" s="68"/>
      <c r="I7" s="68"/>
      <c r="J7" s="68"/>
      <c r="K7" s="68"/>
      <c r="L7" s="68"/>
      <c r="M7" s="68"/>
      <c r="N7" s="68"/>
      <c r="O7" s="68"/>
      <c r="P7" s="128"/>
      <c r="Q7" s="130" t="s">
        <v>149</v>
      </c>
      <c r="R7" s="131" t="s">
        <v>320</v>
      </c>
      <c r="S7" s="130" t="s">
        <v>199</v>
      </c>
      <c r="T7" s="130" t="s">
        <v>200</v>
      </c>
      <c r="U7" s="130" t="s">
        <v>321</v>
      </c>
      <c r="V7" s="130" t="s">
        <v>322</v>
      </c>
    </row>
    <row r="8" spans="1:22" s="64" customFormat="1" ht="15">
      <c r="A8" s="71" t="s">
        <v>145</v>
      </c>
      <c r="B8" s="71" t="s">
        <v>146</v>
      </c>
      <c r="C8" s="71" t="s">
        <v>147</v>
      </c>
      <c r="D8" s="71" t="s">
        <v>148</v>
      </c>
      <c r="E8" s="71" t="s">
        <v>149</v>
      </c>
      <c r="F8" s="71" t="s">
        <v>323</v>
      </c>
      <c r="G8" s="71" t="s">
        <v>199</v>
      </c>
      <c r="H8" s="71" t="s">
        <v>200</v>
      </c>
      <c r="I8" s="71" t="s">
        <v>150</v>
      </c>
      <c r="J8" s="71" t="s">
        <v>324</v>
      </c>
      <c r="K8" s="71" t="s">
        <v>325</v>
      </c>
      <c r="L8" s="71" t="s">
        <v>326</v>
      </c>
      <c r="M8" s="71" t="s">
        <v>327</v>
      </c>
      <c r="N8" s="71" t="s">
        <v>328</v>
      </c>
      <c r="O8" s="71" t="s">
        <v>147</v>
      </c>
      <c r="P8" s="130" t="s">
        <v>148</v>
      </c>
      <c r="Q8" s="207" t="s">
        <v>59</v>
      </c>
      <c r="R8" s="207" t="s">
        <v>59</v>
      </c>
      <c r="S8" s="207" t="s">
        <v>329</v>
      </c>
      <c r="T8" s="207" t="s">
        <v>330</v>
      </c>
      <c r="U8" s="207" t="s">
        <v>435</v>
      </c>
      <c r="V8" s="207" t="s">
        <v>331</v>
      </c>
    </row>
    <row r="9" spans="1:22" s="64" customFormat="1" ht="15.75" thickBot="1">
      <c r="A9" s="133" t="s">
        <v>332</v>
      </c>
      <c r="B9" s="134" t="s">
        <v>154</v>
      </c>
      <c r="C9" s="135">
        <v>37500</v>
      </c>
      <c r="D9" s="135">
        <v>37530</v>
      </c>
      <c r="E9" s="135">
        <v>37561</v>
      </c>
      <c r="F9" s="135">
        <v>37591</v>
      </c>
      <c r="G9" s="135">
        <v>37622</v>
      </c>
      <c r="H9" s="135">
        <v>37653</v>
      </c>
      <c r="I9" s="135">
        <v>37681</v>
      </c>
      <c r="J9" s="135">
        <v>37712</v>
      </c>
      <c r="K9" s="135">
        <v>37742</v>
      </c>
      <c r="L9" s="135">
        <v>37773</v>
      </c>
      <c r="M9" s="135">
        <v>37803</v>
      </c>
      <c r="N9" s="135">
        <v>37834</v>
      </c>
      <c r="O9" s="135">
        <v>37865</v>
      </c>
      <c r="P9" s="134" t="s">
        <v>333</v>
      </c>
      <c r="Q9" s="12" t="s">
        <v>334</v>
      </c>
      <c r="R9" s="12" t="s">
        <v>335</v>
      </c>
      <c r="S9" s="12" t="s">
        <v>336</v>
      </c>
      <c r="T9" s="12"/>
      <c r="U9" s="12" t="s">
        <v>436</v>
      </c>
      <c r="V9" s="12"/>
    </row>
    <row r="10" spans="1:22" ht="15">
      <c r="A10" s="67">
        <v>1</v>
      </c>
      <c r="B10" s="67">
        <v>2111</v>
      </c>
      <c r="C10" s="136">
        <v>8458563.73</v>
      </c>
      <c r="D10" s="184">
        <v>8165576.700000001</v>
      </c>
      <c r="E10" s="184">
        <v>8162384.700000001</v>
      </c>
      <c r="F10" s="184">
        <v>8034116.700000001</v>
      </c>
      <c r="G10" s="184">
        <v>8336142.710000001</v>
      </c>
      <c r="H10" s="184">
        <v>8239503.62</v>
      </c>
      <c r="I10" s="184">
        <v>8240255.0200000005</v>
      </c>
      <c r="J10" s="184">
        <v>8229997.41</v>
      </c>
      <c r="K10" s="184">
        <v>8369233.22</v>
      </c>
      <c r="L10" s="184">
        <v>8176578.01</v>
      </c>
      <c r="M10" s="184">
        <v>8153972.34</v>
      </c>
      <c r="N10" s="184">
        <v>8065441.7</v>
      </c>
      <c r="O10" s="184">
        <v>8169394.26</v>
      </c>
      <c r="P10" s="184"/>
      <c r="Q10" s="184"/>
      <c r="R10" s="184"/>
      <c r="S10" s="184"/>
      <c r="T10" s="184"/>
      <c r="U10" s="184"/>
      <c r="V10" s="184"/>
    </row>
    <row r="11" spans="1:22" s="138" customFormat="1" ht="15">
      <c r="A11" s="137">
        <f aca="true" t="shared" si="0" ref="A11:A42">+A10+1</f>
        <v>2</v>
      </c>
      <c r="B11" s="137"/>
      <c r="D11" s="74">
        <f aca="true" t="shared" si="1" ref="D11:O11">SUM(C10:D10)/2</f>
        <v>8312070.215000001</v>
      </c>
      <c r="E11" s="74">
        <f t="shared" si="1"/>
        <v>8163980.700000001</v>
      </c>
      <c r="F11" s="74">
        <f t="shared" si="1"/>
        <v>8098250.700000001</v>
      </c>
      <c r="G11" s="74">
        <f t="shared" si="1"/>
        <v>8185129.705000001</v>
      </c>
      <c r="H11" s="74">
        <f t="shared" si="1"/>
        <v>8287823.165000001</v>
      </c>
      <c r="I11" s="74">
        <f t="shared" si="1"/>
        <v>8239879.32</v>
      </c>
      <c r="J11" s="74">
        <f t="shared" si="1"/>
        <v>8235126.215</v>
      </c>
      <c r="K11" s="74">
        <f t="shared" si="1"/>
        <v>8299615.3149999995</v>
      </c>
      <c r="L11" s="74">
        <f t="shared" si="1"/>
        <v>8272905.615</v>
      </c>
      <c r="M11" s="74">
        <f t="shared" si="1"/>
        <v>8165275.175</v>
      </c>
      <c r="N11" s="74">
        <f t="shared" si="1"/>
        <v>8109707.02</v>
      </c>
      <c r="O11" s="74">
        <f t="shared" si="1"/>
        <v>8117417.98</v>
      </c>
      <c r="P11" s="74">
        <f>SUM(D11:O11)/12</f>
        <v>8207265.09375</v>
      </c>
      <c r="Q11" s="74">
        <f>SUM(D11:O11)/12</f>
        <v>8207265.09375</v>
      </c>
      <c r="R11" s="74">
        <f aca="true" t="shared" si="2" ref="R11:R57">Q11-P11</f>
        <v>0</v>
      </c>
      <c r="S11" s="74"/>
      <c r="T11" s="74"/>
      <c r="U11" s="74">
        <f aca="true" t="shared" si="3" ref="U11:U57">(+S11-T11)/2</f>
        <v>0</v>
      </c>
      <c r="V11" s="74">
        <f aca="true" t="shared" si="4" ref="V11:V57">SUM(P11+R11+U11)</f>
        <v>8207265.09375</v>
      </c>
    </row>
    <row r="12" spans="1:22" s="138" customFormat="1" ht="15">
      <c r="A12" s="137">
        <f t="shared" si="0"/>
        <v>3</v>
      </c>
      <c r="B12" s="137">
        <v>2112</v>
      </c>
      <c r="C12" s="138">
        <v>12044455.620000001</v>
      </c>
      <c r="D12" s="74">
        <v>12042240.82</v>
      </c>
      <c r="E12" s="74">
        <v>11981385.78</v>
      </c>
      <c r="F12" s="74">
        <v>10246253.219999999</v>
      </c>
      <c r="G12" s="74">
        <v>13222997.479999999</v>
      </c>
      <c r="H12" s="74">
        <v>13392630.46</v>
      </c>
      <c r="I12" s="74">
        <v>13580733.99</v>
      </c>
      <c r="J12" s="74">
        <v>12740429.780000001</v>
      </c>
      <c r="K12" s="74">
        <v>13216308.71</v>
      </c>
      <c r="L12" s="74">
        <v>11326957.170000002</v>
      </c>
      <c r="M12" s="74">
        <v>11343136.18</v>
      </c>
      <c r="N12" s="74">
        <v>10964926.08</v>
      </c>
      <c r="O12" s="74">
        <v>11303196.72</v>
      </c>
      <c r="P12" s="74"/>
      <c r="Q12" s="74"/>
      <c r="R12" s="74">
        <f t="shared" si="2"/>
        <v>0</v>
      </c>
      <c r="S12" s="74"/>
      <c r="T12" s="74"/>
      <c r="U12" s="74">
        <f t="shared" si="3"/>
        <v>0</v>
      </c>
      <c r="V12" s="74">
        <f t="shared" si="4"/>
        <v>0</v>
      </c>
    </row>
    <row r="13" spans="1:22" s="138" customFormat="1" ht="15">
      <c r="A13" s="137">
        <f t="shared" si="0"/>
        <v>4</v>
      </c>
      <c r="B13" s="137"/>
      <c r="D13" s="74">
        <f aca="true" t="shared" si="5" ref="D13:O13">SUM(C12:D12)/2</f>
        <v>12043348.22</v>
      </c>
      <c r="E13" s="74">
        <f t="shared" si="5"/>
        <v>12011813.3</v>
      </c>
      <c r="F13" s="74">
        <f t="shared" si="5"/>
        <v>11113819.5</v>
      </c>
      <c r="G13" s="74">
        <f t="shared" si="5"/>
        <v>11734625.349999998</v>
      </c>
      <c r="H13" s="74">
        <f t="shared" si="5"/>
        <v>13307813.969999999</v>
      </c>
      <c r="I13" s="74">
        <f t="shared" si="5"/>
        <v>13486682.225000001</v>
      </c>
      <c r="J13" s="74">
        <f t="shared" si="5"/>
        <v>13160581.885000002</v>
      </c>
      <c r="K13" s="74">
        <f t="shared" si="5"/>
        <v>12978369.245000001</v>
      </c>
      <c r="L13" s="74">
        <f t="shared" si="5"/>
        <v>12271632.940000001</v>
      </c>
      <c r="M13" s="74">
        <f t="shared" si="5"/>
        <v>11335046.675</v>
      </c>
      <c r="N13" s="74">
        <f t="shared" si="5"/>
        <v>11154031.129999999</v>
      </c>
      <c r="O13" s="74">
        <f t="shared" si="5"/>
        <v>11134061.4</v>
      </c>
      <c r="P13" s="74">
        <f>SUM(D13:O13)/12</f>
        <v>12144318.82</v>
      </c>
      <c r="Q13" s="74">
        <f>SUM(D13:O13)/12</f>
        <v>12144318.82</v>
      </c>
      <c r="R13" s="74">
        <f t="shared" si="2"/>
        <v>0</v>
      </c>
      <c r="S13" s="74">
        <v>322786</v>
      </c>
      <c r="T13" s="74">
        <v>626402</v>
      </c>
      <c r="U13" s="74">
        <f t="shared" si="3"/>
        <v>-151808</v>
      </c>
      <c r="V13" s="185">
        <f t="shared" si="4"/>
        <v>11992510.82</v>
      </c>
    </row>
    <row r="14" spans="1:22" s="138" customFormat="1" ht="15">
      <c r="A14" s="137">
        <f t="shared" si="0"/>
        <v>5</v>
      </c>
      <c r="B14" s="137">
        <v>2115</v>
      </c>
      <c r="C14" s="138">
        <v>645368.63</v>
      </c>
      <c r="D14" s="74">
        <v>682351.84</v>
      </c>
      <c r="E14" s="74">
        <v>688898.1</v>
      </c>
      <c r="F14" s="74">
        <v>472268.82</v>
      </c>
      <c r="G14" s="74">
        <v>669615.53</v>
      </c>
      <c r="H14" s="74">
        <v>672286.16</v>
      </c>
      <c r="I14" s="74">
        <v>689293.87</v>
      </c>
      <c r="J14" s="74">
        <v>684145.66</v>
      </c>
      <c r="K14" s="74">
        <v>673428.32</v>
      </c>
      <c r="L14" s="74">
        <v>584403.68</v>
      </c>
      <c r="M14" s="74">
        <v>593753.83</v>
      </c>
      <c r="N14" s="74">
        <v>599919.61</v>
      </c>
      <c r="O14" s="74">
        <v>609865.55</v>
      </c>
      <c r="P14" s="74"/>
      <c r="Q14" s="74"/>
      <c r="R14" s="74">
        <f t="shared" si="2"/>
        <v>0</v>
      </c>
      <c r="S14" s="74"/>
      <c r="T14" s="74"/>
      <c r="U14" s="74">
        <f t="shared" si="3"/>
        <v>0</v>
      </c>
      <c r="V14" s="74">
        <f t="shared" si="4"/>
        <v>0</v>
      </c>
    </row>
    <row r="15" spans="1:22" s="138" customFormat="1" ht="15">
      <c r="A15" s="137">
        <f t="shared" si="0"/>
        <v>6</v>
      </c>
      <c r="B15" s="137"/>
      <c r="D15" s="74">
        <f aca="true" t="shared" si="6" ref="D15:O15">SUM(C14:D14)/2</f>
        <v>663860.235</v>
      </c>
      <c r="E15" s="74">
        <f t="shared" si="6"/>
        <v>685624.97</v>
      </c>
      <c r="F15" s="74">
        <f t="shared" si="6"/>
        <v>580583.46</v>
      </c>
      <c r="G15" s="74">
        <f t="shared" si="6"/>
        <v>570942.175</v>
      </c>
      <c r="H15" s="74">
        <f t="shared" si="6"/>
        <v>670950.845</v>
      </c>
      <c r="I15" s="74">
        <f t="shared" si="6"/>
        <v>680790.015</v>
      </c>
      <c r="J15" s="74">
        <f t="shared" si="6"/>
        <v>686719.765</v>
      </c>
      <c r="K15" s="74">
        <f t="shared" si="6"/>
        <v>678786.99</v>
      </c>
      <c r="L15" s="74">
        <f t="shared" si="6"/>
        <v>628916</v>
      </c>
      <c r="M15" s="74">
        <f t="shared" si="6"/>
        <v>589078.755</v>
      </c>
      <c r="N15" s="74">
        <f t="shared" si="6"/>
        <v>596836.72</v>
      </c>
      <c r="O15" s="74">
        <f t="shared" si="6"/>
        <v>604892.5800000001</v>
      </c>
      <c r="P15" s="74">
        <f>SUM(D15:O15)/12</f>
        <v>636498.5425</v>
      </c>
      <c r="Q15" s="74">
        <f>SUM(D15:O15)/12</f>
        <v>636498.5425</v>
      </c>
      <c r="R15" s="74">
        <f t="shared" si="2"/>
        <v>0</v>
      </c>
      <c r="S15" s="74"/>
      <c r="T15" s="74"/>
      <c r="U15" s="74">
        <f t="shared" si="3"/>
        <v>0</v>
      </c>
      <c r="V15" s="74">
        <f t="shared" si="4"/>
        <v>636498.5425</v>
      </c>
    </row>
    <row r="16" spans="1:22" s="138" customFormat="1" ht="15">
      <c r="A16" s="137">
        <f t="shared" si="0"/>
        <v>7</v>
      </c>
      <c r="B16" s="137">
        <v>2116</v>
      </c>
      <c r="C16" s="138">
        <v>24367256.129999995</v>
      </c>
      <c r="D16" s="74">
        <v>25077011.759999998</v>
      </c>
      <c r="E16" s="74">
        <v>24661964.699999996</v>
      </c>
      <c r="F16" s="74">
        <v>15884667.36</v>
      </c>
      <c r="G16" s="74">
        <v>22891227.65</v>
      </c>
      <c r="H16" s="74">
        <v>22894316.869999997</v>
      </c>
      <c r="I16" s="74">
        <v>23324234.929999996</v>
      </c>
      <c r="J16" s="74">
        <v>23797427.590000004</v>
      </c>
      <c r="K16" s="74">
        <v>23214591.560000002</v>
      </c>
      <c r="L16" s="74">
        <v>20575041.509999998</v>
      </c>
      <c r="M16" s="74">
        <v>20952965.189999998</v>
      </c>
      <c r="N16" s="74">
        <v>21455092.36</v>
      </c>
      <c r="O16" s="74">
        <v>21698838.86</v>
      </c>
      <c r="P16" s="74"/>
      <c r="Q16" s="74"/>
      <c r="R16" s="74">
        <f t="shared" si="2"/>
        <v>0</v>
      </c>
      <c r="S16" s="74"/>
      <c r="T16" s="74"/>
      <c r="U16" s="74">
        <f t="shared" si="3"/>
        <v>0</v>
      </c>
      <c r="V16" s="74">
        <f t="shared" si="4"/>
        <v>0</v>
      </c>
    </row>
    <row r="17" spans="1:22" s="138" customFormat="1" ht="15">
      <c r="A17" s="137">
        <f t="shared" si="0"/>
        <v>8</v>
      </c>
      <c r="B17" s="137"/>
      <c r="D17" s="74">
        <f aca="true" t="shared" si="7" ref="D17:O17">SUM(C16:D16)/2</f>
        <v>24722133.944999997</v>
      </c>
      <c r="E17" s="74">
        <f t="shared" si="7"/>
        <v>24869488.229999997</v>
      </c>
      <c r="F17" s="74">
        <f t="shared" si="7"/>
        <v>20273316.029999997</v>
      </c>
      <c r="G17" s="74">
        <f t="shared" si="7"/>
        <v>19387947.505</v>
      </c>
      <c r="H17" s="74">
        <f t="shared" si="7"/>
        <v>22892772.259999998</v>
      </c>
      <c r="I17" s="74">
        <f t="shared" si="7"/>
        <v>23109275.9</v>
      </c>
      <c r="J17" s="74">
        <f t="shared" si="7"/>
        <v>23560831.259999998</v>
      </c>
      <c r="K17" s="74">
        <f t="shared" si="7"/>
        <v>23506009.575000003</v>
      </c>
      <c r="L17" s="74">
        <f t="shared" si="7"/>
        <v>21894816.535</v>
      </c>
      <c r="M17" s="74">
        <f t="shared" si="7"/>
        <v>20764003.349999998</v>
      </c>
      <c r="N17" s="74">
        <f t="shared" si="7"/>
        <v>21204028.775</v>
      </c>
      <c r="O17" s="74">
        <f t="shared" si="7"/>
        <v>21576965.61</v>
      </c>
      <c r="P17" s="74">
        <f>SUM(D17:O17)/12</f>
        <v>22313465.747916665</v>
      </c>
      <c r="Q17" s="74">
        <f>SUM(D17:O17)/12</f>
        <v>22313465.747916665</v>
      </c>
      <c r="R17" s="74">
        <f t="shared" si="2"/>
        <v>0</v>
      </c>
      <c r="S17" s="74">
        <v>414334</v>
      </c>
      <c r="T17" s="74"/>
      <c r="U17" s="74">
        <f t="shared" si="3"/>
        <v>207167</v>
      </c>
      <c r="V17" s="74">
        <f t="shared" si="4"/>
        <v>22520632.747916665</v>
      </c>
    </row>
    <row r="18" spans="1:22" s="138" customFormat="1" ht="15">
      <c r="A18" s="137">
        <f t="shared" si="0"/>
        <v>9</v>
      </c>
      <c r="B18" s="137">
        <v>2121</v>
      </c>
      <c r="C18" s="138">
        <v>179255717.81</v>
      </c>
      <c r="D18" s="74">
        <v>176426383.75</v>
      </c>
      <c r="E18" s="74">
        <v>177934903.97</v>
      </c>
      <c r="F18" s="74">
        <v>175711541.95999998</v>
      </c>
      <c r="G18" s="74">
        <v>181959943.49999997</v>
      </c>
      <c r="H18" s="74">
        <v>181551148.74</v>
      </c>
      <c r="I18" s="74">
        <v>181570937.17000002</v>
      </c>
      <c r="J18" s="74">
        <v>181394075.65999997</v>
      </c>
      <c r="K18" s="74">
        <v>184655245.71</v>
      </c>
      <c r="L18" s="74">
        <v>180530616.76999998</v>
      </c>
      <c r="M18" s="74">
        <v>180037968.79999998</v>
      </c>
      <c r="N18" s="74">
        <v>180147764.29</v>
      </c>
      <c r="O18" s="74">
        <v>184751688.34</v>
      </c>
      <c r="P18" s="74"/>
      <c r="Q18" s="74"/>
      <c r="R18" s="74">
        <f t="shared" si="2"/>
        <v>0</v>
      </c>
      <c r="S18" s="74"/>
      <c r="T18" s="74"/>
      <c r="U18" s="74">
        <f t="shared" si="3"/>
        <v>0</v>
      </c>
      <c r="V18" s="74">
        <f t="shared" si="4"/>
        <v>0</v>
      </c>
    </row>
    <row r="19" spans="1:22" s="138" customFormat="1" ht="15">
      <c r="A19" s="137">
        <f t="shared" si="0"/>
        <v>10</v>
      </c>
      <c r="B19" s="137"/>
      <c r="D19" s="74">
        <f aca="true" t="shared" si="8" ref="D19:O19">SUM(C18:D18)/2</f>
        <v>177841050.78</v>
      </c>
      <c r="E19" s="74">
        <f t="shared" si="8"/>
        <v>177180643.86</v>
      </c>
      <c r="F19" s="74">
        <f t="shared" si="8"/>
        <v>176823222.96499997</v>
      </c>
      <c r="G19" s="74">
        <f t="shared" si="8"/>
        <v>178835742.72999996</v>
      </c>
      <c r="H19" s="74">
        <f t="shared" si="8"/>
        <v>181755546.12</v>
      </c>
      <c r="I19" s="74">
        <f t="shared" si="8"/>
        <v>181561042.955</v>
      </c>
      <c r="J19" s="74">
        <f t="shared" si="8"/>
        <v>181482506.415</v>
      </c>
      <c r="K19" s="74">
        <f t="shared" si="8"/>
        <v>183024660.685</v>
      </c>
      <c r="L19" s="74">
        <f t="shared" si="8"/>
        <v>182592931.24</v>
      </c>
      <c r="M19" s="74">
        <f t="shared" si="8"/>
        <v>180284292.78499997</v>
      </c>
      <c r="N19" s="74">
        <f t="shared" si="8"/>
        <v>180092866.545</v>
      </c>
      <c r="O19" s="74">
        <f t="shared" si="8"/>
        <v>182449726.315</v>
      </c>
      <c r="P19" s="74">
        <f>SUM(D19:O19)/12</f>
        <v>180327019.44958332</v>
      </c>
      <c r="Q19" s="74">
        <f>SUM(D19:O19)/12</f>
        <v>180327019.44958332</v>
      </c>
      <c r="R19" s="74">
        <f t="shared" si="2"/>
        <v>0</v>
      </c>
      <c r="S19" s="74">
        <v>3970502</v>
      </c>
      <c r="T19" s="74">
        <v>1876332</v>
      </c>
      <c r="U19" s="74">
        <f t="shared" si="3"/>
        <v>1047085</v>
      </c>
      <c r="V19" s="74">
        <f t="shared" si="4"/>
        <v>181374104.44958332</v>
      </c>
    </row>
    <row r="20" spans="1:22" s="138" customFormat="1" ht="15">
      <c r="A20" s="137">
        <f t="shared" si="0"/>
        <v>11</v>
      </c>
      <c r="B20" s="137">
        <v>2122</v>
      </c>
      <c r="C20" s="138">
        <v>7700037.83</v>
      </c>
      <c r="D20" s="74">
        <v>7357177.83</v>
      </c>
      <c r="E20" s="74">
        <v>7281453.83</v>
      </c>
      <c r="F20" s="74">
        <v>6203653.56</v>
      </c>
      <c r="G20" s="74">
        <v>6274472.18</v>
      </c>
      <c r="H20" s="74">
        <v>6210477.1</v>
      </c>
      <c r="I20" s="74">
        <v>6322134.539999999</v>
      </c>
      <c r="J20" s="74">
        <v>6221117.42</v>
      </c>
      <c r="K20" s="74">
        <v>6343454.699999999</v>
      </c>
      <c r="L20" s="74">
        <v>6144830.609999999</v>
      </c>
      <c r="M20" s="74">
        <v>5941826.149999999</v>
      </c>
      <c r="N20" s="74">
        <v>5730473.63</v>
      </c>
      <c r="O20" s="74">
        <v>5989992.87</v>
      </c>
      <c r="P20" s="74"/>
      <c r="Q20" s="74"/>
      <c r="R20" s="74">
        <f t="shared" si="2"/>
        <v>0</v>
      </c>
      <c r="S20" s="74"/>
      <c r="T20" s="74"/>
      <c r="U20" s="74">
        <f t="shared" si="3"/>
        <v>0</v>
      </c>
      <c r="V20" s="74">
        <f t="shared" si="4"/>
        <v>0</v>
      </c>
    </row>
    <row r="21" spans="1:22" s="138" customFormat="1" ht="15">
      <c r="A21" s="137">
        <f t="shared" si="0"/>
        <v>12</v>
      </c>
      <c r="B21" s="137"/>
      <c r="D21" s="74">
        <f aca="true" t="shared" si="9" ref="D21:O21">SUM(C20:D20)/2</f>
        <v>7528607.83</v>
      </c>
      <c r="E21" s="74">
        <f t="shared" si="9"/>
        <v>7319315.83</v>
      </c>
      <c r="F21" s="74">
        <f t="shared" si="9"/>
        <v>6742553.695</v>
      </c>
      <c r="G21" s="74">
        <f t="shared" si="9"/>
        <v>6239062.869999999</v>
      </c>
      <c r="H21" s="74">
        <f t="shared" si="9"/>
        <v>6242474.64</v>
      </c>
      <c r="I21" s="74">
        <f t="shared" si="9"/>
        <v>6266305.819999999</v>
      </c>
      <c r="J21" s="74">
        <f t="shared" si="9"/>
        <v>6271625.9799999995</v>
      </c>
      <c r="K21" s="74">
        <f t="shared" si="9"/>
        <v>6282286.06</v>
      </c>
      <c r="L21" s="74">
        <f t="shared" si="9"/>
        <v>6244142.654999999</v>
      </c>
      <c r="M21" s="74">
        <f t="shared" si="9"/>
        <v>6043328.379999999</v>
      </c>
      <c r="N21" s="74">
        <f t="shared" si="9"/>
        <v>5836149.89</v>
      </c>
      <c r="O21" s="74">
        <f t="shared" si="9"/>
        <v>5860233.25</v>
      </c>
      <c r="P21" s="74">
        <f>SUM(D21:O21)/12</f>
        <v>6406340.575</v>
      </c>
      <c r="Q21" s="74">
        <f>SUM(D21:O21)/12</f>
        <v>6406340.575</v>
      </c>
      <c r="R21" s="74">
        <f t="shared" si="2"/>
        <v>0</v>
      </c>
      <c r="S21" s="74"/>
      <c r="T21" s="74">
        <v>280165</v>
      </c>
      <c r="U21" s="74">
        <f t="shared" si="3"/>
        <v>-140082.5</v>
      </c>
      <c r="V21" s="74">
        <f t="shared" si="4"/>
        <v>6266258.075</v>
      </c>
    </row>
    <row r="22" spans="1:22" s="138" customFormat="1" ht="15">
      <c r="A22" s="137">
        <f t="shared" si="0"/>
        <v>13</v>
      </c>
      <c r="B22" s="137">
        <v>2123</v>
      </c>
      <c r="C22" s="138">
        <v>18150045.48</v>
      </c>
      <c r="D22" s="74">
        <v>17415389.5</v>
      </c>
      <c r="E22" s="74">
        <v>17115084.91</v>
      </c>
      <c r="F22" s="74">
        <v>12587156.84</v>
      </c>
      <c r="G22" s="74">
        <v>12816430.45</v>
      </c>
      <c r="H22" s="74">
        <v>12644066.07</v>
      </c>
      <c r="I22" s="74">
        <v>12879968.14</v>
      </c>
      <c r="J22" s="74">
        <v>12713556.68</v>
      </c>
      <c r="K22" s="74">
        <v>12964096.089999998</v>
      </c>
      <c r="L22" s="74">
        <v>12557827.79</v>
      </c>
      <c r="M22" s="74">
        <v>10747311.229999999</v>
      </c>
      <c r="N22" s="74">
        <v>10364179.899999999</v>
      </c>
      <c r="O22" s="74">
        <v>10834384.139999999</v>
      </c>
      <c r="P22" s="74"/>
      <c r="Q22" s="74"/>
      <c r="R22" s="74">
        <f t="shared" si="2"/>
        <v>0</v>
      </c>
      <c r="S22" s="74"/>
      <c r="T22" s="74"/>
      <c r="U22" s="74">
        <f t="shared" si="3"/>
        <v>0</v>
      </c>
      <c r="V22" s="74">
        <f t="shared" si="4"/>
        <v>0</v>
      </c>
    </row>
    <row r="23" spans="1:22" s="138" customFormat="1" ht="15">
      <c r="A23" s="137">
        <f t="shared" si="0"/>
        <v>14</v>
      </c>
      <c r="B23" s="137"/>
      <c r="D23" s="74">
        <f aca="true" t="shared" si="10" ref="D23:O23">SUM(C22:D22)/2</f>
        <v>17782717.490000002</v>
      </c>
      <c r="E23" s="74">
        <f t="shared" si="10"/>
        <v>17265237.205</v>
      </c>
      <c r="F23" s="74">
        <f t="shared" si="10"/>
        <v>14851120.875</v>
      </c>
      <c r="G23" s="74">
        <f t="shared" si="10"/>
        <v>12701793.645</v>
      </c>
      <c r="H23" s="74">
        <f t="shared" si="10"/>
        <v>12730248.26</v>
      </c>
      <c r="I23" s="74">
        <f t="shared" si="10"/>
        <v>12762017.105</v>
      </c>
      <c r="J23" s="74">
        <f t="shared" si="10"/>
        <v>12796762.41</v>
      </c>
      <c r="K23" s="74">
        <f t="shared" si="10"/>
        <v>12838826.384999998</v>
      </c>
      <c r="L23" s="74">
        <f t="shared" si="10"/>
        <v>12760961.939999998</v>
      </c>
      <c r="M23" s="74">
        <f t="shared" si="10"/>
        <v>11652569.509999998</v>
      </c>
      <c r="N23" s="74">
        <f t="shared" si="10"/>
        <v>10555745.564999998</v>
      </c>
      <c r="O23" s="74">
        <f t="shared" si="10"/>
        <v>10599282.02</v>
      </c>
      <c r="P23" s="74">
        <f>SUM(D23:O23)/12</f>
        <v>13274773.534166666</v>
      </c>
      <c r="Q23" s="74">
        <f>SUM(D23:O23)/12</f>
        <v>13274773.534166666</v>
      </c>
      <c r="R23" s="74">
        <f t="shared" si="2"/>
        <v>0</v>
      </c>
      <c r="S23" s="74"/>
      <c r="T23" s="74">
        <f>364421+1375450</f>
        <v>1739871</v>
      </c>
      <c r="U23" s="74">
        <f t="shared" si="3"/>
        <v>-869935.5</v>
      </c>
      <c r="V23" s="74">
        <f t="shared" si="4"/>
        <v>12404838.034166666</v>
      </c>
    </row>
    <row r="24" spans="1:22" s="138" customFormat="1" ht="15">
      <c r="A24" s="137">
        <f t="shared" si="0"/>
        <v>15</v>
      </c>
      <c r="B24" s="137">
        <v>2124</v>
      </c>
      <c r="C24" s="138">
        <v>37733720.779999994</v>
      </c>
      <c r="D24" s="74">
        <v>39750161.309999995</v>
      </c>
      <c r="E24" s="74">
        <v>39687794.419999994</v>
      </c>
      <c r="F24" s="74">
        <v>39157449.37</v>
      </c>
      <c r="G24" s="74">
        <v>38876502.75</v>
      </c>
      <c r="H24" s="74">
        <v>38634061.81999999</v>
      </c>
      <c r="I24" s="74">
        <v>39239008.769999996</v>
      </c>
      <c r="J24" s="74">
        <v>39813193.16</v>
      </c>
      <c r="K24" s="74">
        <v>39998918.86</v>
      </c>
      <c r="L24" s="74">
        <v>40238947.529999994</v>
      </c>
      <c r="M24" s="186">
        <v>24612723.88</v>
      </c>
      <c r="N24" s="187">
        <v>24473770.36</v>
      </c>
      <c r="O24" s="188">
        <v>24177314.529999997</v>
      </c>
      <c r="P24" s="74"/>
      <c r="Q24" s="74"/>
      <c r="R24" s="74">
        <f t="shared" si="2"/>
        <v>0</v>
      </c>
      <c r="S24" s="74"/>
      <c r="T24" s="74"/>
      <c r="U24" s="74">
        <f t="shared" si="3"/>
        <v>0</v>
      </c>
      <c r="V24" s="74">
        <f t="shared" si="4"/>
        <v>0</v>
      </c>
    </row>
    <row r="25" spans="1:22" s="138" customFormat="1" ht="15">
      <c r="A25" s="137">
        <f t="shared" si="0"/>
        <v>16</v>
      </c>
      <c r="B25" s="137"/>
      <c r="D25" s="74">
        <f aca="true" t="shared" si="11" ref="D25:O25">SUM(C24:D24)/2</f>
        <v>38741941.044999994</v>
      </c>
      <c r="E25" s="74">
        <f t="shared" si="11"/>
        <v>39718977.864999995</v>
      </c>
      <c r="F25" s="74">
        <f t="shared" si="11"/>
        <v>39422621.894999996</v>
      </c>
      <c r="G25" s="74">
        <f t="shared" si="11"/>
        <v>39016976.06</v>
      </c>
      <c r="H25" s="74">
        <f t="shared" si="11"/>
        <v>38755282.285</v>
      </c>
      <c r="I25" s="74">
        <f t="shared" si="11"/>
        <v>38936535.294999994</v>
      </c>
      <c r="J25" s="74">
        <f t="shared" si="11"/>
        <v>39526100.964999996</v>
      </c>
      <c r="K25" s="74">
        <f t="shared" si="11"/>
        <v>39906056.01</v>
      </c>
      <c r="L25" s="74">
        <f t="shared" si="11"/>
        <v>40118933.19499999</v>
      </c>
      <c r="M25" s="74">
        <f t="shared" si="11"/>
        <v>32425835.705</v>
      </c>
      <c r="N25" s="74">
        <f t="shared" si="11"/>
        <v>24543247.119999997</v>
      </c>
      <c r="O25" s="74">
        <f t="shared" si="11"/>
        <v>24325542.445</v>
      </c>
      <c r="P25" s="74">
        <f>SUM(D25:O25)/12</f>
        <v>36286504.157083325</v>
      </c>
      <c r="Q25" s="74">
        <f>SUM(N25:O25)/2</f>
        <v>24434394.7825</v>
      </c>
      <c r="R25" s="185">
        <f t="shared" si="2"/>
        <v>-11852109.374583326</v>
      </c>
      <c r="S25" s="74">
        <v>241497</v>
      </c>
      <c r="T25" s="74">
        <v>6066124</v>
      </c>
      <c r="U25" s="74">
        <f t="shared" si="3"/>
        <v>-2912313.5</v>
      </c>
      <c r="V25" s="74">
        <f t="shared" si="4"/>
        <v>21522081.2825</v>
      </c>
    </row>
    <row r="26" spans="1:22" s="138" customFormat="1" ht="15">
      <c r="A26" s="137">
        <f t="shared" si="0"/>
        <v>17</v>
      </c>
      <c r="B26" s="137">
        <v>2212</v>
      </c>
      <c r="C26" s="138">
        <v>522172763.48</v>
      </c>
      <c r="D26" s="189">
        <v>498465588.45</v>
      </c>
      <c r="E26" s="190">
        <v>498183230.80999994</v>
      </c>
      <c r="F26" s="190">
        <v>493769452.32</v>
      </c>
      <c r="G26" s="190">
        <v>494499232.46999997</v>
      </c>
      <c r="H26" s="190">
        <v>493776028.42999995</v>
      </c>
      <c r="I26" s="190">
        <v>493631522.57000005</v>
      </c>
      <c r="J26" s="190">
        <v>494487952.1</v>
      </c>
      <c r="K26" s="190">
        <v>495690036.36</v>
      </c>
      <c r="L26" s="190">
        <v>495337899.39</v>
      </c>
      <c r="M26" s="190">
        <v>496166805.76</v>
      </c>
      <c r="N26" s="190">
        <v>496231656.64</v>
      </c>
      <c r="O26" s="191">
        <v>497283085.2</v>
      </c>
      <c r="P26" s="74"/>
      <c r="Q26" s="74"/>
      <c r="R26" s="74">
        <f t="shared" si="2"/>
        <v>0</v>
      </c>
      <c r="S26" s="74"/>
      <c r="T26" s="74"/>
      <c r="U26" s="74">
        <f t="shared" si="3"/>
        <v>0</v>
      </c>
      <c r="V26" s="74">
        <f t="shared" si="4"/>
        <v>0</v>
      </c>
    </row>
    <row r="27" spans="1:22" s="138" customFormat="1" ht="15">
      <c r="A27" s="137">
        <f t="shared" si="0"/>
        <v>18</v>
      </c>
      <c r="B27" s="137"/>
      <c r="D27" s="74">
        <f aca="true" t="shared" si="12" ref="D27:O27">SUM(C26:D26)/2</f>
        <v>510319175.96500003</v>
      </c>
      <c r="E27" s="74">
        <f t="shared" si="12"/>
        <v>498324409.63</v>
      </c>
      <c r="F27" s="74">
        <f t="shared" si="12"/>
        <v>495976341.56499994</v>
      </c>
      <c r="G27" s="74">
        <f t="shared" si="12"/>
        <v>494134342.395</v>
      </c>
      <c r="H27" s="74">
        <f t="shared" si="12"/>
        <v>494137630.4499999</v>
      </c>
      <c r="I27" s="74">
        <f t="shared" si="12"/>
        <v>493703775.5</v>
      </c>
      <c r="J27" s="74">
        <f t="shared" si="12"/>
        <v>494059737.33500004</v>
      </c>
      <c r="K27" s="74">
        <f t="shared" si="12"/>
        <v>495088994.23</v>
      </c>
      <c r="L27" s="74">
        <f t="shared" si="12"/>
        <v>495513967.875</v>
      </c>
      <c r="M27" s="74">
        <f t="shared" si="12"/>
        <v>495752352.575</v>
      </c>
      <c r="N27" s="74">
        <f t="shared" si="12"/>
        <v>496199231.2</v>
      </c>
      <c r="O27" s="74">
        <f t="shared" si="12"/>
        <v>496757370.91999996</v>
      </c>
      <c r="P27" s="74">
        <f>SUM(D27:O27)/12</f>
        <v>496663944.1366666</v>
      </c>
      <c r="Q27" s="74">
        <f>SUM(E27:O27)/11</f>
        <v>495422559.425</v>
      </c>
      <c r="R27" s="185">
        <f t="shared" si="2"/>
        <v>-1241384.711666584</v>
      </c>
      <c r="S27" s="74">
        <v>23654122</v>
      </c>
      <c r="T27" s="74">
        <v>14617564</v>
      </c>
      <c r="U27" s="74">
        <f t="shared" si="3"/>
        <v>4518279</v>
      </c>
      <c r="V27" s="74">
        <f t="shared" si="4"/>
        <v>499940838.425</v>
      </c>
    </row>
    <row r="28" spans="1:22" s="138" customFormat="1" ht="15">
      <c r="A28" s="137">
        <f t="shared" si="0"/>
        <v>19</v>
      </c>
      <c r="B28" s="137">
        <v>2220</v>
      </c>
      <c r="C28" s="138">
        <v>898120.68</v>
      </c>
      <c r="D28" s="74">
        <v>898120.71</v>
      </c>
      <c r="E28" s="74">
        <v>910049.11</v>
      </c>
      <c r="F28" s="74">
        <v>902898.1</v>
      </c>
      <c r="G28" s="74">
        <v>902459.66</v>
      </c>
      <c r="H28" s="74">
        <v>902459.66</v>
      </c>
      <c r="I28" s="74">
        <v>751665.32</v>
      </c>
      <c r="J28" s="74">
        <v>52870.52</v>
      </c>
      <c r="K28" s="74">
        <v>49859.79</v>
      </c>
      <c r="L28" s="74">
        <v>49859.79</v>
      </c>
      <c r="M28" s="74">
        <v>49859.79</v>
      </c>
      <c r="N28" s="74">
        <v>49859.79</v>
      </c>
      <c r="O28" s="74">
        <v>58317.93</v>
      </c>
      <c r="P28" s="74"/>
      <c r="Q28" s="74"/>
      <c r="R28" s="74">
        <f t="shared" si="2"/>
        <v>0</v>
      </c>
      <c r="S28" s="74"/>
      <c r="T28" s="74"/>
      <c r="U28" s="74">
        <f t="shared" si="3"/>
        <v>0</v>
      </c>
      <c r="V28" s="74">
        <f t="shared" si="4"/>
        <v>0</v>
      </c>
    </row>
    <row r="29" spans="1:22" s="138" customFormat="1" ht="15">
      <c r="A29" s="137">
        <f t="shared" si="0"/>
        <v>20</v>
      </c>
      <c r="B29" s="137"/>
      <c r="D29" s="74">
        <f aca="true" t="shared" si="13" ref="D29:O29">SUM(C28:D28)/2</f>
        <v>898120.6950000001</v>
      </c>
      <c r="E29" s="74">
        <f t="shared" si="13"/>
        <v>904084.9099999999</v>
      </c>
      <c r="F29" s="74">
        <f t="shared" si="13"/>
        <v>906473.605</v>
      </c>
      <c r="G29" s="74">
        <f t="shared" si="13"/>
        <v>902678.88</v>
      </c>
      <c r="H29" s="74">
        <f t="shared" si="13"/>
        <v>902459.66</v>
      </c>
      <c r="I29" s="74">
        <f t="shared" si="13"/>
        <v>827062.49</v>
      </c>
      <c r="J29" s="74">
        <f t="shared" si="13"/>
        <v>402267.92</v>
      </c>
      <c r="K29" s="74">
        <f t="shared" si="13"/>
        <v>51365.155</v>
      </c>
      <c r="L29" s="74">
        <f t="shared" si="13"/>
        <v>49859.79</v>
      </c>
      <c r="M29" s="74">
        <f t="shared" si="13"/>
        <v>49859.79</v>
      </c>
      <c r="N29" s="74">
        <f t="shared" si="13"/>
        <v>49859.79</v>
      </c>
      <c r="O29" s="74">
        <f t="shared" si="13"/>
        <v>54088.86</v>
      </c>
      <c r="P29" s="74">
        <f>SUM(D29:O29)/12</f>
        <v>499848.4620833334</v>
      </c>
      <c r="Q29" s="74">
        <f>SUM(D29:O29)/12</f>
        <v>499848.4620833334</v>
      </c>
      <c r="R29" s="74">
        <f t="shared" si="2"/>
        <v>0</v>
      </c>
      <c r="S29" s="74"/>
      <c r="T29" s="74">
        <v>2954</v>
      </c>
      <c r="U29" s="74">
        <f t="shared" si="3"/>
        <v>-1477</v>
      </c>
      <c r="V29" s="74">
        <f t="shared" si="4"/>
        <v>498371.4620833334</v>
      </c>
    </row>
    <row r="30" spans="1:22" s="138" customFormat="1" ht="15">
      <c r="A30" s="137">
        <f t="shared" si="0"/>
        <v>21</v>
      </c>
      <c r="B30" s="137">
        <v>2231</v>
      </c>
      <c r="C30" s="138">
        <v>9464010.23</v>
      </c>
      <c r="D30" s="74">
        <v>9287837.43</v>
      </c>
      <c r="E30" s="74">
        <v>9355866.11</v>
      </c>
      <c r="F30" s="74">
        <v>9188363.840000002</v>
      </c>
      <c r="G30" s="74">
        <v>9144359.86</v>
      </c>
      <c r="H30" s="74">
        <v>9103345.649999999</v>
      </c>
      <c r="I30" s="74">
        <v>9133009.459999999</v>
      </c>
      <c r="J30" s="74">
        <v>9108817.1</v>
      </c>
      <c r="K30" s="74">
        <v>8667268.91</v>
      </c>
      <c r="L30" s="74">
        <v>8618061.33</v>
      </c>
      <c r="M30" s="74">
        <v>8759937.26</v>
      </c>
      <c r="N30" s="74">
        <v>8576630.9</v>
      </c>
      <c r="O30" s="74">
        <v>8581035.280000001</v>
      </c>
      <c r="P30" s="74"/>
      <c r="Q30" s="74"/>
      <c r="R30" s="74">
        <f t="shared" si="2"/>
        <v>0</v>
      </c>
      <c r="S30" s="74"/>
      <c r="T30" s="74"/>
      <c r="U30" s="74">
        <f t="shared" si="3"/>
        <v>0</v>
      </c>
      <c r="V30" s="74">
        <f t="shared" si="4"/>
        <v>0</v>
      </c>
    </row>
    <row r="31" spans="1:22" s="138" customFormat="1" ht="15">
      <c r="A31" s="137">
        <f t="shared" si="0"/>
        <v>22</v>
      </c>
      <c r="B31" s="137"/>
      <c r="D31" s="74">
        <f aca="true" t="shared" si="14" ref="D31:O31">SUM(C30:D30)/2</f>
        <v>9375923.83</v>
      </c>
      <c r="E31" s="74">
        <f t="shared" si="14"/>
        <v>9321851.77</v>
      </c>
      <c r="F31" s="74">
        <f t="shared" si="14"/>
        <v>9272114.975000001</v>
      </c>
      <c r="G31" s="74">
        <f t="shared" si="14"/>
        <v>9166361.850000001</v>
      </c>
      <c r="H31" s="74">
        <f t="shared" si="14"/>
        <v>9123852.754999999</v>
      </c>
      <c r="I31" s="74">
        <f t="shared" si="14"/>
        <v>9118177.555</v>
      </c>
      <c r="J31" s="74">
        <f t="shared" si="14"/>
        <v>9120913.28</v>
      </c>
      <c r="K31" s="74">
        <f t="shared" si="14"/>
        <v>8888043.004999999</v>
      </c>
      <c r="L31" s="74">
        <f t="shared" si="14"/>
        <v>8642665.120000001</v>
      </c>
      <c r="M31" s="74">
        <f t="shared" si="14"/>
        <v>8688999.295</v>
      </c>
      <c r="N31" s="74">
        <f t="shared" si="14"/>
        <v>8668284.08</v>
      </c>
      <c r="O31" s="74">
        <f t="shared" si="14"/>
        <v>8578833.09</v>
      </c>
      <c r="P31" s="74">
        <f>SUM(D31:O31)/12</f>
        <v>8997168.383750001</v>
      </c>
      <c r="Q31" s="74">
        <f>SUM(D31:O31)/12</f>
        <v>8997168.383750001</v>
      </c>
      <c r="R31" s="74">
        <f t="shared" si="2"/>
        <v>0</v>
      </c>
      <c r="S31" s="74"/>
      <c r="T31" s="74">
        <v>232021</v>
      </c>
      <c r="U31" s="74">
        <f t="shared" si="3"/>
        <v>-116010.5</v>
      </c>
      <c r="V31" s="74">
        <f t="shared" si="4"/>
        <v>8881157.883750001</v>
      </c>
    </row>
    <row r="32" spans="1:22" s="138" customFormat="1" ht="15">
      <c r="A32" s="137">
        <f t="shared" si="0"/>
        <v>23</v>
      </c>
      <c r="B32" s="137">
        <v>2232</v>
      </c>
      <c r="C32" s="138">
        <v>509707693.35999995</v>
      </c>
      <c r="D32" s="74">
        <v>511218497.29999995</v>
      </c>
      <c r="E32" s="74">
        <v>512021952.24000007</v>
      </c>
      <c r="F32" s="74">
        <v>513524093.37</v>
      </c>
      <c r="G32" s="74">
        <v>515789222.18</v>
      </c>
      <c r="H32" s="74">
        <v>515622481.44000006</v>
      </c>
      <c r="I32" s="74">
        <v>515193651.91999996</v>
      </c>
      <c r="J32" s="74">
        <v>514663663.17999995</v>
      </c>
      <c r="K32" s="74">
        <v>515780675.29999995</v>
      </c>
      <c r="L32" s="74">
        <v>517780855.02000004</v>
      </c>
      <c r="M32" s="74">
        <v>516690482.7899999</v>
      </c>
      <c r="N32" s="74">
        <v>518857629.96000004</v>
      </c>
      <c r="O32" s="74">
        <v>520179928.14000005</v>
      </c>
      <c r="P32" s="74"/>
      <c r="Q32" s="74"/>
      <c r="R32" s="74">
        <f t="shared" si="2"/>
        <v>0</v>
      </c>
      <c r="S32" s="74"/>
      <c r="T32" s="74"/>
      <c r="U32" s="74">
        <f t="shared" si="3"/>
        <v>0</v>
      </c>
      <c r="V32" s="74">
        <f t="shared" si="4"/>
        <v>0</v>
      </c>
    </row>
    <row r="33" spans="1:22" s="138" customFormat="1" ht="15">
      <c r="A33" s="137">
        <f t="shared" si="0"/>
        <v>24</v>
      </c>
      <c r="B33" s="137"/>
      <c r="D33" s="74">
        <f aca="true" t="shared" si="15" ref="D33:O33">SUM(C32:D32)/2</f>
        <v>510463095.3299999</v>
      </c>
      <c r="E33" s="74">
        <f t="shared" si="15"/>
        <v>511620224.77</v>
      </c>
      <c r="F33" s="74">
        <f t="shared" si="15"/>
        <v>512773022.80500007</v>
      </c>
      <c r="G33" s="74">
        <f t="shared" si="15"/>
        <v>514656657.775</v>
      </c>
      <c r="H33" s="74">
        <f t="shared" si="15"/>
        <v>515705851.81000006</v>
      </c>
      <c r="I33" s="74">
        <f t="shared" si="15"/>
        <v>515408066.68</v>
      </c>
      <c r="J33" s="74">
        <f t="shared" si="15"/>
        <v>514928657.54999995</v>
      </c>
      <c r="K33" s="74">
        <f t="shared" si="15"/>
        <v>515222169.23999995</v>
      </c>
      <c r="L33" s="74">
        <f t="shared" si="15"/>
        <v>516780765.15999997</v>
      </c>
      <c r="M33" s="74">
        <f t="shared" si="15"/>
        <v>517235668.905</v>
      </c>
      <c r="N33" s="74">
        <f t="shared" si="15"/>
        <v>517774056.375</v>
      </c>
      <c r="O33" s="74">
        <f t="shared" si="15"/>
        <v>519518779.0500001</v>
      </c>
      <c r="P33" s="74">
        <f>SUM(D33:O33)/12</f>
        <v>515173917.9541666</v>
      </c>
      <c r="Q33" s="74">
        <f>SUM(D33:O33)/12</f>
        <v>515173917.9541666</v>
      </c>
      <c r="R33" s="74">
        <f t="shared" si="2"/>
        <v>0</v>
      </c>
      <c r="S33" s="74">
        <v>21205211</v>
      </c>
      <c r="T33" s="74">
        <v>14939750</v>
      </c>
      <c r="U33" s="74">
        <f t="shared" si="3"/>
        <v>3132730.5</v>
      </c>
      <c r="V33" s="74">
        <f t="shared" si="4"/>
        <v>518306648.4541666</v>
      </c>
    </row>
    <row r="34" spans="1:22" s="138" customFormat="1" ht="15">
      <c r="A34" s="137">
        <f t="shared" si="0"/>
        <v>25</v>
      </c>
      <c r="B34" s="137">
        <v>2362</v>
      </c>
      <c r="C34" s="138">
        <v>25096732.709999997</v>
      </c>
      <c r="D34" s="74">
        <v>25154200.369999997</v>
      </c>
      <c r="E34" s="74">
        <v>25184849.77</v>
      </c>
      <c r="F34" s="74">
        <v>25209363.13</v>
      </c>
      <c r="G34" s="74">
        <v>25265585.580000002</v>
      </c>
      <c r="H34" s="74">
        <v>25319086.46</v>
      </c>
      <c r="I34" s="74">
        <v>25367928.11</v>
      </c>
      <c r="J34" s="74">
        <v>25408709.21</v>
      </c>
      <c r="K34" s="74">
        <v>25474415.28</v>
      </c>
      <c r="L34" s="74">
        <v>25508204.669999998</v>
      </c>
      <c r="M34" s="189">
        <v>15589390.05</v>
      </c>
      <c r="N34" s="190">
        <v>15653783.73</v>
      </c>
      <c r="O34" s="191">
        <v>15700112.66</v>
      </c>
      <c r="P34" s="74"/>
      <c r="Q34" s="74"/>
      <c r="R34" s="74">
        <f t="shared" si="2"/>
        <v>0</v>
      </c>
      <c r="S34" s="74"/>
      <c r="T34" s="74"/>
      <c r="U34" s="74">
        <f t="shared" si="3"/>
        <v>0</v>
      </c>
      <c r="V34" s="74">
        <f t="shared" si="4"/>
        <v>0</v>
      </c>
    </row>
    <row r="35" spans="1:22" s="138" customFormat="1" ht="15">
      <c r="A35" s="137">
        <f t="shared" si="0"/>
        <v>26</v>
      </c>
      <c r="B35" s="137"/>
      <c r="D35" s="74">
        <f aca="true" t="shared" si="16" ref="D35:O35">SUM(C34:D34)/2</f>
        <v>25125466.54</v>
      </c>
      <c r="E35" s="74">
        <f t="shared" si="16"/>
        <v>25169525.07</v>
      </c>
      <c r="F35" s="74">
        <f t="shared" si="16"/>
        <v>25197106.45</v>
      </c>
      <c r="G35" s="74">
        <f t="shared" si="16"/>
        <v>25237474.355</v>
      </c>
      <c r="H35" s="74">
        <f t="shared" si="16"/>
        <v>25292336.020000003</v>
      </c>
      <c r="I35" s="74">
        <f t="shared" si="16"/>
        <v>25343507.285</v>
      </c>
      <c r="J35" s="74">
        <f t="shared" si="16"/>
        <v>25388318.66</v>
      </c>
      <c r="K35" s="74">
        <f t="shared" si="16"/>
        <v>25441562.245</v>
      </c>
      <c r="L35" s="74">
        <f t="shared" si="16"/>
        <v>25491309.975</v>
      </c>
      <c r="M35" s="74">
        <f t="shared" si="16"/>
        <v>20548797.36</v>
      </c>
      <c r="N35" s="74">
        <f t="shared" si="16"/>
        <v>15621586.89</v>
      </c>
      <c r="O35" s="74">
        <f t="shared" si="16"/>
        <v>15676948.195</v>
      </c>
      <c r="P35" s="74">
        <f>SUM(D35:O35)/12</f>
        <v>23294494.920416664</v>
      </c>
      <c r="Q35" s="74">
        <f>SUM(N35:O35)/2</f>
        <v>15649267.5425</v>
      </c>
      <c r="R35" s="185">
        <f t="shared" si="2"/>
        <v>-7645227.377916664</v>
      </c>
      <c r="S35" s="74"/>
      <c r="T35" s="74">
        <v>2028178</v>
      </c>
      <c r="U35" s="74">
        <f t="shared" si="3"/>
        <v>-1014089</v>
      </c>
      <c r="V35" s="74">
        <f t="shared" si="4"/>
        <v>14635178.5425</v>
      </c>
    </row>
    <row r="36" spans="1:22" s="138" customFormat="1" ht="15">
      <c r="A36" s="137">
        <f t="shared" si="0"/>
        <v>27</v>
      </c>
      <c r="B36" s="137">
        <v>2411</v>
      </c>
      <c r="C36" s="138">
        <v>44757842.71</v>
      </c>
      <c r="D36" s="74">
        <v>45109000.989999995</v>
      </c>
      <c r="E36" s="74">
        <v>45029745.25</v>
      </c>
      <c r="F36" s="74">
        <v>45242976.800000004</v>
      </c>
      <c r="G36" s="74">
        <v>45198714.239999995</v>
      </c>
      <c r="H36" s="74">
        <v>45207846.989999995</v>
      </c>
      <c r="I36" s="74">
        <v>45237272.949999996</v>
      </c>
      <c r="J36" s="74">
        <v>45251127.31</v>
      </c>
      <c r="K36" s="74">
        <v>45173867.239999995</v>
      </c>
      <c r="L36" s="74">
        <v>45207706.29</v>
      </c>
      <c r="M36" s="74">
        <v>45195343.9</v>
      </c>
      <c r="N36" s="74">
        <v>45215175.879999995</v>
      </c>
      <c r="O36" s="74">
        <v>45247041.23</v>
      </c>
      <c r="P36" s="74"/>
      <c r="Q36" s="74"/>
      <c r="R36" s="74">
        <f t="shared" si="2"/>
        <v>0</v>
      </c>
      <c r="S36" s="74"/>
      <c r="T36" s="74"/>
      <c r="U36" s="74">
        <f t="shared" si="3"/>
        <v>0</v>
      </c>
      <c r="V36" s="74">
        <f t="shared" si="4"/>
        <v>0</v>
      </c>
    </row>
    <row r="37" spans="1:22" s="138" customFormat="1" ht="15">
      <c r="A37" s="137">
        <f t="shared" si="0"/>
        <v>28</v>
      </c>
      <c r="B37" s="137"/>
      <c r="D37" s="74">
        <f aca="true" t="shared" si="17" ref="D37:O37">SUM(C36:D36)/2</f>
        <v>44933421.849999994</v>
      </c>
      <c r="E37" s="74">
        <f t="shared" si="17"/>
        <v>45069373.12</v>
      </c>
      <c r="F37" s="74">
        <f t="shared" si="17"/>
        <v>45136361.025000006</v>
      </c>
      <c r="G37" s="74">
        <f t="shared" si="17"/>
        <v>45220845.519999996</v>
      </c>
      <c r="H37" s="74">
        <f t="shared" si="17"/>
        <v>45203280.614999995</v>
      </c>
      <c r="I37" s="74">
        <f t="shared" si="17"/>
        <v>45222559.97</v>
      </c>
      <c r="J37" s="74">
        <f t="shared" si="17"/>
        <v>45244200.129999995</v>
      </c>
      <c r="K37" s="74">
        <f t="shared" si="17"/>
        <v>45212497.275</v>
      </c>
      <c r="L37" s="74">
        <f t="shared" si="17"/>
        <v>45190786.765</v>
      </c>
      <c r="M37" s="74">
        <f t="shared" si="17"/>
        <v>45201525.095</v>
      </c>
      <c r="N37" s="74">
        <f t="shared" si="17"/>
        <v>45205259.89</v>
      </c>
      <c r="O37" s="74">
        <f t="shared" si="17"/>
        <v>45231108.55499999</v>
      </c>
      <c r="P37" s="74">
        <f>SUM(D37:O37)/12</f>
        <v>45172601.65083333</v>
      </c>
      <c r="Q37" s="74">
        <f>SUM(D37:O37)/12</f>
        <v>45172601.65083333</v>
      </c>
      <c r="R37" s="74">
        <f t="shared" si="2"/>
        <v>0</v>
      </c>
      <c r="S37" s="74">
        <v>2193907</v>
      </c>
      <c r="T37" s="74">
        <v>473494</v>
      </c>
      <c r="U37" s="74">
        <f t="shared" si="3"/>
        <v>860206.5</v>
      </c>
      <c r="V37" s="74">
        <f t="shared" si="4"/>
        <v>46032808.15083333</v>
      </c>
    </row>
    <row r="38" spans="1:22" s="138" customFormat="1" ht="15">
      <c r="A38" s="137">
        <f t="shared" si="0"/>
        <v>29</v>
      </c>
      <c r="B38" s="137">
        <v>2421</v>
      </c>
      <c r="C38" s="138">
        <v>218993137.81</v>
      </c>
      <c r="D38" s="74">
        <v>219493758.86</v>
      </c>
      <c r="E38" s="74">
        <v>219943764.07</v>
      </c>
      <c r="F38" s="74">
        <v>219744025.13</v>
      </c>
      <c r="G38" s="74">
        <v>220058540.94</v>
      </c>
      <c r="H38" s="74">
        <v>220392957.15999997</v>
      </c>
      <c r="I38" s="74">
        <v>220982023.72</v>
      </c>
      <c r="J38" s="74">
        <v>221145385.75</v>
      </c>
      <c r="K38" s="74">
        <v>221587954.57</v>
      </c>
      <c r="L38" s="74">
        <v>221823483.76</v>
      </c>
      <c r="M38" s="74">
        <v>221997554.1</v>
      </c>
      <c r="N38" s="74">
        <v>222355676.31</v>
      </c>
      <c r="O38" s="74">
        <v>222423173.46</v>
      </c>
      <c r="P38" s="74"/>
      <c r="Q38" s="74"/>
      <c r="R38" s="74">
        <f t="shared" si="2"/>
        <v>0</v>
      </c>
      <c r="S38" s="74"/>
      <c r="T38" s="74"/>
      <c r="U38" s="74">
        <f t="shared" si="3"/>
        <v>0</v>
      </c>
      <c r="V38" s="74">
        <f t="shared" si="4"/>
        <v>0</v>
      </c>
    </row>
    <row r="39" spans="1:22" s="138" customFormat="1" ht="15">
      <c r="A39" s="137">
        <f t="shared" si="0"/>
        <v>30</v>
      </c>
      <c r="B39" s="137"/>
      <c r="D39" s="74">
        <f aca="true" t="shared" si="18" ref="D39:O39">SUM(C38:D38)/2</f>
        <v>219243448.335</v>
      </c>
      <c r="E39" s="74">
        <f t="shared" si="18"/>
        <v>219718761.465</v>
      </c>
      <c r="F39" s="74">
        <f t="shared" si="18"/>
        <v>219843894.6</v>
      </c>
      <c r="G39" s="74">
        <f t="shared" si="18"/>
        <v>219901283.035</v>
      </c>
      <c r="H39" s="74">
        <f t="shared" si="18"/>
        <v>220225749.04999998</v>
      </c>
      <c r="I39" s="74">
        <f t="shared" si="18"/>
        <v>220687490.44</v>
      </c>
      <c r="J39" s="74">
        <f t="shared" si="18"/>
        <v>221063704.735</v>
      </c>
      <c r="K39" s="74">
        <f t="shared" si="18"/>
        <v>221366670.16</v>
      </c>
      <c r="L39" s="74">
        <f t="shared" si="18"/>
        <v>221705719.165</v>
      </c>
      <c r="M39" s="74">
        <f t="shared" si="18"/>
        <v>221910518.93</v>
      </c>
      <c r="N39" s="74">
        <f t="shared" si="18"/>
        <v>222176615.20499998</v>
      </c>
      <c r="O39" s="74">
        <f t="shared" si="18"/>
        <v>222389424.885</v>
      </c>
      <c r="P39" s="74">
        <f>SUM(D39:O39)/12</f>
        <v>220852773.33375</v>
      </c>
      <c r="Q39" s="74">
        <f>SUM(D39:O39)/12</f>
        <v>220852773.33375</v>
      </c>
      <c r="R39" s="74">
        <f t="shared" si="2"/>
        <v>0</v>
      </c>
      <c r="S39" s="74">
        <f>4447129+694562</f>
        <v>5141691</v>
      </c>
      <c r="T39" s="74">
        <f>685770+11704</f>
        <v>697474</v>
      </c>
      <c r="U39" s="74">
        <f t="shared" si="3"/>
        <v>2222108.5</v>
      </c>
      <c r="V39" s="74">
        <f t="shared" si="4"/>
        <v>223074881.83375</v>
      </c>
    </row>
    <row r="40" spans="1:22" s="138" customFormat="1" ht="15">
      <c r="A40" s="137">
        <f t="shared" si="0"/>
        <v>31</v>
      </c>
      <c r="B40" s="137">
        <v>2422</v>
      </c>
      <c r="C40" s="138">
        <v>284256053.4</v>
      </c>
      <c r="D40" s="74">
        <v>286425743.98</v>
      </c>
      <c r="E40" s="74">
        <v>287572443.76</v>
      </c>
      <c r="F40" s="74">
        <v>288473812.53999996</v>
      </c>
      <c r="G40" s="74">
        <v>289308081.7</v>
      </c>
      <c r="H40" s="74">
        <v>290163577.83</v>
      </c>
      <c r="I40" s="74">
        <v>290990883.03</v>
      </c>
      <c r="J40" s="74">
        <v>291939495.68</v>
      </c>
      <c r="K40" s="74">
        <v>292814931.25</v>
      </c>
      <c r="L40" s="74">
        <v>293694500.3</v>
      </c>
      <c r="M40" s="74">
        <v>295968845.33</v>
      </c>
      <c r="N40" s="74">
        <v>297365146.99</v>
      </c>
      <c r="O40" s="74">
        <v>297700669.17</v>
      </c>
      <c r="P40" s="74"/>
      <c r="Q40" s="74"/>
      <c r="R40" s="74">
        <f t="shared" si="2"/>
        <v>0</v>
      </c>
      <c r="S40" s="74"/>
      <c r="T40" s="74"/>
      <c r="U40" s="74">
        <f t="shared" si="3"/>
        <v>0</v>
      </c>
      <c r="V40" s="74">
        <f t="shared" si="4"/>
        <v>0</v>
      </c>
    </row>
    <row r="41" spans="1:22" s="138" customFormat="1" ht="15">
      <c r="A41" s="137">
        <f t="shared" si="0"/>
        <v>32</v>
      </c>
      <c r="B41" s="137"/>
      <c r="D41" s="74">
        <f aca="true" t="shared" si="19" ref="D41:O41">SUM(C40:D40)/2</f>
        <v>285340898.69</v>
      </c>
      <c r="E41" s="74">
        <f t="shared" si="19"/>
        <v>286999093.87</v>
      </c>
      <c r="F41" s="74">
        <f t="shared" si="19"/>
        <v>288023128.15</v>
      </c>
      <c r="G41" s="74">
        <f t="shared" si="19"/>
        <v>288890947.12</v>
      </c>
      <c r="H41" s="74">
        <f t="shared" si="19"/>
        <v>289735829.765</v>
      </c>
      <c r="I41" s="74">
        <f t="shared" si="19"/>
        <v>290577230.42999995</v>
      </c>
      <c r="J41" s="74">
        <f t="shared" si="19"/>
        <v>291465189.355</v>
      </c>
      <c r="K41" s="74">
        <f t="shared" si="19"/>
        <v>292377213.46500003</v>
      </c>
      <c r="L41" s="74">
        <f t="shared" si="19"/>
        <v>293254715.775</v>
      </c>
      <c r="M41" s="74">
        <f t="shared" si="19"/>
        <v>294831672.815</v>
      </c>
      <c r="N41" s="74">
        <f t="shared" si="19"/>
        <v>296666996.15999997</v>
      </c>
      <c r="O41" s="74">
        <f t="shared" si="19"/>
        <v>297532908.08000004</v>
      </c>
      <c r="P41" s="74">
        <f>SUM(D41:O41)/12</f>
        <v>291307985.30625</v>
      </c>
      <c r="Q41" s="74">
        <f>SUM(D41:O41)/12</f>
        <v>291307985.30625</v>
      </c>
      <c r="R41" s="74">
        <f t="shared" si="2"/>
        <v>0</v>
      </c>
      <c r="S41" s="74">
        <f>10495172+2874763</f>
        <v>13369935</v>
      </c>
      <c r="T41" s="74">
        <f>807706+282783</f>
        <v>1090489</v>
      </c>
      <c r="U41" s="74">
        <f t="shared" si="3"/>
        <v>6139723</v>
      </c>
      <c r="V41" s="74">
        <f t="shared" si="4"/>
        <v>297447708.30625</v>
      </c>
    </row>
    <row r="42" spans="1:22" s="138" customFormat="1" ht="15">
      <c r="A42" s="137">
        <f t="shared" si="0"/>
        <v>33</v>
      </c>
      <c r="B42" s="137">
        <v>2423</v>
      </c>
      <c r="C42" s="138">
        <v>421145156.90999997</v>
      </c>
      <c r="D42" s="74">
        <v>422039129.29</v>
      </c>
      <c r="E42" s="74">
        <v>422792460.81999993</v>
      </c>
      <c r="F42" s="74">
        <v>423828505.86</v>
      </c>
      <c r="G42" s="74">
        <v>423972485.77000004</v>
      </c>
      <c r="H42" s="74">
        <v>423847392.04999995</v>
      </c>
      <c r="I42" s="74">
        <v>423820820.82</v>
      </c>
      <c r="J42" s="74">
        <v>424820995.04999995</v>
      </c>
      <c r="K42" s="74">
        <v>425568250.41999996</v>
      </c>
      <c r="L42" s="74">
        <v>426037591.65</v>
      </c>
      <c r="M42" s="74">
        <v>427395229.34000003</v>
      </c>
      <c r="N42" s="74">
        <v>427704726.89</v>
      </c>
      <c r="O42" s="74">
        <v>428335025.12999994</v>
      </c>
      <c r="P42" s="74"/>
      <c r="Q42" s="74"/>
      <c r="R42" s="74">
        <f t="shared" si="2"/>
        <v>0</v>
      </c>
      <c r="S42" s="74"/>
      <c r="T42" s="74"/>
      <c r="U42" s="74">
        <f t="shared" si="3"/>
        <v>0</v>
      </c>
      <c r="V42" s="74">
        <f t="shared" si="4"/>
        <v>0</v>
      </c>
    </row>
    <row r="43" spans="1:22" s="138" customFormat="1" ht="15">
      <c r="A43" s="137">
        <f aca="true" t="shared" si="20" ref="A43:A74">+A42+1</f>
        <v>34</v>
      </c>
      <c r="B43" s="137"/>
      <c r="D43" s="74">
        <f aca="true" t="shared" si="21" ref="D43:O43">SUM(C42:D42)/2</f>
        <v>421592143.1</v>
      </c>
      <c r="E43" s="74">
        <f t="shared" si="21"/>
        <v>422415795.05499995</v>
      </c>
      <c r="F43" s="74">
        <f t="shared" si="21"/>
        <v>423310483.34</v>
      </c>
      <c r="G43" s="74">
        <f t="shared" si="21"/>
        <v>423900495.81500006</v>
      </c>
      <c r="H43" s="74">
        <f t="shared" si="21"/>
        <v>423909938.90999997</v>
      </c>
      <c r="I43" s="74">
        <f t="shared" si="21"/>
        <v>423834106.43499994</v>
      </c>
      <c r="J43" s="74">
        <f t="shared" si="21"/>
        <v>424320907.93499994</v>
      </c>
      <c r="K43" s="74">
        <f t="shared" si="21"/>
        <v>425194622.73499995</v>
      </c>
      <c r="L43" s="74">
        <f t="shared" si="21"/>
        <v>425802921.03499997</v>
      </c>
      <c r="M43" s="74">
        <f t="shared" si="21"/>
        <v>426716410.495</v>
      </c>
      <c r="N43" s="74">
        <f t="shared" si="21"/>
        <v>427549978.115</v>
      </c>
      <c r="O43" s="74">
        <f t="shared" si="21"/>
        <v>428019876.01</v>
      </c>
      <c r="P43" s="74">
        <f>SUM(D43:O43)/12</f>
        <v>424713973.2483333</v>
      </c>
      <c r="Q43" s="74">
        <f>SUM(D43:O43)/12</f>
        <v>424713973.2483333</v>
      </c>
      <c r="R43" s="74">
        <f t="shared" si="2"/>
        <v>0</v>
      </c>
      <c r="S43" s="74">
        <f>8797951+559336</f>
        <v>9357287</v>
      </c>
      <c r="T43" s="74">
        <f>1105285+30750</f>
        <v>1136035</v>
      </c>
      <c r="U43" s="74">
        <f t="shared" si="3"/>
        <v>4110626</v>
      </c>
      <c r="V43" s="74">
        <f t="shared" si="4"/>
        <v>428824599.2483333</v>
      </c>
    </row>
    <row r="44" spans="1:22" s="138" customFormat="1" ht="15">
      <c r="A44" s="137">
        <f t="shared" si="20"/>
        <v>35</v>
      </c>
      <c r="B44" s="137">
        <v>2424</v>
      </c>
      <c r="C44" s="138">
        <v>1383881.33</v>
      </c>
      <c r="D44" s="74">
        <v>1383881.33</v>
      </c>
      <c r="E44" s="74">
        <v>1383881.33</v>
      </c>
      <c r="F44" s="74">
        <v>1383881.33</v>
      </c>
      <c r="G44" s="74">
        <v>1383881.33</v>
      </c>
      <c r="H44" s="74">
        <v>1384018.35</v>
      </c>
      <c r="I44" s="74">
        <v>1384018.35</v>
      </c>
      <c r="J44" s="74">
        <v>1384018.35</v>
      </c>
      <c r="K44" s="74">
        <v>1372697.33</v>
      </c>
      <c r="L44" s="74">
        <v>1372697.33</v>
      </c>
      <c r="M44" s="74">
        <v>1372697.33</v>
      </c>
      <c r="N44" s="74">
        <v>1372697.33</v>
      </c>
      <c r="O44" s="74">
        <v>1372697.33</v>
      </c>
      <c r="P44" s="74"/>
      <c r="Q44" s="74"/>
      <c r="R44" s="74">
        <f t="shared" si="2"/>
        <v>0</v>
      </c>
      <c r="S44" s="74"/>
      <c r="T44" s="74"/>
      <c r="U44" s="74">
        <f t="shared" si="3"/>
        <v>0</v>
      </c>
      <c r="V44" s="74">
        <f t="shared" si="4"/>
        <v>0</v>
      </c>
    </row>
    <row r="45" spans="1:22" s="138" customFormat="1" ht="15">
      <c r="A45" s="137">
        <f t="shared" si="20"/>
        <v>36</v>
      </c>
      <c r="B45" s="137"/>
      <c r="D45" s="74">
        <f aca="true" t="shared" si="22" ref="D45:O45">SUM(C44:D44)/2</f>
        <v>1383881.33</v>
      </c>
      <c r="E45" s="74">
        <f t="shared" si="22"/>
        <v>1383881.33</v>
      </c>
      <c r="F45" s="74">
        <f t="shared" si="22"/>
        <v>1383881.33</v>
      </c>
      <c r="G45" s="74">
        <f t="shared" si="22"/>
        <v>1383881.33</v>
      </c>
      <c r="H45" s="74">
        <f t="shared" si="22"/>
        <v>1383949.84</v>
      </c>
      <c r="I45" s="74">
        <f t="shared" si="22"/>
        <v>1384018.35</v>
      </c>
      <c r="J45" s="74">
        <f t="shared" si="22"/>
        <v>1384018.35</v>
      </c>
      <c r="K45" s="74">
        <f t="shared" si="22"/>
        <v>1378357.84</v>
      </c>
      <c r="L45" s="74">
        <f t="shared" si="22"/>
        <v>1372697.33</v>
      </c>
      <c r="M45" s="74">
        <f t="shared" si="22"/>
        <v>1372697.33</v>
      </c>
      <c r="N45" s="74">
        <f t="shared" si="22"/>
        <v>1372697.33</v>
      </c>
      <c r="O45" s="74">
        <f t="shared" si="22"/>
        <v>1372697.33</v>
      </c>
      <c r="P45" s="74">
        <f>SUM(D45:O45)/12</f>
        <v>1379721.585</v>
      </c>
      <c r="Q45" s="74">
        <f>SUM(D45:O45)/12</f>
        <v>1379721.585</v>
      </c>
      <c r="R45" s="74">
        <f t="shared" si="2"/>
        <v>0</v>
      </c>
      <c r="S45" s="74">
        <v>1268</v>
      </c>
      <c r="T45" s="74"/>
      <c r="U45" s="74">
        <f t="shared" si="3"/>
        <v>634</v>
      </c>
      <c r="V45" s="74">
        <f t="shared" si="4"/>
        <v>1380355.585</v>
      </c>
    </row>
    <row r="46" spans="1:22" s="138" customFormat="1" ht="15">
      <c r="A46" s="137">
        <f t="shared" si="20"/>
        <v>37</v>
      </c>
      <c r="B46" s="137">
        <v>2426</v>
      </c>
      <c r="C46" s="138">
        <v>1029030.94</v>
      </c>
      <c r="D46" s="74">
        <v>1029030.94</v>
      </c>
      <c r="E46" s="74">
        <v>1028979.49</v>
      </c>
      <c r="F46" s="74">
        <v>1028979.49</v>
      </c>
      <c r="G46" s="74">
        <v>1028979.49</v>
      </c>
      <c r="H46" s="74">
        <v>1028979.49</v>
      </c>
      <c r="I46" s="74">
        <v>1028979.49</v>
      </c>
      <c r="J46" s="74">
        <v>984977.28</v>
      </c>
      <c r="K46" s="74">
        <v>984977.28</v>
      </c>
      <c r="L46" s="74">
        <v>984977.28</v>
      </c>
      <c r="M46" s="74">
        <v>155711.83</v>
      </c>
      <c r="N46" s="74">
        <v>155711.83</v>
      </c>
      <c r="O46" s="74">
        <v>155711.83</v>
      </c>
      <c r="P46" s="74"/>
      <c r="Q46" s="74"/>
      <c r="R46" s="74">
        <f t="shared" si="2"/>
        <v>0</v>
      </c>
      <c r="S46" s="74"/>
      <c r="T46" s="74"/>
      <c r="U46" s="74">
        <f t="shared" si="3"/>
        <v>0</v>
      </c>
      <c r="V46" s="74">
        <f t="shared" si="4"/>
        <v>0</v>
      </c>
    </row>
    <row r="47" spans="1:22" s="138" customFormat="1" ht="15">
      <c r="A47" s="137">
        <f t="shared" si="20"/>
        <v>38</v>
      </c>
      <c r="B47" s="137"/>
      <c r="D47" s="74">
        <f aca="true" t="shared" si="23" ref="D47:O47">SUM(C46:D46)/2</f>
        <v>1029030.94</v>
      </c>
      <c r="E47" s="74">
        <f t="shared" si="23"/>
        <v>1029005.215</v>
      </c>
      <c r="F47" s="74">
        <f t="shared" si="23"/>
        <v>1028979.49</v>
      </c>
      <c r="G47" s="74">
        <f t="shared" si="23"/>
        <v>1028979.49</v>
      </c>
      <c r="H47" s="74">
        <f t="shared" si="23"/>
        <v>1028979.49</v>
      </c>
      <c r="I47" s="74">
        <f t="shared" si="23"/>
        <v>1028979.49</v>
      </c>
      <c r="J47" s="74">
        <f t="shared" si="23"/>
        <v>1006978.385</v>
      </c>
      <c r="K47" s="74">
        <f t="shared" si="23"/>
        <v>984977.28</v>
      </c>
      <c r="L47" s="74">
        <f t="shared" si="23"/>
        <v>984977.28</v>
      </c>
      <c r="M47" s="74">
        <f t="shared" si="23"/>
        <v>570344.555</v>
      </c>
      <c r="N47" s="74">
        <f t="shared" si="23"/>
        <v>155711.83</v>
      </c>
      <c r="O47" s="74">
        <f t="shared" si="23"/>
        <v>155711.83</v>
      </c>
      <c r="P47" s="74">
        <f>SUM(D47:O47)/12</f>
        <v>836054.6062500001</v>
      </c>
      <c r="Q47" s="74">
        <f>SUM(N47:O47)/2</f>
        <v>155711.83</v>
      </c>
      <c r="R47" s="185">
        <f t="shared" si="2"/>
        <v>-680342.7762500001</v>
      </c>
      <c r="S47" s="74"/>
      <c r="T47" s="74">
        <v>43043</v>
      </c>
      <c r="U47" s="74">
        <f t="shared" si="3"/>
        <v>-21521.5</v>
      </c>
      <c r="V47" s="74">
        <f t="shared" si="4"/>
        <v>134190.32999999996</v>
      </c>
    </row>
    <row r="48" spans="1:22" s="138" customFormat="1" ht="15">
      <c r="A48" s="137">
        <f t="shared" si="20"/>
        <v>39</v>
      </c>
      <c r="B48" s="137">
        <v>2431</v>
      </c>
      <c r="C48" s="138">
        <v>42098.71</v>
      </c>
      <c r="D48" s="74">
        <v>42098.71</v>
      </c>
      <c r="E48" s="74">
        <v>42098.71</v>
      </c>
      <c r="F48" s="74">
        <v>42098.71</v>
      </c>
      <c r="G48" s="74">
        <v>42098.71</v>
      </c>
      <c r="H48" s="74">
        <v>42098.71</v>
      </c>
      <c r="I48" s="74">
        <v>42181.81</v>
      </c>
      <c r="J48" s="74">
        <v>42181.81</v>
      </c>
      <c r="K48" s="74">
        <v>43683.55</v>
      </c>
      <c r="L48" s="74">
        <v>44562.04</v>
      </c>
      <c r="M48" s="74">
        <v>44562.04</v>
      </c>
      <c r="N48" s="74">
        <v>44562.04</v>
      </c>
      <c r="O48" s="74">
        <v>44562.04</v>
      </c>
      <c r="P48" s="74"/>
      <c r="Q48" s="74"/>
      <c r="R48" s="74">
        <f t="shared" si="2"/>
        <v>0</v>
      </c>
      <c r="S48" s="74"/>
      <c r="T48" s="74"/>
      <c r="U48" s="74">
        <f t="shared" si="3"/>
        <v>0</v>
      </c>
      <c r="V48" s="74">
        <f t="shared" si="4"/>
        <v>0</v>
      </c>
    </row>
    <row r="49" spans="1:22" s="138" customFormat="1" ht="15">
      <c r="A49" s="137">
        <f t="shared" si="20"/>
        <v>40</v>
      </c>
      <c r="B49" s="137"/>
      <c r="D49" s="74">
        <f aca="true" t="shared" si="24" ref="D49:O49">SUM(C48:D48)/2</f>
        <v>42098.71</v>
      </c>
      <c r="E49" s="74">
        <f t="shared" si="24"/>
        <v>42098.71</v>
      </c>
      <c r="F49" s="74">
        <f t="shared" si="24"/>
        <v>42098.71</v>
      </c>
      <c r="G49" s="74">
        <f t="shared" si="24"/>
        <v>42098.71</v>
      </c>
      <c r="H49" s="74">
        <f t="shared" si="24"/>
        <v>42098.71</v>
      </c>
      <c r="I49" s="74">
        <f t="shared" si="24"/>
        <v>42140.259999999995</v>
      </c>
      <c r="J49" s="74">
        <f t="shared" si="24"/>
        <v>42181.81</v>
      </c>
      <c r="K49" s="74">
        <f t="shared" si="24"/>
        <v>42932.68</v>
      </c>
      <c r="L49" s="74">
        <f t="shared" si="24"/>
        <v>44122.795</v>
      </c>
      <c r="M49" s="74">
        <f t="shared" si="24"/>
        <v>44562.04</v>
      </c>
      <c r="N49" s="74">
        <f t="shared" si="24"/>
        <v>44562.04</v>
      </c>
      <c r="O49" s="74">
        <f t="shared" si="24"/>
        <v>44562.04</v>
      </c>
      <c r="P49" s="74">
        <f>SUM(D49:O49)/12</f>
        <v>42963.10124999999</v>
      </c>
      <c r="Q49" s="74">
        <f>SUM(D49:O49)/12</f>
        <v>42963.10124999999</v>
      </c>
      <c r="R49" s="74">
        <f t="shared" si="2"/>
        <v>0</v>
      </c>
      <c r="S49" s="74"/>
      <c r="T49" s="74"/>
      <c r="U49" s="74">
        <f t="shared" si="3"/>
        <v>0</v>
      </c>
      <c r="V49" s="74">
        <f t="shared" si="4"/>
        <v>42963.10124999999</v>
      </c>
    </row>
    <row r="50" spans="1:22" s="138" customFormat="1" ht="15">
      <c r="A50" s="137">
        <f t="shared" si="20"/>
        <v>41</v>
      </c>
      <c r="B50" s="137">
        <v>2441</v>
      </c>
      <c r="C50" s="138">
        <v>138204033.6</v>
      </c>
      <c r="D50" s="74">
        <v>139247829.44</v>
      </c>
      <c r="E50" s="74">
        <v>139794100.39000002</v>
      </c>
      <c r="F50" s="74">
        <v>141461336.98</v>
      </c>
      <c r="G50" s="74">
        <v>141858356</v>
      </c>
      <c r="H50" s="74">
        <v>142457365.66</v>
      </c>
      <c r="I50" s="74">
        <v>142708030.37</v>
      </c>
      <c r="J50" s="74">
        <v>143307007.25</v>
      </c>
      <c r="K50" s="74">
        <v>143855302.91</v>
      </c>
      <c r="L50" s="74">
        <v>144298270.88</v>
      </c>
      <c r="M50" s="74">
        <v>144698824.92</v>
      </c>
      <c r="N50" s="74">
        <v>145545247.76</v>
      </c>
      <c r="O50" s="74">
        <v>145884705.73</v>
      </c>
      <c r="P50" s="74"/>
      <c r="Q50" s="74"/>
      <c r="R50" s="74">
        <f t="shared" si="2"/>
        <v>0</v>
      </c>
      <c r="S50" s="74"/>
      <c r="T50" s="74"/>
      <c r="U50" s="74">
        <f t="shared" si="3"/>
        <v>0</v>
      </c>
      <c r="V50" s="74">
        <f t="shared" si="4"/>
        <v>0</v>
      </c>
    </row>
    <row r="51" spans="1:22" s="138" customFormat="1" ht="15">
      <c r="A51" s="137">
        <f t="shared" si="20"/>
        <v>42</v>
      </c>
      <c r="B51" s="137"/>
      <c r="D51" s="74">
        <f aca="true" t="shared" si="25" ref="D51:O51">SUM(C50:D50)/2</f>
        <v>138725931.51999998</v>
      </c>
      <c r="E51" s="74">
        <f t="shared" si="25"/>
        <v>139520964.91500002</v>
      </c>
      <c r="F51" s="74">
        <f t="shared" si="25"/>
        <v>140627718.685</v>
      </c>
      <c r="G51" s="74">
        <f t="shared" si="25"/>
        <v>141659846.49</v>
      </c>
      <c r="H51" s="74">
        <f t="shared" si="25"/>
        <v>142157860.82999998</v>
      </c>
      <c r="I51" s="74">
        <f t="shared" si="25"/>
        <v>142582698.015</v>
      </c>
      <c r="J51" s="74">
        <f t="shared" si="25"/>
        <v>143007518.81</v>
      </c>
      <c r="K51" s="74">
        <f t="shared" si="25"/>
        <v>143581155.07999998</v>
      </c>
      <c r="L51" s="74">
        <f t="shared" si="25"/>
        <v>144076786.89499998</v>
      </c>
      <c r="M51" s="74">
        <f t="shared" si="25"/>
        <v>144498547.89999998</v>
      </c>
      <c r="N51" s="74">
        <f t="shared" si="25"/>
        <v>145122036.33999997</v>
      </c>
      <c r="O51" s="74">
        <f t="shared" si="25"/>
        <v>145714976.745</v>
      </c>
      <c r="P51" s="74">
        <f>SUM(D51:O51)/12</f>
        <v>142606336.85208333</v>
      </c>
      <c r="Q51" s="74">
        <f>SUM(D51:O51)/12</f>
        <v>142606336.85208333</v>
      </c>
      <c r="R51" s="74">
        <f t="shared" si="2"/>
        <v>0</v>
      </c>
      <c r="S51" s="74">
        <v>6928427</v>
      </c>
      <c r="T51" s="74">
        <v>749843</v>
      </c>
      <c r="U51" s="74">
        <f t="shared" si="3"/>
        <v>3089292</v>
      </c>
      <c r="V51" s="74">
        <f t="shared" si="4"/>
        <v>145695628.85208333</v>
      </c>
    </row>
    <row r="52" spans="1:22" s="138" customFormat="1" ht="15">
      <c r="A52" s="137">
        <f t="shared" si="20"/>
        <v>43</v>
      </c>
      <c r="B52" s="137">
        <v>2681</v>
      </c>
      <c r="C52" s="138">
        <v>179605.76</v>
      </c>
      <c r="D52" s="74">
        <v>179605.76</v>
      </c>
      <c r="E52" s="74">
        <v>179605.76</v>
      </c>
      <c r="F52" s="74">
        <v>179605.76</v>
      </c>
      <c r="G52" s="74">
        <v>0</v>
      </c>
      <c r="H52" s="74">
        <v>0</v>
      </c>
      <c r="I52" s="74">
        <v>0</v>
      </c>
      <c r="J52" s="74">
        <v>0</v>
      </c>
      <c r="K52" s="74">
        <v>0</v>
      </c>
      <c r="L52" s="74">
        <v>0</v>
      </c>
      <c r="M52" s="74">
        <v>0</v>
      </c>
      <c r="N52" s="74">
        <v>0</v>
      </c>
      <c r="O52" s="74">
        <v>0</v>
      </c>
      <c r="P52" s="74"/>
      <c r="Q52" s="74"/>
      <c r="R52" s="74">
        <f t="shared" si="2"/>
        <v>0</v>
      </c>
      <c r="S52" s="74"/>
      <c r="T52" s="74"/>
      <c r="U52" s="74">
        <f t="shared" si="3"/>
        <v>0</v>
      </c>
      <c r="V52" s="74">
        <f t="shared" si="4"/>
        <v>0</v>
      </c>
    </row>
    <row r="53" spans="1:22" s="138" customFormat="1" ht="15">
      <c r="A53" s="137">
        <f t="shared" si="20"/>
        <v>44</v>
      </c>
      <c r="B53" s="137"/>
      <c r="D53" s="74">
        <f aca="true" t="shared" si="26" ref="D53:O53">SUM(C52:D52)/2</f>
        <v>179605.76</v>
      </c>
      <c r="E53" s="74">
        <f t="shared" si="26"/>
        <v>179605.76</v>
      </c>
      <c r="F53" s="74">
        <f t="shared" si="26"/>
        <v>179605.76</v>
      </c>
      <c r="G53" s="74">
        <f t="shared" si="26"/>
        <v>89802.88</v>
      </c>
      <c r="H53" s="74">
        <f t="shared" si="26"/>
        <v>0</v>
      </c>
      <c r="I53" s="74">
        <f t="shared" si="26"/>
        <v>0</v>
      </c>
      <c r="J53" s="74">
        <f t="shared" si="26"/>
        <v>0</v>
      </c>
      <c r="K53" s="74">
        <f t="shared" si="26"/>
        <v>0</v>
      </c>
      <c r="L53" s="74">
        <f t="shared" si="26"/>
        <v>0</v>
      </c>
      <c r="M53" s="74">
        <f t="shared" si="26"/>
        <v>0</v>
      </c>
      <c r="N53" s="74">
        <f t="shared" si="26"/>
        <v>0</v>
      </c>
      <c r="O53" s="74">
        <f t="shared" si="26"/>
        <v>0</v>
      </c>
      <c r="P53" s="74">
        <f>SUM(D53:O53)/12</f>
        <v>52385.013333333336</v>
      </c>
      <c r="Q53" s="74">
        <f>SUM(D53:O53)/12</f>
        <v>52385.013333333336</v>
      </c>
      <c r="R53" s="74">
        <f t="shared" si="2"/>
        <v>0</v>
      </c>
      <c r="S53" s="74"/>
      <c r="T53" s="74"/>
      <c r="U53" s="74">
        <f t="shared" si="3"/>
        <v>0</v>
      </c>
      <c r="V53" s="74">
        <f t="shared" si="4"/>
        <v>52385.013333333336</v>
      </c>
    </row>
    <row r="54" spans="1:22" s="138" customFormat="1" ht="15">
      <c r="A54" s="137">
        <f t="shared" si="20"/>
        <v>45</v>
      </c>
      <c r="B54" s="137">
        <v>2682</v>
      </c>
      <c r="C54" s="138">
        <v>260305.95</v>
      </c>
      <c r="D54" s="74">
        <v>272872.7</v>
      </c>
      <c r="E54" s="74">
        <v>261765.75</v>
      </c>
      <c r="F54" s="74">
        <v>241269.83</v>
      </c>
      <c r="G54" s="74">
        <v>266445.46</v>
      </c>
      <c r="H54" s="74">
        <v>255347.22</v>
      </c>
      <c r="I54" s="74">
        <v>246892.77</v>
      </c>
      <c r="J54" s="74">
        <v>234557.1</v>
      </c>
      <c r="K54" s="74">
        <v>225744.43</v>
      </c>
      <c r="L54" s="74">
        <v>205370.62</v>
      </c>
      <c r="M54" s="74">
        <v>197639.18</v>
      </c>
      <c r="N54" s="74">
        <v>187896.09</v>
      </c>
      <c r="O54" s="74">
        <v>187971.22</v>
      </c>
      <c r="P54" s="74"/>
      <c r="Q54" s="74"/>
      <c r="R54" s="74">
        <f t="shared" si="2"/>
        <v>0</v>
      </c>
      <c r="S54" s="74"/>
      <c r="T54" s="74"/>
      <c r="U54" s="74">
        <f t="shared" si="3"/>
        <v>0</v>
      </c>
      <c r="V54" s="74">
        <f t="shared" si="4"/>
        <v>0</v>
      </c>
    </row>
    <row r="55" spans="1:22" s="138" customFormat="1" ht="15">
      <c r="A55" s="137">
        <f t="shared" si="20"/>
        <v>46</v>
      </c>
      <c r="B55" s="137"/>
      <c r="D55" s="74">
        <f aca="true" t="shared" si="27" ref="D55:O55">SUM(C54:D54)/2</f>
        <v>266589.325</v>
      </c>
      <c r="E55" s="74">
        <f t="shared" si="27"/>
        <v>267319.225</v>
      </c>
      <c r="F55" s="74">
        <f t="shared" si="27"/>
        <v>251517.78999999998</v>
      </c>
      <c r="G55" s="74">
        <f t="shared" si="27"/>
        <v>253857.64500000002</v>
      </c>
      <c r="H55" s="74">
        <f t="shared" si="27"/>
        <v>260896.34000000003</v>
      </c>
      <c r="I55" s="74">
        <f t="shared" si="27"/>
        <v>251119.995</v>
      </c>
      <c r="J55" s="74">
        <f t="shared" si="27"/>
        <v>240724.935</v>
      </c>
      <c r="K55" s="74">
        <f t="shared" si="27"/>
        <v>230150.765</v>
      </c>
      <c r="L55" s="74">
        <f t="shared" si="27"/>
        <v>215557.525</v>
      </c>
      <c r="M55" s="74">
        <f t="shared" si="27"/>
        <v>201504.9</v>
      </c>
      <c r="N55" s="74">
        <f t="shared" si="27"/>
        <v>192767.635</v>
      </c>
      <c r="O55" s="74">
        <f t="shared" si="27"/>
        <v>187933.655</v>
      </c>
      <c r="P55" s="74">
        <f>SUM(D55:O55)/12</f>
        <v>234994.97791666666</v>
      </c>
      <c r="Q55" s="74">
        <f>SUM(D55:O55)/12</f>
        <v>234994.97791666666</v>
      </c>
      <c r="R55" s="74">
        <f t="shared" si="2"/>
        <v>0</v>
      </c>
      <c r="S55" s="74"/>
      <c r="T55" s="74">
        <v>157700</v>
      </c>
      <c r="U55" s="74">
        <f t="shared" si="3"/>
        <v>-78850</v>
      </c>
      <c r="V55" s="74">
        <f t="shared" si="4"/>
        <v>156144.97791666666</v>
      </c>
    </row>
    <row r="56" spans="1:22" s="140" customFormat="1" ht="15">
      <c r="A56" s="137">
        <f t="shared" si="20"/>
        <v>47</v>
      </c>
      <c r="B56" s="139">
        <v>2690</v>
      </c>
      <c r="C56" s="140">
        <v>10066631.489999996</v>
      </c>
      <c r="D56" s="79">
        <v>9437039.44</v>
      </c>
      <c r="E56" s="79">
        <v>9768159.070000004</v>
      </c>
      <c r="F56" s="79">
        <v>9333981.969999995</v>
      </c>
      <c r="G56" s="79">
        <v>8982491.799999997</v>
      </c>
      <c r="H56" s="79">
        <v>9362232.29</v>
      </c>
      <c r="I56" s="79">
        <v>8709457.010000002</v>
      </c>
      <c r="J56" s="79">
        <v>8629092.699999996</v>
      </c>
      <c r="K56" s="79">
        <v>8400565.680000003</v>
      </c>
      <c r="L56" s="79">
        <v>8667439.769999996</v>
      </c>
      <c r="M56" s="79">
        <v>8476906.260000002</v>
      </c>
      <c r="N56" s="79">
        <v>8170704.729999999</v>
      </c>
      <c r="O56" s="79">
        <v>8321575.540000003</v>
      </c>
      <c r="P56" s="79"/>
      <c r="Q56" s="74"/>
      <c r="R56" s="74">
        <f t="shared" si="2"/>
        <v>0</v>
      </c>
      <c r="S56" s="74"/>
      <c r="T56" s="74"/>
      <c r="U56" s="74">
        <f t="shared" si="3"/>
        <v>0</v>
      </c>
      <c r="V56" s="74">
        <f t="shared" si="4"/>
        <v>0</v>
      </c>
    </row>
    <row r="57" spans="1:22" s="142" customFormat="1" ht="15">
      <c r="A57" s="137">
        <f t="shared" si="20"/>
        <v>48</v>
      </c>
      <c r="B57" s="141"/>
      <c r="D57" s="192">
        <f aca="true" t="shared" si="28" ref="D57:O57">SUM(C56:D56)/2</f>
        <v>9751835.464999998</v>
      </c>
      <c r="E57" s="192">
        <f t="shared" si="28"/>
        <v>9602599.255000003</v>
      </c>
      <c r="F57" s="192">
        <f t="shared" si="28"/>
        <v>9551070.52</v>
      </c>
      <c r="G57" s="192">
        <f t="shared" si="28"/>
        <v>9158236.884999996</v>
      </c>
      <c r="H57" s="192">
        <f t="shared" si="28"/>
        <v>9172362.044999998</v>
      </c>
      <c r="I57" s="192">
        <f t="shared" si="28"/>
        <v>9035844.65</v>
      </c>
      <c r="J57" s="192">
        <f t="shared" si="28"/>
        <v>8669274.854999999</v>
      </c>
      <c r="K57" s="192">
        <f t="shared" si="28"/>
        <v>8514829.19</v>
      </c>
      <c r="L57" s="192">
        <f t="shared" si="28"/>
        <v>8534002.725</v>
      </c>
      <c r="M57" s="192">
        <f t="shared" si="28"/>
        <v>8572173.014999999</v>
      </c>
      <c r="N57" s="192">
        <f t="shared" si="28"/>
        <v>8323805.495</v>
      </c>
      <c r="O57" s="192">
        <f t="shared" si="28"/>
        <v>8246140.135000001</v>
      </c>
      <c r="P57" s="192">
        <f>SUM(D57:O57)/12</f>
        <v>8927681.18625</v>
      </c>
      <c r="Q57" s="192">
        <f>SUM(D57:O57)/12</f>
        <v>8927681.18625</v>
      </c>
      <c r="R57" s="192">
        <f t="shared" si="2"/>
        <v>0</v>
      </c>
      <c r="S57" s="192">
        <f>1757565+170469-1</f>
        <v>1928033</v>
      </c>
      <c r="T57" s="192">
        <v>10840974</v>
      </c>
      <c r="U57" s="192">
        <f t="shared" si="3"/>
        <v>-4456470.5</v>
      </c>
      <c r="V57" s="192">
        <f t="shared" si="4"/>
        <v>4471210.686249999</v>
      </c>
    </row>
    <row r="58" spans="1:22" s="138" customFormat="1" ht="15">
      <c r="A58" s="137">
        <f t="shared" si="20"/>
        <v>49</v>
      </c>
      <c r="B58" s="137" t="s">
        <v>337</v>
      </c>
      <c r="C58" s="138">
        <f>SUM(C10:C56)</f>
        <v>2476012265.0799994</v>
      </c>
      <c r="D58" s="74">
        <f aca="true" t="shared" si="29" ref="D58:O58">+D10+D12+D14+D16+D18+D20+D22+D24+D26+D28+D30+D32+D34+D36+D38+D40+D42+D44+D46+D48+D50+D52+D54+D56</f>
        <v>2456600529.21</v>
      </c>
      <c r="E58" s="74">
        <f t="shared" si="29"/>
        <v>2460966822.85</v>
      </c>
      <c r="F58" s="74">
        <f t="shared" si="29"/>
        <v>2441851752.99</v>
      </c>
      <c r="G58" s="74">
        <f t="shared" si="29"/>
        <v>2462748267.44</v>
      </c>
      <c r="H58" s="74">
        <f t="shared" si="29"/>
        <v>2463103708.2299995</v>
      </c>
      <c r="I58" s="74">
        <f t="shared" si="29"/>
        <v>2465074904.1299996</v>
      </c>
      <c r="J58" s="74">
        <f t="shared" si="29"/>
        <v>2467054793.75</v>
      </c>
      <c r="K58" s="74">
        <f t="shared" si="29"/>
        <v>2475125507.4699993</v>
      </c>
      <c r="L58" s="74">
        <f t="shared" si="29"/>
        <v>2469766683.19</v>
      </c>
      <c r="M58" s="74">
        <f t="shared" si="29"/>
        <v>2445143447.4799995</v>
      </c>
      <c r="N58" s="74">
        <f t="shared" si="29"/>
        <v>2449288674.7999997</v>
      </c>
      <c r="O58" s="74">
        <f t="shared" si="29"/>
        <v>2459010287.16</v>
      </c>
      <c r="P58" s="74"/>
      <c r="Q58" s="74"/>
      <c r="R58" s="74"/>
      <c r="S58" s="74"/>
      <c r="T58" s="74"/>
      <c r="U58" s="74"/>
      <c r="V58" s="74"/>
    </row>
    <row r="59" spans="1:22" s="138" customFormat="1" ht="15">
      <c r="A59" s="137">
        <f t="shared" si="20"/>
        <v>50</v>
      </c>
      <c r="B59" s="137" t="s">
        <v>338</v>
      </c>
      <c r="D59" s="74">
        <f aca="true" t="shared" si="30" ref="D59:O59">+D11+D13+D15+D17+D19+D21+D23+D25+D27+D29+D31+D33+D35+D37+D39+D41+D43+D45+D47+D49+D51+D53+D55+D57</f>
        <v>2466306397.145</v>
      </c>
      <c r="E59" s="74">
        <f t="shared" si="30"/>
        <v>2458783676.0299997</v>
      </c>
      <c r="F59" s="74">
        <f t="shared" si="30"/>
        <v>2451409287.92</v>
      </c>
      <c r="G59" s="74">
        <f t="shared" si="30"/>
        <v>2452300010.2150006</v>
      </c>
      <c r="H59" s="74">
        <f t="shared" si="30"/>
        <v>2462925987.8349996</v>
      </c>
      <c r="I59" s="74">
        <f t="shared" si="30"/>
        <v>2464089306.18</v>
      </c>
      <c r="J59" s="74">
        <f t="shared" si="30"/>
        <v>2466064848.94</v>
      </c>
      <c r="K59" s="74">
        <f t="shared" si="30"/>
        <v>2471090150.61</v>
      </c>
      <c r="L59" s="74">
        <f t="shared" si="30"/>
        <v>2472446095.33</v>
      </c>
      <c r="M59" s="74">
        <f t="shared" si="30"/>
        <v>2457455065.3349996</v>
      </c>
      <c r="N59" s="74">
        <f t="shared" si="30"/>
        <v>2447216061.1400003</v>
      </c>
      <c r="O59" s="74">
        <f t="shared" si="30"/>
        <v>2454149480.98</v>
      </c>
      <c r="P59" s="185">
        <f aca="true" t="shared" si="31" ref="P59:V59">SUM(P10:P57)</f>
        <v>2460353030.6383333</v>
      </c>
      <c r="Q59" s="185">
        <f t="shared" si="31"/>
        <v>2438933966.397917</v>
      </c>
      <c r="R59" s="185">
        <f t="shared" si="31"/>
        <v>-21419064.240416575</v>
      </c>
      <c r="S59" s="79">
        <f t="shared" si="31"/>
        <v>88729000</v>
      </c>
      <c r="T59" s="79">
        <f t="shared" si="31"/>
        <v>57598413</v>
      </c>
      <c r="U59" s="185">
        <f t="shared" si="31"/>
        <v>15565293.5</v>
      </c>
      <c r="V59" s="79">
        <f t="shared" si="31"/>
        <v>2454499259.897917</v>
      </c>
    </row>
    <row r="60" spans="1:23" s="138" customFormat="1" ht="15">
      <c r="A60" s="137">
        <f t="shared" si="20"/>
        <v>51</v>
      </c>
      <c r="B60" s="137"/>
      <c r="D60" s="74"/>
      <c r="E60" s="74"/>
      <c r="F60" s="74"/>
      <c r="G60" s="74"/>
      <c r="H60" s="74"/>
      <c r="I60" s="74"/>
      <c r="J60" s="74"/>
      <c r="K60" s="74"/>
      <c r="L60" s="74"/>
      <c r="M60" s="74"/>
      <c r="N60" s="74"/>
      <c r="O60" s="74"/>
      <c r="P60" s="79"/>
      <c r="Q60" s="79"/>
      <c r="R60" s="143" t="s">
        <v>339</v>
      </c>
      <c r="S60" s="79" t="s">
        <v>340</v>
      </c>
      <c r="T60" s="79"/>
      <c r="U60" s="143" t="s">
        <v>341</v>
      </c>
      <c r="V60" s="74">
        <f>SUM(P59+R59+U59)</f>
        <v>2454499259.897917</v>
      </c>
      <c r="W60" s="138" t="s">
        <v>342</v>
      </c>
    </row>
    <row r="61" spans="1:22" s="138" customFormat="1" ht="15">
      <c r="A61" s="137">
        <f t="shared" si="20"/>
        <v>52</v>
      </c>
      <c r="B61" s="137"/>
      <c r="D61" s="74"/>
      <c r="E61" s="74"/>
      <c r="F61" s="74"/>
      <c r="G61" s="74"/>
      <c r="H61" s="74"/>
      <c r="I61" s="74"/>
      <c r="J61" s="74"/>
      <c r="K61" s="74"/>
      <c r="L61" s="74"/>
      <c r="M61" s="74"/>
      <c r="N61" s="74" t="s">
        <v>343</v>
      </c>
      <c r="O61" s="185">
        <f>SUM(D59:O59)/12</f>
        <v>2460353030.6383333</v>
      </c>
      <c r="P61" s="74"/>
      <c r="Q61" s="74"/>
      <c r="R61" s="74"/>
      <c r="S61" s="74"/>
      <c r="T61" s="74"/>
      <c r="U61" s="74"/>
      <c r="V61" s="74"/>
    </row>
    <row r="62" spans="1:22" s="138" customFormat="1" ht="15">
      <c r="A62" s="137">
        <f t="shared" si="20"/>
        <v>53</v>
      </c>
      <c r="B62" s="137">
        <v>3410</v>
      </c>
      <c r="C62" s="138">
        <v>-7414.97</v>
      </c>
      <c r="D62" s="74">
        <v>-8256.02</v>
      </c>
      <c r="E62" s="74">
        <v>-9097.1</v>
      </c>
      <c r="F62" s="74">
        <v>-9938.15</v>
      </c>
      <c r="G62" s="74">
        <v>0</v>
      </c>
      <c r="H62" s="74">
        <v>0</v>
      </c>
      <c r="I62" s="74">
        <v>0</v>
      </c>
      <c r="J62" s="74">
        <v>0</v>
      </c>
      <c r="K62" s="74">
        <v>0</v>
      </c>
      <c r="L62" s="74">
        <v>0</v>
      </c>
      <c r="M62" s="74">
        <v>0</v>
      </c>
      <c r="N62" s="74">
        <v>0</v>
      </c>
      <c r="O62" s="74">
        <v>0</v>
      </c>
      <c r="P62" s="74"/>
      <c r="Q62" s="74"/>
      <c r="R62" s="74"/>
      <c r="S62" s="74"/>
      <c r="T62" s="74"/>
      <c r="U62" s="74"/>
      <c r="V62" s="74"/>
    </row>
    <row r="63" spans="1:22" ht="15">
      <c r="A63" s="67">
        <f t="shared" si="20"/>
        <v>54</v>
      </c>
      <c r="D63" s="184">
        <f aca="true" t="shared" si="32" ref="D63:O63">SUM(C62:D62)/2</f>
        <v>-7835.495000000001</v>
      </c>
      <c r="E63" s="184">
        <f t="shared" si="32"/>
        <v>-8676.560000000001</v>
      </c>
      <c r="F63" s="184">
        <f t="shared" si="32"/>
        <v>-9517.625</v>
      </c>
      <c r="G63" s="184">
        <f t="shared" si="32"/>
        <v>-4969.075</v>
      </c>
      <c r="H63" s="184">
        <f t="shared" si="32"/>
        <v>0</v>
      </c>
      <c r="I63" s="184">
        <f t="shared" si="32"/>
        <v>0</v>
      </c>
      <c r="J63" s="184">
        <f t="shared" si="32"/>
        <v>0</v>
      </c>
      <c r="K63" s="184">
        <f t="shared" si="32"/>
        <v>0</v>
      </c>
      <c r="L63" s="184">
        <f t="shared" si="32"/>
        <v>0</v>
      </c>
      <c r="M63" s="184">
        <f t="shared" si="32"/>
        <v>0</v>
      </c>
      <c r="N63" s="184">
        <f t="shared" si="32"/>
        <v>0</v>
      </c>
      <c r="O63" s="184">
        <f t="shared" si="32"/>
        <v>0</v>
      </c>
      <c r="P63" s="184">
        <f>SUM(D63:O63)/12</f>
        <v>-2583.2295833333333</v>
      </c>
      <c r="Q63" s="184">
        <f>SUM(D63:O63)/12</f>
        <v>-2583.2295833333333</v>
      </c>
      <c r="R63" s="184">
        <f>Q63-P63</f>
        <v>0</v>
      </c>
      <c r="S63" s="184"/>
      <c r="T63" s="184"/>
      <c r="U63" s="184"/>
      <c r="V63" s="184"/>
    </row>
    <row r="64" spans="1:22" ht="15">
      <c r="A64" s="67">
        <f t="shared" si="20"/>
        <v>55</v>
      </c>
      <c r="B64" s="67">
        <v>4371</v>
      </c>
      <c r="C64" s="136">
        <v>229949246.85000002</v>
      </c>
      <c r="D64" s="184">
        <v>230726471.67000002</v>
      </c>
      <c r="E64" s="184">
        <v>231434489.49</v>
      </c>
      <c r="F64" s="184">
        <v>232183328.40999997</v>
      </c>
      <c r="G64" s="184">
        <v>232955397.35</v>
      </c>
      <c r="H64" s="184">
        <v>233704316.57000002</v>
      </c>
      <c r="I64" s="184">
        <v>234821085.33</v>
      </c>
      <c r="J64" s="184">
        <v>235577338.82</v>
      </c>
      <c r="K64" s="184">
        <v>236312535.73999998</v>
      </c>
      <c r="L64" s="184">
        <v>237069169.84</v>
      </c>
      <c r="M64" s="184">
        <v>237909430.92000002</v>
      </c>
      <c r="N64" s="184">
        <v>239055071.61</v>
      </c>
      <c r="O64" s="184">
        <v>239979457.60000002</v>
      </c>
      <c r="P64" s="184"/>
      <c r="Q64" s="184"/>
      <c r="R64" s="184">
        <f>+Q64-P64</f>
        <v>0</v>
      </c>
      <c r="S64" s="184"/>
      <c r="T64" s="184"/>
      <c r="U64" s="184"/>
      <c r="V64" s="184"/>
    </row>
    <row r="65" spans="1:22" ht="15">
      <c r="A65" s="67">
        <f t="shared" si="20"/>
        <v>56</v>
      </c>
      <c r="D65" s="184">
        <f aca="true" t="shared" si="33" ref="D65:O65">SUM(C64:D64)/2</f>
        <v>230337859.26000002</v>
      </c>
      <c r="E65" s="184">
        <f t="shared" si="33"/>
        <v>231080480.58</v>
      </c>
      <c r="F65" s="184">
        <f t="shared" si="33"/>
        <v>231808908.95</v>
      </c>
      <c r="G65" s="184">
        <f t="shared" si="33"/>
        <v>232569362.88</v>
      </c>
      <c r="H65" s="184">
        <f t="shared" si="33"/>
        <v>233329856.96</v>
      </c>
      <c r="I65" s="184">
        <f t="shared" si="33"/>
        <v>234262700.95000002</v>
      </c>
      <c r="J65" s="184">
        <f t="shared" si="33"/>
        <v>235199212.075</v>
      </c>
      <c r="K65" s="184">
        <f t="shared" si="33"/>
        <v>235944937.27999997</v>
      </c>
      <c r="L65" s="184">
        <f t="shared" si="33"/>
        <v>236690852.79</v>
      </c>
      <c r="M65" s="184">
        <f t="shared" si="33"/>
        <v>237489300.38</v>
      </c>
      <c r="N65" s="184">
        <f t="shared" si="33"/>
        <v>238482251.26500002</v>
      </c>
      <c r="O65" s="184">
        <f t="shared" si="33"/>
        <v>239517264.60500002</v>
      </c>
      <c r="P65" s="184">
        <f>SUM(D65:O65)/12</f>
        <v>234726082.33124998</v>
      </c>
      <c r="Q65" s="184">
        <f>SUM(D65:O65)/12</f>
        <v>234726082.33124998</v>
      </c>
      <c r="R65" s="184">
        <f>Q65-P65</f>
        <v>0</v>
      </c>
      <c r="S65" s="184"/>
      <c r="T65" s="184"/>
      <c r="U65" s="184"/>
      <c r="V65" s="184"/>
    </row>
    <row r="66" spans="1:22" ht="15">
      <c r="A66" s="67">
        <f t="shared" si="20"/>
        <v>57</v>
      </c>
      <c r="B66" s="67" t="s">
        <v>344</v>
      </c>
      <c r="C66" s="136">
        <v>-8143045.3</v>
      </c>
      <c r="D66" s="184">
        <v>-8007490.21</v>
      </c>
      <c r="E66" s="184">
        <v>-8040182.179999999</v>
      </c>
      <c r="F66" s="184">
        <v>-6777472.640000001</v>
      </c>
      <c r="G66" s="184">
        <v>-8756578.95</v>
      </c>
      <c r="H66" s="184">
        <v>-8971338.11</v>
      </c>
      <c r="I66" s="184">
        <v>-9142288.85</v>
      </c>
      <c r="J66" s="184">
        <v>-8580828.06</v>
      </c>
      <c r="K66" s="184">
        <v>-8783498.26</v>
      </c>
      <c r="L66" s="184">
        <v>-7549014.409999999</v>
      </c>
      <c r="M66" s="184">
        <v>-7616347.920000001</v>
      </c>
      <c r="N66" s="184">
        <v>-7388064.59</v>
      </c>
      <c r="O66" s="184">
        <v>-7730761.100000001</v>
      </c>
      <c r="P66" s="184"/>
      <c r="Q66" s="184"/>
      <c r="R66" s="184">
        <f>+Q66-P66</f>
        <v>0</v>
      </c>
      <c r="S66" s="184"/>
      <c r="T66" s="184"/>
      <c r="U66" s="184"/>
      <c r="V66" s="184"/>
    </row>
    <row r="67" spans="1:22" ht="15">
      <c r="A67" s="67">
        <f t="shared" si="20"/>
        <v>58</v>
      </c>
      <c r="D67" s="184">
        <f aca="true" t="shared" si="34" ref="D67:O67">SUM(C66:D66)/2</f>
        <v>-8075267.755</v>
      </c>
      <c r="E67" s="184">
        <f t="shared" si="34"/>
        <v>-8023836.194999999</v>
      </c>
      <c r="F67" s="184">
        <f t="shared" si="34"/>
        <v>-7408827.41</v>
      </c>
      <c r="G67" s="184">
        <f t="shared" si="34"/>
        <v>-7767025.795</v>
      </c>
      <c r="H67" s="184">
        <f t="shared" si="34"/>
        <v>-8863958.53</v>
      </c>
      <c r="I67" s="184">
        <f t="shared" si="34"/>
        <v>-9056813.48</v>
      </c>
      <c r="J67" s="184">
        <f t="shared" si="34"/>
        <v>-8861558.455</v>
      </c>
      <c r="K67" s="184">
        <f t="shared" si="34"/>
        <v>-8682163.16</v>
      </c>
      <c r="L67" s="184">
        <f t="shared" si="34"/>
        <v>-8166256.334999999</v>
      </c>
      <c r="M67" s="184">
        <f t="shared" si="34"/>
        <v>-7582681.165</v>
      </c>
      <c r="N67" s="184">
        <f t="shared" si="34"/>
        <v>-7502206.255000001</v>
      </c>
      <c r="O67" s="184">
        <f t="shared" si="34"/>
        <v>-7559412.845000001</v>
      </c>
      <c r="P67" s="184">
        <f>SUM(D67:O67)/12</f>
        <v>-8129167.281666666</v>
      </c>
      <c r="Q67" s="184">
        <f>SUM(D67:O67)/12</f>
        <v>-8129167.281666666</v>
      </c>
      <c r="R67" s="184">
        <f>Q67-P67</f>
        <v>0</v>
      </c>
      <c r="S67" s="184"/>
      <c r="T67" s="184"/>
      <c r="U67" s="184"/>
      <c r="V67" s="184"/>
    </row>
    <row r="68" spans="1:22" ht="15">
      <c r="A68" s="67">
        <f t="shared" si="20"/>
        <v>59</v>
      </c>
      <c r="B68" s="67" t="s">
        <v>345</v>
      </c>
      <c r="C68" s="136">
        <v>-442355.87</v>
      </c>
      <c r="D68" s="184">
        <v>-460273.76</v>
      </c>
      <c r="E68" s="184">
        <v>-455882.08</v>
      </c>
      <c r="F68" s="184">
        <v>-279182.96</v>
      </c>
      <c r="G68" s="184">
        <v>-416385.97</v>
      </c>
      <c r="H68" s="184">
        <v>-421950.26</v>
      </c>
      <c r="I68" s="184">
        <v>-437022.93</v>
      </c>
      <c r="J68" s="184">
        <v>-447269.76</v>
      </c>
      <c r="K68" s="184">
        <v>-441594.53</v>
      </c>
      <c r="L68" s="184">
        <v>-393649.59</v>
      </c>
      <c r="M68" s="184">
        <v>-406228.02</v>
      </c>
      <c r="N68" s="184">
        <v>-422293.72</v>
      </c>
      <c r="O68" s="184">
        <v>-432007.63</v>
      </c>
      <c r="P68" s="184"/>
      <c r="Q68" s="184"/>
      <c r="R68" s="184">
        <f>+Q68-P68</f>
        <v>0</v>
      </c>
      <c r="S68" s="184"/>
      <c r="T68" s="184"/>
      <c r="U68" s="184"/>
      <c r="V68" s="184"/>
    </row>
    <row r="69" spans="1:22" ht="15">
      <c r="A69" s="67">
        <f t="shared" si="20"/>
        <v>60</v>
      </c>
      <c r="D69" s="184">
        <f aca="true" t="shared" si="35" ref="D69:O69">SUM(C68:D68)/2</f>
        <v>-451314.815</v>
      </c>
      <c r="E69" s="184">
        <f t="shared" si="35"/>
        <v>-458077.92000000004</v>
      </c>
      <c r="F69" s="184">
        <f t="shared" si="35"/>
        <v>-367532.52</v>
      </c>
      <c r="G69" s="184">
        <f t="shared" si="35"/>
        <v>-347784.46499999997</v>
      </c>
      <c r="H69" s="184">
        <f t="shared" si="35"/>
        <v>-419168.115</v>
      </c>
      <c r="I69" s="184">
        <f t="shared" si="35"/>
        <v>-429486.595</v>
      </c>
      <c r="J69" s="184">
        <f t="shared" si="35"/>
        <v>-442146.345</v>
      </c>
      <c r="K69" s="184">
        <f t="shared" si="35"/>
        <v>-444432.145</v>
      </c>
      <c r="L69" s="184">
        <f t="shared" si="35"/>
        <v>-417622.06000000006</v>
      </c>
      <c r="M69" s="184">
        <f t="shared" si="35"/>
        <v>-399938.80500000005</v>
      </c>
      <c r="N69" s="184">
        <f t="shared" si="35"/>
        <v>-414260.87</v>
      </c>
      <c r="O69" s="184">
        <f t="shared" si="35"/>
        <v>-427150.675</v>
      </c>
      <c r="P69" s="184">
        <f>SUM(D69:O69)/12</f>
        <v>-418242.94416666665</v>
      </c>
      <c r="Q69" s="184">
        <f>SUM(D69:O69)/12</f>
        <v>-418242.94416666665</v>
      </c>
      <c r="R69" s="184">
        <f>Q69-P69</f>
        <v>0</v>
      </c>
      <c r="S69" s="184"/>
      <c r="T69" s="184"/>
      <c r="U69" s="184"/>
      <c r="V69" s="184"/>
    </row>
    <row r="70" spans="1:22" ht="15">
      <c r="A70" s="67">
        <f t="shared" si="20"/>
        <v>61</v>
      </c>
      <c r="B70" s="67" t="s">
        <v>346</v>
      </c>
      <c r="C70" s="136">
        <v>-15631438.88</v>
      </c>
      <c r="D70" s="184">
        <v>-16194761.24</v>
      </c>
      <c r="E70" s="184">
        <v>-16076850.089999998</v>
      </c>
      <c r="F70" s="184">
        <v>-9617381.159999998</v>
      </c>
      <c r="G70" s="184">
        <v>-13923961.040000001</v>
      </c>
      <c r="H70" s="184">
        <v>-14107384.82</v>
      </c>
      <c r="I70" s="184">
        <v>-14512669.769999998</v>
      </c>
      <c r="J70" s="184">
        <v>-14959092.879999999</v>
      </c>
      <c r="K70" s="184">
        <v>-14746956.6</v>
      </c>
      <c r="L70" s="184">
        <v>-13228288.27</v>
      </c>
      <c r="M70" s="184">
        <v>-13586951</v>
      </c>
      <c r="N70" s="184">
        <v>-14062397.450000001</v>
      </c>
      <c r="O70" s="184">
        <v>-14360110.35</v>
      </c>
      <c r="P70" s="184"/>
      <c r="Q70" s="184"/>
      <c r="R70" s="184">
        <f>+Q70-P70</f>
        <v>0</v>
      </c>
      <c r="S70" s="184"/>
      <c r="T70" s="184"/>
      <c r="U70" s="184"/>
      <c r="V70" s="184"/>
    </row>
    <row r="71" spans="1:22" ht="15">
      <c r="A71" s="67">
        <f t="shared" si="20"/>
        <v>62</v>
      </c>
      <c r="D71" s="184">
        <f aca="true" t="shared" si="36" ref="D71:O71">SUM(C70:D70)/2</f>
        <v>-15913100.06</v>
      </c>
      <c r="E71" s="184">
        <f t="shared" si="36"/>
        <v>-16135805.665</v>
      </c>
      <c r="F71" s="184">
        <f t="shared" si="36"/>
        <v>-12847115.624999998</v>
      </c>
      <c r="G71" s="184">
        <f t="shared" si="36"/>
        <v>-11770671.1</v>
      </c>
      <c r="H71" s="184">
        <f t="shared" si="36"/>
        <v>-14015672.93</v>
      </c>
      <c r="I71" s="184">
        <f t="shared" si="36"/>
        <v>-14310027.294999998</v>
      </c>
      <c r="J71" s="184">
        <f t="shared" si="36"/>
        <v>-14735881.325</v>
      </c>
      <c r="K71" s="184">
        <f t="shared" si="36"/>
        <v>-14853024.739999998</v>
      </c>
      <c r="L71" s="184">
        <f t="shared" si="36"/>
        <v>-13987622.434999999</v>
      </c>
      <c r="M71" s="184">
        <f t="shared" si="36"/>
        <v>-13407619.635</v>
      </c>
      <c r="N71" s="184">
        <f t="shared" si="36"/>
        <v>-13824674.225000001</v>
      </c>
      <c r="O71" s="184">
        <f t="shared" si="36"/>
        <v>-14211253.9</v>
      </c>
      <c r="P71" s="184">
        <f>SUM(D71:O71)/12</f>
        <v>-14167705.744583333</v>
      </c>
      <c r="Q71" s="184">
        <f>SUM(D71:O71)/12</f>
        <v>-14167705.744583333</v>
      </c>
      <c r="R71" s="184">
        <f>Q71-P71</f>
        <v>0</v>
      </c>
      <c r="S71" s="184"/>
      <c r="T71" s="184"/>
      <c r="U71" s="184"/>
      <c r="V71" s="184"/>
    </row>
    <row r="72" spans="1:22" ht="15">
      <c r="A72" s="67">
        <f t="shared" si="20"/>
        <v>63</v>
      </c>
      <c r="B72" s="67" t="s">
        <v>347</v>
      </c>
      <c r="C72" s="136">
        <v>-39229687.730000004</v>
      </c>
      <c r="D72" s="184">
        <v>-38836477.870000005</v>
      </c>
      <c r="E72" s="184">
        <v>-38941040.69</v>
      </c>
      <c r="F72" s="184">
        <v>-38422996.58</v>
      </c>
      <c r="G72" s="184">
        <v>-39950691.690000005</v>
      </c>
      <c r="H72" s="184">
        <v>-40279378.39</v>
      </c>
      <c r="I72" s="184">
        <v>-40402139.68999999</v>
      </c>
      <c r="J72" s="184">
        <v>-40610994.35</v>
      </c>
      <c r="K72" s="184">
        <v>-41497890.36000001</v>
      </c>
      <c r="L72" s="184">
        <v>-40877271.489999995</v>
      </c>
      <c r="M72" s="184">
        <v>-40880905.370000005</v>
      </c>
      <c r="N72" s="184">
        <v>-40707406.190000005</v>
      </c>
      <c r="O72" s="184">
        <v>-41166522.2</v>
      </c>
      <c r="P72" s="184"/>
      <c r="Q72" s="184"/>
      <c r="R72" s="184">
        <f>+Q72-P72</f>
        <v>0</v>
      </c>
      <c r="S72" s="146"/>
      <c r="T72" s="193" t="s">
        <v>348</v>
      </c>
      <c r="U72" s="184"/>
      <c r="V72" s="184"/>
    </row>
    <row r="73" spans="1:22" ht="15">
      <c r="A73" s="67">
        <f t="shared" si="20"/>
        <v>64</v>
      </c>
      <c r="D73" s="184">
        <f aca="true" t="shared" si="37" ref="D73:O73">SUM(C72:D72)/2</f>
        <v>-39033082.800000004</v>
      </c>
      <c r="E73" s="184">
        <f t="shared" si="37"/>
        <v>-38888759.28</v>
      </c>
      <c r="F73" s="184">
        <f t="shared" si="37"/>
        <v>-38682018.635</v>
      </c>
      <c r="G73" s="184">
        <f t="shared" si="37"/>
        <v>-39186844.135000005</v>
      </c>
      <c r="H73" s="184">
        <f t="shared" si="37"/>
        <v>-40115035.04000001</v>
      </c>
      <c r="I73" s="184">
        <f t="shared" si="37"/>
        <v>-40340759.03999999</v>
      </c>
      <c r="J73" s="184">
        <f t="shared" si="37"/>
        <v>-40506567.019999996</v>
      </c>
      <c r="K73" s="184">
        <f t="shared" si="37"/>
        <v>-41054442.355000004</v>
      </c>
      <c r="L73" s="184">
        <f t="shared" si="37"/>
        <v>-41187580.925</v>
      </c>
      <c r="M73" s="184">
        <f t="shared" si="37"/>
        <v>-40879088.43</v>
      </c>
      <c r="N73" s="184">
        <f t="shared" si="37"/>
        <v>-40794155.78</v>
      </c>
      <c r="O73" s="184">
        <f t="shared" si="37"/>
        <v>-40936964.19500001</v>
      </c>
      <c r="P73" s="184">
        <f>SUM(D73:O73)/12</f>
        <v>-40133774.80291667</v>
      </c>
      <c r="Q73" s="184">
        <f>SUM(D73:O73)/12</f>
        <v>-40133774.80291667</v>
      </c>
      <c r="R73" s="184">
        <f>Q73-P73</f>
        <v>0</v>
      </c>
      <c r="S73" s="184"/>
      <c r="T73" s="184"/>
      <c r="U73" s="184"/>
      <c r="V73" s="184"/>
    </row>
    <row r="74" spans="1:22" ht="15">
      <c r="A74" s="67">
        <f t="shared" si="20"/>
        <v>65</v>
      </c>
      <c r="B74" s="67" t="s">
        <v>349</v>
      </c>
      <c r="C74" s="136">
        <v>-5841004.279999999</v>
      </c>
      <c r="D74" s="184">
        <v>-5645217.27</v>
      </c>
      <c r="E74" s="184">
        <v>-5650541.249999999</v>
      </c>
      <c r="F74" s="184">
        <v>-4589895.2</v>
      </c>
      <c r="G74" s="184">
        <v>-4686082.83</v>
      </c>
      <c r="H74" s="184">
        <v>-4690364.63</v>
      </c>
      <c r="I74" s="184">
        <v>-4823878.64</v>
      </c>
      <c r="J74" s="184">
        <v>-4794743.73</v>
      </c>
      <c r="K74" s="184">
        <v>-4938398.25</v>
      </c>
      <c r="L74" s="184">
        <v>-4831072.78</v>
      </c>
      <c r="M74" s="184">
        <v>-4673149.05</v>
      </c>
      <c r="N74" s="184">
        <v>-4550346.82</v>
      </c>
      <c r="O74" s="184">
        <v>-4803584.65</v>
      </c>
      <c r="P74" s="184"/>
      <c r="Q74" s="184"/>
      <c r="R74" s="184">
        <f>+Q74-P74</f>
        <v>0</v>
      </c>
      <c r="S74" s="184"/>
      <c r="T74" s="184"/>
      <c r="U74" s="184"/>
      <c r="V74" s="184"/>
    </row>
    <row r="75" spans="1:22" ht="15">
      <c r="A75" s="67">
        <f aca="true" t="shared" si="38" ref="A75:A108">+A74+1</f>
        <v>66</v>
      </c>
      <c r="D75" s="184">
        <f aca="true" t="shared" si="39" ref="D75:O75">SUM(C74:D74)/2</f>
        <v>-5743110.774999999</v>
      </c>
      <c r="E75" s="184">
        <f t="shared" si="39"/>
        <v>-5647879.26</v>
      </c>
      <c r="F75" s="184">
        <f t="shared" si="39"/>
        <v>-5120218.225</v>
      </c>
      <c r="G75" s="184">
        <f t="shared" si="39"/>
        <v>-4637989.015000001</v>
      </c>
      <c r="H75" s="184">
        <f t="shared" si="39"/>
        <v>-4688223.73</v>
      </c>
      <c r="I75" s="184">
        <f t="shared" si="39"/>
        <v>-4757121.635</v>
      </c>
      <c r="J75" s="184">
        <f t="shared" si="39"/>
        <v>-4809311.1850000005</v>
      </c>
      <c r="K75" s="184">
        <f t="shared" si="39"/>
        <v>-4866570.99</v>
      </c>
      <c r="L75" s="184">
        <f t="shared" si="39"/>
        <v>-4884735.515000001</v>
      </c>
      <c r="M75" s="184">
        <f t="shared" si="39"/>
        <v>-4752110.915</v>
      </c>
      <c r="N75" s="184">
        <f t="shared" si="39"/>
        <v>-4611747.9350000005</v>
      </c>
      <c r="O75" s="184">
        <f t="shared" si="39"/>
        <v>-4676965.735</v>
      </c>
      <c r="P75" s="184">
        <f>SUM(D75:O75)/12</f>
        <v>-4932998.742916667</v>
      </c>
      <c r="Q75" s="184">
        <f>SUM(D75:O75)/12</f>
        <v>-4932998.742916667</v>
      </c>
      <c r="R75" s="184">
        <f>Q75-P75</f>
        <v>0</v>
      </c>
      <c r="S75" s="184"/>
      <c r="T75" s="184"/>
      <c r="U75" s="184"/>
      <c r="V75" s="184"/>
    </row>
    <row r="76" spans="1:22" ht="15">
      <c r="A76" s="67">
        <f t="shared" si="38"/>
        <v>67</v>
      </c>
      <c r="B76" s="67" t="s">
        <v>350</v>
      </c>
      <c r="C76" s="136">
        <v>-15001438.729999997</v>
      </c>
      <c r="D76" s="184">
        <v>-14436531.07</v>
      </c>
      <c r="E76" s="184">
        <v>-14393515.829999998</v>
      </c>
      <c r="F76" s="184">
        <v>-9737500.38</v>
      </c>
      <c r="G76" s="184">
        <v>-9939489.969999999</v>
      </c>
      <c r="H76" s="184">
        <v>-9925949.139999999</v>
      </c>
      <c r="I76" s="184">
        <v>-10194674.850000001</v>
      </c>
      <c r="J76" s="184">
        <v>-10120983.319999998</v>
      </c>
      <c r="K76" s="184">
        <v>-10410820.71</v>
      </c>
      <c r="L76" s="184">
        <v>-10172967.96</v>
      </c>
      <c r="M76" s="184">
        <v>-8442893.72</v>
      </c>
      <c r="N76" s="184">
        <v>-8217511.100000001</v>
      </c>
      <c r="O76" s="184">
        <v>-8666758.270000001</v>
      </c>
      <c r="P76" s="184"/>
      <c r="Q76" s="184"/>
      <c r="R76" s="184">
        <f>+Q76-P76</f>
        <v>0</v>
      </c>
      <c r="S76" s="184"/>
      <c r="T76" s="184"/>
      <c r="U76" s="184"/>
      <c r="V76" s="184"/>
    </row>
    <row r="77" spans="1:22" ht="15">
      <c r="A77" s="67">
        <f t="shared" si="38"/>
        <v>68</v>
      </c>
      <c r="D77" s="184">
        <f aca="true" t="shared" si="40" ref="D77:O77">SUM(C76:D76)/2</f>
        <v>-14718984.899999999</v>
      </c>
      <c r="E77" s="184">
        <f t="shared" si="40"/>
        <v>-14415023.45</v>
      </c>
      <c r="F77" s="184">
        <f t="shared" si="40"/>
        <v>-12065508.105</v>
      </c>
      <c r="G77" s="184">
        <f t="shared" si="40"/>
        <v>-9838495.175</v>
      </c>
      <c r="H77" s="184">
        <f t="shared" si="40"/>
        <v>-9932719.555</v>
      </c>
      <c r="I77" s="184">
        <f t="shared" si="40"/>
        <v>-10060311.995000001</v>
      </c>
      <c r="J77" s="184">
        <f t="shared" si="40"/>
        <v>-10157829.085</v>
      </c>
      <c r="K77" s="184">
        <f t="shared" si="40"/>
        <v>-10265902.015</v>
      </c>
      <c r="L77" s="184">
        <f t="shared" si="40"/>
        <v>-10291894.335</v>
      </c>
      <c r="M77" s="184">
        <f t="shared" si="40"/>
        <v>-9307930.84</v>
      </c>
      <c r="N77" s="184">
        <f t="shared" si="40"/>
        <v>-8330202.41</v>
      </c>
      <c r="O77" s="184">
        <f t="shared" si="40"/>
        <v>-8442134.685</v>
      </c>
      <c r="P77" s="184">
        <f>SUM(D77:O77)/12</f>
        <v>-10652244.712499999</v>
      </c>
      <c r="Q77" s="184">
        <f>SUM(D77:O77)/12</f>
        <v>-10652244.712499999</v>
      </c>
      <c r="R77" s="184">
        <f>Q77-P77</f>
        <v>0</v>
      </c>
      <c r="S77" s="184"/>
      <c r="T77" s="184"/>
      <c r="U77" s="184"/>
      <c r="V77" s="184"/>
    </row>
    <row r="78" spans="1:22" ht="15">
      <c r="A78" s="67">
        <f t="shared" si="38"/>
        <v>69</v>
      </c>
      <c r="B78" s="67" t="s">
        <v>351</v>
      </c>
      <c r="C78" s="136">
        <v>-34000903.089999996</v>
      </c>
      <c r="D78" s="184">
        <v>-34498022.720000006</v>
      </c>
      <c r="E78" s="184">
        <v>-34491600.70999999</v>
      </c>
      <c r="F78" s="184">
        <v>-33941294.93</v>
      </c>
      <c r="G78" s="184">
        <v>-33759694.42</v>
      </c>
      <c r="H78" s="184">
        <v>-33624371.120000005</v>
      </c>
      <c r="I78" s="184">
        <v>-34179053.81</v>
      </c>
      <c r="J78" s="184">
        <v>-34728909.24</v>
      </c>
      <c r="K78" s="184">
        <v>-34911939.27</v>
      </c>
      <c r="L78" s="184">
        <v>-34925553.779999994</v>
      </c>
      <c r="M78" s="194">
        <v>-19413210.81</v>
      </c>
      <c r="N78" s="195">
        <v>-19300298.32</v>
      </c>
      <c r="O78" s="196">
        <v>-19146291.09</v>
      </c>
      <c r="P78" s="184"/>
      <c r="Q78" s="184"/>
      <c r="R78" s="184">
        <f>+Q78-P78</f>
        <v>0</v>
      </c>
      <c r="S78" s="184"/>
      <c r="T78" s="184"/>
      <c r="U78" s="184"/>
      <c r="V78" s="184"/>
    </row>
    <row r="79" spans="1:22" ht="15">
      <c r="A79" s="67">
        <f t="shared" si="38"/>
        <v>70</v>
      </c>
      <c r="D79" s="184">
        <f aca="true" t="shared" si="41" ref="D79:O79">SUM(C78:D78)/2</f>
        <v>-34249462.905</v>
      </c>
      <c r="E79" s="184">
        <f t="shared" si="41"/>
        <v>-34494811.715</v>
      </c>
      <c r="F79" s="184">
        <f t="shared" si="41"/>
        <v>-34216447.81999999</v>
      </c>
      <c r="G79" s="184">
        <f t="shared" si="41"/>
        <v>-33850494.675</v>
      </c>
      <c r="H79" s="184">
        <f t="shared" si="41"/>
        <v>-33692032.77</v>
      </c>
      <c r="I79" s="184">
        <f t="shared" si="41"/>
        <v>-33901712.465</v>
      </c>
      <c r="J79" s="184">
        <f t="shared" si="41"/>
        <v>-34453981.525000006</v>
      </c>
      <c r="K79" s="184">
        <f t="shared" si="41"/>
        <v>-34820424.255</v>
      </c>
      <c r="L79" s="184">
        <f t="shared" si="41"/>
        <v>-34918746.525</v>
      </c>
      <c r="M79" s="184">
        <f t="shared" si="41"/>
        <v>-27169382.294999994</v>
      </c>
      <c r="N79" s="184">
        <f t="shared" si="41"/>
        <v>-19356754.564999998</v>
      </c>
      <c r="O79" s="184">
        <f t="shared" si="41"/>
        <v>-19223294.705</v>
      </c>
      <c r="P79" s="184">
        <f>SUM(D79:O79)/12</f>
        <v>-31195628.85166667</v>
      </c>
      <c r="Q79" s="184">
        <f>SUM(N79:O79)/2</f>
        <v>-19290024.634999998</v>
      </c>
      <c r="R79" s="146">
        <f>Q79-P79</f>
        <v>11905604.216666672</v>
      </c>
      <c r="S79" s="184"/>
      <c r="T79" s="184"/>
      <c r="U79" s="184"/>
      <c r="V79" s="184"/>
    </row>
    <row r="80" spans="1:22" ht="15">
      <c r="A80" s="67">
        <f t="shared" si="38"/>
        <v>71</v>
      </c>
      <c r="B80" s="67" t="s">
        <v>352</v>
      </c>
      <c r="C80" s="136">
        <v>-244760922.88000003</v>
      </c>
      <c r="D80" s="197">
        <v>-222850620.70999998</v>
      </c>
      <c r="E80" s="198">
        <v>-225156374.64</v>
      </c>
      <c r="F80" s="198">
        <v>-223649598.10000002</v>
      </c>
      <c r="G80" s="198">
        <v>-227151685.66000003</v>
      </c>
      <c r="H80" s="198">
        <v>-228929477.85000005</v>
      </c>
      <c r="I80" s="198">
        <v>-231783110.45000002</v>
      </c>
      <c r="J80" s="198">
        <v>-234673451.96</v>
      </c>
      <c r="K80" s="198">
        <v>-238241791.08</v>
      </c>
      <c r="L80" s="198">
        <v>-240409403.53999996</v>
      </c>
      <c r="M80" s="198">
        <v>-243618237.48</v>
      </c>
      <c r="N80" s="198">
        <v>-246505280.99</v>
      </c>
      <c r="O80" s="199">
        <v>-250318128.48</v>
      </c>
      <c r="P80" s="184"/>
      <c r="Q80" s="184"/>
      <c r="R80" s="184">
        <f>+Q80-P80</f>
        <v>0</v>
      </c>
      <c r="S80" s="184"/>
      <c r="T80" s="184"/>
      <c r="U80" s="184"/>
      <c r="V80" s="184"/>
    </row>
    <row r="81" spans="1:22" ht="15">
      <c r="A81" s="67">
        <f t="shared" si="38"/>
        <v>72</v>
      </c>
      <c r="D81" s="184">
        <f aca="true" t="shared" si="42" ref="D81:O81">SUM(C80:D80)/2</f>
        <v>-233805771.79500002</v>
      </c>
      <c r="E81" s="184">
        <f t="shared" si="42"/>
        <v>-224003497.67499998</v>
      </c>
      <c r="F81" s="184">
        <f t="shared" si="42"/>
        <v>-224402986.37</v>
      </c>
      <c r="G81" s="184">
        <f t="shared" si="42"/>
        <v>-225400641.88000003</v>
      </c>
      <c r="H81" s="184">
        <f t="shared" si="42"/>
        <v>-228040581.75500005</v>
      </c>
      <c r="I81" s="184">
        <f t="shared" si="42"/>
        <v>-230356294.15000004</v>
      </c>
      <c r="J81" s="184">
        <f t="shared" si="42"/>
        <v>-233228281.205</v>
      </c>
      <c r="K81" s="184">
        <f t="shared" si="42"/>
        <v>-236457621.52</v>
      </c>
      <c r="L81" s="184">
        <f t="shared" si="42"/>
        <v>-239325597.31</v>
      </c>
      <c r="M81" s="184">
        <f t="shared" si="42"/>
        <v>-242013820.51</v>
      </c>
      <c r="N81" s="184">
        <f t="shared" si="42"/>
        <v>-245061759.235</v>
      </c>
      <c r="O81" s="184">
        <f t="shared" si="42"/>
        <v>-248411704.735</v>
      </c>
      <c r="P81" s="184">
        <f>SUM(D81:O81)/12</f>
        <v>-234209046.5116667</v>
      </c>
      <c r="Q81" s="184">
        <f>SUM(E81:O81)/11</f>
        <v>-234245707.84954548</v>
      </c>
      <c r="R81" s="146">
        <f>Q81-P81</f>
        <v>-36661.33787879348</v>
      </c>
      <c r="S81" s="184"/>
      <c r="T81" s="184">
        <f>-T59/2</f>
        <v>-28799206.5</v>
      </c>
      <c r="U81" s="184"/>
      <c r="V81" s="184"/>
    </row>
    <row r="82" spans="1:22" ht="15">
      <c r="A82" s="67">
        <f t="shared" si="38"/>
        <v>73</v>
      </c>
      <c r="B82" s="67" t="s">
        <v>353</v>
      </c>
      <c r="C82" s="136">
        <v>-95140.35</v>
      </c>
      <c r="D82" s="184">
        <v>-104346.4</v>
      </c>
      <c r="E82" s="184">
        <v>-125528.35</v>
      </c>
      <c r="F82" s="184">
        <v>-154466.38</v>
      </c>
      <c r="G82" s="184">
        <v>-164939.9</v>
      </c>
      <c r="H82" s="184">
        <v>-174190.11</v>
      </c>
      <c r="I82" s="197">
        <v>-33375.47</v>
      </c>
      <c r="J82" s="198">
        <v>-33375.47</v>
      </c>
      <c r="K82" s="198">
        <v>-30364.72</v>
      </c>
      <c r="L82" s="198">
        <v>-30364.72</v>
      </c>
      <c r="M82" s="198">
        <v>-30875.78</v>
      </c>
      <c r="N82" s="198">
        <v>-31386.84</v>
      </c>
      <c r="O82" s="199">
        <v>-31941.26</v>
      </c>
      <c r="P82" s="184"/>
      <c r="Q82" s="184"/>
      <c r="R82" s="184">
        <f>+Q82-P82</f>
        <v>0</v>
      </c>
      <c r="S82" s="184"/>
      <c r="T82" s="184"/>
      <c r="U82" s="184"/>
      <c r="V82" s="184"/>
    </row>
    <row r="83" spans="1:22" ht="15">
      <c r="A83" s="67">
        <f t="shared" si="38"/>
        <v>74</v>
      </c>
      <c r="D83" s="184">
        <f aca="true" t="shared" si="43" ref="D83:O83">SUM(C82:D82)/2</f>
        <v>-99743.375</v>
      </c>
      <c r="E83" s="184">
        <f t="shared" si="43"/>
        <v>-114937.375</v>
      </c>
      <c r="F83" s="184">
        <f t="shared" si="43"/>
        <v>-139997.365</v>
      </c>
      <c r="G83" s="184">
        <f t="shared" si="43"/>
        <v>-159703.14</v>
      </c>
      <c r="H83" s="184">
        <f t="shared" si="43"/>
        <v>-169565.005</v>
      </c>
      <c r="I83" s="184">
        <f t="shared" si="43"/>
        <v>-103782.79</v>
      </c>
      <c r="J83" s="184">
        <f t="shared" si="43"/>
        <v>-33375.47</v>
      </c>
      <c r="K83" s="184">
        <f t="shared" si="43"/>
        <v>-31870.095</v>
      </c>
      <c r="L83" s="184">
        <f t="shared" si="43"/>
        <v>-30364.72</v>
      </c>
      <c r="M83" s="184">
        <f t="shared" si="43"/>
        <v>-30620.25</v>
      </c>
      <c r="N83" s="184">
        <f t="shared" si="43"/>
        <v>-31131.309999999998</v>
      </c>
      <c r="O83" s="184">
        <f t="shared" si="43"/>
        <v>-31664.05</v>
      </c>
      <c r="P83" s="184">
        <f>SUM(D83:O83)/12</f>
        <v>-81396.24541666667</v>
      </c>
      <c r="Q83" s="184">
        <f>SUM(J83:O83)/6</f>
        <v>-31504.31583333333</v>
      </c>
      <c r="R83" s="146">
        <f>Q83-P83</f>
        <v>49891.929583333345</v>
      </c>
      <c r="S83" s="184"/>
      <c r="T83" s="184"/>
      <c r="U83" s="184"/>
      <c r="V83" s="184"/>
    </row>
    <row r="84" spans="1:22" ht="15">
      <c r="A84" s="67">
        <f t="shared" si="38"/>
        <v>75</v>
      </c>
      <c r="B84" s="67" t="s">
        <v>354</v>
      </c>
      <c r="C84" s="136">
        <v>-6874358.590000001</v>
      </c>
      <c r="D84" s="184">
        <v>-6784842.13</v>
      </c>
      <c r="E84" s="184">
        <v>-6763106.62</v>
      </c>
      <c r="F84" s="184">
        <v>-6677101.45</v>
      </c>
      <c r="G84" s="184">
        <v>-6719440.9799999995</v>
      </c>
      <c r="H84" s="184">
        <v>-6777281.21</v>
      </c>
      <c r="I84" s="184">
        <v>-6857386.67</v>
      </c>
      <c r="J84" s="184">
        <v>-6926579.96</v>
      </c>
      <c r="K84" s="184">
        <v>-6573360.79</v>
      </c>
      <c r="L84" s="184">
        <v>-6596930.350000001</v>
      </c>
      <c r="M84" s="184">
        <v>-6737683.82</v>
      </c>
      <c r="N84" s="184">
        <v>-6672058.09</v>
      </c>
      <c r="O84" s="184">
        <v>-6755863.84</v>
      </c>
      <c r="P84" s="184"/>
      <c r="Q84" s="184"/>
      <c r="R84" s="184">
        <f>+Q84-P84</f>
        <v>0</v>
      </c>
      <c r="S84" s="184"/>
      <c r="T84" s="184"/>
      <c r="U84" s="184"/>
      <c r="V84" s="184"/>
    </row>
    <row r="85" spans="1:22" ht="15">
      <c r="A85" s="67">
        <f t="shared" si="38"/>
        <v>76</v>
      </c>
      <c r="D85" s="184">
        <f aca="true" t="shared" si="44" ref="D85:O85">SUM(C84:D84)/2</f>
        <v>-6829600.36</v>
      </c>
      <c r="E85" s="184">
        <f t="shared" si="44"/>
        <v>-6773974.375</v>
      </c>
      <c r="F85" s="184">
        <f t="shared" si="44"/>
        <v>-6720104.035</v>
      </c>
      <c r="G85" s="184">
        <f t="shared" si="44"/>
        <v>-6698271.215</v>
      </c>
      <c r="H85" s="184">
        <f t="shared" si="44"/>
        <v>-6748361.095</v>
      </c>
      <c r="I85" s="184">
        <f t="shared" si="44"/>
        <v>-6817333.9399999995</v>
      </c>
      <c r="J85" s="184">
        <f t="shared" si="44"/>
        <v>-6891983.3149999995</v>
      </c>
      <c r="K85" s="184">
        <f t="shared" si="44"/>
        <v>-6749970.375</v>
      </c>
      <c r="L85" s="184">
        <f t="shared" si="44"/>
        <v>-6585145.57</v>
      </c>
      <c r="M85" s="184">
        <f t="shared" si="44"/>
        <v>-6667307.085000001</v>
      </c>
      <c r="N85" s="184">
        <f t="shared" si="44"/>
        <v>-6704870.955</v>
      </c>
      <c r="O85" s="184">
        <f t="shared" si="44"/>
        <v>-6713960.965</v>
      </c>
      <c r="P85" s="184">
        <f>SUM(D85:O85)/12</f>
        <v>-6741740.27375</v>
      </c>
      <c r="Q85" s="184">
        <f>SUM(D85:O85)/12</f>
        <v>-6741740.27375</v>
      </c>
      <c r="R85" s="184">
        <f>Q85-P85</f>
        <v>0</v>
      </c>
      <c r="S85" s="184"/>
      <c r="T85" s="184"/>
      <c r="U85" s="184"/>
      <c r="V85" s="184"/>
    </row>
    <row r="86" spans="1:22" ht="15">
      <c r="A86" s="67">
        <f t="shared" si="38"/>
        <v>77</v>
      </c>
      <c r="B86" s="67" t="s">
        <v>355</v>
      </c>
      <c r="C86" s="136">
        <v>-221400245.58999997</v>
      </c>
      <c r="D86" s="184">
        <v>-223327924.4</v>
      </c>
      <c r="E86" s="184">
        <v>-224840426.18000007</v>
      </c>
      <c r="F86" s="184">
        <v>-227055214.74</v>
      </c>
      <c r="G86" s="184">
        <v>-231238693.84000003</v>
      </c>
      <c r="H86" s="184">
        <v>-233299293.27</v>
      </c>
      <c r="I86" s="184">
        <v>-237268941.99</v>
      </c>
      <c r="J86" s="184">
        <v>-240669298.67000002</v>
      </c>
      <c r="K86" s="184">
        <v>-243489287.58000004</v>
      </c>
      <c r="L86" s="184">
        <v>-247753438.1</v>
      </c>
      <c r="M86" s="184">
        <v>-249100307.58999994</v>
      </c>
      <c r="N86" s="184">
        <v>-252912027.43999994</v>
      </c>
      <c r="O86" s="184">
        <v>-257100578.06000003</v>
      </c>
      <c r="P86" s="184"/>
      <c r="Q86" s="184"/>
      <c r="R86" s="184">
        <f>+Q86-P86</f>
        <v>0</v>
      </c>
      <c r="S86" s="184"/>
      <c r="T86" s="184"/>
      <c r="U86" s="184"/>
      <c r="V86" s="184"/>
    </row>
    <row r="87" spans="1:22" ht="15">
      <c r="A87" s="67">
        <f t="shared" si="38"/>
        <v>78</v>
      </c>
      <c r="D87" s="184">
        <f aca="true" t="shared" si="45" ref="D87:O87">SUM(C86:D86)/2</f>
        <v>-222364084.995</v>
      </c>
      <c r="E87" s="184">
        <f t="shared" si="45"/>
        <v>-224084175.29000002</v>
      </c>
      <c r="F87" s="184">
        <f t="shared" si="45"/>
        <v>-225947820.46000004</v>
      </c>
      <c r="G87" s="184">
        <f t="shared" si="45"/>
        <v>-229146954.29000002</v>
      </c>
      <c r="H87" s="184">
        <f t="shared" si="45"/>
        <v>-232268993.555</v>
      </c>
      <c r="I87" s="184">
        <f t="shared" si="45"/>
        <v>-235284117.63</v>
      </c>
      <c r="J87" s="184">
        <f t="shared" si="45"/>
        <v>-238969120.33</v>
      </c>
      <c r="K87" s="184">
        <f t="shared" si="45"/>
        <v>-242079293.12500003</v>
      </c>
      <c r="L87" s="184">
        <f t="shared" si="45"/>
        <v>-245621362.84000003</v>
      </c>
      <c r="M87" s="184">
        <f t="shared" si="45"/>
        <v>-248426872.84499997</v>
      </c>
      <c r="N87" s="184">
        <f t="shared" si="45"/>
        <v>-251006167.51499993</v>
      </c>
      <c r="O87" s="184">
        <f t="shared" si="45"/>
        <v>-255006302.75</v>
      </c>
      <c r="P87" s="184">
        <f>SUM(D87:O87)/12</f>
        <v>-237517105.46875</v>
      </c>
      <c r="Q87" s="184">
        <f>SUM(D87:O87)/12</f>
        <v>-237517105.46875</v>
      </c>
      <c r="R87" s="184">
        <f>Q87-P87</f>
        <v>0</v>
      </c>
      <c r="S87" s="184"/>
      <c r="T87" s="184"/>
      <c r="U87" s="184"/>
      <c r="V87" s="184"/>
    </row>
    <row r="88" spans="1:22" ht="15">
      <c r="A88" s="67">
        <f t="shared" si="38"/>
        <v>79</v>
      </c>
      <c r="B88" s="67" t="s">
        <v>356</v>
      </c>
      <c r="C88" s="136">
        <v>-25408309.03</v>
      </c>
      <c r="D88" s="184">
        <v>-25394524.23</v>
      </c>
      <c r="E88" s="184">
        <v>-25380112.810000002</v>
      </c>
      <c r="F88" s="184">
        <v>-25373922.28</v>
      </c>
      <c r="G88" s="184">
        <v>-25366820.330000002</v>
      </c>
      <c r="H88" s="184">
        <v>-25345049.75</v>
      </c>
      <c r="I88" s="184">
        <v>-25654580.73</v>
      </c>
      <c r="J88" s="184">
        <v>-25615457.17</v>
      </c>
      <c r="K88" s="184">
        <v>-25594022.650000002</v>
      </c>
      <c r="L88" s="184">
        <v>-25590568.16</v>
      </c>
      <c r="M88" s="197">
        <v>-15593033.799999999</v>
      </c>
      <c r="N88" s="198">
        <v>-15808643.75</v>
      </c>
      <c r="O88" s="199">
        <v>-15804159.549999999</v>
      </c>
      <c r="P88" s="184"/>
      <c r="Q88" s="184"/>
      <c r="R88" s="184">
        <f>+Q88-P88</f>
        <v>0</v>
      </c>
      <c r="S88" s="184"/>
      <c r="T88" s="184"/>
      <c r="U88" s="184"/>
      <c r="V88" s="184"/>
    </row>
    <row r="89" spans="1:22" ht="15">
      <c r="A89" s="67">
        <f t="shared" si="38"/>
        <v>80</v>
      </c>
      <c r="D89" s="184">
        <f aca="true" t="shared" si="46" ref="D89:O89">SUM(C88:D88)/2</f>
        <v>-25401416.630000003</v>
      </c>
      <c r="E89" s="184">
        <f t="shared" si="46"/>
        <v>-25387318.520000003</v>
      </c>
      <c r="F89" s="184">
        <f t="shared" si="46"/>
        <v>-25377017.545</v>
      </c>
      <c r="G89" s="184">
        <f t="shared" si="46"/>
        <v>-25370371.305</v>
      </c>
      <c r="H89" s="184">
        <f t="shared" si="46"/>
        <v>-25355935.04</v>
      </c>
      <c r="I89" s="184">
        <f t="shared" si="46"/>
        <v>-25499815.240000002</v>
      </c>
      <c r="J89" s="184">
        <f t="shared" si="46"/>
        <v>-25635018.950000003</v>
      </c>
      <c r="K89" s="184">
        <f t="shared" si="46"/>
        <v>-25604739.910000004</v>
      </c>
      <c r="L89" s="184">
        <f t="shared" si="46"/>
        <v>-25592295.405</v>
      </c>
      <c r="M89" s="184">
        <f t="shared" si="46"/>
        <v>-20591800.98</v>
      </c>
      <c r="N89" s="184">
        <f t="shared" si="46"/>
        <v>-15700838.774999999</v>
      </c>
      <c r="O89" s="184">
        <f t="shared" si="46"/>
        <v>-15806401.649999999</v>
      </c>
      <c r="P89" s="184">
        <f>SUM(D89:O89)/12</f>
        <v>-23443580.829166666</v>
      </c>
      <c r="Q89" s="184">
        <f>SUM(N89:O89)/2</f>
        <v>-15753620.212499999</v>
      </c>
      <c r="R89" s="146">
        <f>Q89-P89</f>
        <v>7689960.616666667</v>
      </c>
      <c r="S89" s="184"/>
      <c r="T89" s="184"/>
      <c r="U89" s="184"/>
      <c r="V89" s="184"/>
    </row>
    <row r="90" spans="1:22" ht="15">
      <c r="A90" s="67">
        <f t="shared" si="38"/>
        <v>81</v>
      </c>
      <c r="B90" s="67" t="s">
        <v>357</v>
      </c>
      <c r="C90" s="136">
        <v>-34181135.449999996</v>
      </c>
      <c r="D90" s="184">
        <v>-34474414.27</v>
      </c>
      <c r="E90" s="184">
        <v>-34758581.78</v>
      </c>
      <c r="F90" s="184">
        <v>-34756963.4</v>
      </c>
      <c r="G90" s="184">
        <v>-34825294.33</v>
      </c>
      <c r="H90" s="184">
        <v>-34985001.239999995</v>
      </c>
      <c r="I90" s="184">
        <v>-35122167.29</v>
      </c>
      <c r="J90" s="184">
        <v>-35260878.16</v>
      </c>
      <c r="K90" s="184">
        <v>-35299606.800000004</v>
      </c>
      <c r="L90" s="184">
        <v>-35387356.42</v>
      </c>
      <c r="M90" s="184">
        <v>-35525261.41</v>
      </c>
      <c r="N90" s="184">
        <v>-35735465.96</v>
      </c>
      <c r="O90" s="184">
        <v>-35877029.7</v>
      </c>
      <c r="P90" s="184"/>
      <c r="Q90" s="184"/>
      <c r="R90" s="184">
        <f>+Q90-P90</f>
        <v>0</v>
      </c>
      <c r="S90" s="184"/>
      <c r="T90" s="184"/>
      <c r="U90" s="184"/>
      <c r="V90" s="184"/>
    </row>
    <row r="91" spans="1:22" ht="15">
      <c r="A91" s="67">
        <f t="shared" si="38"/>
        <v>82</v>
      </c>
      <c r="D91" s="184">
        <f aca="true" t="shared" si="47" ref="D91:O91">SUM(C90:D90)/2</f>
        <v>-34327774.86</v>
      </c>
      <c r="E91" s="184">
        <f t="shared" si="47"/>
        <v>-34616498.025000006</v>
      </c>
      <c r="F91" s="184">
        <f t="shared" si="47"/>
        <v>-34757772.59</v>
      </c>
      <c r="G91" s="184">
        <f t="shared" si="47"/>
        <v>-34791128.864999995</v>
      </c>
      <c r="H91" s="184">
        <f t="shared" si="47"/>
        <v>-34905147.785</v>
      </c>
      <c r="I91" s="184">
        <f t="shared" si="47"/>
        <v>-35053584.265</v>
      </c>
      <c r="J91" s="184">
        <f t="shared" si="47"/>
        <v>-35191522.724999994</v>
      </c>
      <c r="K91" s="184">
        <f t="shared" si="47"/>
        <v>-35280242.480000004</v>
      </c>
      <c r="L91" s="184">
        <f t="shared" si="47"/>
        <v>-35343481.61</v>
      </c>
      <c r="M91" s="184">
        <f t="shared" si="47"/>
        <v>-35456308.915</v>
      </c>
      <c r="N91" s="184">
        <f t="shared" si="47"/>
        <v>-35630363.685</v>
      </c>
      <c r="O91" s="184">
        <f t="shared" si="47"/>
        <v>-35806247.83</v>
      </c>
      <c r="P91" s="184">
        <f>SUM(D91:O91)/12</f>
        <v>-35096672.80291667</v>
      </c>
      <c r="Q91" s="184">
        <f>SUM(D91:O91)/12</f>
        <v>-35096672.80291667</v>
      </c>
      <c r="R91" s="184">
        <f>Q91-P91</f>
        <v>0</v>
      </c>
      <c r="S91" s="184"/>
      <c r="T91" s="184"/>
      <c r="U91" s="184"/>
      <c r="V91" s="184"/>
    </row>
    <row r="92" spans="1:22" ht="15">
      <c r="A92" s="67">
        <f t="shared" si="38"/>
        <v>83</v>
      </c>
      <c r="B92" s="67" t="s">
        <v>358</v>
      </c>
      <c r="C92" s="136">
        <v>-150457180.82</v>
      </c>
      <c r="D92" s="184">
        <v>-151278598.39</v>
      </c>
      <c r="E92" s="184">
        <v>-152093571.74999997</v>
      </c>
      <c r="F92" s="184">
        <v>-152299324.12</v>
      </c>
      <c r="G92" s="184">
        <v>-152986701.56</v>
      </c>
      <c r="H92" s="184">
        <v>-153663456.62</v>
      </c>
      <c r="I92" s="184">
        <v>-154338378.08</v>
      </c>
      <c r="J92" s="184">
        <v>-154973661.64</v>
      </c>
      <c r="K92" s="184">
        <v>-155562960.44</v>
      </c>
      <c r="L92" s="184">
        <v>-156376633.59</v>
      </c>
      <c r="M92" s="184">
        <v>-157004544.36</v>
      </c>
      <c r="N92" s="184">
        <v>-157752409.22</v>
      </c>
      <c r="O92" s="184">
        <v>-158574340.23000002</v>
      </c>
      <c r="P92" s="184"/>
      <c r="Q92" s="184"/>
      <c r="R92" s="184">
        <f>+Q92-P92</f>
        <v>0</v>
      </c>
      <c r="S92" s="184"/>
      <c r="T92" s="184"/>
      <c r="U92" s="184"/>
      <c r="V92" s="184"/>
    </row>
    <row r="93" spans="1:22" ht="15">
      <c r="A93" s="67">
        <f t="shared" si="38"/>
        <v>84</v>
      </c>
      <c r="D93" s="184">
        <f aca="true" t="shared" si="48" ref="D93:O93">SUM(C92:D92)/2</f>
        <v>-150867889.605</v>
      </c>
      <c r="E93" s="184">
        <f t="shared" si="48"/>
        <v>-151686085.07</v>
      </c>
      <c r="F93" s="184">
        <f t="shared" si="48"/>
        <v>-152196447.935</v>
      </c>
      <c r="G93" s="184">
        <f t="shared" si="48"/>
        <v>-152643012.84</v>
      </c>
      <c r="H93" s="184">
        <f t="shared" si="48"/>
        <v>-153325079.09</v>
      </c>
      <c r="I93" s="184">
        <f t="shared" si="48"/>
        <v>-154000917.35000002</v>
      </c>
      <c r="J93" s="184">
        <f t="shared" si="48"/>
        <v>-154656019.86</v>
      </c>
      <c r="K93" s="184">
        <f t="shared" si="48"/>
        <v>-155268311.04</v>
      </c>
      <c r="L93" s="184">
        <f t="shared" si="48"/>
        <v>-155969797.015</v>
      </c>
      <c r="M93" s="184">
        <f t="shared" si="48"/>
        <v>-156690588.97500002</v>
      </c>
      <c r="N93" s="184">
        <f t="shared" si="48"/>
        <v>-157378476.79000002</v>
      </c>
      <c r="O93" s="184">
        <f t="shared" si="48"/>
        <v>-158163374.72500002</v>
      </c>
      <c r="P93" s="184">
        <f>SUM(D93:O93)/12</f>
        <v>-154403833.35791662</v>
      </c>
      <c r="Q93" s="184">
        <f>SUM(D93:O93)/12</f>
        <v>-154403833.35791662</v>
      </c>
      <c r="R93" s="184">
        <f>Q93-P93</f>
        <v>0</v>
      </c>
      <c r="S93" s="184"/>
      <c r="T93" s="184"/>
      <c r="U93" s="184"/>
      <c r="V93" s="184"/>
    </row>
    <row r="94" spans="1:22" ht="15">
      <c r="A94" s="67">
        <f t="shared" si="38"/>
        <v>85</v>
      </c>
      <c r="B94" s="67" t="s">
        <v>359</v>
      </c>
      <c r="C94" s="136">
        <v>-141689561.76</v>
      </c>
      <c r="D94" s="184">
        <v>-142880559.99</v>
      </c>
      <c r="E94" s="184">
        <v>-144089343.11</v>
      </c>
      <c r="F94" s="184">
        <v>-145002625.69</v>
      </c>
      <c r="G94" s="184">
        <v>-146104857.88</v>
      </c>
      <c r="H94" s="184">
        <v>-147129493.16</v>
      </c>
      <c r="I94" s="184">
        <v>-147883034.19</v>
      </c>
      <c r="J94" s="184">
        <v>-148994504.03</v>
      </c>
      <c r="K94" s="184">
        <v>-150179272.54</v>
      </c>
      <c r="L94" s="184">
        <v>-151219029.57000002</v>
      </c>
      <c r="M94" s="184">
        <v>-152518107.99999997</v>
      </c>
      <c r="N94" s="184">
        <v>-154469243.5</v>
      </c>
      <c r="O94" s="184">
        <v>-155127781.28</v>
      </c>
      <c r="P94" s="184"/>
      <c r="Q94" s="184"/>
      <c r="R94" s="184">
        <f>+Q94-P94</f>
        <v>0</v>
      </c>
      <c r="S94" s="184"/>
      <c r="T94" s="184"/>
      <c r="U94" s="184"/>
      <c r="V94" s="184"/>
    </row>
    <row r="95" spans="1:22" ht="15">
      <c r="A95" s="67">
        <f t="shared" si="38"/>
        <v>86</v>
      </c>
      <c r="D95" s="184">
        <f aca="true" t="shared" si="49" ref="D95:O95">SUM(C94:D94)/2</f>
        <v>-142285060.875</v>
      </c>
      <c r="E95" s="184">
        <f t="shared" si="49"/>
        <v>-143484951.55</v>
      </c>
      <c r="F95" s="184">
        <f t="shared" si="49"/>
        <v>-144545984.4</v>
      </c>
      <c r="G95" s="184">
        <f t="shared" si="49"/>
        <v>-145553741.785</v>
      </c>
      <c r="H95" s="184">
        <f t="shared" si="49"/>
        <v>-146617175.51999998</v>
      </c>
      <c r="I95" s="184">
        <f t="shared" si="49"/>
        <v>-147506263.675</v>
      </c>
      <c r="J95" s="184">
        <f t="shared" si="49"/>
        <v>-148438769.11</v>
      </c>
      <c r="K95" s="184">
        <f t="shared" si="49"/>
        <v>-149586888.285</v>
      </c>
      <c r="L95" s="184">
        <f t="shared" si="49"/>
        <v>-150699151.055</v>
      </c>
      <c r="M95" s="184">
        <f t="shared" si="49"/>
        <v>-151868568.785</v>
      </c>
      <c r="N95" s="184">
        <f t="shared" si="49"/>
        <v>-153493675.75</v>
      </c>
      <c r="O95" s="184">
        <f t="shared" si="49"/>
        <v>-154798512.39</v>
      </c>
      <c r="P95" s="184">
        <f>SUM(D95:O95)/12</f>
        <v>-148239895.26500002</v>
      </c>
      <c r="Q95" s="184">
        <f>SUM(D95:O95)/12</f>
        <v>-148239895.26500002</v>
      </c>
      <c r="R95" s="184">
        <f>Q95-P95</f>
        <v>0</v>
      </c>
      <c r="S95" s="184"/>
      <c r="T95" s="184"/>
      <c r="U95" s="184"/>
      <c r="V95" s="184"/>
    </row>
    <row r="96" spans="1:22" ht="15">
      <c r="A96" s="67">
        <f t="shared" si="38"/>
        <v>87</v>
      </c>
      <c r="B96" s="67" t="s">
        <v>360</v>
      </c>
      <c r="C96" s="136">
        <v>-230718684.32000002</v>
      </c>
      <c r="D96" s="184">
        <v>-232517339.10999998</v>
      </c>
      <c r="E96" s="184">
        <v>-234331683.35</v>
      </c>
      <c r="F96" s="184">
        <v>-236120089.73</v>
      </c>
      <c r="G96" s="184">
        <v>-238063384.32999998</v>
      </c>
      <c r="H96" s="184">
        <v>-239371601.24</v>
      </c>
      <c r="I96" s="184">
        <v>-241255436.66000003</v>
      </c>
      <c r="J96" s="184">
        <v>-243320241.9</v>
      </c>
      <c r="K96" s="184">
        <v>-245246261.39999998</v>
      </c>
      <c r="L96" s="184">
        <v>-247212227.14000002</v>
      </c>
      <c r="M96" s="184">
        <v>-249490880.09000003</v>
      </c>
      <c r="N96" s="184">
        <v>-251432146.36000004</v>
      </c>
      <c r="O96" s="184">
        <v>-253412916.43</v>
      </c>
      <c r="P96" s="184"/>
      <c r="Q96" s="184"/>
      <c r="R96" s="184">
        <f>+Q96-P96</f>
        <v>0</v>
      </c>
      <c r="S96" s="184"/>
      <c r="T96" s="184"/>
      <c r="U96" s="184"/>
      <c r="V96" s="184"/>
    </row>
    <row r="97" spans="1:22" ht="15">
      <c r="A97" s="67">
        <f t="shared" si="38"/>
        <v>88</v>
      </c>
      <c r="D97" s="184">
        <f aca="true" t="shared" si="50" ref="D97:O97">SUM(C96:D96)/2</f>
        <v>-231618011.715</v>
      </c>
      <c r="E97" s="184">
        <f t="shared" si="50"/>
        <v>-233424511.23</v>
      </c>
      <c r="F97" s="184">
        <f t="shared" si="50"/>
        <v>-235225886.54</v>
      </c>
      <c r="G97" s="184">
        <f t="shared" si="50"/>
        <v>-237091737.02999997</v>
      </c>
      <c r="H97" s="184">
        <f t="shared" si="50"/>
        <v>-238717492.785</v>
      </c>
      <c r="I97" s="184">
        <f t="shared" si="50"/>
        <v>-240313518.95000002</v>
      </c>
      <c r="J97" s="184">
        <f t="shared" si="50"/>
        <v>-242287839.28000003</v>
      </c>
      <c r="K97" s="184">
        <f t="shared" si="50"/>
        <v>-244283251.64999998</v>
      </c>
      <c r="L97" s="184">
        <f t="shared" si="50"/>
        <v>-246229244.26999998</v>
      </c>
      <c r="M97" s="184">
        <f t="shared" si="50"/>
        <v>-248351553.615</v>
      </c>
      <c r="N97" s="184">
        <f t="shared" si="50"/>
        <v>-250461513.22500002</v>
      </c>
      <c r="O97" s="184">
        <f t="shared" si="50"/>
        <v>-252422531.39500004</v>
      </c>
      <c r="P97" s="184">
        <f>SUM(D97:O97)/12</f>
        <v>-241702257.64041662</v>
      </c>
      <c r="Q97" s="184">
        <f>SUM(D97:O97)/12</f>
        <v>-241702257.64041662</v>
      </c>
      <c r="R97" s="184">
        <f>Q97-P97</f>
        <v>0</v>
      </c>
      <c r="S97" s="184"/>
      <c r="T97" s="184"/>
      <c r="U97" s="184"/>
      <c r="V97" s="184"/>
    </row>
    <row r="98" spans="1:22" ht="15">
      <c r="A98" s="67">
        <f t="shared" si="38"/>
        <v>89</v>
      </c>
      <c r="B98" s="67" t="s">
        <v>361</v>
      </c>
      <c r="C98" s="136">
        <v>-1014391.44</v>
      </c>
      <c r="D98" s="184">
        <v>-1019119.7</v>
      </c>
      <c r="E98" s="184">
        <v>-1023847.96</v>
      </c>
      <c r="F98" s="184">
        <v>-1028576.22</v>
      </c>
      <c r="G98" s="184">
        <v>-1033304.48</v>
      </c>
      <c r="H98" s="184">
        <v>-1038032.98</v>
      </c>
      <c r="I98" s="184">
        <v>-1042397.83</v>
      </c>
      <c r="J98" s="184">
        <v>-1047112.82</v>
      </c>
      <c r="K98" s="184">
        <v>-1051832.81</v>
      </c>
      <c r="L98" s="184">
        <v>-1056522.86</v>
      </c>
      <c r="M98" s="184">
        <v>-1061212.91</v>
      </c>
      <c r="N98" s="184">
        <v>-1065902.96</v>
      </c>
      <c r="O98" s="184">
        <v>-1070593.01</v>
      </c>
      <c r="P98" s="184"/>
      <c r="Q98" s="184"/>
      <c r="R98" s="184">
        <f>+Q98-P98</f>
        <v>0</v>
      </c>
      <c r="S98" s="184"/>
      <c r="T98" s="184"/>
      <c r="U98" s="184"/>
      <c r="V98" s="184"/>
    </row>
    <row r="99" spans="1:22" ht="15">
      <c r="A99" s="67">
        <f t="shared" si="38"/>
        <v>90</v>
      </c>
      <c r="D99" s="184">
        <f aca="true" t="shared" si="51" ref="D99:O99">SUM(C98:D98)/2</f>
        <v>-1016755.57</v>
      </c>
      <c r="E99" s="184">
        <f t="shared" si="51"/>
        <v>-1021483.83</v>
      </c>
      <c r="F99" s="184">
        <f t="shared" si="51"/>
        <v>-1026212.09</v>
      </c>
      <c r="G99" s="184">
        <f t="shared" si="51"/>
        <v>-1030940.35</v>
      </c>
      <c r="H99" s="184">
        <f t="shared" si="51"/>
        <v>-1035668.73</v>
      </c>
      <c r="I99" s="184">
        <f t="shared" si="51"/>
        <v>-1040215.405</v>
      </c>
      <c r="J99" s="184">
        <f t="shared" si="51"/>
        <v>-1044755.325</v>
      </c>
      <c r="K99" s="184">
        <f t="shared" si="51"/>
        <v>-1049472.815</v>
      </c>
      <c r="L99" s="184">
        <f t="shared" si="51"/>
        <v>-1054177.835</v>
      </c>
      <c r="M99" s="184">
        <f t="shared" si="51"/>
        <v>-1058867.885</v>
      </c>
      <c r="N99" s="184">
        <f t="shared" si="51"/>
        <v>-1063557.935</v>
      </c>
      <c r="O99" s="184">
        <f t="shared" si="51"/>
        <v>-1068247.9849999999</v>
      </c>
      <c r="P99" s="184">
        <f>SUM(D99:O99)/12</f>
        <v>-1042529.6462499999</v>
      </c>
      <c r="Q99" s="184">
        <f>SUM(D99:O99)/12</f>
        <v>-1042529.6462499999</v>
      </c>
      <c r="R99" s="184">
        <f>Q99-P99</f>
        <v>0</v>
      </c>
      <c r="S99" s="184"/>
      <c r="T99" s="184"/>
      <c r="U99" s="184"/>
      <c r="V99" s="184"/>
    </row>
    <row r="100" spans="1:22" ht="15">
      <c r="A100" s="67">
        <f t="shared" si="38"/>
        <v>91</v>
      </c>
      <c r="B100" s="67" t="s">
        <v>362</v>
      </c>
      <c r="C100" s="136">
        <v>-1065178.27</v>
      </c>
      <c r="D100" s="184">
        <v>-1066035.8</v>
      </c>
      <c r="E100" s="184">
        <v>-1066841.85</v>
      </c>
      <c r="F100" s="184">
        <v>-1067699.33</v>
      </c>
      <c r="G100" s="184">
        <v>-1068556.81</v>
      </c>
      <c r="H100" s="184">
        <v>-1069414.29</v>
      </c>
      <c r="I100" s="184">
        <v>-1070271.77</v>
      </c>
      <c r="J100" s="184">
        <v>-1027108.71</v>
      </c>
      <c r="K100" s="184">
        <v>-1027929.52</v>
      </c>
      <c r="L100" s="184">
        <v>-1028750.33</v>
      </c>
      <c r="M100" s="184">
        <v>-1028750.33</v>
      </c>
      <c r="N100" s="184">
        <v>-200165.35</v>
      </c>
      <c r="O100" s="184">
        <v>-155711.83</v>
      </c>
      <c r="P100" s="184"/>
      <c r="Q100" s="184"/>
      <c r="R100" s="184">
        <f>+Q100-P100</f>
        <v>0</v>
      </c>
      <c r="S100" s="184"/>
      <c r="T100" s="184"/>
      <c r="U100" s="184"/>
      <c r="V100" s="184"/>
    </row>
    <row r="101" spans="1:22" ht="15">
      <c r="A101" s="67">
        <f t="shared" si="38"/>
        <v>92</v>
      </c>
      <c r="D101" s="184">
        <f aca="true" t="shared" si="52" ref="D101:O101">SUM(C100:D100)/2</f>
        <v>-1065607.0350000001</v>
      </c>
      <c r="E101" s="184">
        <f t="shared" si="52"/>
        <v>-1066438.8250000002</v>
      </c>
      <c r="F101" s="184">
        <f t="shared" si="52"/>
        <v>-1067270.59</v>
      </c>
      <c r="G101" s="184">
        <f t="shared" si="52"/>
        <v>-1068128.07</v>
      </c>
      <c r="H101" s="184">
        <f t="shared" si="52"/>
        <v>-1068985.55</v>
      </c>
      <c r="I101" s="184">
        <f t="shared" si="52"/>
        <v>-1069843.03</v>
      </c>
      <c r="J101" s="184">
        <f t="shared" si="52"/>
        <v>-1048690.24</v>
      </c>
      <c r="K101" s="184">
        <f t="shared" si="52"/>
        <v>-1027519.115</v>
      </c>
      <c r="L101" s="184">
        <f t="shared" si="52"/>
        <v>-1028339.925</v>
      </c>
      <c r="M101" s="184">
        <f t="shared" si="52"/>
        <v>-1028750.33</v>
      </c>
      <c r="N101" s="184">
        <f t="shared" si="52"/>
        <v>-614457.84</v>
      </c>
      <c r="O101" s="184">
        <f t="shared" si="52"/>
        <v>-177938.59</v>
      </c>
      <c r="P101" s="184">
        <f>SUM(D101:O101)/12</f>
        <v>-944330.7616666667</v>
      </c>
      <c r="Q101" s="184">
        <f>SUM(D101:O101)/12</f>
        <v>-944330.7616666667</v>
      </c>
      <c r="R101" s="184">
        <f>Q101-P101</f>
        <v>0</v>
      </c>
      <c r="S101" s="184"/>
      <c r="T101" s="184"/>
      <c r="U101" s="184"/>
      <c r="V101" s="184"/>
    </row>
    <row r="102" spans="1:22" ht="15">
      <c r="A102" s="67">
        <f t="shared" si="38"/>
        <v>93</v>
      </c>
      <c r="B102" s="67" t="s">
        <v>363</v>
      </c>
      <c r="C102" s="136">
        <v>-52898.61</v>
      </c>
      <c r="D102" s="184">
        <v>-55126.7</v>
      </c>
      <c r="E102" s="184">
        <v>-56948.67</v>
      </c>
      <c r="F102" s="184">
        <v>-58716.81</v>
      </c>
      <c r="G102" s="184">
        <v>-60484.95</v>
      </c>
      <c r="H102" s="184">
        <v>-60484.95</v>
      </c>
      <c r="I102" s="184">
        <v>-60484.95</v>
      </c>
      <c r="J102" s="184">
        <v>-60484.95</v>
      </c>
      <c r="K102" s="184">
        <v>-62288.12</v>
      </c>
      <c r="L102" s="184">
        <v>-64029.72</v>
      </c>
      <c r="M102" s="184">
        <v>-64029.72</v>
      </c>
      <c r="N102" s="184">
        <v>-64029.72</v>
      </c>
      <c r="O102" s="184">
        <v>-64029.72</v>
      </c>
      <c r="P102" s="184"/>
      <c r="Q102" s="184"/>
      <c r="R102" s="184">
        <f>+Q102-P102</f>
        <v>0</v>
      </c>
      <c r="S102" s="184"/>
      <c r="T102" s="184"/>
      <c r="U102" s="184"/>
      <c r="V102" s="184"/>
    </row>
    <row r="103" spans="1:22" ht="15">
      <c r="A103" s="67">
        <f t="shared" si="38"/>
        <v>94</v>
      </c>
      <c r="D103" s="184">
        <f aca="true" t="shared" si="53" ref="D103:O103">SUM(C102:D102)/2</f>
        <v>-54012.655</v>
      </c>
      <c r="E103" s="184">
        <f t="shared" si="53"/>
        <v>-56037.685</v>
      </c>
      <c r="F103" s="184">
        <f t="shared" si="53"/>
        <v>-57832.74</v>
      </c>
      <c r="G103" s="184">
        <f t="shared" si="53"/>
        <v>-59600.88</v>
      </c>
      <c r="H103" s="184">
        <f t="shared" si="53"/>
        <v>-60484.95</v>
      </c>
      <c r="I103" s="184">
        <f t="shared" si="53"/>
        <v>-60484.95</v>
      </c>
      <c r="J103" s="184">
        <f t="shared" si="53"/>
        <v>-60484.95</v>
      </c>
      <c r="K103" s="184">
        <f t="shared" si="53"/>
        <v>-61386.535</v>
      </c>
      <c r="L103" s="184">
        <f t="shared" si="53"/>
        <v>-63158.92</v>
      </c>
      <c r="M103" s="184">
        <f t="shared" si="53"/>
        <v>-64029.72</v>
      </c>
      <c r="N103" s="184">
        <f t="shared" si="53"/>
        <v>-64029.72</v>
      </c>
      <c r="O103" s="184">
        <f t="shared" si="53"/>
        <v>-64029.72</v>
      </c>
      <c r="P103" s="184">
        <f>SUM(D103:O103)/12</f>
        <v>-60464.45208333333</v>
      </c>
      <c r="Q103" s="184">
        <f>SUM(D103:O103)/12</f>
        <v>-60464.45208333333</v>
      </c>
      <c r="R103" s="184">
        <f>Q103-P103</f>
        <v>0</v>
      </c>
      <c r="S103" s="184"/>
      <c r="T103" s="184"/>
      <c r="U103" s="184"/>
      <c r="V103" s="184"/>
    </row>
    <row r="104" spans="1:22" ht="15">
      <c r="A104" s="67">
        <f t="shared" si="38"/>
        <v>95</v>
      </c>
      <c r="B104" s="67" t="s">
        <v>364</v>
      </c>
      <c r="C104" s="136">
        <v>-38634837.88</v>
      </c>
      <c r="D104" s="184">
        <v>-38910634.58</v>
      </c>
      <c r="E104" s="184">
        <v>-39183453.379999995</v>
      </c>
      <c r="F104" s="184">
        <v>-39457060.449999996</v>
      </c>
      <c r="G104" s="184">
        <v>-39711758.54000001</v>
      </c>
      <c r="H104" s="184">
        <v>-39991834.5</v>
      </c>
      <c r="I104" s="184">
        <v>-40274304.839999996</v>
      </c>
      <c r="J104" s="184">
        <v>-40557151.980000004</v>
      </c>
      <c r="K104" s="184">
        <v>-40841363.97</v>
      </c>
      <c r="L104" s="184">
        <v>-41053607.34</v>
      </c>
      <c r="M104" s="184">
        <v>-41317193.85</v>
      </c>
      <c r="N104" s="184">
        <v>-41604237.620000005</v>
      </c>
      <c r="O104" s="184">
        <v>-41875038.23</v>
      </c>
      <c r="P104" s="184"/>
      <c r="Q104" s="184"/>
      <c r="R104" s="184">
        <f>+Q104-P104</f>
        <v>0</v>
      </c>
      <c r="S104" s="184"/>
      <c r="T104" s="184"/>
      <c r="U104" s="184"/>
      <c r="V104" s="184"/>
    </row>
    <row r="105" spans="1:22" s="145" customFormat="1" ht="15">
      <c r="A105" s="67">
        <f t="shared" si="38"/>
        <v>96</v>
      </c>
      <c r="B105" s="144"/>
      <c r="D105" s="200">
        <f aca="true" t="shared" si="54" ref="D105:O105">SUM(C104:D104)/2</f>
        <v>-38772736.230000004</v>
      </c>
      <c r="E105" s="200">
        <f t="shared" si="54"/>
        <v>-39047043.98</v>
      </c>
      <c r="F105" s="200">
        <f t="shared" si="54"/>
        <v>-39320256.91499999</v>
      </c>
      <c r="G105" s="200">
        <f t="shared" si="54"/>
        <v>-39584409.495000005</v>
      </c>
      <c r="H105" s="200">
        <f t="shared" si="54"/>
        <v>-39851796.52</v>
      </c>
      <c r="I105" s="200">
        <f t="shared" si="54"/>
        <v>-40133069.67</v>
      </c>
      <c r="J105" s="200">
        <f t="shared" si="54"/>
        <v>-40415728.41</v>
      </c>
      <c r="K105" s="200">
        <f t="shared" si="54"/>
        <v>-40699257.975</v>
      </c>
      <c r="L105" s="200">
        <f t="shared" si="54"/>
        <v>-40947485.655</v>
      </c>
      <c r="M105" s="200">
        <f t="shared" si="54"/>
        <v>-41185400.595</v>
      </c>
      <c r="N105" s="200">
        <f t="shared" si="54"/>
        <v>-41460715.735</v>
      </c>
      <c r="O105" s="200">
        <f t="shared" si="54"/>
        <v>-41739637.925</v>
      </c>
      <c r="P105" s="200">
        <f>SUM(D105:O105)/12</f>
        <v>-40263128.25875001</v>
      </c>
      <c r="Q105" s="200">
        <f>SUM(D105:O105)/12</f>
        <v>-40263128.25875001</v>
      </c>
      <c r="R105" s="200">
        <f>Q105-P105</f>
        <v>0</v>
      </c>
      <c r="S105" s="200"/>
      <c r="T105" s="200"/>
      <c r="U105" s="200"/>
      <c r="V105" s="200"/>
    </row>
    <row r="106" spans="1:22" ht="15">
      <c r="A106" s="67">
        <f t="shared" si="38"/>
        <v>97</v>
      </c>
      <c r="B106" s="67" t="s">
        <v>194</v>
      </c>
      <c r="C106" s="136">
        <f>SUM(C62:C104)</f>
        <v>-984700886.99</v>
      </c>
      <c r="D106" s="184">
        <f aca="true" t="shared" si="55" ref="D106:P106">+D62+D64+D66+D68+D70+D72+D74+D76+D78+D80+D82+D84+D86+D88+D90+D92+D94+D96+D98+D100+D102+D104</f>
        <v>-968024644.9000001</v>
      </c>
      <c r="E106" s="184">
        <f t="shared" si="55"/>
        <v>-975494040.8900001</v>
      </c>
      <c r="F106" s="184">
        <f t="shared" si="55"/>
        <v>-963893692.2900001</v>
      </c>
      <c r="G106" s="184">
        <f t="shared" si="55"/>
        <v>-982973411.1100001</v>
      </c>
      <c r="H106" s="184">
        <f t="shared" si="55"/>
        <v>-990151031.07</v>
      </c>
      <c r="I106" s="184">
        <f t="shared" si="55"/>
        <v>-1001514514.1300004</v>
      </c>
      <c r="J106" s="184">
        <f t="shared" si="55"/>
        <v>-1011824789.94</v>
      </c>
      <c r="K106" s="184">
        <f t="shared" si="55"/>
        <v>-1022618904.66</v>
      </c>
      <c r="L106" s="184">
        <f t="shared" si="55"/>
        <v>-1028687510.2800002</v>
      </c>
      <c r="M106" s="184">
        <f t="shared" si="55"/>
        <v>-1010200374.11</v>
      </c>
      <c r="N106" s="184">
        <f t="shared" si="55"/>
        <v>-1019846244.38</v>
      </c>
      <c r="O106" s="184">
        <f t="shared" si="55"/>
        <v>-1032494689.3100001</v>
      </c>
      <c r="P106" s="184">
        <f t="shared" si="55"/>
        <v>0</v>
      </c>
      <c r="Q106" s="184"/>
      <c r="R106" s="184"/>
      <c r="S106" s="184"/>
      <c r="T106" s="184"/>
      <c r="U106" s="184"/>
      <c r="V106" s="184"/>
    </row>
    <row r="107" spans="1:22" ht="15">
      <c r="A107" s="67">
        <f t="shared" si="38"/>
        <v>98</v>
      </c>
      <c r="B107" s="67" t="s">
        <v>338</v>
      </c>
      <c r="D107" s="184">
        <f aca="true" t="shared" si="56" ref="D107:O107">+D63+D65+D67+D69+D71+D73+D75+D77+D79+D81+D83+D85+D87+D89+D91+D93+D95+D97+D99+D101+D103+D105</f>
        <v>-976362765.945</v>
      </c>
      <c r="E107" s="184">
        <f t="shared" si="56"/>
        <v>-971759342.8949999</v>
      </c>
      <c r="F107" s="184">
        <f t="shared" si="56"/>
        <v>-969693866.59</v>
      </c>
      <c r="G107" s="184">
        <f t="shared" si="56"/>
        <v>-973433551.7</v>
      </c>
      <c r="H107" s="184">
        <f t="shared" si="56"/>
        <v>-986562221.0900002</v>
      </c>
      <c r="I107" s="184">
        <f t="shared" si="56"/>
        <v>-995832772.6</v>
      </c>
      <c r="J107" s="184">
        <f t="shared" si="56"/>
        <v>-1006669652.0350002</v>
      </c>
      <c r="K107" s="184">
        <f t="shared" si="56"/>
        <v>-1017221847.3000002</v>
      </c>
      <c r="L107" s="184">
        <f t="shared" si="56"/>
        <v>-1025653207.4699999</v>
      </c>
      <c r="M107" s="184">
        <f t="shared" si="56"/>
        <v>-1019443942.1950002</v>
      </c>
      <c r="N107" s="184">
        <f t="shared" si="56"/>
        <v>-1015023309.245</v>
      </c>
      <c r="O107" s="184">
        <f t="shared" si="56"/>
        <v>-1026170466.845</v>
      </c>
      <c r="P107" s="146">
        <f>SUM(P62:P105)</f>
        <v>-998652245.4924998</v>
      </c>
      <c r="Q107" s="146">
        <f>SUM(Q62:Q105)</f>
        <v>-979043450.067462</v>
      </c>
      <c r="R107" s="146">
        <f>SUM(R62:R105)</f>
        <v>19608795.42503788</v>
      </c>
      <c r="S107" s="184"/>
      <c r="T107" s="146">
        <f>SUM(T62:T105)</f>
        <v>-28799206.5</v>
      </c>
      <c r="U107" s="120"/>
      <c r="V107" s="120"/>
    </row>
    <row r="108" spans="1:22" ht="15">
      <c r="A108" s="67">
        <f t="shared" si="38"/>
        <v>99</v>
      </c>
      <c r="D108" s="184"/>
      <c r="E108" s="184"/>
      <c r="F108" s="184"/>
      <c r="G108" s="184"/>
      <c r="H108" s="184"/>
      <c r="I108" s="184"/>
      <c r="J108" s="184"/>
      <c r="K108" s="184"/>
      <c r="L108" s="184"/>
      <c r="M108" s="184"/>
      <c r="N108" s="184"/>
      <c r="O108" s="201">
        <f>SUM(D107:O107)/12</f>
        <v>-998652245.4925</v>
      </c>
      <c r="P108" s="184"/>
      <c r="Q108" s="184"/>
      <c r="R108" s="202" t="s">
        <v>365</v>
      </c>
      <c r="S108" s="120"/>
      <c r="T108" s="202" t="s">
        <v>365</v>
      </c>
      <c r="U108" s="184"/>
      <c r="V108" s="184"/>
    </row>
    <row r="109" spans="1:22" ht="15">
      <c r="A109" s="148"/>
      <c r="B109" s="148"/>
      <c r="C109" s="147"/>
      <c r="D109" s="147"/>
      <c r="E109" s="147"/>
      <c r="F109" s="147"/>
      <c r="G109" s="147"/>
      <c r="H109" s="147"/>
      <c r="I109" s="147"/>
      <c r="J109" s="147"/>
      <c r="K109" s="147"/>
      <c r="L109" s="147"/>
      <c r="M109" s="147"/>
      <c r="N109" s="147"/>
      <c r="O109" s="147"/>
      <c r="P109" s="147"/>
      <c r="R109" s="147"/>
      <c r="S109" s="147"/>
      <c r="T109" s="147"/>
      <c r="U109" s="147"/>
      <c r="V109" s="147"/>
    </row>
    <row r="110" spans="1:22" s="64" customFormat="1" ht="15">
      <c r="A110" s="148"/>
      <c r="B110" s="149"/>
      <c r="C110" s="150"/>
      <c r="D110" s="150"/>
      <c r="E110" s="150"/>
      <c r="F110" s="150"/>
      <c r="G110" s="150"/>
      <c r="H110" s="150"/>
      <c r="I110" s="150"/>
      <c r="J110" s="150"/>
      <c r="K110" s="150"/>
      <c r="L110" s="150"/>
      <c r="M110" s="150"/>
      <c r="N110" s="150"/>
      <c r="O110" s="151"/>
      <c r="P110" s="151"/>
      <c r="Q110" s="67"/>
      <c r="R110" s="152"/>
      <c r="S110" s="153"/>
      <c r="T110" s="153"/>
      <c r="U110" s="154"/>
      <c r="V110" s="154"/>
    </row>
    <row r="111" spans="1:17" s="64" customFormat="1" ht="15">
      <c r="A111" s="148"/>
      <c r="B111" s="149"/>
      <c r="C111" s="149"/>
      <c r="D111" s="150"/>
      <c r="E111" s="150"/>
      <c r="F111" s="150"/>
      <c r="G111" s="150"/>
      <c r="H111" s="150"/>
      <c r="I111" s="150"/>
      <c r="J111" s="150"/>
      <c r="K111" s="150"/>
      <c r="L111" s="150"/>
      <c r="M111" s="150"/>
      <c r="N111" s="150"/>
      <c r="O111" s="150"/>
      <c r="P111" s="150"/>
      <c r="Q111" s="67"/>
    </row>
  </sheetData>
  <mergeCells count="1">
    <mergeCell ref="W4:X4"/>
  </mergeCells>
  <printOptions/>
  <pageMargins left="0.7" right="0.25" top="0" bottom="0.25" header="0.87" footer="0.23"/>
  <pageSetup fitToHeight="1" fitToWidth="1" horizontalDpi="600" verticalDpi="600" orientation="portrait"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TienW</dc:creator>
  <cp:keywords/>
  <dc:description/>
  <cp:lastModifiedBy>Information Services</cp:lastModifiedBy>
  <cp:lastPrinted>2005-01-14T02:50:39Z</cp:lastPrinted>
  <dcterms:created xsi:type="dcterms:W3CDTF">2002-08-14T17:04:36Z</dcterms:created>
  <dcterms:modified xsi:type="dcterms:W3CDTF">2005-01-14T17:43:27Z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040788</vt:lpwstr>
  </property>
  <property fmtid="{D5CDD505-2E9C-101B-9397-08002B2CF9AE}" pid="6" name="IsConfidenti">
    <vt:lpwstr>0</vt:lpwstr>
  </property>
  <property fmtid="{D5CDD505-2E9C-101B-9397-08002B2CF9AE}" pid="7" name="Dat">
    <vt:lpwstr>2005-01-14T00:00:00Z</vt:lpwstr>
  </property>
  <property fmtid="{D5CDD505-2E9C-101B-9397-08002B2CF9AE}" pid="8" name="CaseTy">
    <vt:lpwstr>Tariff Revision</vt:lpwstr>
  </property>
  <property fmtid="{D5CDD505-2E9C-101B-9397-08002B2CF9AE}" pid="9" name="OpenedDa">
    <vt:lpwstr>2004-04-30T00:00:00Z</vt:lpwstr>
  </property>
  <property fmtid="{D5CDD505-2E9C-101B-9397-08002B2CF9AE}" pid="10" name="Pref">
    <vt:lpwstr>UT</vt:lpwstr>
  </property>
  <property fmtid="{D5CDD505-2E9C-101B-9397-08002B2CF9AE}" pid="11" name="CaseCompanyNam">
    <vt:lpwstr>Verizon Northwest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