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1 ADFIT\"/>
    </mc:Choice>
  </mc:AlternateContent>
  <bookViews>
    <workbookView xWindow="0" yWindow="0" windowWidth="23040" windowHeight="9408"/>
  </bookViews>
  <sheets>
    <sheet name="Elec-Dec18" sheetId="1" r:id="rId1"/>
    <sheet name="Gas North-Dec18" sheetId="2" r:id="rId2"/>
    <sheet name="SYS-Dec18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'Elec-Dec18'!$A$1:$F$51</definedName>
    <definedName name="_xlnm.Print_Area" localSheetId="15">'Gas AMA-Functional'!$A$1:$H$29</definedName>
    <definedName name="_xlnm.Print_Area" localSheetId="1">'Gas North-Dec18'!$A$1:$F$46</definedName>
    <definedName name="_xlnm.Print_Area" localSheetId="5">'Other DFIT_AMA'!$A$1:$E$27</definedName>
    <definedName name="_xlnm.Print_Area" localSheetId="2">'SYS-Dec18'!$A$1:$G$37</definedName>
  </definedNames>
  <calcPr calcId="152511"/>
</workbook>
</file>

<file path=xl/calcChain.xml><?xml version="1.0" encoding="utf-8"?>
<calcChain xmlns="http://schemas.openxmlformats.org/spreadsheetml/2006/main">
  <c r="D30" i="23" l="1"/>
  <c r="D31" i="23"/>
  <c r="D32" i="23"/>
  <c r="D33" i="23"/>
  <c r="D34" i="23"/>
  <c r="D35" i="23"/>
  <c r="D36" i="23"/>
  <c r="D37" i="23"/>
  <c r="D38" i="23"/>
  <c r="H53" i="15"/>
  <c r="D53" i="15"/>
  <c r="A53" i="15"/>
  <c r="D17" i="15"/>
  <c r="H17" i="15" s="1"/>
  <c r="A17" i="15"/>
  <c r="I72" i="14"/>
  <c r="D72" i="14"/>
  <c r="A72" i="14"/>
  <c r="D23" i="14"/>
  <c r="I23" i="14" s="1"/>
  <c r="A23" i="14"/>
  <c r="D25" i="22"/>
  <c r="H33" i="22"/>
  <c r="H34" i="22"/>
  <c r="H32" i="22"/>
  <c r="H39" i="21"/>
  <c r="H38" i="21"/>
  <c r="D31" i="21"/>
  <c r="L12" i="21"/>
  <c r="H12" i="21"/>
  <c r="D22" i="2" l="1"/>
  <c r="E19" i="2"/>
  <c r="D19" i="2"/>
  <c r="A19" i="2"/>
  <c r="D32" i="1"/>
  <c r="E28" i="1"/>
  <c r="D28" i="1"/>
  <c r="A28" i="1"/>
  <c r="G27" i="6" l="1"/>
  <c r="F27" i="6"/>
  <c r="E27" i="6" l="1"/>
  <c r="D27" i="6" l="1"/>
  <c r="F15" i="8"/>
  <c r="F16" i="8"/>
  <c r="F17" i="8"/>
  <c r="F18" i="8"/>
  <c r="F19" i="8"/>
  <c r="F20" i="8"/>
  <c r="F21" i="8"/>
  <c r="F22" i="8"/>
  <c r="F23" i="8"/>
  <c r="F24" i="8"/>
  <c r="F14" i="8"/>
  <c r="F10" i="8"/>
  <c r="F9" i="8"/>
  <c r="F11" i="8" s="1"/>
  <c r="F13" i="8" s="1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A6" i="24"/>
  <c r="F25" i="8" l="1"/>
  <c r="F26" i="8" s="1"/>
  <c r="F7" i="24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0" i="24" l="1"/>
  <c r="B11" i="24"/>
  <c r="D11" i="24" s="1"/>
  <c r="H25" i="21"/>
  <c r="A3" i="8"/>
  <c r="B12" i="24" l="1"/>
  <c r="D12" i="24" s="1"/>
  <c r="F11" i="24"/>
  <c r="F12" i="24" l="1"/>
  <c r="B13" i="24"/>
  <c r="D13" i="24" s="1"/>
  <c r="I7" i="19"/>
  <c r="A6" i="19"/>
  <c r="B14" i="24" l="1"/>
  <c r="D14" i="24" s="1"/>
  <c r="F13" i="24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B15" i="24"/>
  <c r="D15" i="24" s="1"/>
  <c r="I25" i="22"/>
  <c r="F15" i="24" l="1"/>
  <c r="B16" i="24"/>
  <c r="D16" i="24" s="1"/>
  <c r="H31" i="21"/>
  <c r="H30" i="21"/>
  <c r="L30" i="21" s="1"/>
  <c r="M30" i="21" s="1"/>
  <c r="L39" i="21"/>
  <c r="E30" i="21"/>
  <c r="C30" i="21"/>
  <c r="F16" i="24" l="1"/>
  <c r="B17" i="24"/>
  <c r="D17" i="24" s="1"/>
  <c r="I30" i="21"/>
  <c r="B18" i="24" l="1"/>
  <c r="D18" i="24" s="1"/>
  <c r="F18" i="24" s="1"/>
  <c r="F17" i="24"/>
  <c r="L13" i="21"/>
  <c r="K13" i="21"/>
  <c r="H13" i="21"/>
  <c r="G13" i="21"/>
  <c r="C12" i="21"/>
  <c r="D12" i="21"/>
  <c r="M12" i="21"/>
  <c r="I12" i="21"/>
  <c r="E12" i="21" l="1"/>
  <c r="D46" i="14"/>
  <c r="B3" i="7" l="1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D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D16" i="6" s="1"/>
  <c r="B63" i="23"/>
  <c r="D63" i="23" s="1"/>
  <c r="K63" i="23" s="1"/>
  <c r="I66" i="23"/>
  <c r="D12" i="6" s="1"/>
  <c r="I68" i="23"/>
  <c r="H68" i="23"/>
  <c r="H66" i="23"/>
  <c r="D10" i="6" s="1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s="1"/>
  <c r="I9" i="11" l="1"/>
  <c r="G9" i="11" s="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10" i="11" l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F35" i="2"/>
  <c r="F36" i="2"/>
  <c r="F33" i="2"/>
  <c r="I11" i="11" l="1"/>
  <c r="G10" i="11"/>
  <c r="H60" i="15"/>
  <c r="E60" i="15"/>
  <c r="F60" i="15"/>
  <c r="N51" i="15"/>
  <c r="N24" i="15"/>
  <c r="O27" i="14"/>
  <c r="D79" i="14"/>
  <c r="D31" i="14"/>
  <c r="I32" i="14" s="1"/>
  <c r="F42" i="1"/>
  <c r="F28" i="1" s="1"/>
  <c r="F41" i="1"/>
  <c r="I12" i="11" l="1"/>
  <c r="G11" i="11"/>
  <c r="G80" i="14"/>
  <c r="F80" i="14"/>
  <c r="E80" i="14"/>
  <c r="H80" i="14"/>
  <c r="I80" i="14"/>
  <c r="E32" i="14"/>
  <c r="F32" i="14"/>
  <c r="H32" i="14"/>
  <c r="G32" i="14"/>
  <c r="I13" i="11" l="1"/>
  <c r="G12" i="1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3" i="1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4" i="11"/>
  <c r="F7" i="19"/>
  <c r="F15" i="7" s="1"/>
  <c r="B8" i="19"/>
  <c r="D8" i="19" s="1"/>
  <c r="I24" i="2"/>
  <c r="J13" i="2"/>
  <c r="D41" i="2"/>
  <c r="B25" i="8"/>
  <c r="B26" i="8" s="1"/>
  <c r="D24" i="6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5" i="1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D71" i="14"/>
  <c r="F71" i="14" s="1"/>
  <c r="D10" i="11"/>
  <c r="B11" i="11" s="1"/>
  <c r="D11" i="11" s="1"/>
  <c r="I17" i="11"/>
  <c r="G16" i="11"/>
  <c r="F10" i="19"/>
  <c r="F18" i="7" s="1"/>
  <c r="F9" i="19"/>
  <c r="F17" i="7" s="1"/>
  <c r="D65" i="14"/>
  <c r="F65" i="14" s="1"/>
  <c r="F22" i="14"/>
  <c r="B10" i="10"/>
  <c r="D10" i="10" s="1"/>
  <c r="F9" i="10"/>
  <c r="B10" i="13"/>
  <c r="D10" i="13" s="1"/>
  <c r="F9" i="13"/>
  <c r="D16" i="8" s="1"/>
  <c r="B9" i="18"/>
  <c r="B11" i="19"/>
  <c r="D11" i="19" s="1"/>
  <c r="G17" i="11" l="1"/>
  <c r="I18" i="1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G8" i="11"/>
  <c r="F8" i="11" s="1"/>
  <c r="E16" i="7" s="1"/>
  <c r="B12" i="18"/>
  <c r="B17" i="19"/>
  <c r="D17" i="19" s="1"/>
  <c r="F16" i="19"/>
  <c r="F24" i="7" s="1"/>
  <c r="G6" i="11" l="1"/>
  <c r="F6" i="11" s="1"/>
  <c r="E10" i="7" s="1"/>
  <c r="G7" i="1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6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D22" i="6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D26" i="6" s="1"/>
  <c r="G26" i="6" s="1"/>
  <c r="D13" i="18"/>
  <c r="F13" i="18" s="1"/>
  <c r="H13" i="18" s="1"/>
  <c r="E20" i="8" s="1"/>
  <c r="F26" i="6" l="1"/>
  <c r="D21" i="2" s="1"/>
  <c r="F21" i="2" s="1"/>
  <c r="D52" i="15" s="1"/>
  <c r="E26" i="6"/>
  <c r="D31" i="1" s="1"/>
  <c r="E31" i="1" s="1"/>
  <c r="D25" i="14" s="1"/>
  <c r="D24" i="1"/>
  <c r="B14" i="18"/>
  <c r="E22" i="1"/>
  <c r="D18" i="14" s="1"/>
  <c r="F22" i="1"/>
  <c r="D67" i="14" l="1"/>
  <c r="F67" i="14" s="1"/>
  <c r="F24" i="1"/>
  <c r="G52" i="15"/>
  <c r="F52" i="15"/>
  <c r="H52" i="15"/>
  <c r="E52" i="15"/>
  <c r="F18" i="14"/>
  <c r="I25" i="14"/>
  <c r="I27" i="14" s="1"/>
  <c r="H25" i="14"/>
  <c r="H27" i="14" s="1"/>
  <c r="E25" i="14"/>
  <c r="J22" i="14" s="1"/>
  <c r="G25" i="14"/>
  <c r="G27" i="14" s="1"/>
  <c r="F25" i="14"/>
  <c r="F27" i="14" s="1"/>
  <c r="E21" i="2"/>
  <c r="D16" i="15" s="1"/>
  <c r="F31" i="1"/>
  <c r="D74" i="14" s="1"/>
  <c r="E24" i="1"/>
  <c r="D14" i="18"/>
  <c r="F55" i="15" l="1"/>
  <c r="G55" i="15"/>
  <c r="H55" i="15"/>
  <c r="G74" i="14"/>
  <c r="G75" i="14" s="1"/>
  <c r="I74" i="14"/>
  <c r="I75" i="14" s="1"/>
  <c r="E74" i="14"/>
  <c r="F74" i="14"/>
  <c r="F75" i="14" s="1"/>
  <c r="H74" i="14"/>
  <c r="H75" i="14" s="1"/>
  <c r="I47" i="15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16" i="15" l="1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D25" i="6" s="1"/>
  <c r="G25" i="6" l="1"/>
  <c r="G28" i="6" s="1"/>
  <c r="D28" i="6"/>
  <c r="E25" i="6"/>
  <c r="E28" i="6" s="1"/>
  <c r="F25" i="6"/>
  <c r="F28" i="6" s="1"/>
  <c r="D20" i="2" l="1"/>
  <c r="F20" i="2" s="1"/>
  <c r="F22" i="2" s="1"/>
  <c r="D30" i="1"/>
  <c r="F30" i="1" l="1"/>
  <c r="E30" i="1"/>
  <c r="E20" i="2"/>
  <c r="D54" i="15"/>
  <c r="D18" i="15" l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E18" i="15"/>
  <c r="E19" i="15" s="1"/>
  <c r="D19" i="15"/>
  <c r="G12" i="6" l="1"/>
  <c r="F10" i="6"/>
  <c r="D11" i="2" l="1"/>
  <c r="D13" i="2"/>
  <c r="D12" i="2"/>
  <c r="D10" i="2"/>
  <c r="E16" i="6"/>
  <c r="D17" i="1" s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8" i="6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F14" i="6"/>
  <c r="E14" i="6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E34" i="1" s="1"/>
  <c r="E38" i="1" s="1"/>
  <c r="D13" i="14"/>
  <c r="E13" i="14" l="1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<sst xmlns="http://schemas.openxmlformats.org/spreadsheetml/2006/main" count="738" uniqueCount="256">
  <si>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</si>
  <si>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</si>
  <si>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</si>
  <si>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</si>
  <si>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</si>
  <si>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</si>
  <si>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</si>
  <si>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</si>
  <si>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</si>
  <si>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</si>
  <si>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</si>
  <si>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</si>
  <si>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</si>
  <si>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</si>
  <si>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</si>
  <si>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</si>
  <si>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</si>
  <si>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</si>
  <si>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</si>
  <si>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</si>
  <si>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</si>
  <si>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</si>
  <si>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</si>
  <si>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</si>
  <si>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</si>
  <si>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</si>
  <si>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</si>
  <si>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</si>
  <si>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</si>
  <si>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</si>
  <si>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</si>
  <si>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</si>
  <si>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</si>
  <si>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</si>
  <si>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</si>
  <si>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</si>
  <si>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</si>
  <si>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</si>
  <si>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</si>
  <si>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</si>
  <si>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</si>
  <si>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</si>
  <si>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</si>
  <si>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</si>
  <si>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</si>
  <si>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</si>
  <si>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</si>
  <si>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</si>
  <si>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</si>
  <si>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</si>
  <si>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</si>
  <si>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</si>
  <si>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</si>
  <si>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</si>
  <si>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</si>
  <si>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</si>
  <si>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</si>
  <si>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</si>
  <si>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</si>
  <si>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</si>
  <si>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</si>
  <si>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</si>
  <si>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</si>
  <si>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</si>
  <si>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</si>
  <si>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</si>
  <si>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</si>
  <si>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</si>
  <si>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</si>
  <si>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</si>
  <si>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</si>
  <si>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</si>
  <si>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</si>
  <si>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</si>
  <si>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</si>
  <si>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</si>
  <si>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</si>
  <si>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</si>
  <si>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</si>
  <si>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</si>
  <si>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</si>
  <si>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</si>
  <si>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</si>
  <si>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</si>
  <si>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</si>
  <si>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</si>
  <si>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</si>
  <si>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</si>
  <si>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</si>
  <si>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</si>
  <si>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</si>
  <si>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</si>
  <si>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</si>
  <si>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</si>
  <si>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</si>
  <si>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</si>
  <si>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</si>
  <si>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</si>
  <si>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</si>
  <si>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</si>
  <si>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</si>
  <si>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</si>
  <si>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</si>
  <si>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</si>
  <si>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</si>
  <si>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</si>
  <si>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</si>
  <si>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</si>
  <si>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</si>
  <si>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Adjustment in Results of Operations  (1)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</si>
  <si>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</si>
  <si>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</si>
  <si>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</si>
  <si>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</si>
  <si>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</si>
  <si>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</si>
  <si>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</si>
  <si>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</si>
  <si>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</si>
  <si>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</si>
  <si>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</si>
  <si>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</si>
  <si>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</si>
  <si>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</si>
  <si>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</si>
  <si>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</si>
  <si>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</si>
  <si>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</si>
  <si>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</si>
  <si>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</si>
  <si>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</si>
  <si>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</si>
  <si>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</si>
  <si>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</si>
  <si>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</si>
  <si>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</si>
  <si>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</si>
  <si>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</si>
  <si>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</si>
  <si>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</si>
  <si>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</si>
  <si>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</si>
  <si>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</si>
  <si>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</si>
  <si>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</si>
  <si>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</si>
  <si>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</si>
  <si>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</si>
  <si>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</si>
  <si>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</si>
  <si>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</si>
  <si>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</si>
  <si>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</si>
  <si>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</si>
  <si>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</si>
  <si>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</si>
  <si>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</si>
  <si>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</si>
  <si>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</si>
  <si>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</si>
  <si>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</si>
  <si>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</si>
  <si>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</si>
  <si>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</si>
  <si>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</si>
  <si>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</si>
  <si>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</si>
  <si>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</si>
  <si>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</si>
  <si>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</si>
  <si>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</si>
  <si>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</si>
  <si>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</si>
  <si>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</si>
  <si>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</si>
  <si>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</si>
  <si>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</si>
  <si>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</si>
  <si>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</si>
  <si>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</si>
  <si>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</si>
  <si>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</si>
  <si>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</si>
  <si>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</si>
  <si>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</si>
  <si>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</si>
  <si>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</si>
  <si>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</si>
  <si>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</si>
  <si>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</si>
  <si>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</si>
  <si>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</si>
  <si>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</si>
  <si>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</si>
  <si>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</si>
  <si>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</si>
  <si>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</si>
  <si>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</si>
  <si>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</si>
  <si>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</si>
  <si>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</si>
  <si>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Adjustment for Finalizing Tax Return (2)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</si>
  <si>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</si>
  <si>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</si>
  <si>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</si>
  <si>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</si>
  <si>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</si>
  <si>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</si>
  <si>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</si>
  <si>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</si>
  <si>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</si>
  <si>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</si>
  <si>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</si>
  <si>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</si>
  <si>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</si>
  <si>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</si>
  <si>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</si>
  <si>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</si>
  <si>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</si>
  <si>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</si>
  <si>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</si>
  <si>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</si>
  <si>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</si>
  <si>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</si>
  <si>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</si>
  <si>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</si>
  <si>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</si>
  <si>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</si>
  <si>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</si>
  <si>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</si>
  <si>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</si>
  <si>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</si>
  <si>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</si>
  <si>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</si>
  <si>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</si>
  <si>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</si>
  <si>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</si>
  <si>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</si>
  <si>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</si>
  <si>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</si>
  <si>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</si>
  <si>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</si>
  <si>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</si>
  <si>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</si>
  <si>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</si>
  <si>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</si>
  <si>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</si>
  <si>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</si>
  <si>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Note:  TCJA was recorded in GL in December 2017, however, not reflected in ROO until January 2018.</t>
  </si>
  <si>
    <t>Average - Twelve Months Ended December 31, 2018</t>
  </si>
  <si>
    <t>Note: Dec 2017 - Aug 2018, amount was recorded in ZZ.ZZ in GL, however adjusted to CD.AA in ROO.</t>
  </si>
  <si>
    <t>ADFIT-Plant - AFUDC Equity</t>
  </si>
  <si>
    <t>282919 CD AA</t>
  </si>
  <si>
    <t>DFIT-AFUDC Equity</t>
  </si>
  <si>
    <t>M</t>
  </si>
  <si>
    <t>Amount per ROO at 12/31/2018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</si>
</sst>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37" fontId="0" fillId="0" borderId="4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37" fontId="0" fillId="7" borderId="0" xfId="0" applyNumberFormat="1" applyFill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44" fontId="17" fillId="7" borderId="15" xfId="2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7" workbookViewId="0">
      <selection activeCell="A37" sqref="A37"/>
    </sheetView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'SYS-Dec18'!D1</f>
        <v>AVISTA UTILITIES</v>
      </c>
    </row>
    <row r="2" spans="1:10">
      <c r="C2" s="2" t="s">
        <v>0</v>
      </c>
    </row>
    <row r="3" spans="1:10">
      <c r="C3" s="3" t="str">
        <f>'SYS-Dec18'!D3</f>
        <v>Average - Twelve Months Ended December 31, 2018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ROUND('SYS-Dec18'!$E$8*J10,0)</f>
        <v>-9965668</v>
      </c>
      <c r="E10" s="4">
        <f>D10*E41</f>
        <v>-6516550.3052000003</v>
      </c>
      <c r="F10" s="4">
        <f>D10*F41</f>
        <v>-3449117.6947999997</v>
      </c>
      <c r="H10" s="6" t="s">
        <v>221</v>
      </c>
      <c r="I10" s="153">
        <f>'E-PLT'!E8+'E-PLT'!E9+'E-PLT'!E10+'E-PLT'!E11+'E-PLT'!E12-'E-PLT'!E32</f>
        <v>72425408</v>
      </c>
      <c r="J10" s="8">
        <f>ROUND(I10/$I$15,8)</f>
        <v>1.8197749999999999E-2</v>
      </c>
    </row>
    <row r="11" spans="1:10">
      <c r="B11" s="1" t="s">
        <v>11</v>
      </c>
      <c r="C11" s="2">
        <v>1</v>
      </c>
      <c r="D11" s="4">
        <f>ROUND('SYS-Dec18'!$E$8*J11,0)</f>
        <v>-190493575</v>
      </c>
      <c r="E11" s="4">
        <f>D11*E41</f>
        <v>-124563748.69250001</v>
      </c>
      <c r="F11" s="4">
        <f>D11*F41</f>
        <v>-65929826.30749999</v>
      </c>
      <c r="H11" s="6" t="s">
        <v>11</v>
      </c>
      <c r="I11" s="153">
        <f>'E-PLT'!E15</f>
        <v>1384410816</v>
      </c>
      <c r="J11" s="8">
        <f>ROUND(I11/$I$15,8)</f>
        <v>0.34784967999999999</v>
      </c>
    </row>
    <row r="12" spans="1:10">
      <c r="B12" s="1" t="s">
        <v>12</v>
      </c>
      <c r="C12" s="2">
        <v>1</v>
      </c>
      <c r="D12" s="4">
        <f>ROUND('SYS-Dec18'!$E$8*J12,0)</f>
        <v>-100379319</v>
      </c>
      <c r="E12" s="4">
        <f>D12*E41</f>
        <v>-65638036.694100007</v>
      </c>
      <c r="F12" s="4">
        <f>D12*F41</f>
        <v>-34741282.305899993</v>
      </c>
      <c r="H12" s="6" t="s">
        <v>12</v>
      </c>
      <c r="I12" s="153">
        <f>'E-PLT'!E16</f>
        <v>729506031</v>
      </c>
      <c r="J12" s="8">
        <f>ROUND(I12/$I$15,8)</f>
        <v>0.18329707000000001</v>
      </c>
    </row>
    <row r="13" spans="1:10">
      <c r="B13" s="1" t="s">
        <v>13</v>
      </c>
      <c r="C13" s="2">
        <v>10</v>
      </c>
      <c r="D13" s="4">
        <f>ROUND('SYS-Dec18'!$E$8*J13,0)</f>
        <v>-232650655</v>
      </c>
      <c r="E13" s="4">
        <f>D13*E43</f>
        <v>-157122946.3608</v>
      </c>
      <c r="F13" s="4">
        <f>D13*F43</f>
        <v>-75527708.639200002</v>
      </c>
      <c r="H13" s="6" t="s">
        <v>13</v>
      </c>
      <c r="I13" s="153">
        <f>'E-PLT'!E17</f>
        <v>1690787105</v>
      </c>
      <c r="J13" s="8">
        <f>ROUND(I13/$I$15,8)</f>
        <v>0.42483037000000001</v>
      </c>
    </row>
    <row r="14" spans="1:10">
      <c r="B14" s="1" t="s">
        <v>14</v>
      </c>
      <c r="C14" s="2">
        <v>13</v>
      </c>
      <c r="D14" s="4">
        <f>ROUND('SYS-Dec18'!$E$8*J14,0)</f>
        <v>-14142670</v>
      </c>
      <c r="E14" s="4">
        <f>D14*E45</f>
        <v>-9444899.3060999997</v>
      </c>
      <c r="F14" s="4">
        <f>D14*F45</f>
        <v>-4697770.6938999994</v>
      </c>
      <c r="H14" s="6" t="s">
        <v>15</v>
      </c>
      <c r="I14" s="154">
        <f>'E-PLT'!C18</f>
        <v>102781771</v>
      </c>
      <c r="J14" s="9">
        <f>ROUND(I14/$I$15,8)</f>
        <v>2.582514E-2</v>
      </c>
    </row>
    <row r="15" spans="1:10">
      <c r="C15" s="2"/>
      <c r="D15" s="4"/>
      <c r="E15" s="4"/>
      <c r="F15" s="4"/>
      <c r="H15" s="6"/>
      <c r="I15" s="139">
        <f>SUM(I10:I14)</f>
        <v>3979911131</v>
      </c>
      <c r="J15" s="11">
        <f>SUM(J10:J14)</f>
        <v>1.0000000099999999</v>
      </c>
    </row>
    <row r="16" spans="1:10">
      <c r="A16" s="1" t="s">
        <v>16</v>
      </c>
      <c r="B16" s="12" t="s">
        <v>17</v>
      </c>
      <c r="C16" s="2">
        <v>4</v>
      </c>
      <c r="D16" s="4">
        <f>'SYS-Dec18'!E14</f>
        <v>-63927084.635831073</v>
      </c>
      <c r="E16" s="4">
        <f>D16*E42</f>
        <v>-43850783.705948323</v>
      </c>
      <c r="F16" s="4">
        <f>D16*F42</f>
        <v>-20076300.92988275</v>
      </c>
      <c r="H16" s="13" t="s">
        <v>18</v>
      </c>
      <c r="I16" s="155">
        <f>'E-PLT'!D18</f>
        <v>288134062</v>
      </c>
    </row>
    <row r="17" spans="1:9">
      <c r="A17" s="1" t="s">
        <v>16</v>
      </c>
      <c r="B17" s="1" t="s">
        <v>19</v>
      </c>
      <c r="C17" s="2">
        <v>4</v>
      </c>
      <c r="D17" s="15">
        <f>'SYS-Dec18'!E16</f>
        <v>-582416.92363800004</v>
      </c>
      <c r="E17" s="15">
        <f>D17*E42</f>
        <v>-399508.8887694861</v>
      </c>
      <c r="F17" s="15">
        <f>D17*F42</f>
        <v>-182908.03486851393</v>
      </c>
      <c r="H17" s="13" t="s">
        <v>20</v>
      </c>
      <c r="I17" s="155">
        <f>'E-PLT'!E32</f>
        <v>161915206</v>
      </c>
    </row>
    <row r="18" spans="1:9">
      <c r="A18" s="1" t="s">
        <v>21</v>
      </c>
      <c r="C18" s="2"/>
      <c r="D18" s="4">
        <f>SUM(D10:D17)</f>
        <v>-612141388.5594691</v>
      </c>
      <c r="E18" s="4">
        <f>SUM(E10:E17)</f>
        <v>-407536473.9534179</v>
      </c>
      <c r="F18" s="4">
        <f>SUM(F10:F17)</f>
        <v>-204604914.60605124</v>
      </c>
      <c r="H18" s="13"/>
      <c r="I18" s="155"/>
    </row>
    <row r="19" spans="1:9">
      <c r="C19" s="2"/>
      <c r="D19" s="4"/>
      <c r="E19" s="4"/>
      <c r="F19" s="4"/>
      <c r="H19" s="13"/>
      <c r="I19" s="155"/>
    </row>
    <row r="20" spans="1:9">
      <c r="A20" s="1" t="s">
        <v>22</v>
      </c>
      <c r="C20" s="2">
        <v>1</v>
      </c>
      <c r="D20" s="4">
        <f>'SYS-Dec18'!E20</f>
        <v>0</v>
      </c>
      <c r="E20" s="4">
        <f>D20*E41</f>
        <v>0</v>
      </c>
      <c r="F20" s="4">
        <f>D20*F41</f>
        <v>0</v>
      </c>
      <c r="H20" s="13" t="s">
        <v>190</v>
      </c>
      <c r="I20" s="153">
        <f>'E-PLT'!E4+'E-PLT'!E5+'E-PLT'!E6+'E-PLT'!E7</f>
        <v>42834780</v>
      </c>
    </row>
    <row r="21" spans="1:9">
      <c r="A21" s="1" t="s">
        <v>23</v>
      </c>
      <c r="C21" s="2">
        <v>1</v>
      </c>
      <c r="D21" s="4">
        <f>'SYS-Dec18'!E21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'SYS-Dec18'!E22</f>
        <v>-6784467.0150000006</v>
      </c>
      <c r="E22" s="16">
        <f>D22*E41</f>
        <v>-4436362.9811085006</v>
      </c>
      <c r="F22" s="16">
        <f>D22*F41</f>
        <v>-2348104.0338915</v>
      </c>
      <c r="H22" s="13"/>
      <c r="I22" s="14"/>
    </row>
    <row r="23" spans="1:9">
      <c r="A23" s="1" t="s">
        <v>189</v>
      </c>
      <c r="C23" s="2">
        <v>1</v>
      </c>
      <c r="D23" s="15">
        <f>'SYS-Dec18'!D23</f>
        <v>252533.77458333332</v>
      </c>
      <c r="E23" s="15">
        <f>D23*E41</f>
        <v>165131.83520004168</v>
      </c>
      <c r="F23" s="15">
        <f>D23*F41</f>
        <v>87401.939383291654</v>
      </c>
      <c r="H23" s="13"/>
      <c r="I23" s="14"/>
    </row>
    <row r="24" spans="1:9">
      <c r="A24" s="1" t="s">
        <v>25</v>
      </c>
      <c r="C24" s="2"/>
      <c r="D24" s="4">
        <f>SUM(D20:D23)</f>
        <v>-6531933.2404166674</v>
      </c>
      <c r="E24" s="4">
        <f t="shared" ref="E24" si="0">SUM(E20:E23)</f>
        <v>-4271231.1459084591</v>
      </c>
      <c r="F24" s="4">
        <f>SUM(F20:F23)</f>
        <v>-2260702.0945082083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-618673321.79988575</v>
      </c>
      <c r="E26" s="17">
        <f>E18+E24</f>
        <v>-411807705.09932637</v>
      </c>
      <c r="F26" s="17">
        <f>F18+F24</f>
        <v>-206865616.70055944</v>
      </c>
      <c r="H26" s="13" t="s">
        <v>27</v>
      </c>
      <c r="I26" s="137">
        <f>SUM(I15:I21)</f>
        <v>4472795179</v>
      </c>
    </row>
    <row r="27" spans="1:9" ht="13.8" thickTop="1">
      <c r="I27" s="137"/>
    </row>
    <row r="28" spans="1:9">
      <c r="A28" s="1" t="str">
        <f>'SYS-Dec18'!A27</f>
        <v>ADFIT-Plant - AFUDC Equity</v>
      </c>
      <c r="C28" s="2">
        <v>4</v>
      </c>
      <c r="D28" s="4">
        <f>'SYS-Dec18'!E27</f>
        <v>-31085.760712499999</v>
      </c>
      <c r="E28" s="137">
        <f>D28*E42</f>
        <v>-21323.277560739374</v>
      </c>
      <c r="F28" s="137">
        <f>D28*F42</f>
        <v>-9762.4831517606272</v>
      </c>
      <c r="H28" s="6"/>
      <c r="I28" s="18"/>
    </row>
    <row r="29" spans="1:9">
      <c r="A29" s="1" t="s">
        <v>28</v>
      </c>
      <c r="C29" s="2">
        <v>1</v>
      </c>
      <c r="D29" s="4">
        <f>'SYS-Dec18'!E24</f>
        <v>39899.089166666672</v>
      </c>
      <c r="E29" s="4">
        <f>D29*E41</f>
        <v>26090.014406083337</v>
      </c>
      <c r="F29" s="4">
        <f>D29*F41</f>
        <v>13809.074760583333</v>
      </c>
      <c r="G29" s="19"/>
      <c r="H29" s="6"/>
      <c r="I29" s="132"/>
    </row>
    <row r="30" spans="1:9">
      <c r="A30" s="135" t="s">
        <v>172</v>
      </c>
      <c r="C30" s="2">
        <v>4</v>
      </c>
      <c r="D30" s="16">
        <f>'SYS-Dec18'!E25</f>
        <v>-167547.64383202081</v>
      </c>
      <c r="E30" s="16">
        <f>D30*E42</f>
        <v>-114929.30628657466</v>
      </c>
      <c r="F30" s="16">
        <f>D30*F42</f>
        <v>-52618.337545446142</v>
      </c>
      <c r="G30" s="19"/>
      <c r="H30" s="6"/>
      <c r="I30" s="18"/>
    </row>
    <row r="31" spans="1:9">
      <c r="A31" s="1" t="str">
        <f>'SYS-Dec18'!A26</f>
        <v>FMB &amp; MTN Redeemed</v>
      </c>
      <c r="C31" s="2">
        <v>12</v>
      </c>
      <c r="D31" s="15">
        <f>'SYS-Dec18'!E26</f>
        <v>-1450291.6501422918</v>
      </c>
      <c r="E31" s="15">
        <f>D31*E44</f>
        <v>-964864.53192316543</v>
      </c>
      <c r="F31" s="15">
        <f>D31*F44</f>
        <v>-485427.11821912642</v>
      </c>
      <c r="H31" s="6"/>
      <c r="I31" s="18"/>
    </row>
    <row r="32" spans="1:9">
      <c r="A32" s="1" t="s">
        <v>29</v>
      </c>
      <c r="D32" s="15">
        <f>SUM(D28:D31)</f>
        <v>-1609025.9655201458</v>
      </c>
      <c r="E32" s="15">
        <f t="shared" ref="E32:F32" si="1">SUM(E28:E31)</f>
        <v>-1075027.101364396</v>
      </c>
      <c r="F32" s="15">
        <f t="shared" si="1"/>
        <v>-533998.86415574991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70" t="s">
        <v>233</v>
      </c>
      <c r="D34" s="34">
        <f>D26+D32</f>
        <v>-620282347.76540589</v>
      </c>
      <c r="E34" s="34">
        <f>E26+E32</f>
        <v>-412882732.20069075</v>
      </c>
      <c r="F34" s="34">
        <f>F26+F32</f>
        <v>-207399615.56471518</v>
      </c>
      <c r="H34" s="6"/>
      <c r="I34" s="11"/>
    </row>
    <row r="35" spans="1:9" ht="13.8" thickTop="1">
      <c r="E35" s="170" t="s">
        <v>235</v>
      </c>
      <c r="H35" s="6"/>
      <c r="I35" s="11"/>
    </row>
    <row r="36" spans="1:9">
      <c r="A36" s="1" t="s">
        <v>255</v>
      </c>
      <c r="D36" s="16">
        <f>SUM(E36:F36)</f>
        <v>-615869031</v>
      </c>
      <c r="E36" s="183">
        <v>-410936808</v>
      </c>
      <c r="F36" s="183">
        <v>-204932223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-4413316.7654058933</v>
      </c>
      <c r="E38" s="25">
        <f>E34-E36</f>
        <v>-1945924.2006907463</v>
      </c>
      <c r="F38" s="24">
        <f>F34-F36</f>
        <v>-2467392.5647151768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6">
        <v>0.65390000000000004</v>
      </c>
      <c r="F41" s="136">
        <f>1-E41</f>
        <v>0.34609999999999996</v>
      </c>
    </row>
    <row r="42" spans="1:9">
      <c r="A42" s="1" t="s">
        <v>34</v>
      </c>
      <c r="C42" s="2">
        <v>4</v>
      </c>
      <c r="D42" s="8">
        <f>SUM(E42:F42)</f>
        <v>1</v>
      </c>
      <c r="E42" s="26">
        <v>0.68594999999999995</v>
      </c>
      <c r="F42" s="136">
        <f>1-E42</f>
        <v>0.31405000000000005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6">
        <v>0.67535999999999996</v>
      </c>
      <c r="F43" s="136">
        <f t="shared" ref="F43:F45" si="2">1-E43</f>
        <v>0.32464000000000004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6">
        <v>0.66529000000000005</v>
      </c>
      <c r="F44" s="136">
        <f t="shared" si="2"/>
        <v>0.33470999999999995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6">
        <v>0.66783000000000003</v>
      </c>
      <c r="F45" s="136">
        <f t="shared" si="2"/>
        <v>0.33216999999999997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7"/>
      <c r="B51" s="28"/>
      <c r="C51" s="28"/>
      <c r="D51" s="28"/>
      <c r="E51" s="27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7" sqref="A27"/>
    </sheetView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9" t="str">
        <f>'Elec-Dec18'!C1</f>
        <v>AVISTA UTILITIES</v>
      </c>
    </row>
    <row r="2" spans="1:12">
      <c r="C2" s="29" t="s">
        <v>44</v>
      </c>
    </row>
    <row r="3" spans="1:12">
      <c r="C3" s="30" t="str">
        <f>'SYS-Dec18'!D3</f>
        <v>Average - Twelve Months Ended December 31, 2018</v>
      </c>
    </row>
    <row r="6" spans="1:12">
      <c r="C6" s="29" t="s">
        <v>1</v>
      </c>
      <c r="D6" s="29" t="s">
        <v>45</v>
      </c>
      <c r="E6" s="29"/>
      <c r="F6" s="29"/>
    </row>
    <row r="7" spans="1:12">
      <c r="C7" s="30" t="s">
        <v>3</v>
      </c>
      <c r="D7" s="30" t="s">
        <v>4</v>
      </c>
      <c r="E7" s="30" t="s">
        <v>5</v>
      </c>
      <c r="F7" s="30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9">
        <v>4</v>
      </c>
      <c r="D10" s="23">
        <f>ROUND('SYS-Dec18'!$F$10*J10,0)</f>
        <v>-461236</v>
      </c>
      <c r="E10" s="23">
        <f>D10*E34</f>
        <v>-333344.48191999999</v>
      </c>
      <c r="F10" s="23">
        <f>D10*F34</f>
        <v>-127891.51807999998</v>
      </c>
      <c r="H10" s="6" t="s">
        <v>10</v>
      </c>
      <c r="I10" s="153">
        <f>'G-PLT'!E8-'G-PLT'!E27</f>
        <v>3237169</v>
      </c>
      <c r="J10" s="31">
        <f>ROUND(I10/$I$14,8)</f>
        <v>4.2073900000000001E-3</v>
      </c>
      <c r="L10" s="112"/>
    </row>
    <row r="11" spans="1:12">
      <c r="B11" t="s">
        <v>47</v>
      </c>
      <c r="C11" s="29">
        <v>1</v>
      </c>
      <c r="D11" s="23">
        <f>ROUND('SYS-Dec18'!$F$10*J11,0)</f>
        <v>-5859270</v>
      </c>
      <c r="E11" s="23">
        <f>D11*E33</f>
        <v>-4048755.57</v>
      </c>
      <c r="F11" s="23">
        <f>D11*F33</f>
        <v>-1810514.4300000004</v>
      </c>
      <c r="H11" s="6" t="s">
        <v>47</v>
      </c>
      <c r="I11" s="153">
        <f>'G-PLT'!E10</f>
        <v>41123075</v>
      </c>
      <c r="J11" s="31">
        <f>ROUND(I11/$I$14,8)</f>
        <v>5.344815E-2</v>
      </c>
      <c r="L11" s="23"/>
    </row>
    <row r="12" spans="1:12">
      <c r="B12" t="s">
        <v>13</v>
      </c>
      <c r="C12" s="29">
        <v>12</v>
      </c>
      <c r="D12" s="23">
        <f>ROUND('SYS-Dec18'!$F$10*J12,0)</f>
        <v>-98225338</v>
      </c>
      <c r="E12" s="23">
        <f>D12*E35</f>
        <v>-67917909.960099995</v>
      </c>
      <c r="F12" s="23">
        <f>D12*F35</f>
        <v>-30307428.039899997</v>
      </c>
      <c r="H12" s="6" t="s">
        <v>13</v>
      </c>
      <c r="I12" s="153">
        <f>'G-PLT'!E11</f>
        <v>689390983</v>
      </c>
      <c r="J12" s="31">
        <f>ROUND(I12/$I$14,8)</f>
        <v>0.89600968999999997</v>
      </c>
      <c r="L12" s="23"/>
    </row>
    <row r="13" spans="1:12">
      <c r="B13" t="s">
        <v>48</v>
      </c>
      <c r="C13" s="29">
        <v>13</v>
      </c>
      <c r="D13" s="23">
        <f>ROUND('SYS-Dec18'!$F$10*J13,0)</f>
        <v>-5079463</v>
      </c>
      <c r="E13" s="23">
        <f>D13*E36</f>
        <v>-3867147.5657899999</v>
      </c>
      <c r="F13" s="23">
        <f>D13*F36</f>
        <v>-1212315.4342100003</v>
      </c>
      <c r="H13" s="6" t="s">
        <v>15</v>
      </c>
      <c r="I13" s="154">
        <f>'G-PLT'!C12</f>
        <v>35650033</v>
      </c>
      <c r="J13" s="32">
        <f>ROUND(I13/$I$14,8)</f>
        <v>4.6334769999999997E-2</v>
      </c>
      <c r="L13" s="23"/>
    </row>
    <row r="14" spans="1:12">
      <c r="C14" s="29"/>
      <c r="D14" s="23"/>
      <c r="E14" s="23"/>
      <c r="F14" s="23"/>
      <c r="H14" s="6"/>
      <c r="I14" s="139">
        <f>SUM(I10:I13)</f>
        <v>769401260</v>
      </c>
      <c r="J14" s="8">
        <f>SUM(J10:J13)</f>
        <v>0.99999999999999989</v>
      </c>
    </row>
    <row r="15" spans="1:12">
      <c r="A15" t="s">
        <v>49</v>
      </c>
      <c r="B15" t="s">
        <v>17</v>
      </c>
      <c r="C15" s="29">
        <v>4</v>
      </c>
      <c r="D15" s="24">
        <f>'SYS-Dec18'!F14</f>
        <v>-18730129.923457514</v>
      </c>
      <c r="E15" s="24">
        <f>D15*E34</f>
        <v>-13536639.498281216</v>
      </c>
      <c r="F15" s="24">
        <f>D15*F34</f>
        <v>-5193490.4251762992</v>
      </c>
      <c r="H15" s="13" t="s">
        <v>18</v>
      </c>
      <c r="I15" s="155">
        <f>'G-PLT'!D12</f>
        <v>67944061</v>
      </c>
      <c r="K15" s="112"/>
    </row>
    <row r="16" spans="1:12">
      <c r="A16" t="s">
        <v>49</v>
      </c>
      <c r="B16" t="s">
        <v>19</v>
      </c>
      <c r="C16" s="29">
        <v>12</v>
      </c>
      <c r="D16" s="33">
        <f>'SYS-Dec18'!F16</f>
        <v>-167009.72969533334</v>
      </c>
      <c r="E16" s="33">
        <f>D16*E35</f>
        <v>-115478.87759783825</v>
      </c>
      <c r="F16" s="33">
        <f>D16*F35</f>
        <v>-51530.852097495102</v>
      </c>
      <c r="H16" s="13" t="s">
        <v>20</v>
      </c>
      <c r="I16" s="155">
        <f>'G-PLT'!E27</f>
        <v>47439425</v>
      </c>
    </row>
    <row r="17" spans="1:9">
      <c r="A17" t="s">
        <v>50</v>
      </c>
      <c r="C17" s="29"/>
      <c r="D17" s="4">
        <f>SUM(D10:D16)</f>
        <v>-128522446.65315285</v>
      </c>
      <c r="E17" s="4">
        <f>SUM(E10:E16)</f>
        <v>-89819275.953689039</v>
      </c>
      <c r="F17" s="4">
        <f>SUM(F10:F16)</f>
        <v>-38703170.699463792</v>
      </c>
      <c r="H17" s="13"/>
      <c r="I17" s="14"/>
    </row>
    <row r="18" spans="1:9">
      <c r="C18" s="29"/>
      <c r="D18" s="23"/>
      <c r="E18" s="23"/>
      <c r="F18" s="23"/>
      <c r="H18" s="13"/>
      <c r="I18" s="7"/>
    </row>
    <row r="19" spans="1:9">
      <c r="A19" t="str">
        <f>'SYS-Dec18'!A27</f>
        <v>ADFIT-Plant - AFUDC Equity</v>
      </c>
      <c r="C19" s="191">
        <v>4</v>
      </c>
      <c r="D19" s="23">
        <f>'SYS-Dec18'!F27</f>
        <v>-9107.8818974999995</v>
      </c>
      <c r="E19" s="23">
        <f>D19*E34</f>
        <v>-6582.4484049612001</v>
      </c>
      <c r="F19" s="23">
        <f>D19*F34</f>
        <v>-2525.4334925387998</v>
      </c>
      <c r="H19" s="13"/>
      <c r="I19" s="7"/>
    </row>
    <row r="20" spans="1:9">
      <c r="A20" s="135" t="s">
        <v>172</v>
      </c>
      <c r="C20" s="134">
        <v>4</v>
      </c>
      <c r="D20" s="23">
        <f>'SYS-Dec18'!F25</f>
        <v>-49090.133786329156</v>
      </c>
      <c r="E20" s="24">
        <f>D20*E34</f>
        <v>-35478.421490055807</v>
      </c>
      <c r="F20" s="24">
        <f>D20*F34</f>
        <v>-13611.712296273347</v>
      </c>
      <c r="H20" s="13"/>
      <c r="I20" s="7"/>
    </row>
    <row r="21" spans="1:9">
      <c r="A21" t="str">
        <f>'SYS-Dec18'!A26</f>
        <v>FMB &amp; MTN Redeemed</v>
      </c>
      <c r="C21" s="29">
        <v>12</v>
      </c>
      <c r="D21" s="33">
        <f>'SYS-Dec18'!F26</f>
        <v>-424923.97688420839</v>
      </c>
      <c r="E21" s="33">
        <f>D21*E35</f>
        <v>-293813.68381658586</v>
      </c>
      <c r="F21" s="33">
        <f>D21*F35</f>
        <v>-131110.29306762249</v>
      </c>
      <c r="H21" s="13"/>
      <c r="I21" s="14"/>
    </row>
    <row r="22" spans="1:9">
      <c r="A22" t="str">
        <f>'SYS-Dec18'!A28</f>
        <v xml:space="preserve">   Total Other Deferred FIT</v>
      </c>
      <c r="C22" s="29"/>
      <c r="D22" s="33">
        <f>SUM(D19:D21)</f>
        <v>-483121.99256803753</v>
      </c>
      <c r="E22" s="33">
        <f t="shared" ref="E22:F22" si="0">SUM(E19:E21)</f>
        <v>-335874.55371160287</v>
      </c>
      <c r="F22" s="33">
        <f t="shared" si="0"/>
        <v>-147247.43885643463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'SYS-Dec18'!A30</f>
        <v xml:space="preserve">      Total Deferred FIT</v>
      </c>
      <c r="C24" s="160" t="s">
        <v>234</v>
      </c>
      <c r="D24" s="34">
        <f>D17+D22</f>
        <v>-129005568.64572088</v>
      </c>
      <c r="E24" s="34">
        <f>E17+E22</f>
        <v>-90155150.507400647</v>
      </c>
      <c r="F24" s="34">
        <f>F17+F22</f>
        <v>-38850418.13832023</v>
      </c>
      <c r="H24" s="13" t="s">
        <v>27</v>
      </c>
      <c r="I24" s="10">
        <f>SUM(I14:I21)</f>
        <v>884784746</v>
      </c>
    </row>
    <row r="25" spans="1:9" s="1" customFormat="1" ht="13.8" thickTop="1">
      <c r="D25" s="16"/>
      <c r="E25" s="171" t="s">
        <v>254</v>
      </c>
      <c r="F25" s="16"/>
    </row>
    <row r="26" spans="1:9" s="1" customFormat="1">
      <c r="A26" s="1" t="s">
        <v>255</v>
      </c>
      <c r="D26" s="16">
        <f>SUM(E26:F26)</f>
        <v>-127769047</v>
      </c>
      <c r="E26" s="183">
        <v>-88907864</v>
      </c>
      <c r="F26" s="183">
        <v>-38861183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-1236521.6457208842</v>
      </c>
      <c r="E28" s="25">
        <f>E24-E26</f>
        <v>-1247286.5074006468</v>
      </c>
      <c r="F28" s="16">
        <f>F24-F26</f>
        <v>10764.861679770052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9">
        <v>1</v>
      </c>
      <c r="D33" s="35">
        <f>SUM(E33:F33)</f>
        <v>1</v>
      </c>
      <c r="E33" s="26">
        <v>0.69099999999999995</v>
      </c>
      <c r="F33" s="136">
        <f>1-E33</f>
        <v>0.30900000000000005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5">
        <f>SUM(E34:F34)</f>
        <v>1</v>
      </c>
      <c r="E34" s="26">
        <v>0.72272000000000003</v>
      </c>
      <c r="F34" s="136">
        <f t="shared" ref="F34:F36" si="1">1-E34</f>
        <v>0.27727999999999997</v>
      </c>
      <c r="G34" t="s">
        <v>35</v>
      </c>
    </row>
    <row r="35" spans="1:10">
      <c r="A35" t="s">
        <v>52</v>
      </c>
      <c r="C35" s="29">
        <v>12</v>
      </c>
      <c r="D35" s="35">
        <f>SUM(E35:F35)</f>
        <v>1</v>
      </c>
      <c r="E35" s="26">
        <v>0.69145000000000001</v>
      </c>
      <c r="F35" s="136">
        <f t="shared" si="1"/>
        <v>0.30854999999999999</v>
      </c>
      <c r="G35" t="s">
        <v>38</v>
      </c>
    </row>
    <row r="36" spans="1:10">
      <c r="A36" t="s">
        <v>53</v>
      </c>
      <c r="C36" s="29">
        <v>13</v>
      </c>
      <c r="D36" s="35">
        <f>SUM(E36:F36)</f>
        <v>1</v>
      </c>
      <c r="E36" s="26">
        <v>0.76132999999999995</v>
      </c>
      <c r="F36" s="136">
        <f t="shared" si="1"/>
        <v>0.23867000000000005</v>
      </c>
      <c r="G36" t="s">
        <v>38</v>
      </c>
    </row>
    <row r="37" spans="1:10" hidden="1">
      <c r="A37" s="36" t="s">
        <v>54</v>
      </c>
      <c r="B37" s="36"/>
      <c r="C37" s="36"/>
      <c r="D37" s="36"/>
      <c r="E37" s="36"/>
      <c r="F37" s="37"/>
      <c r="J37"/>
    </row>
    <row r="38" spans="1:10" hidden="1">
      <c r="A38" s="36"/>
      <c r="B38" s="36" t="s">
        <v>55</v>
      </c>
      <c r="C38" s="36"/>
      <c r="D38" s="38">
        <f>SUM(E38:F38)</f>
        <v>433956075</v>
      </c>
      <c r="E38" s="39">
        <v>281278889</v>
      </c>
      <c r="F38" s="39">
        <v>152677186</v>
      </c>
      <c r="J38"/>
    </row>
    <row r="39" spans="1:10" hidden="1">
      <c r="A39" s="36"/>
      <c r="B39" s="36" t="s">
        <v>56</v>
      </c>
      <c r="C39" s="36"/>
      <c r="D39" s="40">
        <f>SUM(E39:F39)</f>
        <v>146236411</v>
      </c>
      <c r="E39" s="41">
        <v>97488810</v>
      </c>
      <c r="F39" s="41">
        <v>48747601</v>
      </c>
    </row>
    <row r="40" spans="1:10" hidden="1">
      <c r="A40" s="36"/>
      <c r="B40" s="36" t="s">
        <v>57</v>
      </c>
      <c r="C40" s="36"/>
      <c r="D40" s="38">
        <f>SUM(D38:D39)</f>
        <v>580192486</v>
      </c>
      <c r="E40" s="38">
        <f>SUM(E38:E39)</f>
        <v>378767699</v>
      </c>
      <c r="F40" s="38">
        <f>SUM(F38:F39)</f>
        <v>201424787</v>
      </c>
      <c r="H40" s="1" t="s">
        <v>35</v>
      </c>
    </row>
    <row r="41" spans="1:10" hidden="1">
      <c r="A41" s="36"/>
      <c r="B41" s="36" t="s">
        <v>58</v>
      </c>
      <c r="C41" s="42" t="s">
        <v>59</v>
      </c>
      <c r="D41" s="43">
        <f>SUM(E41:F41)</f>
        <v>1</v>
      </c>
      <c r="E41" s="43">
        <f>E40/D40</f>
        <v>0.6528311002635081</v>
      </c>
      <c r="F41" s="43">
        <f>F40/D40</f>
        <v>0.34716889973649195</v>
      </c>
      <c r="H41" s="1" t="s">
        <v>35</v>
      </c>
    </row>
    <row r="42" spans="1:10" hidden="1">
      <c r="A42" t="s">
        <v>40</v>
      </c>
      <c r="C42" s="29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8" sqref="E28"/>
    </sheetView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9" t="str">
        <f>AvgCalc!E1</f>
        <v>AVISTA UTILITIES</v>
      </c>
    </row>
    <row r="2" spans="1:7">
      <c r="D2" s="29" t="s">
        <v>69</v>
      </c>
    </row>
    <row r="3" spans="1:7">
      <c r="D3" s="54" t="s">
        <v>249</v>
      </c>
    </row>
    <row r="6" spans="1:7">
      <c r="D6" s="29" t="s">
        <v>72</v>
      </c>
      <c r="E6" s="29"/>
      <c r="F6" s="29"/>
      <c r="G6" s="29"/>
    </row>
    <row r="7" spans="1:7">
      <c r="D7" s="30" t="s">
        <v>4</v>
      </c>
      <c r="E7" s="30" t="s">
        <v>2</v>
      </c>
      <c r="F7" s="30" t="s">
        <v>73</v>
      </c>
      <c r="G7" s="3" t="s">
        <v>74</v>
      </c>
    </row>
    <row r="8" spans="1:7">
      <c r="A8" t="s">
        <v>2</v>
      </c>
      <c r="B8" s="55"/>
      <c r="C8" s="55"/>
      <c r="D8" s="23">
        <f>AvgCalc!G66</f>
        <v>-547631882.3599999</v>
      </c>
      <c r="E8" s="4">
        <f>D8</f>
        <v>-547631882.3599999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AvgCalc!H66</f>
        <v>-109625308.245</v>
      </c>
      <c r="E10" s="4"/>
      <c r="F10" s="23">
        <f>D10</f>
        <v>-109625308.245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AvgCalc!I66</f>
        <v>-63592687.00666669</v>
      </c>
      <c r="E12" s="4"/>
      <c r="F12" s="23"/>
      <c r="G12" s="23">
        <f>D12</f>
        <v>-63592687.00666669</v>
      </c>
    </row>
    <row r="13" spans="1:7">
      <c r="D13" s="23"/>
      <c r="E13" s="4"/>
      <c r="F13" s="23"/>
      <c r="G13" s="23"/>
    </row>
    <row r="14" spans="1:7">
      <c r="A14" t="s">
        <v>77</v>
      </c>
      <c r="B14" t="s">
        <v>17</v>
      </c>
      <c r="D14" s="23">
        <f>AvgCalc!D66</f>
        <v>-91148619.99833332</v>
      </c>
      <c r="E14" s="4">
        <f>D14*E34</f>
        <v>-63927084.635831073</v>
      </c>
      <c r="F14" s="23">
        <f>D14*F34</f>
        <v>-18730129.923457514</v>
      </c>
      <c r="G14" s="23">
        <f>D14*G34</f>
        <v>-8491405.4390447326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33">
        <f>AvgCalc!F66</f>
        <v>-749426.65333333344</v>
      </c>
      <c r="E16" s="15">
        <f>D16*E35</f>
        <v>-582416.92363800004</v>
      </c>
      <c r="F16" s="33">
        <f>D16*F35</f>
        <v>-167009.72969533334</v>
      </c>
      <c r="G16" s="33"/>
    </row>
    <row r="17" spans="1:8" ht="13.8" thickBot="1">
      <c r="A17" t="s">
        <v>71</v>
      </c>
      <c r="D17" s="34">
        <f>SUM(D8:D16)</f>
        <v>-812747924.2633332</v>
      </c>
      <c r="E17" s="4">
        <f>SUM(E8:E16)</f>
        <v>-612141383.919469</v>
      </c>
      <c r="F17" s="23">
        <f>SUM(F9:F16)</f>
        <v>-128522447.89815286</v>
      </c>
      <c r="G17" s="23">
        <f>SUM(G9:G16)</f>
        <v>-72084092.445711419</v>
      </c>
      <c r="H17" s="56"/>
    </row>
    <row r="18" spans="1:8" ht="13.8" thickTop="1">
      <c r="D18" s="161" t="s">
        <v>227</v>
      </c>
      <c r="E18" s="4"/>
      <c r="F18" s="23"/>
      <c r="G18" s="23"/>
      <c r="H18" s="56"/>
    </row>
    <row r="19" spans="1:8">
      <c r="A19" s="52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60" t="s">
        <v>246</v>
      </c>
      <c r="D20" s="23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60" t="s">
        <v>228</v>
      </c>
      <c r="D21" s="23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60" t="s">
        <v>41</v>
      </c>
      <c r="D22" s="23">
        <f>'CDA DFIT'!E27</f>
        <v>-6784467.0150000006</v>
      </c>
      <c r="E22" s="4">
        <f>D22</f>
        <v>-6784467.0150000006</v>
      </c>
      <c r="F22" s="23"/>
      <c r="G22" s="23"/>
    </row>
    <row r="23" spans="1:8">
      <c r="A23" t="s">
        <v>187</v>
      </c>
      <c r="B23" t="s">
        <v>188</v>
      </c>
      <c r="C23" s="160" t="s">
        <v>229</v>
      </c>
      <c r="D23" s="23">
        <f>'CDA DFIT'!F27</f>
        <v>252533.77458333332</v>
      </c>
      <c r="E23" s="4">
        <f>D23</f>
        <v>252533.77458333332</v>
      </c>
      <c r="F23" s="23"/>
      <c r="G23" s="23"/>
    </row>
    <row r="24" spans="1:8">
      <c r="A24" t="s">
        <v>83</v>
      </c>
      <c r="B24" s="57" t="s">
        <v>84</v>
      </c>
      <c r="C24" s="162" t="s">
        <v>230</v>
      </c>
      <c r="D24" s="23">
        <f>'Other DFIT_AMA'!B26</f>
        <v>39899.089166666672</v>
      </c>
      <c r="E24" s="4">
        <f>D24</f>
        <v>39899.089166666672</v>
      </c>
      <c r="F24" s="23"/>
      <c r="G24" s="23"/>
    </row>
    <row r="25" spans="1:8">
      <c r="A25" s="135" t="s">
        <v>172</v>
      </c>
      <c r="B25" s="58" t="s">
        <v>176</v>
      </c>
      <c r="C25" s="163" t="s">
        <v>231</v>
      </c>
      <c r="D25" s="23">
        <f>'Other DFIT_AMA'!E26</f>
        <v>-238893.05458333329</v>
      </c>
      <c r="E25" s="4">
        <f>D25*E34</f>
        <v>-167547.64383202081</v>
      </c>
      <c r="F25" s="4">
        <f>D25*F34</f>
        <v>-49090.133786329156</v>
      </c>
      <c r="G25" s="4">
        <f>D25*G34</f>
        <v>-22255.276964983332</v>
      </c>
    </row>
    <row r="26" spans="1:8">
      <c r="A26" t="s">
        <v>85</v>
      </c>
      <c r="B26" s="58" t="s">
        <v>86</v>
      </c>
      <c r="C26" s="163" t="s">
        <v>232</v>
      </c>
      <c r="D26" s="4">
        <f>'Other DFIT_AMA'!D26</f>
        <v>-2067857.2041666668</v>
      </c>
      <c r="E26" s="4">
        <f>D26*E34</f>
        <v>-1450291.6501422918</v>
      </c>
      <c r="F26" s="4">
        <f>D26*F34</f>
        <v>-424923.97688420839</v>
      </c>
      <c r="G26" s="4">
        <f>D26*G34</f>
        <v>-192641.57714016669</v>
      </c>
    </row>
    <row r="27" spans="1:8">
      <c r="A27" t="s">
        <v>251</v>
      </c>
      <c r="B27" s="194" t="s">
        <v>252</v>
      </c>
      <c r="C27" s="163" t="s">
        <v>121</v>
      </c>
      <c r="D27" s="4">
        <f>'Other DFIT_AMA'!F26</f>
        <v>-44322.75</v>
      </c>
      <c r="E27" s="4">
        <f>D27*E34</f>
        <v>-31085.760712499999</v>
      </c>
      <c r="F27" s="4">
        <f>D27*F34</f>
        <v>-9107.8818974999995</v>
      </c>
      <c r="G27" s="4">
        <f>D27*G34</f>
        <v>-4129.1073900000001</v>
      </c>
    </row>
    <row r="28" spans="1:8">
      <c r="A28" t="s">
        <v>29</v>
      </c>
      <c r="D28" s="113">
        <f>SUM(D20:D27)</f>
        <v>-8843107.160000002</v>
      </c>
      <c r="E28" s="113">
        <f t="shared" ref="E28:G28" si="0">SUM(E20:E27)</f>
        <v>-8140959.2059368128</v>
      </c>
      <c r="F28" s="113">
        <f t="shared" si="0"/>
        <v>-483121.99256803759</v>
      </c>
      <c r="G28" s="113">
        <f t="shared" si="0"/>
        <v>-219025.96149515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9">
        <f>D17+D28</f>
        <v>-821591031.42333317</v>
      </c>
      <c r="E30" s="34">
        <f>E17+E28</f>
        <v>-620282343.12540579</v>
      </c>
      <c r="F30" s="34">
        <f>F17+F28</f>
        <v>-129005569.89072089</v>
      </c>
      <c r="G30" s="22">
        <f>G17+G28</f>
        <v>-72303118.407206565</v>
      </c>
      <c r="H30" s="56"/>
    </row>
    <row r="31" spans="1:8" ht="13.8" thickTop="1">
      <c r="E31" s="195" t="s">
        <v>233</v>
      </c>
      <c r="F31" s="195" t="s">
        <v>234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5">
        <f>SUM(E34:G34)</f>
        <v>1</v>
      </c>
      <c r="E34" s="26">
        <v>0.70135000000000003</v>
      </c>
      <c r="F34" s="26">
        <v>0.20549000000000001</v>
      </c>
      <c r="G34" s="26">
        <v>9.3160000000000007E-2</v>
      </c>
      <c r="H34" t="s">
        <v>88</v>
      </c>
    </row>
    <row r="35" spans="1:8">
      <c r="B35" s="1" t="s">
        <v>89</v>
      </c>
      <c r="C35" s="1"/>
      <c r="D35" s="35">
        <f>SUM(E35:G35)</f>
        <v>1</v>
      </c>
      <c r="E35" s="26">
        <v>0.77715000000000001</v>
      </c>
      <c r="F35" s="26">
        <v>0.22284999999999999</v>
      </c>
      <c r="G35" s="26">
        <v>0</v>
      </c>
      <c r="H35" t="s">
        <v>88</v>
      </c>
    </row>
    <row r="40" spans="1:8">
      <c r="A40" s="49"/>
    </row>
    <row r="41" spans="1:8">
      <c r="A41" s="49"/>
    </row>
    <row r="42" spans="1:8">
      <c r="A42" s="49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activeCell="B30" sqref="B30:I38"/>
    </sheetView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</cols>
  <sheetData>
    <row r="1" spans="1:12">
      <c r="E1" s="47" t="s">
        <v>68</v>
      </c>
      <c r="F1" s="47"/>
    </row>
    <row r="2" spans="1:12">
      <c r="E2" s="173" t="s">
        <v>69</v>
      </c>
      <c r="F2" s="173"/>
    </row>
    <row r="3" spans="1:12">
      <c r="E3" s="173" t="s">
        <v>70</v>
      </c>
      <c r="F3" s="173"/>
    </row>
    <row r="4" spans="1:12">
      <c r="A4" s="190" t="s">
        <v>240</v>
      </c>
      <c r="E4" s="48"/>
      <c r="F4" s="48"/>
    </row>
    <row r="5" spans="1:12">
      <c r="A5" s="174"/>
      <c r="B5" s="174">
        <v>282900</v>
      </c>
      <c r="C5" s="174">
        <v>283000</v>
      </c>
      <c r="D5" s="174" t="s">
        <v>72</v>
      </c>
      <c r="E5" s="174"/>
      <c r="F5" s="174">
        <v>282900</v>
      </c>
      <c r="G5" s="174">
        <v>282900</v>
      </c>
      <c r="H5" s="174">
        <v>282900</v>
      </c>
      <c r="I5" s="174">
        <v>282900</v>
      </c>
      <c r="J5" s="174"/>
      <c r="K5" s="174"/>
      <c r="L5" s="174">
        <v>282900</v>
      </c>
    </row>
    <row r="6" spans="1:12">
      <c r="B6" s="174" t="s">
        <v>62</v>
      </c>
      <c r="C6" s="174" t="s">
        <v>62</v>
      </c>
      <c r="D6" s="174" t="s">
        <v>62</v>
      </c>
      <c r="E6" s="174"/>
      <c r="F6" s="174" t="s">
        <v>62</v>
      </c>
      <c r="G6" s="174" t="s">
        <v>65</v>
      </c>
      <c r="H6" s="174" t="s">
        <v>66</v>
      </c>
      <c r="I6" s="174" t="s">
        <v>66</v>
      </c>
      <c r="L6" s="174" t="s">
        <v>236</v>
      </c>
    </row>
    <row r="7" spans="1:12">
      <c r="A7" s="175" t="s">
        <v>106</v>
      </c>
      <c r="B7" s="30" t="s">
        <v>63</v>
      </c>
      <c r="C7" s="30" t="s">
        <v>63</v>
      </c>
      <c r="D7" s="30" t="s">
        <v>63</v>
      </c>
      <c r="E7" s="174"/>
      <c r="F7" s="30" t="s">
        <v>64</v>
      </c>
      <c r="G7" s="30" t="s">
        <v>64</v>
      </c>
      <c r="H7" s="30" t="s">
        <v>64</v>
      </c>
      <c r="I7" s="30" t="s">
        <v>67</v>
      </c>
      <c r="J7" s="175"/>
      <c r="K7" s="30" t="s">
        <v>237</v>
      </c>
      <c r="L7" s="30" t="s">
        <v>236</v>
      </c>
    </row>
    <row r="8" spans="1:12">
      <c r="A8" s="74">
        <f>A52</f>
        <v>201712</v>
      </c>
      <c r="B8" s="53">
        <v>-85696277.540000007</v>
      </c>
      <c r="C8" s="53">
        <v>0</v>
      </c>
      <c r="D8" s="53">
        <f t="shared" ref="D8:D17" si="0">SUM(B8:C8)</f>
        <v>-85696277.540000007</v>
      </c>
      <c r="E8" s="53"/>
      <c r="F8" s="53">
        <v>-733442.82</v>
      </c>
      <c r="G8" s="53">
        <v>-544962527.11000001</v>
      </c>
      <c r="H8" s="53">
        <v>-108415974.87</v>
      </c>
      <c r="I8" s="53">
        <v>-62877014.090000004</v>
      </c>
      <c r="K8" s="53">
        <f t="shared" ref="K8:K17" si="1">SUM(D8:I8)</f>
        <v>-802685236.43000007</v>
      </c>
      <c r="L8" s="53"/>
    </row>
    <row r="9" spans="1:12">
      <c r="A9" s="74">
        <f t="shared" ref="A9:A20" si="2">A53</f>
        <v>201801</v>
      </c>
      <c r="B9" s="53">
        <v>-85687911.540000007</v>
      </c>
      <c r="C9" s="53">
        <v>0</v>
      </c>
      <c r="D9" s="53">
        <f t="shared" si="0"/>
        <v>-85687911.540000007</v>
      </c>
      <c r="E9" s="53"/>
      <c r="F9" s="53">
        <v>-736106.82</v>
      </c>
      <c r="G9" s="53">
        <v>-545015938.11000001</v>
      </c>
      <c r="H9" s="53">
        <v>-108520984.87</v>
      </c>
      <c r="I9" s="53">
        <v>-62963233.090000004</v>
      </c>
      <c r="K9" s="53">
        <f t="shared" si="1"/>
        <v>-802924174.43000007</v>
      </c>
      <c r="L9" s="53"/>
    </row>
    <row r="10" spans="1:12">
      <c r="A10" s="74">
        <f t="shared" si="2"/>
        <v>201802</v>
      </c>
      <c r="B10" s="53">
        <v>-85679545.540000007</v>
      </c>
      <c r="C10" s="53">
        <v>0</v>
      </c>
      <c r="D10" s="53">
        <f t="shared" si="0"/>
        <v>-85679545.540000007</v>
      </c>
      <c r="E10" s="53"/>
      <c r="F10" s="53">
        <v>-738770.82</v>
      </c>
      <c r="G10" s="53">
        <v>-545069349.11000001</v>
      </c>
      <c r="H10" s="53">
        <v>-108625994.87</v>
      </c>
      <c r="I10" s="53">
        <v>-63049452.090000004</v>
      </c>
      <c r="K10" s="53">
        <f t="shared" si="1"/>
        <v>-803163112.43000007</v>
      </c>
      <c r="L10" s="53"/>
    </row>
    <row r="11" spans="1:12">
      <c r="A11" s="74">
        <f t="shared" si="2"/>
        <v>201803</v>
      </c>
      <c r="B11" s="53">
        <v>-85671179.540000007</v>
      </c>
      <c r="C11" s="53">
        <v>0</v>
      </c>
      <c r="D11" s="53">
        <f t="shared" si="0"/>
        <v>-85671179.540000007</v>
      </c>
      <c r="E11" s="53"/>
      <c r="F11" s="53">
        <v>-741434.82</v>
      </c>
      <c r="G11" s="53">
        <v>-545122760.11000001</v>
      </c>
      <c r="H11" s="53">
        <v>-108731004.87</v>
      </c>
      <c r="I11" s="53">
        <v>-63135671.090000004</v>
      </c>
      <c r="K11" s="53">
        <f t="shared" si="1"/>
        <v>-803402050.43000007</v>
      </c>
      <c r="L11" s="53"/>
    </row>
    <row r="12" spans="1:12">
      <c r="A12" s="74">
        <f t="shared" si="2"/>
        <v>201804</v>
      </c>
      <c r="B12" s="53">
        <v>-85662813.540000007</v>
      </c>
      <c r="C12" s="53">
        <v>0</v>
      </c>
      <c r="D12" s="53">
        <f t="shared" si="0"/>
        <v>-85662813.540000007</v>
      </c>
      <c r="E12" s="53"/>
      <c r="F12" s="53">
        <v>-744098.82</v>
      </c>
      <c r="G12" s="53">
        <v>-545176171.11000001</v>
      </c>
      <c r="H12" s="53">
        <v>-108836014.87</v>
      </c>
      <c r="I12" s="53">
        <v>-63221890.090000004</v>
      </c>
      <c r="K12" s="53">
        <f t="shared" si="1"/>
        <v>-803640988.43000007</v>
      </c>
      <c r="L12" s="53"/>
    </row>
    <row r="13" spans="1:12">
      <c r="A13" s="74">
        <f t="shared" si="2"/>
        <v>201805</v>
      </c>
      <c r="B13" s="53">
        <v>-85654447.540000007</v>
      </c>
      <c r="C13" s="53">
        <v>0</v>
      </c>
      <c r="D13" s="53">
        <f t="shared" si="0"/>
        <v>-85654447.540000007</v>
      </c>
      <c r="E13" s="53"/>
      <c r="F13" s="53">
        <v>-746762.82</v>
      </c>
      <c r="G13" s="53">
        <v>-545229582.11000001</v>
      </c>
      <c r="H13" s="53">
        <v>-108941024.87</v>
      </c>
      <c r="I13" s="53">
        <v>-63308109.090000004</v>
      </c>
      <c r="K13" s="53">
        <f t="shared" si="1"/>
        <v>-803879926.43000007</v>
      </c>
      <c r="L13" s="53"/>
    </row>
    <row r="14" spans="1:12">
      <c r="A14" s="74">
        <f t="shared" si="2"/>
        <v>201806</v>
      </c>
      <c r="B14" s="182">
        <v>-85646081.540000007</v>
      </c>
      <c r="C14" s="182">
        <v>0</v>
      </c>
      <c r="D14" s="53">
        <f t="shared" si="0"/>
        <v>-85646081.540000007</v>
      </c>
      <c r="E14" s="53"/>
      <c r="F14" s="53">
        <v>-749426.82</v>
      </c>
      <c r="G14" s="53">
        <v>-545282993.11000001</v>
      </c>
      <c r="H14" s="53">
        <v>-109046034.87</v>
      </c>
      <c r="I14" s="53">
        <v>-63394328.090000004</v>
      </c>
      <c r="K14" s="53">
        <f t="shared" si="1"/>
        <v>-804118864.43000007</v>
      </c>
      <c r="L14" s="53"/>
    </row>
    <row r="15" spans="1:12">
      <c r="A15" s="74">
        <f t="shared" si="2"/>
        <v>201807</v>
      </c>
      <c r="B15" s="53">
        <v>-85637715.540000007</v>
      </c>
      <c r="C15" s="53">
        <v>0</v>
      </c>
      <c r="D15" s="53">
        <f t="shared" si="0"/>
        <v>-85637715.540000007</v>
      </c>
      <c r="E15" s="53"/>
      <c r="F15" s="53">
        <v>-752090.82</v>
      </c>
      <c r="G15" s="53">
        <v>-545336404.11000001</v>
      </c>
      <c r="H15" s="53">
        <v>-109151044.87</v>
      </c>
      <c r="I15" s="53">
        <v>-63480547.090000004</v>
      </c>
      <c r="K15" s="53">
        <f t="shared" si="1"/>
        <v>-804357802.43000007</v>
      </c>
      <c r="L15" s="53"/>
    </row>
    <row r="16" spans="1:12">
      <c r="A16" s="74">
        <f t="shared" si="2"/>
        <v>201808</v>
      </c>
      <c r="B16" s="53">
        <v>-85629349.540000007</v>
      </c>
      <c r="C16" s="53">
        <v>0</v>
      </c>
      <c r="D16" s="53">
        <f t="shared" si="0"/>
        <v>-85629349.540000007</v>
      </c>
      <c r="E16" s="53"/>
      <c r="F16" s="53">
        <v>-754754.82</v>
      </c>
      <c r="G16" s="53">
        <v>-545389815.11000001</v>
      </c>
      <c r="H16" s="53">
        <v>-109256054.87</v>
      </c>
      <c r="I16" s="53">
        <v>-63566766.090000004</v>
      </c>
      <c r="K16" s="53">
        <f t="shared" si="1"/>
        <v>-804596740.43000007</v>
      </c>
      <c r="L16" s="53"/>
    </row>
    <row r="17" spans="1:13">
      <c r="A17" s="74">
        <f t="shared" si="2"/>
        <v>201809</v>
      </c>
      <c r="B17" s="182">
        <v>-91235549.540000007</v>
      </c>
      <c r="C17" s="182">
        <v>0</v>
      </c>
      <c r="D17" s="182">
        <f t="shared" si="0"/>
        <v>-91235549.540000007</v>
      </c>
      <c r="E17" s="182"/>
      <c r="F17" s="182">
        <v>-757418.82</v>
      </c>
      <c r="G17" s="182">
        <v>-547736007.11000001</v>
      </c>
      <c r="H17" s="182">
        <v>-109953005.87</v>
      </c>
      <c r="I17" s="182">
        <v>-63839195.090000004</v>
      </c>
      <c r="J17" s="192"/>
      <c r="K17" s="182">
        <f t="shared" si="1"/>
        <v>-813521176.43000007</v>
      </c>
      <c r="L17" s="53"/>
    </row>
    <row r="18" spans="1:13">
      <c r="A18" s="74">
        <f t="shared" si="2"/>
        <v>201810</v>
      </c>
      <c r="B18" s="182">
        <v>-91227183.540000007</v>
      </c>
      <c r="C18" s="182">
        <v>0</v>
      </c>
      <c r="D18" s="182">
        <f t="shared" ref="D18:D20" si="3">SUM(B18:C18)</f>
        <v>-91227183.540000007</v>
      </c>
      <c r="E18" s="182"/>
      <c r="F18" s="182">
        <v>-760082.82</v>
      </c>
      <c r="G18" s="182">
        <v>-547789418.11000001</v>
      </c>
      <c r="H18" s="182">
        <v>-110058015.87</v>
      </c>
      <c r="I18" s="182">
        <v>-63925414.090000004</v>
      </c>
      <c r="J18" s="192"/>
      <c r="K18" s="182">
        <f t="shared" ref="K18:K20" si="4">SUM(D18:I18)</f>
        <v>-813760114.43000007</v>
      </c>
      <c r="L18" s="53"/>
    </row>
    <row r="19" spans="1:13">
      <c r="A19" s="74">
        <f t="shared" si="2"/>
        <v>201811</v>
      </c>
      <c r="B19" s="53">
        <v>-91218817.540000007</v>
      </c>
      <c r="C19" s="53">
        <v>0</v>
      </c>
      <c r="D19" s="53">
        <f t="shared" si="3"/>
        <v>-91218817.540000007</v>
      </c>
      <c r="E19" s="53"/>
      <c r="F19" s="53">
        <v>-762746.82</v>
      </c>
      <c r="G19" s="53">
        <v>-547842829.11000001</v>
      </c>
      <c r="H19" s="53">
        <v>-110163025.87</v>
      </c>
      <c r="I19" s="53">
        <v>-64011633.090000004</v>
      </c>
      <c r="K19" s="53">
        <f t="shared" si="4"/>
        <v>-813999052.43000007</v>
      </c>
      <c r="L19" s="53"/>
    </row>
    <row r="20" spans="1:13">
      <c r="A20" s="74">
        <f t="shared" si="2"/>
        <v>201812</v>
      </c>
      <c r="B20" s="178">
        <v>-88521790.540000007</v>
      </c>
      <c r="C20" s="178">
        <v>0</v>
      </c>
      <c r="D20" s="178">
        <f t="shared" si="3"/>
        <v>-88521790.540000007</v>
      </c>
      <c r="E20" s="53"/>
      <c r="F20" s="178">
        <v>-765406.82</v>
      </c>
      <c r="G20" s="178">
        <v>-549242838.11000001</v>
      </c>
      <c r="H20" s="178">
        <v>-109964012.87</v>
      </c>
      <c r="I20" s="178">
        <v>-64389426.090000004</v>
      </c>
      <c r="K20" s="178">
        <f t="shared" si="4"/>
        <v>-812883474.43000007</v>
      </c>
      <c r="L20" s="53"/>
      <c r="M20" s="1"/>
    </row>
    <row r="21" spans="1:13">
      <c r="B21" s="53"/>
      <c r="C21" s="53"/>
      <c r="D21" s="53"/>
      <c r="E21" s="53"/>
      <c r="F21" s="53"/>
      <c r="G21" s="53"/>
      <c r="H21" s="53"/>
      <c r="I21" s="53"/>
      <c r="K21" s="53"/>
      <c r="L21" s="53"/>
    </row>
    <row r="22" spans="1:13" ht="13.8" thickBot="1">
      <c r="A22" t="s">
        <v>238</v>
      </c>
      <c r="B22" s="177">
        <f>(((B8+B20)/2)+(B9+B10+B11+B12+B13+B14+B15+B16+B17+B18+B19))/12</f>
        <v>-87171635.74833332</v>
      </c>
      <c r="C22" s="177">
        <f>(((C8+C20)/2)+(C9+C10+C11+C12+C13+C14+C15+C16+C17+C18+C19))/12</f>
        <v>0</v>
      </c>
      <c r="D22" s="177">
        <f>SUM(B22:C22)</f>
        <v>-87171635.74833332</v>
      </c>
      <c r="E22" s="53"/>
      <c r="F22" s="177">
        <f>(((F8+F20)/2)+(F9+F10+F11+F12+F13+F14+F15+F16+F17+F18+F19))/12</f>
        <v>-749426.65333333344</v>
      </c>
      <c r="G22" s="177">
        <f>(((G8+G20)/2)+(G9+G10+G11+G12+G13+G14+G15+G16+G17+G18+G19))/12</f>
        <v>-546007829.15166652</v>
      </c>
      <c r="H22" s="177">
        <f>(((H8+H20)/2)+(H9+H10+H11+H12+H13+H14+H15+H16+H17+H18+H19))/12</f>
        <v>-109206016.70333333</v>
      </c>
      <c r="I22" s="177">
        <f>(((I8+I20)/2)+(I9+I10+I11+I12+I13+I14+I15+I16+I17+I18+I19))/12</f>
        <v>-63460788.25666669</v>
      </c>
      <c r="J22" s="53"/>
      <c r="K22" s="177">
        <f>SUM(D22:I22)</f>
        <v>-806595696.5133332</v>
      </c>
      <c r="L22" s="53"/>
    </row>
    <row r="23" spans="1:13">
      <c r="B23" s="53"/>
      <c r="C23" s="53"/>
      <c r="D23" s="53"/>
      <c r="E23" s="53"/>
      <c r="F23" s="53"/>
      <c r="G23" s="53"/>
      <c r="H23" s="53"/>
      <c r="I23" s="53"/>
      <c r="J23" s="53"/>
      <c r="K23" s="176"/>
      <c r="L23" s="53"/>
    </row>
    <row r="24" spans="1:13" ht="13.8" thickBot="1">
      <c r="A24" t="s">
        <v>239</v>
      </c>
      <c r="B24" s="177">
        <f>B20</f>
        <v>-88521790.540000007</v>
      </c>
      <c r="C24" s="177">
        <f t="shared" ref="C24:D24" si="5">C20</f>
        <v>0</v>
      </c>
      <c r="D24" s="177">
        <f t="shared" si="5"/>
        <v>-88521790.540000007</v>
      </c>
      <c r="E24" s="53"/>
      <c r="F24" s="177">
        <f>F20</f>
        <v>-765406.82</v>
      </c>
      <c r="G24" s="177">
        <f t="shared" ref="G24:I24" si="6">G20</f>
        <v>-549242838.11000001</v>
      </c>
      <c r="H24" s="177">
        <f t="shared" si="6"/>
        <v>-109964012.87</v>
      </c>
      <c r="I24" s="177">
        <f t="shared" si="6"/>
        <v>-64389426.090000004</v>
      </c>
      <c r="J24" s="53"/>
      <c r="K24" s="177">
        <f>SUM(D24:I24)</f>
        <v>-812883474.43000007</v>
      </c>
      <c r="L24" s="53"/>
    </row>
    <row r="25" spans="1:13">
      <c r="E25" s="48"/>
      <c r="F25" s="48"/>
    </row>
    <row r="26" spans="1:13">
      <c r="A26" s="190" t="s">
        <v>241</v>
      </c>
      <c r="E26" s="48"/>
      <c r="F26" s="48"/>
    </row>
    <row r="27" spans="1:13">
      <c r="A27" s="174"/>
      <c r="B27" s="174">
        <v>282900</v>
      </c>
      <c r="C27" s="174">
        <v>283000</v>
      </c>
      <c r="D27" s="174" t="s">
        <v>72</v>
      </c>
      <c r="E27" s="174"/>
      <c r="F27" s="174">
        <v>282900</v>
      </c>
      <c r="G27" s="174">
        <v>282900</v>
      </c>
      <c r="H27" s="174">
        <v>282900</v>
      </c>
      <c r="I27" s="174">
        <v>282900</v>
      </c>
      <c r="J27" s="174"/>
      <c r="K27" s="174"/>
      <c r="L27" s="174">
        <v>282900</v>
      </c>
    </row>
    <row r="28" spans="1:13">
      <c r="B28" s="174" t="s">
        <v>62</v>
      </c>
      <c r="C28" s="174" t="s">
        <v>62</v>
      </c>
      <c r="D28" s="174" t="s">
        <v>62</v>
      </c>
      <c r="E28" s="174"/>
      <c r="F28" s="174" t="s">
        <v>62</v>
      </c>
      <c r="G28" s="174" t="s">
        <v>65</v>
      </c>
      <c r="H28" s="174" t="s">
        <v>66</v>
      </c>
      <c r="I28" s="174" t="s">
        <v>66</v>
      </c>
      <c r="L28" s="174" t="s">
        <v>236</v>
      </c>
    </row>
    <row r="29" spans="1:13">
      <c r="A29" s="175" t="s">
        <v>106</v>
      </c>
      <c r="B29" s="30" t="s">
        <v>63</v>
      </c>
      <c r="C29" s="30" t="s">
        <v>63</v>
      </c>
      <c r="D29" s="30" t="s">
        <v>63</v>
      </c>
      <c r="E29" s="174"/>
      <c r="F29" s="30" t="s">
        <v>64</v>
      </c>
      <c r="G29" s="30" t="s">
        <v>64</v>
      </c>
      <c r="H29" s="30" t="s">
        <v>64</v>
      </c>
      <c r="I29" s="30" t="s">
        <v>67</v>
      </c>
      <c r="J29" s="175"/>
      <c r="K29" s="30" t="s">
        <v>237</v>
      </c>
      <c r="L29" s="30" t="s">
        <v>236</v>
      </c>
    </row>
    <row r="30" spans="1:13">
      <c r="A30" s="74">
        <f>A52</f>
        <v>201712</v>
      </c>
      <c r="B30" s="53">
        <v>-5614566</v>
      </c>
      <c r="C30" s="53"/>
      <c r="D30" s="53">
        <f t="shared" ref="D30:D38" si="7">SUM(B30:C30)</f>
        <v>-5614566</v>
      </c>
      <c r="E30" s="53"/>
      <c r="F30" s="53"/>
      <c r="G30" s="53">
        <v>-2292781</v>
      </c>
      <c r="H30" s="53">
        <v>-591941</v>
      </c>
      <c r="I30" s="53">
        <v>-186210</v>
      </c>
      <c r="K30" s="53">
        <f t="shared" ref="K30:K38" si="8">SUM(D30:I30)</f>
        <v>-8685498</v>
      </c>
      <c r="L30" s="53"/>
    </row>
    <row r="31" spans="1:13">
      <c r="A31" s="74">
        <f t="shared" ref="A31:A42" si="9">A53</f>
        <v>201801</v>
      </c>
      <c r="B31" s="53">
        <v>-5614566</v>
      </c>
      <c r="C31" s="53"/>
      <c r="D31" s="53">
        <f t="shared" si="7"/>
        <v>-5614566</v>
      </c>
      <c r="E31" s="53"/>
      <c r="F31" s="53"/>
      <c r="G31" s="53">
        <v>-2292781</v>
      </c>
      <c r="H31" s="53">
        <v>-591941</v>
      </c>
      <c r="I31" s="53">
        <v>-186210</v>
      </c>
      <c r="K31" s="53">
        <f t="shared" si="8"/>
        <v>-8685498</v>
      </c>
      <c r="L31" s="53"/>
    </row>
    <row r="32" spans="1:13">
      <c r="A32" s="74">
        <f t="shared" si="9"/>
        <v>201802</v>
      </c>
      <c r="B32" s="53">
        <v>-5614566</v>
      </c>
      <c r="C32" s="53"/>
      <c r="D32" s="53">
        <f t="shared" si="7"/>
        <v>-5614566</v>
      </c>
      <c r="E32" s="53"/>
      <c r="F32" s="53"/>
      <c r="G32" s="53">
        <v>-2292781</v>
      </c>
      <c r="H32" s="53">
        <v>-591941</v>
      </c>
      <c r="I32" s="53">
        <v>-186210</v>
      </c>
      <c r="K32" s="53">
        <f t="shared" si="8"/>
        <v>-8685498</v>
      </c>
      <c r="L32" s="53"/>
    </row>
    <row r="33" spans="1:12">
      <c r="A33" s="74">
        <f t="shared" si="9"/>
        <v>201803</v>
      </c>
      <c r="B33" s="53">
        <v>-5614566</v>
      </c>
      <c r="C33" s="53"/>
      <c r="D33" s="53">
        <f t="shared" si="7"/>
        <v>-5614566</v>
      </c>
      <c r="E33" s="53"/>
      <c r="F33" s="53"/>
      <c r="G33" s="53">
        <v>-2292781</v>
      </c>
      <c r="H33" s="53">
        <v>-591941</v>
      </c>
      <c r="I33" s="53">
        <v>-186210</v>
      </c>
      <c r="K33" s="53">
        <f t="shared" si="8"/>
        <v>-8685498</v>
      </c>
      <c r="L33" s="53"/>
    </row>
    <row r="34" spans="1:12">
      <c r="A34" s="74">
        <f t="shared" si="9"/>
        <v>201804</v>
      </c>
      <c r="B34" s="53">
        <v>-5614566</v>
      </c>
      <c r="C34" s="53"/>
      <c r="D34" s="53">
        <f t="shared" si="7"/>
        <v>-5614566</v>
      </c>
      <c r="E34" s="53"/>
      <c r="F34" s="53"/>
      <c r="G34" s="53">
        <v>-2292781</v>
      </c>
      <c r="H34" s="53">
        <v>-591941</v>
      </c>
      <c r="I34" s="53">
        <v>-186210</v>
      </c>
      <c r="K34" s="53">
        <f t="shared" si="8"/>
        <v>-8685498</v>
      </c>
      <c r="L34" s="53"/>
    </row>
    <row r="35" spans="1:12">
      <c r="A35" s="74">
        <f t="shared" si="9"/>
        <v>201805</v>
      </c>
      <c r="B35" s="53">
        <v>-5614566</v>
      </c>
      <c r="C35" s="53"/>
      <c r="D35" s="53">
        <f t="shared" si="7"/>
        <v>-5614566</v>
      </c>
      <c r="E35" s="53"/>
      <c r="F35" s="53"/>
      <c r="G35" s="53">
        <v>-2292781</v>
      </c>
      <c r="H35" s="53">
        <v>-591941</v>
      </c>
      <c r="I35" s="53">
        <v>-186210</v>
      </c>
      <c r="K35" s="53">
        <f t="shared" si="8"/>
        <v>-8685498</v>
      </c>
      <c r="L35" s="53"/>
    </row>
    <row r="36" spans="1:12">
      <c r="A36" s="74">
        <f t="shared" si="9"/>
        <v>201806</v>
      </c>
      <c r="B36" s="53">
        <v>-5614566</v>
      </c>
      <c r="C36" s="53"/>
      <c r="D36" s="53">
        <f t="shared" si="7"/>
        <v>-5614566</v>
      </c>
      <c r="E36" s="53"/>
      <c r="F36" s="53"/>
      <c r="G36" s="53">
        <v>-2292781</v>
      </c>
      <c r="H36" s="53">
        <v>-591941</v>
      </c>
      <c r="I36" s="53">
        <v>-186210</v>
      </c>
      <c r="K36" s="53">
        <f t="shared" si="8"/>
        <v>-8685498</v>
      </c>
      <c r="L36" s="53"/>
    </row>
    <row r="37" spans="1:12">
      <c r="A37" s="74">
        <f t="shared" si="9"/>
        <v>201807</v>
      </c>
      <c r="B37" s="53">
        <v>-5614566</v>
      </c>
      <c r="C37" s="53"/>
      <c r="D37" s="53">
        <f t="shared" si="7"/>
        <v>-5614566</v>
      </c>
      <c r="E37" s="53"/>
      <c r="F37" s="53"/>
      <c r="G37" s="53">
        <v>-2292781</v>
      </c>
      <c r="H37" s="53">
        <v>-591941</v>
      </c>
      <c r="I37" s="53">
        <v>-186210</v>
      </c>
      <c r="K37" s="53">
        <f t="shared" si="8"/>
        <v>-8685498</v>
      </c>
      <c r="L37" s="53"/>
    </row>
    <row r="38" spans="1:12">
      <c r="A38" s="74">
        <f t="shared" si="9"/>
        <v>201808</v>
      </c>
      <c r="B38" s="53">
        <v>-5614566</v>
      </c>
      <c r="C38" s="53"/>
      <c r="D38" s="53">
        <f t="shared" si="7"/>
        <v>-5614566</v>
      </c>
      <c r="E38" s="53"/>
      <c r="F38" s="53"/>
      <c r="G38" s="53">
        <v>-2292781</v>
      </c>
      <c r="H38" s="53">
        <v>-591941</v>
      </c>
      <c r="I38" s="53">
        <v>-186210</v>
      </c>
      <c r="K38" s="53">
        <f t="shared" si="8"/>
        <v>-8685498</v>
      </c>
      <c r="L38" s="53"/>
    </row>
    <row r="39" spans="1:12">
      <c r="A39" s="74">
        <f t="shared" si="9"/>
        <v>201809</v>
      </c>
      <c r="B39" s="53">
        <v>0</v>
      </c>
      <c r="C39" s="53"/>
      <c r="D39" s="53">
        <f t="shared" ref="D39:D41" si="10">SUM(B39:C39)</f>
        <v>0</v>
      </c>
      <c r="E39" s="53"/>
      <c r="F39" s="53"/>
      <c r="G39" s="53">
        <v>0</v>
      </c>
      <c r="H39" s="53">
        <v>0</v>
      </c>
      <c r="I39" s="53">
        <v>0</v>
      </c>
      <c r="K39" s="53">
        <f t="shared" ref="K39:K42" si="11">SUM(D39:I39)</f>
        <v>0</v>
      </c>
      <c r="L39" s="53"/>
    </row>
    <row r="40" spans="1:12">
      <c r="A40" s="74">
        <f t="shared" si="9"/>
        <v>201810</v>
      </c>
      <c r="B40" s="53">
        <v>0</v>
      </c>
      <c r="C40" s="53"/>
      <c r="D40" s="53">
        <f t="shared" si="10"/>
        <v>0</v>
      </c>
      <c r="E40" s="53"/>
      <c r="F40" s="53"/>
      <c r="G40" s="53">
        <v>0</v>
      </c>
      <c r="H40" s="53">
        <v>0</v>
      </c>
      <c r="I40" s="53">
        <v>0</v>
      </c>
      <c r="K40" s="53">
        <f t="shared" si="11"/>
        <v>0</v>
      </c>
      <c r="L40" s="53"/>
    </row>
    <row r="41" spans="1:12">
      <c r="A41" s="74">
        <f t="shared" si="9"/>
        <v>201811</v>
      </c>
      <c r="B41" s="53">
        <v>0</v>
      </c>
      <c r="C41" s="53"/>
      <c r="D41" s="53">
        <f t="shared" si="10"/>
        <v>0</v>
      </c>
      <c r="E41" s="53"/>
      <c r="F41" s="53"/>
      <c r="G41" s="53">
        <v>0</v>
      </c>
      <c r="H41" s="53">
        <v>0</v>
      </c>
      <c r="I41" s="53">
        <v>0</v>
      </c>
      <c r="K41" s="53">
        <f t="shared" si="11"/>
        <v>0</v>
      </c>
      <c r="L41" s="53"/>
    </row>
    <row r="42" spans="1:12">
      <c r="A42" s="74">
        <f t="shared" si="9"/>
        <v>201812</v>
      </c>
      <c r="B42" s="53"/>
      <c r="C42" s="53"/>
      <c r="D42" s="178">
        <f t="shared" ref="D42" si="12">SUM(B42:C42)</f>
        <v>0</v>
      </c>
      <c r="E42" s="53"/>
      <c r="F42" s="53"/>
      <c r="G42" s="53"/>
      <c r="H42" s="53"/>
      <c r="I42" s="53"/>
      <c r="K42" s="178">
        <f t="shared" si="11"/>
        <v>0</v>
      </c>
      <c r="L42" s="53"/>
    </row>
    <row r="43" spans="1:12">
      <c r="B43" s="181"/>
      <c r="C43" s="181"/>
      <c r="D43" s="53"/>
      <c r="E43" s="53"/>
      <c r="F43" s="181"/>
      <c r="G43" s="181"/>
      <c r="H43" s="181"/>
      <c r="I43" s="181"/>
      <c r="K43" s="53"/>
      <c r="L43" s="53"/>
    </row>
    <row r="44" spans="1:12" ht="13.8" thickBot="1">
      <c r="A44" t="s">
        <v>238</v>
      </c>
      <c r="B44" s="177">
        <f>(((B30+B42)/2)+(B31+B32+B33+B34+B35+B36+B37+B38+B39+B40+B41))/12</f>
        <v>-3976984.25</v>
      </c>
      <c r="C44" s="177">
        <f>(((C30+C42)/2)+(C31+C32+C33+C34+C35+C36+C37+C38+C39+C40+C41))/12</f>
        <v>0</v>
      </c>
      <c r="D44" s="177">
        <f>SUM(B44:C44)</f>
        <v>-3976984.25</v>
      </c>
      <c r="E44" s="53"/>
      <c r="F44" s="177">
        <f>(((F30+F42)/2)+(F31+F32+F33+F34+F35+F36+F37+F38+F39+F40+F41))/12</f>
        <v>0</v>
      </c>
      <c r="G44" s="177">
        <f>(((G30+G42)/2)+(G31+G32+G33+G34+G35+G36+G37+G38+G39+G40+G41))/12</f>
        <v>-1624053.2083333333</v>
      </c>
      <c r="H44" s="177">
        <f>(((H30+H42)/2)+(H31+H32+H33+H34+H35+H36+H37+H38+H39+H40+H41))/12</f>
        <v>-419291.54166666669</v>
      </c>
      <c r="I44" s="177">
        <f>(((I30+I42)/2)+(I31+I32+I33+I34+I35+I36+I37+I38+I39+I40+I41))/12</f>
        <v>-131898.75</v>
      </c>
      <c r="J44" s="53"/>
      <c r="K44" s="177">
        <f>SUM(D44:I44)</f>
        <v>-6152227.75</v>
      </c>
      <c r="L44" s="53"/>
    </row>
    <row r="45" spans="1:12">
      <c r="B45" s="53"/>
      <c r="C45" s="53"/>
      <c r="D45" s="53"/>
      <c r="E45" s="53"/>
      <c r="F45" s="53"/>
      <c r="G45" s="53"/>
      <c r="H45" s="53"/>
      <c r="I45" s="53"/>
      <c r="J45" s="53"/>
      <c r="K45" s="176"/>
      <c r="L45" s="53"/>
    </row>
    <row r="46" spans="1:12" ht="13.8" thickBot="1">
      <c r="A46" t="s">
        <v>239</v>
      </c>
      <c r="B46" s="177">
        <f>B42</f>
        <v>0</v>
      </c>
      <c r="C46" s="177">
        <f t="shared" ref="C46:D46" si="13">C42</f>
        <v>0</v>
      </c>
      <c r="D46" s="177">
        <f t="shared" si="13"/>
        <v>0</v>
      </c>
      <c r="E46" s="53"/>
      <c r="F46" s="177">
        <f>F42</f>
        <v>0</v>
      </c>
      <c r="G46" s="177">
        <f t="shared" ref="G46:I46" si="14">G42</f>
        <v>0</v>
      </c>
      <c r="H46" s="177">
        <f t="shared" si="14"/>
        <v>0</v>
      </c>
      <c r="I46" s="177">
        <f t="shared" si="14"/>
        <v>0</v>
      </c>
      <c r="J46" s="53"/>
      <c r="K46" s="177">
        <f>SUM(D46:I46)</f>
        <v>0</v>
      </c>
      <c r="L46" s="53"/>
    </row>
    <row r="47" spans="1:12">
      <c r="E47" s="48"/>
      <c r="F47" s="48"/>
    </row>
    <row r="48" spans="1:12">
      <c r="A48" s="190" t="s">
        <v>242</v>
      </c>
      <c r="E48" s="48"/>
      <c r="F48" s="48"/>
    </row>
    <row r="49" spans="1:12">
      <c r="A49" s="173"/>
      <c r="B49" s="173">
        <v>282900</v>
      </c>
      <c r="C49" s="173">
        <v>283000</v>
      </c>
      <c r="D49" s="173" t="s">
        <v>72</v>
      </c>
      <c r="E49" s="173"/>
      <c r="F49" s="173">
        <v>282900</v>
      </c>
      <c r="G49" s="173">
        <v>282900</v>
      </c>
      <c r="H49" s="173">
        <v>282900</v>
      </c>
      <c r="I49" s="173">
        <v>282900</v>
      </c>
      <c r="J49" s="173"/>
      <c r="K49" s="173"/>
      <c r="L49" s="173">
        <v>282900</v>
      </c>
    </row>
    <row r="50" spans="1:12">
      <c r="B50" s="173" t="s">
        <v>62</v>
      </c>
      <c r="C50" s="173" t="s">
        <v>62</v>
      </c>
      <c r="D50" s="173" t="s">
        <v>62</v>
      </c>
      <c r="E50" s="173"/>
      <c r="F50" s="173" t="s">
        <v>62</v>
      </c>
      <c r="G50" s="173" t="s">
        <v>65</v>
      </c>
      <c r="H50" s="173" t="s">
        <v>66</v>
      </c>
      <c r="I50" s="173" t="s">
        <v>66</v>
      </c>
      <c r="L50" s="173" t="s">
        <v>236</v>
      </c>
    </row>
    <row r="51" spans="1:12">
      <c r="A51" s="175" t="s">
        <v>106</v>
      </c>
      <c r="B51" s="30" t="s">
        <v>63</v>
      </c>
      <c r="C51" s="30" t="s">
        <v>63</v>
      </c>
      <c r="D51" s="30" t="s">
        <v>63</v>
      </c>
      <c r="E51" s="173"/>
      <c r="F51" s="30" t="s">
        <v>64</v>
      </c>
      <c r="G51" s="30" t="s">
        <v>64</v>
      </c>
      <c r="H51" s="30" t="s">
        <v>64</v>
      </c>
      <c r="I51" s="30" t="s">
        <v>67</v>
      </c>
      <c r="J51" s="175"/>
      <c r="K51" s="30" t="s">
        <v>237</v>
      </c>
      <c r="L51" s="30" t="s">
        <v>236</v>
      </c>
    </row>
    <row r="52" spans="1:12">
      <c r="A52" s="74">
        <f>'283200 ED AN'!A6</f>
        <v>201712</v>
      </c>
      <c r="B52" s="53">
        <f>B8+B30</f>
        <v>-91310843.540000007</v>
      </c>
      <c r="C52" s="53">
        <f>C8+C30</f>
        <v>0</v>
      </c>
      <c r="D52" s="53">
        <f>SUM(B52:C52)</f>
        <v>-91310843.540000007</v>
      </c>
      <c r="E52" s="53"/>
      <c r="F52" s="53">
        <f>F8+F30</f>
        <v>-733442.82</v>
      </c>
      <c r="G52" s="53">
        <f t="shared" ref="G52:I52" si="15">G8+G30</f>
        <v>-547255308.11000001</v>
      </c>
      <c r="H52" s="53">
        <f t="shared" si="15"/>
        <v>-109007915.87</v>
      </c>
      <c r="I52" s="53">
        <f t="shared" si="15"/>
        <v>-63063224.090000004</v>
      </c>
      <c r="K52" s="53">
        <f>SUM(D52:I52)</f>
        <v>-811370734.43000007</v>
      </c>
      <c r="L52" s="53"/>
    </row>
    <row r="53" spans="1:12">
      <c r="A53" s="74">
        <f>'283200 ED AN'!A7</f>
        <v>201801</v>
      </c>
      <c r="B53" s="53">
        <f t="shared" ref="B53:C64" si="16">B9+B31</f>
        <v>-91302477.540000007</v>
      </c>
      <c r="C53" s="53">
        <f t="shared" si="16"/>
        <v>0</v>
      </c>
      <c r="D53" s="53">
        <f t="shared" ref="D53:D64" si="17">SUM(B53:C53)</f>
        <v>-91302477.540000007</v>
      </c>
      <c r="E53" s="53"/>
      <c r="F53" s="53">
        <f t="shared" ref="F53:I64" si="18">F9+F31</f>
        <v>-736106.82</v>
      </c>
      <c r="G53" s="53">
        <f t="shared" si="18"/>
        <v>-547308719.11000001</v>
      </c>
      <c r="H53" s="53">
        <f t="shared" si="18"/>
        <v>-109112925.87</v>
      </c>
      <c r="I53" s="53">
        <f t="shared" si="18"/>
        <v>-63149443.090000004</v>
      </c>
      <c r="K53" s="53">
        <f t="shared" ref="K53:K64" si="19">SUM(D53:I53)</f>
        <v>-811609672.43000007</v>
      </c>
      <c r="L53" s="53"/>
    </row>
    <row r="54" spans="1:12">
      <c r="A54" s="74">
        <f>'283200 ED AN'!A8</f>
        <v>201802</v>
      </c>
      <c r="B54" s="53">
        <f t="shared" si="16"/>
        <v>-91294111.540000007</v>
      </c>
      <c r="C54" s="53">
        <f t="shared" si="16"/>
        <v>0</v>
      </c>
      <c r="D54" s="53">
        <f>SUM(B54:C54)</f>
        <v>-91294111.540000007</v>
      </c>
      <c r="E54" s="53"/>
      <c r="F54" s="53">
        <f t="shared" si="18"/>
        <v>-738770.82</v>
      </c>
      <c r="G54" s="53">
        <f t="shared" si="18"/>
        <v>-547362130.11000001</v>
      </c>
      <c r="H54" s="53">
        <f t="shared" si="18"/>
        <v>-109217935.87</v>
      </c>
      <c r="I54" s="53">
        <f t="shared" si="18"/>
        <v>-63235662.090000004</v>
      </c>
      <c r="K54" s="53">
        <f t="shared" si="19"/>
        <v>-811848610.43000007</v>
      </c>
      <c r="L54" s="53"/>
    </row>
    <row r="55" spans="1:12">
      <c r="A55" s="74">
        <f>'283200 ED AN'!A9</f>
        <v>201803</v>
      </c>
      <c r="B55" s="53">
        <f t="shared" si="16"/>
        <v>-91285745.540000007</v>
      </c>
      <c r="C55" s="53">
        <f t="shared" si="16"/>
        <v>0</v>
      </c>
      <c r="D55" s="53">
        <f t="shared" si="17"/>
        <v>-91285745.540000007</v>
      </c>
      <c r="E55" s="53"/>
      <c r="F55" s="53">
        <f t="shared" si="18"/>
        <v>-741434.82</v>
      </c>
      <c r="G55" s="53">
        <f t="shared" si="18"/>
        <v>-547415541.11000001</v>
      </c>
      <c r="H55" s="53">
        <f t="shared" si="18"/>
        <v>-109322945.87</v>
      </c>
      <c r="I55" s="53">
        <f t="shared" si="18"/>
        <v>-63321881.090000004</v>
      </c>
      <c r="K55" s="53">
        <f t="shared" si="19"/>
        <v>-812087548.43000007</v>
      </c>
      <c r="L55" s="53"/>
    </row>
    <row r="56" spans="1:12">
      <c r="A56" s="74">
        <f>'283200 ED AN'!A10</f>
        <v>201804</v>
      </c>
      <c r="B56" s="53">
        <f t="shared" si="16"/>
        <v>-91277379.540000007</v>
      </c>
      <c r="C56" s="53">
        <f t="shared" si="16"/>
        <v>0</v>
      </c>
      <c r="D56" s="53">
        <f t="shared" si="17"/>
        <v>-91277379.540000007</v>
      </c>
      <c r="E56" s="53"/>
      <c r="F56" s="53">
        <f t="shared" si="18"/>
        <v>-744098.82</v>
      </c>
      <c r="G56" s="53">
        <f t="shared" si="18"/>
        <v>-547468952.11000001</v>
      </c>
      <c r="H56" s="53">
        <f t="shared" si="18"/>
        <v>-109427955.87</v>
      </c>
      <c r="I56" s="53">
        <f t="shared" si="18"/>
        <v>-63408100.090000004</v>
      </c>
      <c r="K56" s="53">
        <f t="shared" si="19"/>
        <v>-812326486.43000007</v>
      </c>
      <c r="L56" s="53"/>
    </row>
    <row r="57" spans="1:12">
      <c r="A57" s="74">
        <f>'283200 ED AN'!A11</f>
        <v>201805</v>
      </c>
      <c r="B57" s="53">
        <f t="shared" si="16"/>
        <v>-91269013.540000007</v>
      </c>
      <c r="C57" s="53">
        <f t="shared" si="16"/>
        <v>0</v>
      </c>
      <c r="D57" s="53">
        <f t="shared" si="17"/>
        <v>-91269013.540000007</v>
      </c>
      <c r="E57" s="53"/>
      <c r="F57" s="53">
        <f t="shared" si="18"/>
        <v>-746762.82</v>
      </c>
      <c r="G57" s="53">
        <f t="shared" si="18"/>
        <v>-547522363.11000001</v>
      </c>
      <c r="H57" s="53">
        <f t="shared" si="18"/>
        <v>-109532965.87</v>
      </c>
      <c r="I57" s="53">
        <f t="shared" si="18"/>
        <v>-63494319.090000004</v>
      </c>
      <c r="K57" s="53">
        <f t="shared" si="19"/>
        <v>-812565424.43000007</v>
      </c>
      <c r="L57" s="53"/>
    </row>
    <row r="58" spans="1:12">
      <c r="A58" s="74">
        <f>'283200 ED AN'!A12</f>
        <v>201806</v>
      </c>
      <c r="B58" s="53">
        <f t="shared" si="16"/>
        <v>-91260647.540000007</v>
      </c>
      <c r="C58" s="53">
        <f t="shared" si="16"/>
        <v>0</v>
      </c>
      <c r="D58" s="53">
        <f t="shared" si="17"/>
        <v>-91260647.540000007</v>
      </c>
      <c r="E58" s="53"/>
      <c r="F58" s="53">
        <f t="shared" si="18"/>
        <v>-749426.82</v>
      </c>
      <c r="G58" s="53">
        <f t="shared" si="18"/>
        <v>-547575774.11000001</v>
      </c>
      <c r="H58" s="53">
        <f t="shared" si="18"/>
        <v>-109637975.87</v>
      </c>
      <c r="I58" s="53">
        <f t="shared" si="18"/>
        <v>-63580538.090000004</v>
      </c>
      <c r="K58" s="53">
        <f t="shared" si="19"/>
        <v>-812804362.43000007</v>
      </c>
      <c r="L58" s="53"/>
    </row>
    <row r="59" spans="1:12">
      <c r="A59" s="74">
        <f>'283200 ED AN'!A13</f>
        <v>201807</v>
      </c>
      <c r="B59" s="53">
        <f t="shared" si="16"/>
        <v>-91252281.540000007</v>
      </c>
      <c r="C59" s="53">
        <f t="shared" si="16"/>
        <v>0</v>
      </c>
      <c r="D59" s="53">
        <f t="shared" si="17"/>
        <v>-91252281.540000007</v>
      </c>
      <c r="E59" s="53"/>
      <c r="F59" s="53">
        <f t="shared" si="18"/>
        <v>-752090.82</v>
      </c>
      <c r="G59" s="53">
        <f t="shared" si="18"/>
        <v>-547629185.11000001</v>
      </c>
      <c r="H59" s="53">
        <f t="shared" si="18"/>
        <v>-109742985.87</v>
      </c>
      <c r="I59" s="53">
        <f t="shared" si="18"/>
        <v>-63666757.090000004</v>
      </c>
      <c r="K59" s="53">
        <f t="shared" si="19"/>
        <v>-813043300.43000007</v>
      </c>
      <c r="L59" s="53"/>
    </row>
    <row r="60" spans="1:12">
      <c r="A60" s="74">
        <f>'283200 ED AN'!A14</f>
        <v>201808</v>
      </c>
      <c r="B60" s="53">
        <f t="shared" si="16"/>
        <v>-91243915.540000007</v>
      </c>
      <c r="C60" s="53">
        <f t="shared" si="16"/>
        <v>0</v>
      </c>
      <c r="D60" s="53">
        <f t="shared" si="17"/>
        <v>-91243915.540000007</v>
      </c>
      <c r="E60" s="53"/>
      <c r="F60" s="53">
        <f t="shared" si="18"/>
        <v>-754754.82</v>
      </c>
      <c r="G60" s="53">
        <f t="shared" si="18"/>
        <v>-547682596.11000001</v>
      </c>
      <c r="H60" s="53">
        <f t="shared" si="18"/>
        <v>-109847995.87</v>
      </c>
      <c r="I60" s="53">
        <f t="shared" si="18"/>
        <v>-63752976.090000004</v>
      </c>
      <c r="K60" s="53">
        <f t="shared" si="19"/>
        <v>-813282238.43000007</v>
      </c>
      <c r="L60" s="53"/>
    </row>
    <row r="61" spans="1:12">
      <c r="A61" s="74">
        <f>'283200 ED AN'!A15</f>
        <v>201809</v>
      </c>
      <c r="B61" s="53">
        <f t="shared" si="16"/>
        <v>-91235549.540000007</v>
      </c>
      <c r="C61" s="53">
        <f t="shared" si="16"/>
        <v>0</v>
      </c>
      <c r="D61" s="53">
        <f t="shared" si="17"/>
        <v>-91235549.540000007</v>
      </c>
      <c r="E61" s="53"/>
      <c r="F61" s="53">
        <f t="shared" si="18"/>
        <v>-757418.82</v>
      </c>
      <c r="G61" s="53">
        <f t="shared" si="18"/>
        <v>-547736007.11000001</v>
      </c>
      <c r="H61" s="53">
        <f t="shared" si="18"/>
        <v>-109953005.87</v>
      </c>
      <c r="I61" s="53">
        <f t="shared" si="18"/>
        <v>-63839195.090000004</v>
      </c>
      <c r="K61" s="53">
        <f t="shared" si="19"/>
        <v>-813521176.43000007</v>
      </c>
      <c r="L61" s="53"/>
    </row>
    <row r="62" spans="1:12">
      <c r="A62" s="74">
        <f>'283200 ED AN'!A16</f>
        <v>201810</v>
      </c>
      <c r="B62" s="53">
        <f t="shared" si="16"/>
        <v>-91227183.540000007</v>
      </c>
      <c r="C62" s="53">
        <f t="shared" si="16"/>
        <v>0</v>
      </c>
      <c r="D62" s="53">
        <f t="shared" si="17"/>
        <v>-91227183.540000007</v>
      </c>
      <c r="E62" s="53"/>
      <c r="F62" s="53">
        <f t="shared" si="18"/>
        <v>-760082.82</v>
      </c>
      <c r="G62" s="53">
        <f t="shared" si="18"/>
        <v>-547789418.11000001</v>
      </c>
      <c r="H62" s="53">
        <f t="shared" si="18"/>
        <v>-110058015.87</v>
      </c>
      <c r="I62" s="53">
        <f t="shared" si="18"/>
        <v>-63925414.090000004</v>
      </c>
      <c r="K62" s="53">
        <f t="shared" si="19"/>
        <v>-813760114.43000007</v>
      </c>
      <c r="L62" s="53"/>
    </row>
    <row r="63" spans="1:12">
      <c r="A63" s="74">
        <f>'283200 ED AN'!A17</f>
        <v>201811</v>
      </c>
      <c r="B63" s="53">
        <f t="shared" si="16"/>
        <v>-91218817.540000007</v>
      </c>
      <c r="C63" s="53">
        <f t="shared" si="16"/>
        <v>0</v>
      </c>
      <c r="D63" s="53">
        <f t="shared" si="17"/>
        <v>-91218817.540000007</v>
      </c>
      <c r="E63" s="53"/>
      <c r="F63" s="53">
        <f t="shared" si="18"/>
        <v>-762746.82</v>
      </c>
      <c r="G63" s="53">
        <f t="shared" si="18"/>
        <v>-547842829.11000001</v>
      </c>
      <c r="H63" s="53">
        <f t="shared" si="18"/>
        <v>-110163025.87</v>
      </c>
      <c r="I63" s="53">
        <f t="shared" si="18"/>
        <v>-64011633.090000004</v>
      </c>
      <c r="K63" s="53">
        <f t="shared" si="19"/>
        <v>-813999052.43000007</v>
      </c>
      <c r="L63" s="53"/>
    </row>
    <row r="64" spans="1:12" ht="15">
      <c r="A64" s="74">
        <f>'283200 ED AN'!A18</f>
        <v>201812</v>
      </c>
      <c r="B64" s="178">
        <f t="shared" si="16"/>
        <v>-88521790.540000007</v>
      </c>
      <c r="C64" s="178">
        <f t="shared" si="16"/>
        <v>0</v>
      </c>
      <c r="D64" s="178">
        <f t="shared" si="17"/>
        <v>-88521790.540000007</v>
      </c>
      <c r="E64" s="53"/>
      <c r="F64" s="179">
        <f t="shared" si="18"/>
        <v>-765406.82</v>
      </c>
      <c r="G64" s="179">
        <f t="shared" si="18"/>
        <v>-549242838.11000001</v>
      </c>
      <c r="H64" s="179">
        <f t="shared" si="18"/>
        <v>-109964012.87</v>
      </c>
      <c r="I64" s="179">
        <f t="shared" si="18"/>
        <v>-64389426.090000004</v>
      </c>
      <c r="K64" s="178">
        <f t="shared" si="19"/>
        <v>-812883474.43000007</v>
      </c>
      <c r="L64" s="53"/>
    </row>
    <row r="65" spans="1:12">
      <c r="B65" s="53"/>
      <c r="C65" s="53"/>
      <c r="D65" s="53"/>
      <c r="E65" s="53"/>
      <c r="F65" s="53"/>
      <c r="G65" s="53"/>
      <c r="H65" s="53"/>
      <c r="I65" s="53"/>
      <c r="K65" s="53"/>
      <c r="L65" s="53"/>
    </row>
    <row r="66" spans="1:12" ht="13.8" thickBot="1">
      <c r="A66" t="s">
        <v>238</v>
      </c>
      <c r="B66" s="177">
        <f>(((B52+B64)/2)+(B53+B54+B55+B56+B57+B58+B59+B60+B61+B62+B63))/12</f>
        <v>-91148619.99833332</v>
      </c>
      <c r="C66" s="177">
        <f>(((C52+C64)/2)+(C53+C54+C55+C56+C57+C58+C59+C60+C61+C62+C63))/12</f>
        <v>0</v>
      </c>
      <c r="D66" s="177">
        <f>SUM(B66:C66)</f>
        <v>-91148619.99833332</v>
      </c>
      <c r="E66" s="53"/>
      <c r="F66" s="177">
        <f>(((F52+F64)/2)+(F53+F54+F55+F56+F57+F58+F59+F60+F61+F62+F63))/12</f>
        <v>-749426.65333333344</v>
      </c>
      <c r="G66" s="177">
        <f>(((G52+G64)/2)+(G53+G54+G55+G56+G57+G58+G59+G60+G61+G62+G63))/12</f>
        <v>-547631882.3599999</v>
      </c>
      <c r="H66" s="177">
        <f>(((H52+H64)/2)+(H53+H54+H55+H56+H57+H58+H59+H60+H61+H62+H63))/12</f>
        <v>-109625308.245</v>
      </c>
      <c r="I66" s="177">
        <f>(((I52+I64)/2)+(I53+I54+I55+I56+I57+I58+I59+I60+I61+I62+I63))/12</f>
        <v>-63592687.00666669</v>
      </c>
      <c r="J66" s="53"/>
      <c r="K66" s="177">
        <f>SUM(D66:I66)</f>
        <v>-812747924.2633332</v>
      </c>
      <c r="L66" s="53"/>
    </row>
    <row r="67" spans="1:12">
      <c r="B67" s="53"/>
      <c r="C67" s="53"/>
      <c r="D67" s="53"/>
      <c r="E67" s="53"/>
      <c r="F67" s="53"/>
      <c r="G67" s="53"/>
      <c r="H67" s="53"/>
      <c r="I67" s="53"/>
      <c r="J67" s="53"/>
      <c r="K67" s="176" t="s">
        <v>227</v>
      </c>
      <c r="L67" s="53"/>
    </row>
    <row r="68" spans="1:12" ht="13.8" thickBot="1">
      <c r="A68" t="s">
        <v>239</v>
      </c>
      <c r="B68" s="177">
        <f>B64</f>
        <v>-88521790.540000007</v>
      </c>
      <c r="C68" s="177">
        <f t="shared" ref="C68:D68" si="20">C64</f>
        <v>0</v>
      </c>
      <c r="D68" s="177">
        <f t="shared" si="20"/>
        <v>-88521790.540000007</v>
      </c>
      <c r="E68" s="53"/>
      <c r="F68" s="177">
        <f>F64</f>
        <v>-765406.82</v>
      </c>
      <c r="G68" s="177">
        <f t="shared" ref="G68:I68" si="21">G64</f>
        <v>-549242838.11000001</v>
      </c>
      <c r="H68" s="177">
        <f t="shared" si="21"/>
        <v>-109964012.87</v>
      </c>
      <c r="I68" s="177">
        <f t="shared" si="21"/>
        <v>-64389426.090000004</v>
      </c>
      <c r="J68" s="53"/>
      <c r="K68" s="177">
        <f>SUM(D68:I68)</f>
        <v>-812883474.43000007</v>
      </c>
      <c r="L68" s="53"/>
    </row>
    <row r="69" spans="1:1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6640625" defaultRowHeight="13.2"/>
  <cols>
    <col min="1" max="1" width="0" style="56" hidden="1" customWidth="1"/>
    <col min="2" max="2" width="27" style="56" customWidth="1"/>
    <col min="3" max="4" width="14" style="56" customWidth="1"/>
    <col min="5" max="5" width="16.6640625" style="56" bestFit="1" customWidth="1"/>
    <col min="6" max="6" width="18.44140625" style="56" bestFit="1" customWidth="1"/>
    <col min="7" max="7" width="9.3320312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9">
      <c r="B1" s="198" t="str">
        <f>'Elec-Dec18'!C1</f>
        <v>AVISTA UTILITIES</v>
      </c>
      <c r="C1" s="199"/>
      <c r="D1" s="199"/>
      <c r="E1" s="199"/>
      <c r="G1" s="60"/>
      <c r="H1" s="60" t="s">
        <v>65</v>
      </c>
      <c r="I1" s="56" t="s">
        <v>64</v>
      </c>
    </row>
    <row r="2" spans="1:9">
      <c r="B2" s="198" t="s">
        <v>90</v>
      </c>
      <c r="C2" s="199"/>
      <c r="D2" s="199"/>
      <c r="E2" s="199"/>
      <c r="F2" s="60"/>
      <c r="G2" s="60"/>
    </row>
    <row r="3" spans="1:9">
      <c r="B3" s="200" t="str">
        <f>'SYS-Dec18'!D3</f>
        <v>Average - Twelve Months Ended December 31, 2018</v>
      </c>
      <c r="C3" s="199"/>
      <c r="D3" s="199"/>
      <c r="E3" s="199"/>
      <c r="F3" s="60"/>
      <c r="G3" s="60"/>
    </row>
    <row r="4" spans="1:9">
      <c r="B4" s="61"/>
      <c r="C4" s="62"/>
      <c r="D4" s="62"/>
      <c r="E4" s="61"/>
      <c r="F4" s="61"/>
    </row>
    <row r="5" spans="1:9" s="165" customFormat="1" ht="26.4">
      <c r="A5" s="164"/>
      <c r="C5" s="166" t="s">
        <v>91</v>
      </c>
      <c r="D5" s="166" t="s">
        <v>92</v>
      </c>
      <c r="E5" s="165" t="s">
        <v>93</v>
      </c>
      <c r="F5" s="168" t="s">
        <v>186</v>
      </c>
      <c r="G5" s="167"/>
    </row>
    <row r="6" spans="1:9" s="64" customFormat="1">
      <c r="A6" s="63"/>
      <c r="C6" s="29" t="s">
        <v>94</v>
      </c>
      <c r="D6" s="29" t="s">
        <v>94</v>
      </c>
      <c r="E6" s="29" t="s">
        <v>95</v>
      </c>
      <c r="F6" s="134" t="s">
        <v>95</v>
      </c>
      <c r="G6"/>
    </row>
    <row r="7" spans="1:9" s="64" customFormat="1">
      <c r="A7" s="63"/>
      <c r="B7" s="29"/>
      <c r="C7" s="65">
        <v>283324</v>
      </c>
      <c r="D7" s="65">
        <v>283325</v>
      </c>
      <c r="E7" s="65">
        <v>283382</v>
      </c>
      <c r="F7" s="65">
        <v>283333</v>
      </c>
      <c r="G7"/>
    </row>
    <row r="8" spans="1:9" s="64" customFormat="1">
      <c r="A8" s="63"/>
      <c r="B8" s="29"/>
      <c r="C8" s="66" t="s">
        <v>96</v>
      </c>
      <c r="D8" s="66" t="s">
        <v>96</v>
      </c>
      <c r="E8" s="66" t="s">
        <v>97</v>
      </c>
      <c r="F8" s="66" t="s">
        <v>97</v>
      </c>
      <c r="G8"/>
    </row>
    <row r="9" spans="1:9" s="64" customFormat="1">
      <c r="A9" s="63"/>
      <c r="B9" s="29"/>
      <c r="C9" s="66"/>
      <c r="D9" s="66"/>
      <c r="E9" s="66"/>
      <c r="F9" s="62"/>
      <c r="G9"/>
    </row>
    <row r="10" spans="1:9">
      <c r="A10" s="67">
        <v>201012</v>
      </c>
      <c r="B10" s="68">
        <v>43100</v>
      </c>
      <c r="C10" s="45"/>
      <c r="D10" s="45"/>
      <c r="E10" s="45">
        <f>'283382 ED AN'!F6</f>
        <v>-11152371.91</v>
      </c>
      <c r="F10" s="45">
        <f>'283333 ED AN'!F6</f>
        <v>403943.08</v>
      </c>
      <c r="G10"/>
    </row>
    <row r="11" spans="1:9">
      <c r="A11" s="67">
        <v>201112</v>
      </c>
      <c r="B11" s="69">
        <v>43465</v>
      </c>
      <c r="C11" s="45"/>
      <c r="D11" s="45"/>
      <c r="E11" s="45">
        <f>'283382 ED AN'!F18</f>
        <v>-6505765.1500000004</v>
      </c>
      <c r="F11" s="45">
        <f>'283333 ED AN'!F18</f>
        <v>249236.92999999996</v>
      </c>
      <c r="G11"/>
    </row>
    <row r="12" spans="1:9">
      <c r="A12" s="67"/>
      <c r="B12" s="68" t="s">
        <v>98</v>
      </c>
      <c r="C12" s="70">
        <f>C10+C11</f>
        <v>0</v>
      </c>
      <c r="D12" s="70">
        <f>D10+D11</f>
        <v>0</v>
      </c>
      <c r="E12" s="70">
        <f>E10+E11</f>
        <v>-17658137.060000002</v>
      </c>
      <c r="F12" s="70">
        <f>F10+F11</f>
        <v>653180.01</v>
      </c>
      <c r="G12"/>
    </row>
    <row r="13" spans="1:9">
      <c r="A13" s="67"/>
      <c r="B13" s="68"/>
      <c r="C13" s="51"/>
      <c r="D13" s="51"/>
      <c r="E13" s="51"/>
      <c r="F13" s="51"/>
      <c r="G13"/>
    </row>
    <row r="14" spans="1:9">
      <c r="A14" s="67"/>
      <c r="B14" s="68" t="s">
        <v>99</v>
      </c>
      <c r="C14" s="51">
        <f>C12/2</f>
        <v>0</v>
      </c>
      <c r="D14" s="51">
        <f>D12/2</f>
        <v>0</v>
      </c>
      <c r="E14" s="51">
        <f>E12/2</f>
        <v>-8829068.5300000012</v>
      </c>
      <c r="F14" s="51">
        <f>F12/2</f>
        <v>326590.005</v>
      </c>
      <c r="G14"/>
    </row>
    <row r="15" spans="1:9">
      <c r="A15" s="67">
        <v>201101</v>
      </c>
      <c r="B15" s="71">
        <v>43131</v>
      </c>
      <c r="C15" s="45"/>
      <c r="D15" s="45"/>
      <c r="E15" s="45">
        <f>'283382 ED AN'!F7</f>
        <v>-6675951.6500000004</v>
      </c>
      <c r="F15" s="45">
        <f>'283333 ED AN'!F7</f>
        <v>242938.44</v>
      </c>
      <c r="G15"/>
    </row>
    <row r="16" spans="1:9">
      <c r="A16" s="67">
        <v>201102</v>
      </c>
      <c r="B16" s="71">
        <v>43159</v>
      </c>
      <c r="C16" s="45"/>
      <c r="D16" s="45"/>
      <c r="E16" s="45">
        <f>'283382 ED AN'!F8</f>
        <v>-6660480.1500000004</v>
      </c>
      <c r="F16" s="45">
        <f>'283333 ED AN'!F8</f>
        <v>243511.03</v>
      </c>
      <c r="G16"/>
    </row>
    <row r="17" spans="1:11">
      <c r="A17" s="67">
        <v>201103</v>
      </c>
      <c r="B17" s="71">
        <v>43190</v>
      </c>
      <c r="C17" s="45"/>
      <c r="D17" s="45"/>
      <c r="E17" s="45">
        <f>'283382 ED AN'!F9</f>
        <v>-6645008.6500000004</v>
      </c>
      <c r="F17" s="45">
        <f>'283333 ED AN'!F9</f>
        <v>244083.62</v>
      </c>
      <c r="G17"/>
    </row>
    <row r="18" spans="1:11">
      <c r="A18" s="67">
        <v>201104</v>
      </c>
      <c r="B18" s="71">
        <v>43220</v>
      </c>
      <c r="C18" s="45"/>
      <c r="D18" s="45"/>
      <c r="E18" s="45">
        <f>'283382 ED AN'!F10</f>
        <v>-6629537.1500000004</v>
      </c>
      <c r="F18" s="45">
        <f>'283333 ED AN'!F10</f>
        <v>244656.21</v>
      </c>
      <c r="G18"/>
      <c r="H18" s="44"/>
      <c r="I18" s="44"/>
    </row>
    <row r="19" spans="1:11">
      <c r="A19" s="67">
        <v>201105</v>
      </c>
      <c r="B19" s="71">
        <v>43251</v>
      </c>
      <c r="C19" s="45"/>
      <c r="D19" s="45"/>
      <c r="E19" s="45">
        <f>'283382 ED AN'!F11</f>
        <v>-6614065.6500000004</v>
      </c>
      <c r="F19" s="45">
        <f>'283333 ED AN'!F11</f>
        <v>245228.79999999999</v>
      </c>
      <c r="G19"/>
      <c r="I19" s="72"/>
    </row>
    <row r="20" spans="1:11">
      <c r="A20" s="67">
        <v>201106</v>
      </c>
      <c r="B20" s="71">
        <v>43281</v>
      </c>
      <c r="C20" s="45"/>
      <c r="D20" s="45"/>
      <c r="E20" s="45">
        <f>'283382 ED AN'!F12</f>
        <v>-6598594.1500000004</v>
      </c>
      <c r="F20" s="45">
        <f>'283333 ED AN'!F12</f>
        <v>245801.38999999998</v>
      </c>
      <c r="G20" s="72"/>
      <c r="H20" s="72"/>
      <c r="I20" s="72"/>
      <c r="J20" s="44"/>
      <c r="K20" s="44"/>
    </row>
    <row r="21" spans="1:11">
      <c r="A21" s="67">
        <v>201107</v>
      </c>
      <c r="B21" s="71">
        <v>43312</v>
      </c>
      <c r="C21" s="45"/>
      <c r="D21" s="45"/>
      <c r="E21" s="45">
        <f>'283382 ED AN'!F13</f>
        <v>-6583122.6500000004</v>
      </c>
      <c r="F21" s="45">
        <f>'283333 ED AN'!F13</f>
        <v>246373.97999999998</v>
      </c>
      <c r="G21" s="72"/>
      <c r="H21" s="72"/>
      <c r="I21" s="72"/>
      <c r="J21" s="44"/>
      <c r="K21" s="44"/>
    </row>
    <row r="22" spans="1:11">
      <c r="A22" s="67">
        <v>201108</v>
      </c>
      <c r="B22" s="71">
        <v>43343</v>
      </c>
      <c r="C22" s="45"/>
      <c r="D22" s="45"/>
      <c r="E22" s="45">
        <f>'283382 ED AN'!F14</f>
        <v>-6567651.1500000004</v>
      </c>
      <c r="F22" s="45">
        <f>'283333 ED AN'!F14</f>
        <v>246946.56999999998</v>
      </c>
      <c r="G22" s="72"/>
      <c r="H22" s="72"/>
      <c r="I22" s="72"/>
      <c r="J22" s="44"/>
      <c r="K22" s="44"/>
    </row>
    <row r="23" spans="1:11">
      <c r="A23" s="67">
        <v>201109</v>
      </c>
      <c r="B23" s="71">
        <v>43373</v>
      </c>
      <c r="C23" s="45"/>
      <c r="D23" s="45"/>
      <c r="E23" s="45">
        <f>'283382 ED AN'!F15</f>
        <v>-6552179.6500000004</v>
      </c>
      <c r="F23" s="45">
        <f>'283333 ED AN'!F15</f>
        <v>247519.15999999997</v>
      </c>
      <c r="G23" s="72"/>
      <c r="H23" s="72"/>
      <c r="I23" s="72"/>
      <c r="J23" s="44"/>
      <c r="K23" s="44"/>
    </row>
    <row r="24" spans="1:11">
      <c r="A24" s="67">
        <v>201110</v>
      </c>
      <c r="B24" s="71">
        <v>43404</v>
      </c>
      <c r="C24" s="45"/>
      <c r="D24" s="45"/>
      <c r="E24" s="45">
        <f>'283382 ED AN'!F16</f>
        <v>-6536708.1500000004</v>
      </c>
      <c r="F24" s="45">
        <f>'283333 ED AN'!F16</f>
        <v>248091.74999999997</v>
      </c>
      <c r="G24" s="72"/>
      <c r="H24" s="72"/>
      <c r="I24" s="72"/>
      <c r="J24" s="44"/>
      <c r="K24" s="44"/>
    </row>
    <row r="25" spans="1:11">
      <c r="A25" s="67">
        <v>201111</v>
      </c>
      <c r="B25" s="71">
        <v>43434</v>
      </c>
      <c r="C25" s="45"/>
      <c r="D25" s="45"/>
      <c r="E25" s="45">
        <f>'283382 ED AN'!F17</f>
        <v>-6521236.6500000004</v>
      </c>
      <c r="F25" s="45">
        <f>'283333 ED AN'!F17</f>
        <v>248664.33999999997</v>
      </c>
      <c r="G25"/>
      <c r="I25" s="72"/>
    </row>
    <row r="26" spans="1:11">
      <c r="A26" s="67"/>
      <c r="B26" s="73" t="s">
        <v>98</v>
      </c>
      <c r="C26" s="70">
        <f>SUM(C14:C25)</f>
        <v>0</v>
      </c>
      <c r="D26" s="70">
        <f>SUM(D14:D25)</f>
        <v>0</v>
      </c>
      <c r="E26" s="70">
        <f>SUM(E14:E25)</f>
        <v>-81413604.180000007</v>
      </c>
      <c r="F26" s="70">
        <f>SUM(F14:F25)</f>
        <v>3030405.2949999999</v>
      </c>
      <c r="G26"/>
    </row>
    <row r="27" spans="1:11">
      <c r="A27" s="67"/>
      <c r="B27" s="74" t="s">
        <v>100</v>
      </c>
      <c r="C27" s="23">
        <f>C26/12</f>
        <v>0</v>
      </c>
      <c r="D27" s="23">
        <f>D26/12</f>
        <v>0</v>
      </c>
      <c r="E27" s="23">
        <f>E26/12</f>
        <v>-6784467.0150000006</v>
      </c>
      <c r="F27" s="23">
        <f>F26/12</f>
        <v>252533.77458333332</v>
      </c>
      <c r="G27"/>
    </row>
    <row r="28" spans="1:11">
      <c r="A28" s="67"/>
      <c r="C28" s="169" t="s">
        <v>246</v>
      </c>
      <c r="D28" s="169" t="s">
        <v>228</v>
      </c>
      <c r="E28" s="169" t="s">
        <v>41</v>
      </c>
      <c r="F28" s="169" t="s">
        <v>229</v>
      </c>
    </row>
    <row r="29" spans="1:11">
      <c r="A29" s="67"/>
    </row>
    <row r="30" spans="1:11">
      <c r="B30" s="75"/>
    </row>
    <row r="33" spans="2:5" ht="14.4">
      <c r="B33"/>
      <c r="C33"/>
      <c r="D33"/>
      <c r="E33" s="76"/>
    </row>
    <row r="34" spans="2:5" ht="14.4">
      <c r="B34"/>
      <c r="C34"/>
      <c r="D34"/>
      <c r="E34" s="76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6640625" defaultRowHeight="13.2"/>
  <cols>
    <col min="1" max="1" width="27" style="56" customWidth="1"/>
    <col min="2" max="2" width="17.88671875" style="56" customWidth="1"/>
    <col min="3" max="3" width="3.109375" style="56" customWidth="1"/>
    <col min="4" max="4" width="16.5546875" style="56" customWidth="1"/>
    <col min="5" max="5" width="24.33203125" style="56" bestFit="1" customWidth="1"/>
    <col min="6" max="6" width="24.109375" style="56" bestFit="1" customWidth="1"/>
    <col min="7" max="7" width="14.554687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7">
      <c r="A1" s="198" t="str">
        <f>AvgCalc!E1</f>
        <v>AVISTA UTILITIES</v>
      </c>
      <c r="B1" s="199"/>
      <c r="C1" s="199"/>
      <c r="D1" s="199"/>
      <c r="E1" s="199"/>
      <c r="F1" s="60"/>
      <c r="G1" s="60"/>
    </row>
    <row r="2" spans="1:7">
      <c r="A2" s="198" t="s">
        <v>90</v>
      </c>
      <c r="B2" s="199"/>
      <c r="C2" s="199"/>
      <c r="D2" s="199"/>
      <c r="E2" s="199"/>
      <c r="F2" s="60"/>
      <c r="G2" s="60"/>
    </row>
    <row r="3" spans="1:7">
      <c r="A3" s="200" t="str">
        <f>'SYS-Dec18'!D3</f>
        <v>Average - Twelve Months Ended December 31, 2018</v>
      </c>
      <c r="B3" s="200"/>
      <c r="C3" s="200"/>
      <c r="D3" s="200"/>
      <c r="E3" s="200"/>
      <c r="F3" s="60"/>
      <c r="G3" s="60"/>
    </row>
    <row r="4" spans="1:7">
      <c r="A4" s="61"/>
      <c r="B4" s="62"/>
      <c r="C4" s="62"/>
      <c r="D4" s="61"/>
      <c r="E4" s="61"/>
    </row>
    <row r="5" spans="1:7" s="64" customFormat="1">
      <c r="B5" s="29" t="s">
        <v>83</v>
      </c>
      <c r="C5" s="29"/>
      <c r="D5" s="64" t="s">
        <v>101</v>
      </c>
      <c r="E5" s="77" t="s">
        <v>172</v>
      </c>
      <c r="F5" s="77" t="s">
        <v>172</v>
      </c>
      <c r="G5"/>
    </row>
    <row r="6" spans="1:7" s="64" customFormat="1">
      <c r="B6" s="29" t="s">
        <v>94</v>
      </c>
      <c r="C6" s="29"/>
      <c r="D6" s="29"/>
      <c r="E6" s="78"/>
      <c r="F6" s="78"/>
      <c r="G6"/>
    </row>
    <row r="7" spans="1:7" s="64" customFormat="1">
      <c r="A7" s="29"/>
      <c r="B7" s="65">
        <v>283200</v>
      </c>
      <c r="C7" s="66"/>
      <c r="D7" s="65">
        <v>283850</v>
      </c>
      <c r="E7" s="129">
        <v>283750</v>
      </c>
      <c r="F7" s="129">
        <v>282919</v>
      </c>
      <c r="G7"/>
    </row>
    <row r="8" spans="1:7" s="64" customFormat="1">
      <c r="A8" s="29"/>
      <c r="B8" s="66" t="s">
        <v>174</v>
      </c>
      <c r="C8" s="66"/>
      <c r="D8" s="66" t="s">
        <v>173</v>
      </c>
      <c r="E8" s="79" t="s">
        <v>173</v>
      </c>
      <c r="F8" s="79" t="s">
        <v>173</v>
      </c>
      <c r="G8"/>
    </row>
    <row r="9" spans="1:7">
      <c r="A9" s="68">
        <f>'CDA DFIT'!B10</f>
        <v>43100</v>
      </c>
      <c r="B9" s="50">
        <f>'283200 ED AN'!E6</f>
        <v>24149.360000000001</v>
      </c>
      <c r="C9" s="50"/>
      <c r="D9" s="127">
        <f>'283850 CD AA'!F6</f>
        <v>-3584391.18</v>
      </c>
      <c r="E9" s="127">
        <f>'283750 CD AA'!H6</f>
        <v>-143718</v>
      </c>
      <c r="F9" s="127">
        <f>'282919 CD AA'!F6</f>
        <v>0</v>
      </c>
      <c r="G9"/>
    </row>
    <row r="10" spans="1:7">
      <c r="A10" s="68">
        <f>'CDA DFIT'!B11</f>
        <v>43465</v>
      </c>
      <c r="B10" s="50">
        <f>'283200 ED AN'!E18</f>
        <v>64503.580000000016</v>
      </c>
      <c r="C10" s="127"/>
      <c r="D10" s="127">
        <f>'283850 CD AA'!F18</f>
        <v>-1886752.4600000004</v>
      </c>
      <c r="E10" s="127">
        <f>'283750 CD AA'!H18</f>
        <v>-266005.70999999996</v>
      </c>
      <c r="F10" s="127">
        <f>'282919 CD AA'!F18</f>
        <v>-1063746</v>
      </c>
      <c r="G10"/>
    </row>
    <row r="11" spans="1:7">
      <c r="A11" s="68" t="s">
        <v>98</v>
      </c>
      <c r="B11" s="128">
        <f>B9+B10</f>
        <v>88652.940000000017</v>
      </c>
      <c r="C11" s="128"/>
      <c r="D11" s="128">
        <f>D9+D10</f>
        <v>-5471143.6400000006</v>
      </c>
      <c r="E11" s="128">
        <f>E9+E10</f>
        <v>-409723.70999999996</v>
      </c>
      <c r="F11" s="128">
        <f>F9+F10</f>
        <v>-1063746</v>
      </c>
      <c r="G11"/>
    </row>
    <row r="12" spans="1:7">
      <c r="A12" s="68"/>
      <c r="B12" s="50"/>
      <c r="C12" s="50"/>
      <c r="D12" s="50"/>
      <c r="E12" s="50"/>
      <c r="F12" s="50"/>
      <c r="G12"/>
    </row>
    <row r="13" spans="1:7">
      <c r="A13" s="68" t="s">
        <v>99</v>
      </c>
      <c r="B13" s="50">
        <f>B11/2</f>
        <v>44326.470000000008</v>
      </c>
      <c r="C13" s="50"/>
      <c r="D13" s="50">
        <f>D11/2</f>
        <v>-2735571.8200000003</v>
      </c>
      <c r="E13" s="50">
        <f>E11/2</f>
        <v>-204861.85499999998</v>
      </c>
      <c r="F13" s="50">
        <f>F11/2</f>
        <v>-531873</v>
      </c>
      <c r="G13"/>
    </row>
    <row r="14" spans="1:7">
      <c r="A14" s="124">
        <f>'CDA DFIT'!B15</f>
        <v>43131</v>
      </c>
      <c r="B14" s="50">
        <f>'283200 ED AN'!E7</f>
        <v>18657.45</v>
      </c>
      <c r="C14" s="127"/>
      <c r="D14" s="127">
        <f>'283850 CD AA'!F7</f>
        <v>-2125449.83</v>
      </c>
      <c r="E14" s="127">
        <f>'283750 CD AA'!H7</f>
        <v>-241986.8</v>
      </c>
      <c r="F14" s="127">
        <f>'282919 CD AA'!F7</f>
        <v>0</v>
      </c>
      <c r="G14"/>
    </row>
    <row r="15" spans="1:7">
      <c r="A15" s="124">
        <f>'CDA DFIT'!B16</f>
        <v>43159</v>
      </c>
      <c r="B15" s="50">
        <f>'283200 ED AN'!E8</f>
        <v>22825.279999999999</v>
      </c>
      <c r="C15" s="127"/>
      <c r="D15" s="127">
        <f>'283850 CD AA'!F8</f>
        <v>-2100264.9500000002</v>
      </c>
      <c r="E15" s="127">
        <f>'283750 CD AA'!H8</f>
        <v>-241986.8</v>
      </c>
      <c r="F15" s="127">
        <f>'282919 CD AA'!F8</f>
        <v>0</v>
      </c>
      <c r="G15"/>
    </row>
    <row r="16" spans="1:7">
      <c r="A16" s="124">
        <f>'CDA DFIT'!B17</f>
        <v>43190</v>
      </c>
      <c r="B16" s="50">
        <f>'283200 ED AN'!E9</f>
        <v>26993.11</v>
      </c>
      <c r="C16" s="127"/>
      <c r="D16" s="127">
        <f>'283850 CD AA'!F9</f>
        <v>-2075080.0700000003</v>
      </c>
      <c r="E16" s="127">
        <f>'283750 CD AA'!H9</f>
        <v>-241986.8</v>
      </c>
      <c r="F16" s="127">
        <f>'282919 CD AA'!F9</f>
        <v>0</v>
      </c>
      <c r="G16"/>
    </row>
    <row r="17" spans="1:11">
      <c r="A17" s="124">
        <f>'CDA DFIT'!B18</f>
        <v>43220</v>
      </c>
      <c r="B17" s="50">
        <f>'283200 ED AN'!E10</f>
        <v>31160.940000000002</v>
      </c>
      <c r="C17" s="127"/>
      <c r="D17" s="127">
        <f>'283850 CD AA'!F10</f>
        <v>-2049965.4700000002</v>
      </c>
      <c r="E17" s="127">
        <f>'283750 CD AA'!H10</f>
        <v>-241986.8</v>
      </c>
      <c r="F17" s="127">
        <f>'282919 CD AA'!F10</f>
        <v>0</v>
      </c>
      <c r="G17"/>
      <c r="H17" s="44"/>
      <c r="I17" s="44"/>
    </row>
    <row r="18" spans="1:11">
      <c r="A18" s="124">
        <f>'CDA DFIT'!B19</f>
        <v>43251</v>
      </c>
      <c r="B18" s="50">
        <f>'283200 ED AN'!E11</f>
        <v>35328.770000000004</v>
      </c>
      <c r="C18" s="127"/>
      <c r="D18" s="127">
        <f>'283850 CD AA'!F11</f>
        <v>-2024888.5400000003</v>
      </c>
      <c r="E18" s="127">
        <f>'283750 CD AA'!H11</f>
        <v>-241986.8</v>
      </c>
      <c r="F18" s="127">
        <f>'282919 CD AA'!F11</f>
        <v>0</v>
      </c>
      <c r="G18"/>
      <c r="I18" s="72"/>
    </row>
    <row r="19" spans="1:11">
      <c r="A19" s="124">
        <f>'CDA DFIT'!B20</f>
        <v>43281</v>
      </c>
      <c r="B19" s="50">
        <f>'283200 ED AN'!E12</f>
        <v>39496.600000000006</v>
      </c>
      <c r="C19" s="127"/>
      <c r="D19" s="127">
        <f>'283850 CD AA'!F12</f>
        <v>-2000674.7100000002</v>
      </c>
      <c r="E19" s="127">
        <f>'283750 CD AA'!H12</f>
        <v>-241986.8</v>
      </c>
      <c r="F19" s="127">
        <f>'282919 CD AA'!F12</f>
        <v>0</v>
      </c>
      <c r="G19" s="72"/>
      <c r="H19" s="72"/>
      <c r="I19" s="72"/>
      <c r="J19" s="44"/>
      <c r="K19" s="44"/>
    </row>
    <row r="20" spans="1:11">
      <c r="A20" s="124">
        <f>'CDA DFIT'!B21</f>
        <v>43312</v>
      </c>
      <c r="B20" s="50">
        <f>'283200 ED AN'!E13</f>
        <v>43664.430000000008</v>
      </c>
      <c r="C20" s="127"/>
      <c r="D20" s="127">
        <f>'283850 CD AA'!F13</f>
        <v>-1978617.4000000001</v>
      </c>
      <c r="E20" s="127">
        <f>'283750 CD AA'!H13</f>
        <v>-241986.8</v>
      </c>
      <c r="F20" s="127">
        <f>'282919 CD AA'!F13</f>
        <v>0</v>
      </c>
      <c r="G20" s="72"/>
      <c r="H20" s="72"/>
      <c r="I20" s="72"/>
      <c r="J20" s="44"/>
      <c r="K20" s="44"/>
    </row>
    <row r="21" spans="1:11">
      <c r="A21" s="124">
        <f>'CDA DFIT'!B22</f>
        <v>43343</v>
      </c>
      <c r="B21" s="50">
        <f>'283200 ED AN'!E14</f>
        <v>47832.260000000009</v>
      </c>
      <c r="C21" s="127"/>
      <c r="D21" s="127">
        <f>'283850 CD AA'!F14</f>
        <v>-1958122.3800000001</v>
      </c>
      <c r="E21" s="127">
        <f>'283750 CD AA'!H14</f>
        <v>-241986.8</v>
      </c>
      <c r="F21" s="127">
        <f>'282919 CD AA'!F14</f>
        <v>0</v>
      </c>
      <c r="G21" s="72"/>
      <c r="H21" s="72"/>
      <c r="I21" s="72"/>
      <c r="J21" s="44"/>
      <c r="K21" s="44"/>
    </row>
    <row r="22" spans="1:11">
      <c r="A22" s="124">
        <f>'CDA DFIT'!B23</f>
        <v>43373</v>
      </c>
      <c r="B22" s="50">
        <f>'283200 ED AN'!E15</f>
        <v>52000.090000000011</v>
      </c>
      <c r="C22" s="127"/>
      <c r="D22" s="127">
        <f>'283850 CD AA'!F15</f>
        <v>-1939449.4100000001</v>
      </c>
      <c r="E22" s="127">
        <f>'283750 CD AA'!H15</f>
        <v>-241986.8</v>
      </c>
      <c r="F22" s="127">
        <f>'282919 CD AA'!F15</f>
        <v>0</v>
      </c>
      <c r="G22" s="72"/>
      <c r="H22" s="72"/>
      <c r="I22" s="72"/>
      <c r="J22" s="44"/>
      <c r="K22" s="44"/>
    </row>
    <row r="23" spans="1:11">
      <c r="A23" s="124">
        <f>'CDA DFIT'!B24</f>
        <v>43404</v>
      </c>
      <c r="B23" s="50">
        <f>'283200 ED AN'!E16</f>
        <v>56167.920000000013</v>
      </c>
      <c r="C23" s="127"/>
      <c r="D23" s="127">
        <f>'283850 CD AA'!F16</f>
        <v>-1921883.7600000002</v>
      </c>
      <c r="E23" s="127">
        <f>'283750 CD AA'!H16</f>
        <v>-241986.8</v>
      </c>
      <c r="F23" s="127">
        <f>'282919 CD AA'!F16</f>
        <v>0</v>
      </c>
      <c r="G23" s="72"/>
      <c r="H23" s="72"/>
      <c r="I23" s="72"/>
      <c r="J23" s="44"/>
      <c r="K23" s="44"/>
    </row>
    <row r="24" spans="1:11">
      <c r="A24" s="124">
        <f>'CDA DFIT'!B25</f>
        <v>43434</v>
      </c>
      <c r="B24" s="50">
        <f>'283200 ED AN'!E17</f>
        <v>60335.750000000015</v>
      </c>
      <c r="C24" s="127"/>
      <c r="D24" s="127">
        <f>'283850 CD AA'!F17</f>
        <v>-1904318.1100000003</v>
      </c>
      <c r="E24" s="127">
        <f>'283750 CD AA'!H17</f>
        <v>-241986.8</v>
      </c>
      <c r="F24" s="127">
        <f>'282919 CD AA'!F17</f>
        <v>0</v>
      </c>
      <c r="G24"/>
      <c r="I24" s="72"/>
    </row>
    <row r="25" spans="1:11">
      <c r="A25" s="73" t="s">
        <v>98</v>
      </c>
      <c r="B25" s="70">
        <f>SUM(B13:B24)</f>
        <v>478789.07000000007</v>
      </c>
      <c r="C25" s="70"/>
      <c r="D25" s="70">
        <f>SUM(D13:D24)</f>
        <v>-24814286.450000003</v>
      </c>
      <c r="E25" s="70">
        <f>SUM(E13:E24)</f>
        <v>-2866716.6549999993</v>
      </c>
      <c r="F25" s="70">
        <f>SUM(F13:F24)</f>
        <v>-531873</v>
      </c>
      <c r="G25"/>
    </row>
    <row r="26" spans="1:11">
      <c r="A26" s="74" t="s">
        <v>100</v>
      </c>
      <c r="B26" s="23">
        <f>B25/12</f>
        <v>39899.089166666672</v>
      </c>
      <c r="C26" s="23"/>
      <c r="D26" s="23">
        <f>D25/12</f>
        <v>-2067857.2041666668</v>
      </c>
      <c r="E26" s="23">
        <f>E25/12</f>
        <v>-238893.05458333329</v>
      </c>
      <c r="F26" s="23">
        <f>F25/12</f>
        <v>-44322.75</v>
      </c>
      <c r="G26"/>
    </row>
    <row r="27" spans="1:11">
      <c r="B27" s="169" t="s">
        <v>230</v>
      </c>
      <c r="C27" s="169"/>
      <c r="D27" s="169" t="s">
        <v>232</v>
      </c>
      <c r="E27" s="169" t="s">
        <v>231</v>
      </c>
      <c r="F27" s="169" t="s">
        <v>121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5546875" style="1" bestFit="1" customWidth="1"/>
    <col min="4" max="4" width="16.5546875" style="1" customWidth="1"/>
    <col min="5" max="5" width="14.5546875" style="1" customWidth="1"/>
    <col min="6" max="6" width="16.5546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283324</v>
      </c>
      <c r="B3" s="84" t="s">
        <v>166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52.8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191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-0.02</v>
      </c>
      <c r="C6" s="126">
        <v>0</v>
      </c>
      <c r="D6" s="131">
        <f>SUM(B6:C6)</f>
        <v>-0.02</v>
      </c>
      <c r="E6" s="98">
        <f>-D6</f>
        <v>0.02</v>
      </c>
      <c r="F6" s="97">
        <f>SUM(D6:E6)</f>
        <v>0</v>
      </c>
    </row>
    <row r="7" spans="1:8">
      <c r="A7" s="95">
        <f>'283200 ED AN'!A7</f>
        <v>201801</v>
      </c>
      <c r="B7" s="98">
        <f>D6</f>
        <v>-0.02</v>
      </c>
      <c r="C7" s="98">
        <v>0.02</v>
      </c>
      <c r="D7" s="131">
        <f t="shared" ref="D7:D18" si="0">SUM(B7:C7)</f>
        <v>0</v>
      </c>
      <c r="E7" s="98">
        <f>-D7</f>
        <v>0</v>
      </c>
      <c r="F7" s="97">
        <f t="shared" ref="F7:F18" si="1">SUM(D7:E7)</f>
        <v>0</v>
      </c>
      <c r="H7" s="99">
        <v>-3406666.72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98">
        <f t="shared" ref="E8:E18" si="3">-D8</f>
        <v>0</v>
      </c>
      <c r="F8" s="97">
        <f t="shared" si="1"/>
        <v>0</v>
      </c>
      <c r="H8" s="99">
        <v>-3400833.39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98">
        <f t="shared" si="3"/>
        <v>0</v>
      </c>
      <c r="F9" s="97">
        <f t="shared" si="1"/>
        <v>0</v>
      </c>
      <c r="H9" s="99">
        <v>-3395000.06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98">
        <f t="shared" si="3"/>
        <v>0</v>
      </c>
      <c r="F10" s="97">
        <f t="shared" si="1"/>
        <v>0</v>
      </c>
      <c r="H10" s="99">
        <v>-3389166.73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98">
        <f t="shared" si="3"/>
        <v>0</v>
      </c>
      <c r="F11" s="97">
        <f t="shared" si="1"/>
        <v>0</v>
      </c>
      <c r="H11" s="99">
        <v>-3383333.4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98">
        <f t="shared" si="3"/>
        <v>0</v>
      </c>
      <c r="F12" s="97">
        <f t="shared" si="1"/>
        <v>0</v>
      </c>
      <c r="H12" s="99">
        <v>-3377500.07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98">
        <f t="shared" si="3"/>
        <v>0</v>
      </c>
      <c r="F13" s="97">
        <f t="shared" si="1"/>
        <v>0</v>
      </c>
      <c r="H13" s="99">
        <v>-3371666.74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98">
        <f t="shared" si="3"/>
        <v>0</v>
      </c>
      <c r="F14" s="97">
        <f t="shared" si="1"/>
        <v>0</v>
      </c>
      <c r="H14" s="99">
        <v>-3365833.41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98">
        <f t="shared" si="3"/>
        <v>0</v>
      </c>
      <c r="F15" s="97">
        <f t="shared" si="1"/>
        <v>0</v>
      </c>
      <c r="H15" s="99">
        <v>-3360000.08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98">
        <f t="shared" si="3"/>
        <v>0</v>
      </c>
      <c r="F16" s="97">
        <f t="shared" si="1"/>
        <v>0</v>
      </c>
      <c r="H16" s="99">
        <v>-3354166.75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98">
        <f t="shared" si="3"/>
        <v>0</v>
      </c>
      <c r="F17" s="97">
        <f t="shared" si="1"/>
        <v>0</v>
      </c>
      <c r="H17" s="99">
        <v>-3348333.42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98">
        <f t="shared" si="3"/>
        <v>0</v>
      </c>
      <c r="F18" s="97">
        <f t="shared" si="1"/>
        <v>0</v>
      </c>
      <c r="H18" s="99">
        <v>-3342500.09</v>
      </c>
    </row>
    <row r="19" spans="1:8">
      <c r="A19" s="100"/>
      <c r="B19" s="101"/>
      <c r="C19" s="102">
        <f>SUM(C7:C18)</f>
        <v>0.02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224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4.6640625" style="1" bestFit="1" customWidth="1"/>
    <col min="4" max="4" width="14.6640625" style="1" customWidth="1"/>
    <col min="5" max="5" width="14.5546875" style="1" customWidth="1"/>
    <col min="6" max="6" width="14.88671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283325</v>
      </c>
      <c r="B3" s="84" t="s">
        <v>167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223</v>
      </c>
      <c r="D5" s="92" t="s">
        <v>185</v>
      </c>
      <c r="E5" s="92" t="s">
        <v>171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0</v>
      </c>
      <c r="C6" s="126">
        <v>0</v>
      </c>
      <c r="D6" s="131">
        <f>SUM(B6:C6)</f>
        <v>0</v>
      </c>
      <c r="E6" s="126">
        <v>0</v>
      </c>
      <c r="F6" s="97">
        <f>SUM(D6:E6)</f>
        <v>0</v>
      </c>
    </row>
    <row r="7" spans="1:8">
      <c r="A7" s="95">
        <f>'283200 ED AN'!A7</f>
        <v>201801</v>
      </c>
      <c r="B7" s="98">
        <f>D6</f>
        <v>0</v>
      </c>
      <c r="C7" s="98">
        <v>0</v>
      </c>
      <c r="D7" s="131">
        <f t="shared" ref="D7:D18" si="0">SUM(B7:C7)</f>
        <v>0</v>
      </c>
      <c r="E7" s="126">
        <v>0</v>
      </c>
      <c r="F7" s="97">
        <f t="shared" ref="F7:F18" si="1">SUM(D7:E7)</f>
        <v>0</v>
      </c>
      <c r="H7" s="99">
        <v>-700000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126">
        <v>0</v>
      </c>
      <c r="F8" s="97">
        <f t="shared" si="1"/>
        <v>0</v>
      </c>
      <c r="H8" s="99">
        <v>-700000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126">
        <v>0</v>
      </c>
      <c r="F9" s="97">
        <f t="shared" si="1"/>
        <v>0</v>
      </c>
      <c r="H9" s="99">
        <v>-700000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126">
        <v>0</v>
      </c>
      <c r="F10" s="97">
        <f t="shared" si="1"/>
        <v>0</v>
      </c>
      <c r="H10" s="99">
        <v>-700000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126">
        <v>0</v>
      </c>
      <c r="F11" s="97">
        <f t="shared" si="1"/>
        <v>0</v>
      </c>
      <c r="H11" s="99">
        <v>-700000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126">
        <v>0</v>
      </c>
      <c r="F12" s="97">
        <f t="shared" si="1"/>
        <v>0</v>
      </c>
      <c r="H12" s="99">
        <v>-700000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126">
        <v>0</v>
      </c>
      <c r="F13" s="97">
        <f t="shared" si="1"/>
        <v>0</v>
      </c>
      <c r="H13" s="99">
        <v>-700000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126">
        <v>0</v>
      </c>
      <c r="F14" s="97">
        <f t="shared" si="1"/>
        <v>0</v>
      </c>
      <c r="H14" s="99">
        <v>-700000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126">
        <v>0</v>
      </c>
      <c r="F15" s="97">
        <f t="shared" si="1"/>
        <v>0</v>
      </c>
      <c r="H15" s="99">
        <v>-700000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126">
        <v>0</v>
      </c>
      <c r="F16" s="97">
        <f t="shared" si="1"/>
        <v>0</v>
      </c>
      <c r="H16" s="99">
        <v>-700000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126">
        <v>0</v>
      </c>
      <c r="F17" s="97">
        <f t="shared" si="1"/>
        <v>0</v>
      </c>
      <c r="H17" s="99">
        <v>-700000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126">
        <v>0</v>
      </c>
      <c r="F18" s="97">
        <f t="shared" si="1"/>
        <v>0</v>
      </c>
      <c r="H18" s="99">
        <v>-700000</v>
      </c>
    </row>
    <row r="19" spans="1:8">
      <c r="A19" s="100"/>
      <c r="B19" s="101"/>
      <c r="C19" s="102">
        <f>SUM(C7:C18)</f>
        <v>0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222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2" bestFit="1" customWidth="1"/>
    <col min="10" max="10" width="12.6640625" style="132" bestFit="1" customWidth="1"/>
    <col min="11" max="11" width="14" style="1" customWidth="1"/>
    <col min="12" max="16384" width="9.109375" style="1"/>
  </cols>
  <sheetData>
    <row r="2" spans="1:12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2" ht="29.25" customHeight="1">
      <c r="A3" s="83">
        <v>283382</v>
      </c>
      <c r="B3" s="84" t="s">
        <v>168</v>
      </c>
      <c r="C3" s="85"/>
      <c r="D3" s="85"/>
      <c r="E3" s="85"/>
      <c r="F3" s="86"/>
    </row>
    <row r="4" spans="1:12">
      <c r="A4" s="87"/>
      <c r="B4" s="88" t="s">
        <v>104</v>
      </c>
      <c r="C4" s="88" t="s">
        <v>105</v>
      </c>
      <c r="D4" s="88"/>
      <c r="E4" s="89"/>
      <c r="F4" s="90"/>
      <c r="I4" s="158" t="s">
        <v>243</v>
      </c>
    </row>
    <row r="5" spans="1:12" ht="39.6">
      <c r="A5" s="91" t="s">
        <v>106</v>
      </c>
      <c r="B5" s="92" t="s">
        <v>107</v>
      </c>
      <c r="C5" s="92" t="s">
        <v>223</v>
      </c>
      <c r="D5" s="92" t="s">
        <v>183</v>
      </c>
      <c r="E5" s="92" t="s">
        <v>171</v>
      </c>
      <c r="F5" s="93" t="s">
        <v>110</v>
      </c>
      <c r="G5" s="94" t="s">
        <v>195</v>
      </c>
      <c r="H5" s="94" t="s">
        <v>111</v>
      </c>
      <c r="I5" s="132" t="s">
        <v>193</v>
      </c>
      <c r="J5" s="132" t="s">
        <v>194</v>
      </c>
    </row>
    <row r="6" spans="1:12">
      <c r="A6" s="95">
        <f>'283200 ED AN'!A6</f>
        <v>201712</v>
      </c>
      <c r="B6" s="130"/>
      <c r="C6" s="98"/>
      <c r="D6" s="98">
        <v>-11152371.91</v>
      </c>
      <c r="E6" s="104">
        <v>0</v>
      </c>
      <c r="F6" s="97">
        <f>SUM(D6:E6)</f>
        <v>-11152371.91</v>
      </c>
      <c r="G6" s="133">
        <f>I6*-0.35</f>
        <v>-11152371.9125</v>
      </c>
      <c r="I6" s="132">
        <v>31863919.75</v>
      </c>
      <c r="J6" s="132">
        <v>-73673.8</v>
      </c>
      <c r="L6" s="189"/>
    </row>
    <row r="7" spans="1:12">
      <c r="A7" s="95">
        <f>'283200 ED AN'!A7</f>
        <v>201801</v>
      </c>
      <c r="B7" s="98">
        <f>D6</f>
        <v>-11152371.91</v>
      </c>
      <c r="C7" s="98">
        <v>4476420.26</v>
      </c>
      <c r="D7" s="98">
        <f>SUM(B7:C7)</f>
        <v>-6675951.6500000004</v>
      </c>
      <c r="E7" s="104">
        <v>0</v>
      </c>
      <c r="F7" s="97">
        <f t="shared" ref="F7:F18" si="0">SUM(D7:E7)</f>
        <v>-6675951.6500000004</v>
      </c>
      <c r="G7" s="133">
        <f t="shared" ref="G7:G8" si="1">I7*-0.35</f>
        <v>-11126586.0825</v>
      </c>
      <c r="H7" s="99">
        <v>-14201390.4</v>
      </c>
      <c r="I7" s="132">
        <f>I6+J7</f>
        <v>31790245.949999999</v>
      </c>
      <c r="J7" s="132">
        <v>-73673.8</v>
      </c>
      <c r="L7" s="189"/>
    </row>
    <row r="8" spans="1:12">
      <c r="A8" s="95">
        <f>'283200 ED AN'!A8</f>
        <v>201802</v>
      </c>
      <c r="B8" s="98">
        <f t="shared" ref="B8:B18" si="2">D7</f>
        <v>-6675951.6500000004</v>
      </c>
      <c r="C8" s="98">
        <v>15471.5</v>
      </c>
      <c r="D8" s="98">
        <f t="shared" ref="D8:D18" si="3">SUM(B8:C8)</f>
        <v>-6660480.1500000004</v>
      </c>
      <c r="E8" s="104">
        <v>0</v>
      </c>
      <c r="F8" s="97">
        <f t="shared" si="0"/>
        <v>-6660480.1500000004</v>
      </c>
      <c r="G8" s="133">
        <f t="shared" si="1"/>
        <v>-11100800.252499999</v>
      </c>
      <c r="H8" s="99">
        <v>-13987215.029999999</v>
      </c>
      <c r="I8" s="132">
        <f t="shared" ref="I8:I17" si="4">I7+J8</f>
        <v>31716572.149999999</v>
      </c>
      <c r="J8" s="132">
        <v>-73673.8</v>
      </c>
      <c r="L8" s="189"/>
    </row>
    <row r="9" spans="1:12">
      <c r="A9" s="95">
        <f>'283200 ED AN'!A9</f>
        <v>201803</v>
      </c>
      <c r="B9" s="98">
        <f t="shared" si="2"/>
        <v>-6660480.1500000004</v>
      </c>
      <c r="C9" s="98">
        <v>15471.5</v>
      </c>
      <c r="D9" s="98">
        <f t="shared" si="3"/>
        <v>-6645008.6500000004</v>
      </c>
      <c r="E9" s="104">
        <v>0</v>
      </c>
      <c r="F9" s="97">
        <f t="shared" si="0"/>
        <v>-6645008.6500000004</v>
      </c>
      <c r="G9" s="133">
        <f>I9*-0.21</f>
        <v>-6645008.6534999991</v>
      </c>
      <c r="H9" s="99">
        <v>-13960022.43</v>
      </c>
      <c r="I9" s="132">
        <f>I8+J9</f>
        <v>31642898.349999998</v>
      </c>
      <c r="J9" s="132">
        <v>-73673.8</v>
      </c>
      <c r="L9" s="189"/>
    </row>
    <row r="10" spans="1:12">
      <c r="A10" s="95">
        <f>'283200 ED AN'!A10</f>
        <v>201804</v>
      </c>
      <c r="B10" s="98">
        <f t="shared" si="2"/>
        <v>-6645008.6500000004</v>
      </c>
      <c r="C10" s="98">
        <v>15471.5</v>
      </c>
      <c r="D10" s="98">
        <f t="shared" si="3"/>
        <v>-6629537.1500000004</v>
      </c>
      <c r="E10" s="104">
        <v>0</v>
      </c>
      <c r="F10" s="97">
        <f t="shared" si="0"/>
        <v>-6629537.1500000004</v>
      </c>
      <c r="G10" s="133">
        <f>I10*-0.21</f>
        <v>-6629537.1554999994</v>
      </c>
      <c r="H10" s="99">
        <v>-13932829.83</v>
      </c>
      <c r="I10" s="132">
        <f t="shared" si="4"/>
        <v>31569224.549999997</v>
      </c>
      <c r="J10" s="132">
        <v>-73673.8</v>
      </c>
      <c r="L10" s="189"/>
    </row>
    <row r="11" spans="1:12">
      <c r="A11" s="95">
        <f>'283200 ED AN'!A11</f>
        <v>201805</v>
      </c>
      <c r="B11" s="98">
        <f t="shared" si="2"/>
        <v>-6629537.1500000004</v>
      </c>
      <c r="C11" s="98">
        <v>15471.5</v>
      </c>
      <c r="D11" s="98">
        <f t="shared" si="3"/>
        <v>-6614065.6500000004</v>
      </c>
      <c r="E11" s="104">
        <v>0</v>
      </c>
      <c r="F11" s="97">
        <f t="shared" si="0"/>
        <v>-6614065.6500000004</v>
      </c>
      <c r="G11" s="133">
        <f t="shared" ref="G11:G18" si="5">I11*-0.21</f>
        <v>-6614065.6574999988</v>
      </c>
      <c r="H11" s="99">
        <v>-13905637.23</v>
      </c>
      <c r="I11" s="132">
        <f t="shared" si="4"/>
        <v>31495550.749999996</v>
      </c>
      <c r="J11" s="132">
        <v>-73673.8</v>
      </c>
      <c r="L11" s="189"/>
    </row>
    <row r="12" spans="1:12">
      <c r="A12" s="95">
        <f>'283200 ED AN'!A12</f>
        <v>201806</v>
      </c>
      <c r="B12" s="98">
        <f t="shared" si="2"/>
        <v>-6614065.6500000004</v>
      </c>
      <c r="C12" s="98">
        <v>15471.5</v>
      </c>
      <c r="D12" s="98">
        <f t="shared" si="3"/>
        <v>-6598594.1500000004</v>
      </c>
      <c r="E12" s="104">
        <v>0</v>
      </c>
      <c r="F12" s="97">
        <f t="shared" si="0"/>
        <v>-6598594.1500000004</v>
      </c>
      <c r="G12" s="133">
        <f t="shared" si="5"/>
        <v>-6598594.1594999991</v>
      </c>
      <c r="H12" s="99">
        <v>-13878444.630000001</v>
      </c>
      <c r="I12" s="132">
        <f t="shared" si="4"/>
        <v>31421876.949999996</v>
      </c>
      <c r="J12" s="132">
        <v>-73673.8</v>
      </c>
      <c r="L12" s="189"/>
    </row>
    <row r="13" spans="1:12">
      <c r="A13" s="95">
        <f>'283200 ED AN'!A13</f>
        <v>201807</v>
      </c>
      <c r="B13" s="98">
        <f t="shared" si="2"/>
        <v>-6598594.1500000004</v>
      </c>
      <c r="C13" s="98">
        <v>15471.5</v>
      </c>
      <c r="D13" s="98">
        <f t="shared" si="3"/>
        <v>-6583122.6500000004</v>
      </c>
      <c r="E13" s="104">
        <v>0</v>
      </c>
      <c r="F13" s="97">
        <f t="shared" si="0"/>
        <v>-6583122.6500000004</v>
      </c>
      <c r="G13" s="133">
        <f t="shared" si="5"/>
        <v>-6583122.6614999985</v>
      </c>
      <c r="H13" s="99">
        <v>-13851252.029999999</v>
      </c>
      <c r="I13" s="132">
        <f t="shared" si="4"/>
        <v>31348203.149999995</v>
      </c>
      <c r="J13" s="132">
        <v>-73673.8</v>
      </c>
      <c r="L13" s="189"/>
    </row>
    <row r="14" spans="1:12">
      <c r="A14" s="95">
        <f>'283200 ED AN'!A14</f>
        <v>201808</v>
      </c>
      <c r="B14" s="98">
        <f t="shared" si="2"/>
        <v>-6583122.6500000004</v>
      </c>
      <c r="C14" s="98">
        <v>15471.5</v>
      </c>
      <c r="D14" s="98">
        <f t="shared" si="3"/>
        <v>-6567651.1500000004</v>
      </c>
      <c r="E14" s="104">
        <v>0</v>
      </c>
      <c r="F14" s="97">
        <f t="shared" si="0"/>
        <v>-6567651.1500000004</v>
      </c>
      <c r="G14" s="133">
        <f t="shared" si="5"/>
        <v>-6567651.1634999989</v>
      </c>
      <c r="H14" s="99">
        <v>-13824059.43</v>
      </c>
      <c r="I14" s="132">
        <f t="shared" si="4"/>
        <v>31274529.349999994</v>
      </c>
      <c r="J14" s="132">
        <v>-73673.8</v>
      </c>
      <c r="L14" s="189"/>
    </row>
    <row r="15" spans="1:12">
      <c r="A15" s="95">
        <f>'283200 ED AN'!A15</f>
        <v>201809</v>
      </c>
      <c r="B15" s="98">
        <f t="shared" si="2"/>
        <v>-6567651.1500000004</v>
      </c>
      <c r="C15" s="98">
        <v>15471.5</v>
      </c>
      <c r="D15" s="98">
        <f t="shared" si="3"/>
        <v>-6552179.6500000004</v>
      </c>
      <c r="E15" s="104">
        <v>0</v>
      </c>
      <c r="F15" s="97">
        <f t="shared" si="0"/>
        <v>-6552179.6500000004</v>
      </c>
      <c r="G15" s="133">
        <f t="shared" si="5"/>
        <v>-6552179.6654999983</v>
      </c>
      <c r="H15" s="99">
        <v>-13796866.83</v>
      </c>
      <c r="I15" s="132">
        <f t="shared" si="4"/>
        <v>31200855.549999993</v>
      </c>
      <c r="J15" s="132">
        <v>-73673.8</v>
      </c>
      <c r="L15" s="189"/>
    </row>
    <row r="16" spans="1:12">
      <c r="A16" s="95">
        <f>'283200 ED AN'!A16</f>
        <v>201810</v>
      </c>
      <c r="B16" s="98">
        <f t="shared" si="2"/>
        <v>-6552179.6500000004</v>
      </c>
      <c r="C16" s="98">
        <v>15471.5</v>
      </c>
      <c r="D16" s="98">
        <f t="shared" si="3"/>
        <v>-6536708.1500000004</v>
      </c>
      <c r="E16" s="104">
        <v>0</v>
      </c>
      <c r="F16" s="97">
        <f t="shared" si="0"/>
        <v>-6536708.1500000004</v>
      </c>
      <c r="G16" s="133">
        <f t="shared" si="5"/>
        <v>-6536708.1674999986</v>
      </c>
      <c r="H16" s="99">
        <v>-13769674.23</v>
      </c>
      <c r="I16" s="132">
        <f t="shared" si="4"/>
        <v>31127181.749999993</v>
      </c>
      <c r="J16" s="132">
        <v>-73673.8</v>
      </c>
      <c r="L16" s="189"/>
    </row>
    <row r="17" spans="1:12">
      <c r="A17" s="95">
        <f>'283200 ED AN'!A17</f>
        <v>201811</v>
      </c>
      <c r="B17" s="98">
        <f t="shared" si="2"/>
        <v>-6536708.1500000004</v>
      </c>
      <c r="C17" s="98">
        <v>15471.5</v>
      </c>
      <c r="D17" s="98">
        <f t="shared" si="3"/>
        <v>-6521236.6500000004</v>
      </c>
      <c r="E17" s="104">
        <v>0</v>
      </c>
      <c r="F17" s="97">
        <f t="shared" si="0"/>
        <v>-6521236.6500000004</v>
      </c>
      <c r="G17" s="133">
        <f t="shared" si="5"/>
        <v>-6521236.669499998</v>
      </c>
      <c r="H17" s="99">
        <v>-13742481.630000001</v>
      </c>
      <c r="I17" s="132">
        <f t="shared" si="4"/>
        <v>31053507.949999992</v>
      </c>
      <c r="J17" s="132">
        <v>-73673.8</v>
      </c>
      <c r="L17" s="189"/>
    </row>
    <row r="18" spans="1:12">
      <c r="A18" s="95">
        <f>'283200 ED AN'!A18</f>
        <v>201812</v>
      </c>
      <c r="B18" s="98">
        <f t="shared" si="2"/>
        <v>-6521236.6500000004</v>
      </c>
      <c r="C18" s="98">
        <v>15471.5</v>
      </c>
      <c r="D18" s="98">
        <f t="shared" si="3"/>
        <v>-6505765.1500000004</v>
      </c>
      <c r="E18" s="104">
        <v>0</v>
      </c>
      <c r="F18" s="97">
        <f t="shared" si="0"/>
        <v>-6505765.1500000004</v>
      </c>
      <c r="G18" s="133">
        <f t="shared" si="5"/>
        <v>-6505765.1714999983</v>
      </c>
      <c r="H18" s="99">
        <v>-13715289.029999999</v>
      </c>
      <c r="I18" s="132">
        <f>I17+J18</f>
        <v>30979834.149999991</v>
      </c>
      <c r="J18" s="132">
        <v>-73673.8</v>
      </c>
      <c r="L18" s="189"/>
    </row>
    <row r="19" spans="1:12">
      <c r="A19" s="100"/>
      <c r="B19" s="101"/>
      <c r="C19" s="102">
        <f>SUM(C7:C18)</f>
        <v>4646606.76</v>
      </c>
      <c r="D19" s="102"/>
      <c r="E19" s="102"/>
      <c r="F19" s="103"/>
    </row>
    <row r="21" spans="1:12">
      <c r="A21" s="105"/>
    </row>
    <row r="23" spans="1:12">
      <c r="A23" s="1" t="s">
        <v>248</v>
      </c>
    </row>
    <row r="24" spans="1:12">
      <c r="A24" s="89"/>
    </row>
    <row r="25" spans="1:12">
      <c r="A25" s="89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30"/>
  <sheetViews>
    <sheetView topLeftCell="A4" workbookViewId="0">
      <selection activeCell="I4" sqref="I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9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0" ht="29.25" customHeight="1">
      <c r="A3" s="83">
        <v>283333</v>
      </c>
      <c r="B3" s="84" t="s">
        <v>179</v>
      </c>
      <c r="C3" s="85"/>
      <c r="D3" s="85"/>
      <c r="E3" s="85"/>
      <c r="F3" s="86"/>
    </row>
    <row r="4" spans="1:10">
      <c r="A4" s="87"/>
      <c r="B4" s="88" t="s">
        <v>104</v>
      </c>
      <c r="C4" s="88" t="s">
        <v>105</v>
      </c>
      <c r="D4" s="88"/>
      <c r="E4" s="89"/>
      <c r="F4" s="90"/>
      <c r="I4" s="158" t="s">
        <v>225</v>
      </c>
      <c r="J4" s="132"/>
    </row>
    <row r="5" spans="1:10" ht="39.6">
      <c r="A5" s="91" t="s">
        <v>106</v>
      </c>
      <c r="B5" s="92" t="s">
        <v>107</v>
      </c>
      <c r="C5" s="92" t="s">
        <v>108</v>
      </c>
      <c r="D5" s="92" t="s">
        <v>184</v>
      </c>
      <c r="E5" s="92" t="s">
        <v>171</v>
      </c>
      <c r="F5" s="93" t="s">
        <v>196</v>
      </c>
      <c r="G5" s="94"/>
      <c r="H5" s="94"/>
      <c r="I5" s="132" t="s">
        <v>193</v>
      </c>
      <c r="J5" s="132" t="s">
        <v>194</v>
      </c>
    </row>
    <row r="6" spans="1:10">
      <c r="A6" s="95">
        <f>'283200 ED AN'!A6</f>
        <v>201712</v>
      </c>
      <c r="B6" s="130"/>
      <c r="C6" s="98"/>
      <c r="D6" s="131">
        <v>403943.08</v>
      </c>
      <c r="E6" s="98">
        <v>0</v>
      </c>
      <c r="F6" s="97">
        <f>SUM(D6:E6)</f>
        <v>403943.08</v>
      </c>
      <c r="G6" s="140"/>
      <c r="H6" s="140"/>
      <c r="I6" s="132">
        <v>1179262.8400000001</v>
      </c>
      <c r="J6" s="159"/>
    </row>
    <row r="7" spans="1:10">
      <c r="A7" s="95">
        <f>'283200 ED AN'!A7</f>
        <v>201801</v>
      </c>
      <c r="B7" s="98">
        <f>D6</f>
        <v>403943.08</v>
      </c>
      <c r="C7" s="98">
        <v>-161004.64000000001</v>
      </c>
      <c r="D7" s="131">
        <f t="shared" ref="D7:D18" si="0">SUM(B7:C7)</f>
        <v>242938.44</v>
      </c>
      <c r="E7" s="98">
        <v>0</v>
      </c>
      <c r="F7" s="97">
        <f t="shared" ref="F7:F17" si="1">SUM(D7:E7)</f>
        <v>242938.44</v>
      </c>
      <c r="G7" s="140"/>
      <c r="H7" s="140"/>
      <c r="I7" s="133">
        <f>I6+J7</f>
        <v>1176536.22</v>
      </c>
      <c r="J7" s="159">
        <v>-2726.62</v>
      </c>
    </row>
    <row r="8" spans="1:10">
      <c r="A8" s="95">
        <f>'283200 ED AN'!A8</f>
        <v>201802</v>
      </c>
      <c r="B8" s="98">
        <f t="shared" ref="B8:B18" si="2">D7</f>
        <v>242938.44</v>
      </c>
      <c r="C8" s="98">
        <v>572.59</v>
      </c>
      <c r="D8" s="131">
        <f t="shared" si="0"/>
        <v>243511.03</v>
      </c>
      <c r="E8" s="98">
        <v>0</v>
      </c>
      <c r="F8" s="97">
        <f t="shared" si="1"/>
        <v>243511.03</v>
      </c>
      <c r="G8" s="140"/>
      <c r="H8" s="140"/>
      <c r="I8" s="133">
        <f t="shared" ref="I8:I18" si="3">I7+J8</f>
        <v>1173809.5999999999</v>
      </c>
      <c r="J8" s="159">
        <v>-2726.62</v>
      </c>
    </row>
    <row r="9" spans="1:10">
      <c r="A9" s="95">
        <f>'283200 ED AN'!A9</f>
        <v>201803</v>
      </c>
      <c r="B9" s="98">
        <f t="shared" si="2"/>
        <v>243511.03</v>
      </c>
      <c r="C9" s="98">
        <v>572.59</v>
      </c>
      <c r="D9" s="131">
        <f t="shared" si="0"/>
        <v>244083.62</v>
      </c>
      <c r="E9" s="98">
        <v>0</v>
      </c>
      <c r="F9" s="97">
        <f t="shared" si="1"/>
        <v>244083.62</v>
      </c>
      <c r="G9" s="140"/>
      <c r="H9" s="140"/>
      <c r="I9" s="133">
        <f t="shared" si="3"/>
        <v>1171082.9799999997</v>
      </c>
      <c r="J9" s="159">
        <v>-2726.62</v>
      </c>
    </row>
    <row r="10" spans="1:10">
      <c r="A10" s="95">
        <f>'283200 ED AN'!A10</f>
        <v>201804</v>
      </c>
      <c r="B10" s="98">
        <f t="shared" si="2"/>
        <v>244083.62</v>
      </c>
      <c r="C10" s="98">
        <v>572.59</v>
      </c>
      <c r="D10" s="131">
        <f t="shared" si="0"/>
        <v>244656.21</v>
      </c>
      <c r="E10" s="98">
        <v>0</v>
      </c>
      <c r="F10" s="97">
        <f t="shared" si="1"/>
        <v>244656.21</v>
      </c>
      <c r="G10" s="140"/>
      <c r="H10" s="140"/>
      <c r="I10" s="133">
        <f t="shared" si="3"/>
        <v>1168356.3599999996</v>
      </c>
      <c r="J10" s="159">
        <v>-2726.62</v>
      </c>
    </row>
    <row r="11" spans="1:10">
      <c r="A11" s="95">
        <f>'283200 ED AN'!A11</f>
        <v>201805</v>
      </c>
      <c r="B11" s="98">
        <f t="shared" si="2"/>
        <v>244656.21</v>
      </c>
      <c r="C11" s="98">
        <v>572.59</v>
      </c>
      <c r="D11" s="131">
        <f t="shared" si="0"/>
        <v>245228.79999999999</v>
      </c>
      <c r="E11" s="98">
        <v>0</v>
      </c>
      <c r="F11" s="97">
        <f t="shared" si="1"/>
        <v>245228.79999999999</v>
      </c>
      <c r="G11" s="140"/>
      <c r="H11" s="140"/>
      <c r="I11" s="133">
        <f t="shared" si="3"/>
        <v>1165629.7399999995</v>
      </c>
      <c r="J11" s="159">
        <v>-2726.62</v>
      </c>
    </row>
    <row r="12" spans="1:10">
      <c r="A12" s="95">
        <f>'283200 ED AN'!A12</f>
        <v>201806</v>
      </c>
      <c r="B12" s="98">
        <f t="shared" si="2"/>
        <v>245228.79999999999</v>
      </c>
      <c r="C12" s="98">
        <v>572.59</v>
      </c>
      <c r="D12" s="131">
        <f t="shared" si="0"/>
        <v>245801.38999999998</v>
      </c>
      <c r="E12" s="98">
        <v>0</v>
      </c>
      <c r="F12" s="97">
        <f t="shared" si="1"/>
        <v>245801.38999999998</v>
      </c>
      <c r="G12" s="140"/>
      <c r="H12" s="140"/>
      <c r="I12" s="133">
        <f t="shared" si="3"/>
        <v>1162903.1199999994</v>
      </c>
      <c r="J12" s="159">
        <v>-2726.62</v>
      </c>
    </row>
    <row r="13" spans="1:10">
      <c r="A13" s="95">
        <f>'283200 ED AN'!A13</f>
        <v>201807</v>
      </c>
      <c r="B13" s="98">
        <f t="shared" si="2"/>
        <v>245801.38999999998</v>
      </c>
      <c r="C13" s="98">
        <v>572.59</v>
      </c>
      <c r="D13" s="131">
        <f t="shared" si="0"/>
        <v>246373.97999999998</v>
      </c>
      <c r="E13" s="98">
        <v>0</v>
      </c>
      <c r="F13" s="97">
        <f t="shared" si="1"/>
        <v>246373.97999999998</v>
      </c>
      <c r="G13" s="140"/>
      <c r="H13" s="140"/>
      <c r="I13" s="133">
        <f t="shared" si="3"/>
        <v>1160176.4999999993</v>
      </c>
      <c r="J13" s="159">
        <v>-2726.62</v>
      </c>
    </row>
    <row r="14" spans="1:10">
      <c r="A14" s="95">
        <f>'283200 ED AN'!A14</f>
        <v>201808</v>
      </c>
      <c r="B14" s="98">
        <f t="shared" si="2"/>
        <v>246373.97999999998</v>
      </c>
      <c r="C14" s="98">
        <v>572.59</v>
      </c>
      <c r="D14" s="131">
        <f t="shared" si="0"/>
        <v>246946.56999999998</v>
      </c>
      <c r="E14" s="98">
        <v>0</v>
      </c>
      <c r="F14" s="97">
        <f t="shared" si="1"/>
        <v>246946.56999999998</v>
      </c>
      <c r="G14" s="140"/>
      <c r="H14" s="140"/>
      <c r="I14" s="133">
        <f t="shared" si="3"/>
        <v>1157449.8799999992</v>
      </c>
      <c r="J14" s="159">
        <v>-2726.62</v>
      </c>
    </row>
    <row r="15" spans="1:10">
      <c r="A15" s="95">
        <f>'283200 ED AN'!A15</f>
        <v>201809</v>
      </c>
      <c r="B15" s="98">
        <f t="shared" si="2"/>
        <v>246946.56999999998</v>
      </c>
      <c r="C15" s="98">
        <v>572.59</v>
      </c>
      <c r="D15" s="131">
        <f t="shared" si="0"/>
        <v>247519.15999999997</v>
      </c>
      <c r="E15" s="98">
        <v>0</v>
      </c>
      <c r="F15" s="97">
        <f t="shared" si="1"/>
        <v>247519.15999999997</v>
      </c>
      <c r="G15" s="140"/>
      <c r="H15" s="140"/>
      <c r="I15" s="133">
        <f t="shared" si="3"/>
        <v>1154723.2599999991</v>
      </c>
      <c r="J15" s="159">
        <v>-2726.62</v>
      </c>
    </row>
    <row r="16" spans="1:10">
      <c r="A16" s="95">
        <f>'283200 ED AN'!A16</f>
        <v>201810</v>
      </c>
      <c r="B16" s="98">
        <f t="shared" si="2"/>
        <v>247519.15999999997</v>
      </c>
      <c r="C16" s="98">
        <v>572.59</v>
      </c>
      <c r="D16" s="131">
        <f t="shared" si="0"/>
        <v>248091.74999999997</v>
      </c>
      <c r="E16" s="98">
        <v>0</v>
      </c>
      <c r="F16" s="97">
        <f t="shared" si="1"/>
        <v>248091.74999999997</v>
      </c>
      <c r="G16" s="140"/>
      <c r="H16" s="140"/>
      <c r="I16" s="133">
        <f t="shared" si="3"/>
        <v>1151996.639999999</v>
      </c>
      <c r="J16" s="159">
        <v>-2726.62</v>
      </c>
    </row>
    <row r="17" spans="1:10">
      <c r="A17" s="95">
        <f>'283200 ED AN'!A17</f>
        <v>201811</v>
      </c>
      <c r="B17" s="98">
        <f t="shared" si="2"/>
        <v>248091.74999999997</v>
      </c>
      <c r="C17" s="98">
        <v>572.59</v>
      </c>
      <c r="D17" s="131">
        <f t="shared" si="0"/>
        <v>248664.33999999997</v>
      </c>
      <c r="E17" s="98">
        <v>0</v>
      </c>
      <c r="F17" s="97">
        <f t="shared" si="1"/>
        <v>248664.33999999997</v>
      </c>
      <c r="G17" s="140"/>
      <c r="H17" s="140"/>
      <c r="I17" s="133">
        <f t="shared" si="3"/>
        <v>1149270.0199999989</v>
      </c>
      <c r="J17" s="159">
        <v>-2726.62</v>
      </c>
    </row>
    <row r="18" spans="1:10">
      <c r="A18" s="95">
        <f>'283200 ED AN'!A18</f>
        <v>201812</v>
      </c>
      <c r="B18" s="98">
        <f t="shared" si="2"/>
        <v>248664.33999999997</v>
      </c>
      <c r="C18" s="98">
        <v>572.59</v>
      </c>
      <c r="D18" s="131">
        <f t="shared" si="0"/>
        <v>249236.92999999996</v>
      </c>
      <c r="E18" s="98">
        <v>0</v>
      </c>
      <c r="F18" s="97">
        <f>SUM(D18:E18)</f>
        <v>249236.92999999996</v>
      </c>
      <c r="G18" s="133"/>
      <c r="H18" s="140"/>
      <c r="I18" s="133">
        <f t="shared" si="3"/>
        <v>1146543.3999999987</v>
      </c>
      <c r="J18" s="159">
        <v>-2726.62</v>
      </c>
    </row>
    <row r="19" spans="1:10">
      <c r="A19" s="100"/>
      <c r="B19" s="101"/>
      <c r="C19" s="102">
        <f>SUM(C7:C18)</f>
        <v>-154706.15000000005</v>
      </c>
      <c r="D19" s="102"/>
      <c r="E19" s="102"/>
      <c r="F19" s="103"/>
      <c r="G19" s="140"/>
      <c r="H19" s="140"/>
    </row>
    <row r="20" spans="1:10">
      <c r="G20" s="1" t="s">
        <v>226</v>
      </c>
    </row>
    <row r="21" spans="1:10">
      <c r="A21" s="105" t="s">
        <v>112</v>
      </c>
    </row>
    <row r="22" spans="1:10">
      <c r="A22" s="1" t="s">
        <v>180</v>
      </c>
    </row>
    <row r="23" spans="1:10">
      <c r="A23" s="1" t="s">
        <v>181</v>
      </c>
    </row>
    <row r="24" spans="1:10">
      <c r="A24" s="89" t="s">
        <v>182</v>
      </c>
    </row>
    <row r="25" spans="1:10">
      <c r="A25" s="89" t="s">
        <v>192</v>
      </c>
    </row>
    <row r="26" spans="1:10">
      <c r="A26" s="89" t="s">
        <v>198</v>
      </c>
    </row>
    <row r="27" spans="1:10">
      <c r="A27" s="89" t="s">
        <v>197</v>
      </c>
    </row>
    <row r="28" spans="1:10">
      <c r="A28" s="89" t="s">
        <v>199</v>
      </c>
    </row>
    <row r="30" spans="1:10">
      <c r="A30" s="1" t="s">
        <v>248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24"/>
  <sheetViews>
    <sheetView workbookViewId="0">
      <selection activeCell="C11" sqref="C11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80" t="s">
        <v>102</v>
      </c>
      <c r="B2" s="81" t="s">
        <v>103</v>
      </c>
      <c r="C2" s="81" t="s">
        <v>65</v>
      </c>
      <c r="D2" s="81" t="s">
        <v>64</v>
      </c>
      <c r="E2" s="82"/>
    </row>
    <row r="3" spans="1:7" ht="29.25" customHeight="1">
      <c r="A3" s="83">
        <v>283200</v>
      </c>
      <c r="B3" s="84" t="s">
        <v>169</v>
      </c>
      <c r="C3" s="85"/>
      <c r="D3" s="85"/>
      <c r="E3" s="86"/>
    </row>
    <row r="4" spans="1:7">
      <c r="A4" s="87"/>
      <c r="B4" s="88" t="s">
        <v>104</v>
      </c>
      <c r="C4" s="88" t="s">
        <v>105</v>
      </c>
      <c r="D4" s="89"/>
      <c r="E4" s="90"/>
    </row>
    <row r="5" spans="1:7" ht="39.6">
      <c r="A5" s="91" t="s">
        <v>106</v>
      </c>
      <c r="B5" s="92" t="s">
        <v>107</v>
      </c>
      <c r="C5" s="92" t="s">
        <v>108</v>
      </c>
      <c r="D5" s="92" t="s">
        <v>171</v>
      </c>
      <c r="E5" s="93" t="s">
        <v>110</v>
      </c>
      <c r="G5" s="94" t="s">
        <v>111</v>
      </c>
    </row>
    <row r="6" spans="1:7">
      <c r="A6" s="125">
        <v>201712</v>
      </c>
      <c r="B6" s="96"/>
      <c r="C6" s="92"/>
      <c r="D6" s="92"/>
      <c r="E6" s="97">
        <v>24149.360000000001</v>
      </c>
    </row>
    <row r="7" spans="1:7">
      <c r="A7" s="125">
        <v>201801</v>
      </c>
      <c r="B7" s="98">
        <f>E6</f>
        <v>24149.360000000001</v>
      </c>
      <c r="C7" s="98">
        <v>-5491.91</v>
      </c>
      <c r="D7" s="98"/>
      <c r="E7" s="97">
        <f>SUM(B7:D7)</f>
        <v>18657.45</v>
      </c>
      <c r="G7" s="99">
        <v>-497447.98</v>
      </c>
    </row>
    <row r="8" spans="1:7">
      <c r="A8" s="125">
        <v>201802</v>
      </c>
      <c r="B8" s="98">
        <f t="shared" ref="B8:B18" si="0">E7</f>
        <v>18657.45</v>
      </c>
      <c r="C8" s="98">
        <v>4167.83</v>
      </c>
      <c r="D8" s="98"/>
      <c r="E8" s="97">
        <f>SUM(B8:D8)</f>
        <v>22825.279999999999</v>
      </c>
      <c r="G8" s="99">
        <v>-491470.17</v>
      </c>
    </row>
    <row r="9" spans="1:7">
      <c r="A9" s="125">
        <v>201803</v>
      </c>
      <c r="B9" s="98">
        <f t="shared" si="0"/>
        <v>22825.279999999999</v>
      </c>
      <c r="C9" s="98">
        <v>4167.83</v>
      </c>
      <c r="D9" s="98"/>
      <c r="E9" s="97">
        <f>SUM(B9:D9)</f>
        <v>26993.11</v>
      </c>
      <c r="G9" s="99">
        <v>-485492.36</v>
      </c>
    </row>
    <row r="10" spans="1:7">
      <c r="A10" s="125">
        <v>201804</v>
      </c>
      <c r="B10" s="98">
        <f t="shared" si="0"/>
        <v>26993.11</v>
      </c>
      <c r="C10" s="98">
        <v>4167.83</v>
      </c>
      <c r="D10" s="98"/>
      <c r="E10" s="97">
        <f t="shared" ref="E10:E18" si="1">SUM(B10:D10)</f>
        <v>31160.940000000002</v>
      </c>
      <c r="G10" s="99">
        <v>-479514.55</v>
      </c>
    </row>
    <row r="11" spans="1:7">
      <c r="A11" s="125">
        <v>201805</v>
      </c>
      <c r="B11" s="98">
        <f t="shared" si="0"/>
        <v>31160.940000000002</v>
      </c>
      <c r="C11" s="98">
        <v>4167.83</v>
      </c>
      <c r="D11" s="98"/>
      <c r="E11" s="97">
        <f t="shared" si="1"/>
        <v>35328.770000000004</v>
      </c>
      <c r="G11" s="99">
        <v>-473536.74</v>
      </c>
    </row>
    <row r="12" spans="1:7">
      <c r="A12" s="125">
        <v>201806</v>
      </c>
      <c r="B12" s="98">
        <f t="shared" si="0"/>
        <v>35328.770000000004</v>
      </c>
      <c r="C12" s="98">
        <v>4167.83</v>
      </c>
      <c r="D12" s="98"/>
      <c r="E12" s="97">
        <f t="shared" si="1"/>
        <v>39496.600000000006</v>
      </c>
      <c r="G12" s="99">
        <v>-467558.93</v>
      </c>
    </row>
    <row r="13" spans="1:7">
      <c r="A13" s="125">
        <v>201807</v>
      </c>
      <c r="B13" s="98">
        <f t="shared" si="0"/>
        <v>39496.600000000006</v>
      </c>
      <c r="C13" s="98">
        <v>4167.83</v>
      </c>
      <c r="D13" s="98"/>
      <c r="E13" s="97">
        <f t="shared" si="1"/>
        <v>43664.430000000008</v>
      </c>
      <c r="G13" s="99">
        <v>-461581.12</v>
      </c>
    </row>
    <row r="14" spans="1:7">
      <c r="A14" s="125">
        <v>201808</v>
      </c>
      <c r="B14" s="98">
        <f t="shared" si="0"/>
        <v>43664.430000000008</v>
      </c>
      <c r="C14" s="98">
        <v>4167.83</v>
      </c>
      <c r="D14" s="98"/>
      <c r="E14" s="97">
        <f t="shared" si="1"/>
        <v>47832.260000000009</v>
      </c>
      <c r="G14" s="99">
        <v>-455603.31</v>
      </c>
    </row>
    <row r="15" spans="1:7">
      <c r="A15" s="125">
        <v>201809</v>
      </c>
      <c r="B15" s="98">
        <f t="shared" si="0"/>
        <v>47832.260000000009</v>
      </c>
      <c r="C15" s="98">
        <v>4167.83</v>
      </c>
      <c r="D15" s="98"/>
      <c r="E15" s="97">
        <f t="shared" si="1"/>
        <v>52000.090000000011</v>
      </c>
      <c r="G15" s="99">
        <v>-449625.5</v>
      </c>
    </row>
    <row r="16" spans="1:7">
      <c r="A16" s="125">
        <v>201810</v>
      </c>
      <c r="B16" s="98">
        <f t="shared" si="0"/>
        <v>52000.090000000011</v>
      </c>
      <c r="C16" s="98">
        <v>4167.83</v>
      </c>
      <c r="D16" s="98"/>
      <c r="E16" s="97">
        <f t="shared" si="1"/>
        <v>56167.920000000013</v>
      </c>
      <c r="G16" s="99">
        <v>-443647.69</v>
      </c>
    </row>
    <row r="17" spans="1:7">
      <c r="A17" s="125">
        <v>201811</v>
      </c>
      <c r="B17" s="98">
        <f t="shared" si="0"/>
        <v>56167.920000000013</v>
      </c>
      <c r="C17" s="98">
        <v>4167.83</v>
      </c>
      <c r="D17" s="98"/>
      <c r="E17" s="97">
        <f t="shared" si="1"/>
        <v>60335.750000000015</v>
      </c>
      <c r="G17" s="99">
        <v>-437669.88</v>
      </c>
    </row>
    <row r="18" spans="1:7">
      <c r="A18" s="125">
        <v>201812</v>
      </c>
      <c r="B18" s="98">
        <f t="shared" si="0"/>
        <v>60335.750000000015</v>
      </c>
      <c r="C18" s="98">
        <v>4167.83</v>
      </c>
      <c r="D18" s="98"/>
      <c r="E18" s="97">
        <f t="shared" si="1"/>
        <v>64503.580000000016</v>
      </c>
      <c r="G18" s="99">
        <v>-431692.07</v>
      </c>
    </row>
    <row r="19" spans="1:7">
      <c r="A19" s="100"/>
      <c r="B19" s="101"/>
      <c r="C19" s="102">
        <f>SUM(C7:C18)</f>
        <v>40354.220000000008</v>
      </c>
      <c r="D19" s="102"/>
      <c r="E19" s="103"/>
    </row>
    <row r="24" spans="1:7">
      <c r="A24" s="1" t="s">
        <v>248</v>
      </c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4"/>
  <sheetViews>
    <sheetView workbookViewId="0">
      <selection activeCell="C19" sqref="C19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283850</v>
      </c>
      <c r="B3" s="84" t="s">
        <v>170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109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/>
      <c r="C6" s="98"/>
      <c r="D6" s="126">
        <v>-3584391.18</v>
      </c>
      <c r="E6" s="126">
        <v>0</v>
      </c>
      <c r="F6" s="97">
        <f t="shared" ref="F6:F18" si="0">SUM(D6:E6)</f>
        <v>-3584391.18</v>
      </c>
    </row>
    <row r="7" spans="1:8">
      <c r="A7" s="95">
        <f>'283200 ED AN'!A7</f>
        <v>201801</v>
      </c>
      <c r="B7" s="98">
        <f>D6</f>
        <v>-3584391.18</v>
      </c>
      <c r="C7" s="98">
        <v>1458941.35</v>
      </c>
      <c r="D7" s="126">
        <f>SUM(B7:C7)</f>
        <v>-2125449.83</v>
      </c>
      <c r="E7" s="126">
        <v>0</v>
      </c>
      <c r="F7" s="97">
        <f t="shared" si="0"/>
        <v>-2125449.83</v>
      </c>
      <c r="H7" s="99">
        <v>-7405578.6900000004</v>
      </c>
    </row>
    <row r="8" spans="1:8">
      <c r="A8" s="95">
        <f>'283200 ED AN'!A8</f>
        <v>201802</v>
      </c>
      <c r="B8" s="98">
        <f t="shared" ref="B8:B18" si="1">D7</f>
        <v>-2125449.83</v>
      </c>
      <c r="C8" s="98">
        <v>25184.880000000001</v>
      </c>
      <c r="D8" s="126">
        <f t="shared" ref="D8:D18" si="2">SUM(B8:C8)</f>
        <v>-2100264.9500000002</v>
      </c>
      <c r="E8" s="126">
        <v>0</v>
      </c>
      <c r="F8" s="97">
        <f t="shared" si="0"/>
        <v>-2100264.9500000002</v>
      </c>
      <c r="H8" s="99">
        <v>-7335183.7599999998</v>
      </c>
    </row>
    <row r="9" spans="1:8">
      <c r="A9" s="95">
        <f>'283200 ED AN'!A9</f>
        <v>201803</v>
      </c>
      <c r="B9" s="98">
        <f t="shared" si="1"/>
        <v>-2100264.9500000002</v>
      </c>
      <c r="C9" s="98">
        <v>25184.880000000001</v>
      </c>
      <c r="D9" s="126">
        <f t="shared" si="2"/>
        <v>-2075080.0700000003</v>
      </c>
      <c r="E9" s="126"/>
      <c r="F9" s="97">
        <f t="shared" si="0"/>
        <v>-2075080.0700000003</v>
      </c>
      <c r="H9" s="99">
        <v>-7275633.2000000002</v>
      </c>
    </row>
    <row r="10" spans="1:8">
      <c r="A10" s="95">
        <f>'283200 ED AN'!A10</f>
        <v>201804</v>
      </c>
      <c r="B10" s="98">
        <f t="shared" si="1"/>
        <v>-2075080.0700000003</v>
      </c>
      <c r="C10" s="98">
        <v>25114.6</v>
      </c>
      <c r="D10" s="126">
        <f t="shared" si="2"/>
        <v>-2049965.4700000002</v>
      </c>
      <c r="E10" s="126"/>
      <c r="F10" s="97">
        <f t="shared" si="0"/>
        <v>-2049965.4700000002</v>
      </c>
      <c r="H10" s="99">
        <v>-7217431.7999999998</v>
      </c>
    </row>
    <row r="11" spans="1:8">
      <c r="A11" s="95">
        <f>'283200 ED AN'!A11</f>
        <v>201805</v>
      </c>
      <c r="B11" s="98">
        <f t="shared" si="1"/>
        <v>-2049965.4700000002</v>
      </c>
      <c r="C11" s="98">
        <v>25076.93</v>
      </c>
      <c r="D11" s="126">
        <f t="shared" si="2"/>
        <v>-2024888.5400000003</v>
      </c>
      <c r="E11" s="126"/>
      <c r="F11" s="97">
        <f t="shared" si="0"/>
        <v>-2024888.5400000003</v>
      </c>
      <c r="H11" s="99">
        <v>-7159704.29</v>
      </c>
    </row>
    <row r="12" spans="1:8">
      <c r="A12" s="95">
        <f>'283200 ED AN'!A12</f>
        <v>201806</v>
      </c>
      <c r="B12" s="98">
        <f t="shared" si="1"/>
        <v>-2024888.5400000003</v>
      </c>
      <c r="C12" s="98">
        <v>24213.83</v>
      </c>
      <c r="D12" s="126">
        <f t="shared" si="2"/>
        <v>-2000674.7100000002</v>
      </c>
      <c r="E12" s="126"/>
      <c r="F12" s="97">
        <f t="shared" si="0"/>
        <v>-2000674.7100000002</v>
      </c>
      <c r="H12" s="99">
        <v>-7101142.5</v>
      </c>
    </row>
    <row r="13" spans="1:8">
      <c r="A13" s="95">
        <f>'283200 ED AN'!A13</f>
        <v>201807</v>
      </c>
      <c r="B13" s="98">
        <f t="shared" si="1"/>
        <v>-2000674.7100000002</v>
      </c>
      <c r="C13" s="98">
        <v>22057.31</v>
      </c>
      <c r="D13" s="126">
        <f t="shared" si="2"/>
        <v>-1978617.4000000001</v>
      </c>
      <c r="E13" s="126"/>
      <c r="F13" s="97">
        <f t="shared" si="0"/>
        <v>-1978617.4000000001</v>
      </c>
      <c r="H13" s="99">
        <v>-7044307.7800000003</v>
      </c>
    </row>
    <row r="14" spans="1:8">
      <c r="A14" s="95">
        <f>'283200 ED AN'!A14</f>
        <v>201808</v>
      </c>
      <c r="B14" s="98">
        <f t="shared" si="1"/>
        <v>-1978617.4000000001</v>
      </c>
      <c r="C14" s="98">
        <v>20495.02</v>
      </c>
      <c r="D14" s="126">
        <f t="shared" si="2"/>
        <v>-1958122.3800000001</v>
      </c>
      <c r="E14" s="126"/>
      <c r="F14" s="97">
        <f t="shared" si="0"/>
        <v>-1958122.3800000001</v>
      </c>
      <c r="H14" s="99">
        <v>-6987780.2800000003</v>
      </c>
    </row>
    <row r="15" spans="1:8">
      <c r="A15" s="95">
        <f>'283200 ED AN'!A15</f>
        <v>201809</v>
      </c>
      <c r="B15" s="98">
        <f t="shared" si="1"/>
        <v>-1958122.3800000001</v>
      </c>
      <c r="C15" s="98">
        <v>18672.97</v>
      </c>
      <c r="D15" s="126">
        <f t="shared" si="2"/>
        <v>-1939449.4100000001</v>
      </c>
      <c r="E15" s="98"/>
      <c r="F15" s="97">
        <f t="shared" si="0"/>
        <v>-1939449.4100000001</v>
      </c>
      <c r="H15" s="99">
        <v>-6931252.7800000003</v>
      </c>
    </row>
    <row r="16" spans="1:8">
      <c r="A16" s="95">
        <f>'283200 ED AN'!A16</f>
        <v>201810</v>
      </c>
      <c r="B16" s="98">
        <f t="shared" si="1"/>
        <v>-1939449.4100000001</v>
      </c>
      <c r="C16" s="98">
        <v>17565.650000000001</v>
      </c>
      <c r="D16" s="126">
        <f t="shared" si="2"/>
        <v>-1921883.7600000002</v>
      </c>
      <c r="E16" s="98"/>
      <c r="F16" s="97">
        <f t="shared" si="0"/>
        <v>-1921883.7600000002</v>
      </c>
      <c r="H16" s="99">
        <v>-6874725.2800000003</v>
      </c>
    </row>
    <row r="17" spans="1:8">
      <c r="A17" s="95">
        <f>'283200 ED AN'!A17</f>
        <v>201811</v>
      </c>
      <c r="B17" s="98">
        <f t="shared" si="1"/>
        <v>-1921883.7600000002</v>
      </c>
      <c r="C17" s="98">
        <v>17565.650000000001</v>
      </c>
      <c r="D17" s="126">
        <f t="shared" si="2"/>
        <v>-1904318.1100000003</v>
      </c>
      <c r="E17" s="98"/>
      <c r="F17" s="97">
        <f t="shared" si="0"/>
        <v>-1904318.1100000003</v>
      </c>
      <c r="H17" s="99">
        <v>-6818197.7800000003</v>
      </c>
    </row>
    <row r="18" spans="1:8">
      <c r="A18" s="95">
        <f>'283200 ED AN'!A18</f>
        <v>201812</v>
      </c>
      <c r="B18" s="98">
        <f t="shared" si="1"/>
        <v>-1904318.1100000003</v>
      </c>
      <c r="C18" s="193">
        <v>17565.650000000001</v>
      </c>
      <c r="D18" s="126">
        <f t="shared" si="2"/>
        <v>-1886752.4600000004</v>
      </c>
      <c r="E18" s="98"/>
      <c r="F18" s="97">
        <f t="shared" si="0"/>
        <v>-1886752.4600000004</v>
      </c>
      <c r="H18" s="99">
        <v>-6761670.2800000003</v>
      </c>
    </row>
    <row r="19" spans="1:8">
      <c r="A19" s="100"/>
      <c r="B19" s="101"/>
      <c r="C19" s="102">
        <f>SUM(C7:C18)</f>
        <v>1697638.7199999997</v>
      </c>
      <c r="D19" s="102"/>
      <c r="E19" s="102"/>
      <c r="F19" s="103"/>
    </row>
    <row r="24" spans="1:8">
      <c r="A24" s="1" t="s">
        <v>248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2"/>
  <sheetViews>
    <sheetView workbookViewId="0">
      <selection activeCell="C16" sqref="C1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283750</v>
      </c>
      <c r="B3" s="84" t="s">
        <v>175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 t="s">
        <v>201</v>
      </c>
      <c r="H5" s="94" t="s">
        <v>110</v>
      </c>
    </row>
    <row r="6" spans="1:8">
      <c r="A6" s="95">
        <f>'283200 ED AN'!A6</f>
        <v>201712</v>
      </c>
      <c r="B6" s="130"/>
      <c r="C6" s="92"/>
      <c r="D6" s="126">
        <v>-143718</v>
      </c>
      <c r="E6" s="126">
        <v>0</v>
      </c>
      <c r="F6" s="97">
        <f>SUM(D6:E6)</f>
        <v>-143718</v>
      </c>
      <c r="G6" s="132"/>
      <c r="H6" s="141">
        <f>SUM(F6:G6)</f>
        <v>-143718</v>
      </c>
    </row>
    <row r="7" spans="1:8">
      <c r="A7" s="95">
        <f>'283200 ED AN'!A7</f>
        <v>201801</v>
      </c>
      <c r="B7" s="98">
        <f>D6</f>
        <v>-143718</v>
      </c>
      <c r="C7" s="98">
        <v>-98268.800000000003</v>
      </c>
      <c r="D7" s="126">
        <f t="shared" ref="D7:D18" si="0">SUM(B7:C7)</f>
        <v>-241986.8</v>
      </c>
      <c r="E7" s="126">
        <v>0</v>
      </c>
      <c r="F7" s="97">
        <f t="shared" ref="F7:F18" si="1">SUM(D7:E7)</f>
        <v>-241986.8</v>
      </c>
      <c r="G7" s="132"/>
      <c r="H7" s="141">
        <f t="shared" ref="H7:H18" si="2">SUM(F7:G7)</f>
        <v>-241986.8</v>
      </c>
    </row>
    <row r="8" spans="1:8">
      <c r="A8" s="95">
        <f>'283200 ED AN'!A8</f>
        <v>201802</v>
      </c>
      <c r="B8" s="98">
        <f t="shared" ref="B8:B18" si="3">D7</f>
        <v>-241986.8</v>
      </c>
      <c r="C8" s="98">
        <v>0</v>
      </c>
      <c r="D8" s="126">
        <f t="shared" si="0"/>
        <v>-241986.8</v>
      </c>
      <c r="E8" s="126">
        <v>0</v>
      </c>
      <c r="F8" s="97">
        <f t="shared" si="1"/>
        <v>-241986.8</v>
      </c>
      <c r="G8" s="132"/>
      <c r="H8" s="141">
        <f t="shared" si="2"/>
        <v>-241986.8</v>
      </c>
    </row>
    <row r="9" spans="1:8">
      <c r="A9" s="95">
        <f>'283200 ED AN'!A9</f>
        <v>201803</v>
      </c>
      <c r="B9" s="98">
        <f t="shared" si="3"/>
        <v>-241986.8</v>
      </c>
      <c r="C9" s="98">
        <v>0</v>
      </c>
      <c r="D9" s="126">
        <f t="shared" si="0"/>
        <v>-241986.8</v>
      </c>
      <c r="E9" s="126">
        <v>0</v>
      </c>
      <c r="F9" s="97">
        <f t="shared" si="1"/>
        <v>-241986.8</v>
      </c>
      <c r="G9" s="132"/>
      <c r="H9" s="141">
        <f t="shared" si="2"/>
        <v>-241986.8</v>
      </c>
    </row>
    <row r="10" spans="1:8">
      <c r="A10" s="95">
        <f>'283200 ED AN'!A10</f>
        <v>201804</v>
      </c>
      <c r="B10" s="98">
        <f t="shared" si="3"/>
        <v>-241986.8</v>
      </c>
      <c r="C10" s="98">
        <v>0</v>
      </c>
      <c r="D10" s="126">
        <f t="shared" si="0"/>
        <v>-241986.8</v>
      </c>
      <c r="E10" s="126">
        <v>0</v>
      </c>
      <c r="F10" s="97">
        <f t="shared" si="1"/>
        <v>-241986.8</v>
      </c>
      <c r="G10" s="132"/>
      <c r="H10" s="141">
        <f t="shared" si="2"/>
        <v>-241986.8</v>
      </c>
    </row>
    <row r="11" spans="1:8">
      <c r="A11" s="95">
        <f>'283200 ED AN'!A11</f>
        <v>201805</v>
      </c>
      <c r="B11" s="98">
        <f t="shared" si="3"/>
        <v>-241986.8</v>
      </c>
      <c r="C11" s="98">
        <v>0</v>
      </c>
      <c r="D11" s="126">
        <f t="shared" si="0"/>
        <v>-241986.8</v>
      </c>
      <c r="E11" s="126">
        <v>0</v>
      </c>
      <c r="F11" s="97">
        <f t="shared" si="1"/>
        <v>-241986.8</v>
      </c>
      <c r="G11" s="132"/>
      <c r="H11" s="141">
        <f t="shared" si="2"/>
        <v>-241986.8</v>
      </c>
    </row>
    <row r="12" spans="1:8">
      <c r="A12" s="95">
        <f>'283200 ED AN'!A12</f>
        <v>201806</v>
      </c>
      <c r="B12" s="98">
        <f t="shared" si="3"/>
        <v>-241986.8</v>
      </c>
      <c r="C12" s="98">
        <v>0</v>
      </c>
      <c r="D12" s="126">
        <f t="shared" si="0"/>
        <v>-241986.8</v>
      </c>
      <c r="E12" s="126">
        <v>0</v>
      </c>
      <c r="F12" s="97">
        <f t="shared" si="1"/>
        <v>-241986.8</v>
      </c>
      <c r="G12" s="132"/>
      <c r="H12" s="141">
        <f t="shared" si="2"/>
        <v>-241986.8</v>
      </c>
    </row>
    <row r="13" spans="1:8">
      <c r="A13" s="95">
        <f>'283200 ED AN'!A13</f>
        <v>201807</v>
      </c>
      <c r="B13" s="98">
        <f t="shared" si="3"/>
        <v>-241986.8</v>
      </c>
      <c r="C13" s="98">
        <v>0</v>
      </c>
      <c r="D13" s="126">
        <f t="shared" si="0"/>
        <v>-241986.8</v>
      </c>
      <c r="E13" s="126">
        <v>0</v>
      </c>
      <c r="F13" s="97">
        <f t="shared" si="1"/>
        <v>-241986.8</v>
      </c>
      <c r="G13" s="132"/>
      <c r="H13" s="141">
        <f t="shared" si="2"/>
        <v>-241986.8</v>
      </c>
    </row>
    <row r="14" spans="1:8">
      <c r="A14" s="95">
        <f>'283200 ED AN'!A14</f>
        <v>201808</v>
      </c>
      <c r="B14" s="98">
        <f t="shared" si="3"/>
        <v>-241986.8</v>
      </c>
      <c r="C14" s="98">
        <v>0</v>
      </c>
      <c r="D14" s="126">
        <f t="shared" si="0"/>
        <v>-241986.8</v>
      </c>
      <c r="E14" s="126">
        <v>0</v>
      </c>
      <c r="F14" s="97">
        <f t="shared" si="1"/>
        <v>-241986.8</v>
      </c>
      <c r="G14" s="132"/>
      <c r="H14" s="141">
        <f t="shared" si="2"/>
        <v>-241986.8</v>
      </c>
    </row>
    <row r="15" spans="1:8">
      <c r="A15" s="95">
        <f>'283200 ED AN'!A15</f>
        <v>201809</v>
      </c>
      <c r="B15" s="98">
        <f t="shared" si="3"/>
        <v>-241986.8</v>
      </c>
      <c r="C15" s="98">
        <v>0</v>
      </c>
      <c r="D15" s="126">
        <f t="shared" si="0"/>
        <v>-241986.8</v>
      </c>
      <c r="E15" s="126">
        <v>0</v>
      </c>
      <c r="F15" s="97">
        <f t="shared" si="1"/>
        <v>-241986.8</v>
      </c>
      <c r="G15" s="132"/>
      <c r="H15" s="141">
        <f t="shared" si="2"/>
        <v>-241986.8</v>
      </c>
    </row>
    <row r="16" spans="1:8">
      <c r="A16" s="95">
        <f>'283200 ED AN'!A16</f>
        <v>201810</v>
      </c>
      <c r="B16" s="98">
        <f t="shared" si="3"/>
        <v>-241986.8</v>
      </c>
      <c r="C16" s="98">
        <v>0</v>
      </c>
      <c r="D16" s="126">
        <f t="shared" si="0"/>
        <v>-241986.8</v>
      </c>
      <c r="E16" s="126">
        <v>0</v>
      </c>
      <c r="F16" s="97">
        <f t="shared" si="1"/>
        <v>-241986.8</v>
      </c>
      <c r="G16" s="132"/>
      <c r="H16" s="141">
        <f t="shared" si="2"/>
        <v>-241986.8</v>
      </c>
    </row>
    <row r="17" spans="1:8">
      <c r="A17" s="95">
        <f>'283200 ED AN'!A17</f>
        <v>201811</v>
      </c>
      <c r="B17" s="98">
        <f t="shared" si="3"/>
        <v>-241986.8</v>
      </c>
      <c r="C17" s="98">
        <v>0</v>
      </c>
      <c r="D17" s="126">
        <f t="shared" si="0"/>
        <v>-241986.8</v>
      </c>
      <c r="E17" s="126">
        <v>0</v>
      </c>
      <c r="F17" s="97">
        <f t="shared" si="1"/>
        <v>-241986.8</v>
      </c>
      <c r="G17" s="132"/>
      <c r="H17" s="141">
        <f t="shared" si="2"/>
        <v>-241986.8</v>
      </c>
    </row>
    <row r="18" spans="1:8">
      <c r="A18" s="95">
        <f>'283200 ED AN'!A18</f>
        <v>201812</v>
      </c>
      <c r="B18" s="98">
        <f t="shared" si="3"/>
        <v>-241986.8</v>
      </c>
      <c r="C18" s="98">
        <v>-24018.91</v>
      </c>
      <c r="D18" s="126">
        <f t="shared" si="0"/>
        <v>-266005.70999999996</v>
      </c>
      <c r="E18" s="126">
        <v>0</v>
      </c>
      <c r="F18" s="97">
        <f t="shared" si="1"/>
        <v>-266005.70999999996</v>
      </c>
      <c r="G18" s="132"/>
      <c r="H18" s="141">
        <f t="shared" si="2"/>
        <v>-266005.70999999996</v>
      </c>
    </row>
    <row r="19" spans="1:8">
      <c r="A19" s="100"/>
      <c r="B19" s="101"/>
      <c r="C19" s="102">
        <f>SUM(C7:C18)</f>
        <v>-122287.71</v>
      </c>
      <c r="D19" s="102"/>
      <c r="E19" s="102"/>
      <c r="F19" s="103"/>
    </row>
    <row r="22" spans="1:8">
      <c r="A22" s="1" t="s">
        <v>250</v>
      </c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A22" sqref="A22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282919</v>
      </c>
      <c r="B3" s="84" t="s">
        <v>253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/>
      <c r="H5" s="94"/>
    </row>
    <row r="6" spans="1:8">
      <c r="A6" s="95">
        <f>'283200 ED AN'!A6</f>
        <v>201712</v>
      </c>
      <c r="B6" s="130"/>
      <c r="C6" s="92"/>
      <c r="D6" s="126">
        <v>0</v>
      </c>
      <c r="E6" s="126">
        <v>0</v>
      </c>
      <c r="F6" s="97">
        <f>SUM(D6:E6)</f>
        <v>0</v>
      </c>
      <c r="G6" s="132"/>
      <c r="H6" s="141"/>
    </row>
    <row r="7" spans="1:8">
      <c r="A7" s="95">
        <f>'283200 ED AN'!A7</f>
        <v>201801</v>
      </c>
      <c r="B7" s="98">
        <f>D6</f>
        <v>0</v>
      </c>
      <c r="C7" s="98">
        <v>0</v>
      </c>
      <c r="D7" s="126">
        <f t="shared" ref="D7:D18" si="0">SUM(B7:C7)</f>
        <v>0</v>
      </c>
      <c r="E7" s="126">
        <v>0</v>
      </c>
      <c r="F7" s="97">
        <f t="shared" ref="F7:F18" si="1">SUM(D7:E7)</f>
        <v>0</v>
      </c>
      <c r="G7" s="132"/>
      <c r="H7" s="141"/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26">
        <f t="shared" si="0"/>
        <v>0</v>
      </c>
      <c r="E8" s="126">
        <v>0</v>
      </c>
      <c r="F8" s="97">
        <f t="shared" si="1"/>
        <v>0</v>
      </c>
      <c r="G8" s="132"/>
      <c r="H8" s="141"/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26">
        <f t="shared" si="0"/>
        <v>0</v>
      </c>
      <c r="E9" s="126">
        <v>0</v>
      </c>
      <c r="F9" s="97">
        <f t="shared" si="1"/>
        <v>0</v>
      </c>
      <c r="G9" s="132"/>
      <c r="H9" s="141"/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26">
        <f t="shared" si="0"/>
        <v>0</v>
      </c>
      <c r="E10" s="126">
        <v>0</v>
      </c>
      <c r="F10" s="97">
        <f t="shared" si="1"/>
        <v>0</v>
      </c>
      <c r="G10" s="132"/>
      <c r="H10" s="141"/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26">
        <f t="shared" si="0"/>
        <v>0</v>
      </c>
      <c r="E11" s="126">
        <v>0</v>
      </c>
      <c r="F11" s="97">
        <f t="shared" si="1"/>
        <v>0</v>
      </c>
      <c r="G11" s="132"/>
      <c r="H11" s="141"/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26">
        <f t="shared" si="0"/>
        <v>0</v>
      </c>
      <c r="E12" s="126">
        <v>0</v>
      </c>
      <c r="F12" s="97">
        <f t="shared" si="1"/>
        <v>0</v>
      </c>
      <c r="G12" s="132"/>
      <c r="H12" s="141"/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26">
        <f t="shared" si="0"/>
        <v>0</v>
      </c>
      <c r="E13" s="126">
        <v>0</v>
      </c>
      <c r="F13" s="97">
        <f t="shared" si="1"/>
        <v>0</v>
      </c>
      <c r="G13" s="132"/>
      <c r="H13" s="141"/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26">
        <f t="shared" si="0"/>
        <v>0</v>
      </c>
      <c r="E14" s="126">
        <v>0</v>
      </c>
      <c r="F14" s="97">
        <f t="shared" si="1"/>
        <v>0</v>
      </c>
      <c r="G14" s="132"/>
      <c r="H14" s="141"/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26">
        <f t="shared" si="0"/>
        <v>0</v>
      </c>
      <c r="E15" s="126">
        <v>0</v>
      </c>
      <c r="F15" s="97">
        <f t="shared" si="1"/>
        <v>0</v>
      </c>
      <c r="G15" s="132"/>
      <c r="H15" s="141"/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26">
        <f t="shared" si="0"/>
        <v>0</v>
      </c>
      <c r="E16" s="126">
        <v>0</v>
      </c>
      <c r="F16" s="97">
        <f t="shared" si="1"/>
        <v>0</v>
      </c>
      <c r="G16" s="132"/>
      <c r="H16" s="141"/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26">
        <f t="shared" si="0"/>
        <v>0</v>
      </c>
      <c r="E17" s="126">
        <v>0</v>
      </c>
      <c r="F17" s="97">
        <f t="shared" si="1"/>
        <v>0</v>
      </c>
      <c r="G17" s="132"/>
      <c r="H17" s="141"/>
    </row>
    <row r="18" spans="1:8">
      <c r="A18" s="95">
        <f>'283200 ED AN'!A18</f>
        <v>201812</v>
      </c>
      <c r="B18" s="98">
        <f t="shared" si="2"/>
        <v>0</v>
      </c>
      <c r="C18" s="98">
        <v>-1063746</v>
      </c>
      <c r="D18" s="126">
        <f t="shared" si="0"/>
        <v>-1063746</v>
      </c>
      <c r="E18" s="126">
        <v>0</v>
      </c>
      <c r="F18" s="97">
        <f t="shared" si="1"/>
        <v>-1063746</v>
      </c>
      <c r="G18" s="132"/>
      <c r="H18" s="141"/>
    </row>
    <row r="19" spans="1:8">
      <c r="A19" s="100"/>
      <c r="B19" s="101"/>
      <c r="C19" s="102">
        <f>SUM(C7:C18)</f>
        <v>-1063746</v>
      </c>
      <c r="D19" s="102"/>
      <c r="E19" s="102"/>
      <c r="F19" s="103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3" zoomScaleNormal="100" workbookViewId="0">
      <selection activeCell="D29" sqref="D29:I29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113</v>
      </c>
    </row>
    <row r="2" spans="1:13">
      <c r="A2" s="52" t="s">
        <v>114</v>
      </c>
    </row>
    <row r="3" spans="1:13">
      <c r="A3" t="str">
        <f>'SYS-Dec18'!D3</f>
        <v>Average - Twelve Months Ended December 31, 2018</v>
      </c>
      <c r="L3" s="106" t="s">
        <v>115</v>
      </c>
      <c r="M3" s="106" t="s">
        <v>10</v>
      </c>
    </row>
    <row r="4" spans="1:13">
      <c r="L4" t="s">
        <v>218</v>
      </c>
      <c r="M4" s="116">
        <f>'E-PLT'!I8+'E-PLT'!I9+'E-PLT'!I10+'E-PLT'!I11+'E-PLT'!I12</f>
        <v>161261347</v>
      </c>
    </row>
    <row r="5" spans="1:13">
      <c r="A5" t="s">
        <v>117</v>
      </c>
      <c r="L5" t="s">
        <v>118</v>
      </c>
      <c r="M5" s="156">
        <f>-'E-PLT'!H32</f>
        <v>-111060902.0311</v>
      </c>
    </row>
    <row r="6" spans="1:13">
      <c r="D6" s="30" t="s">
        <v>5</v>
      </c>
      <c r="E6" s="108" t="s">
        <v>10</v>
      </c>
      <c r="F6" s="108" t="s">
        <v>11</v>
      </c>
      <c r="G6" s="108" t="s">
        <v>12</v>
      </c>
      <c r="H6" s="108" t="s">
        <v>13</v>
      </c>
      <c r="I6" s="108" t="s">
        <v>119</v>
      </c>
      <c r="J6" s="109" t="s">
        <v>120</v>
      </c>
      <c r="M6" s="116"/>
    </row>
    <row r="7" spans="1:13">
      <c r="E7" s="110"/>
      <c r="F7" s="110"/>
      <c r="G7" s="110"/>
      <c r="H7" s="110"/>
      <c r="M7" s="116">
        <f>SUM(M4:M6)</f>
        <v>50200444.968899995</v>
      </c>
    </row>
    <row r="8" spans="1:13">
      <c r="A8" t="s">
        <v>10</v>
      </c>
      <c r="C8" s="138" t="s">
        <v>122</v>
      </c>
      <c r="D8" s="23">
        <f>'Elec-Dec18'!E10</f>
        <v>-6516550.3052000003</v>
      </c>
      <c r="E8" s="111">
        <v>0</v>
      </c>
      <c r="F8" s="111">
        <f>D8</f>
        <v>-6516550.3052000003</v>
      </c>
      <c r="G8" s="111"/>
      <c r="H8" s="111"/>
      <c r="I8" s="112"/>
      <c r="M8" s="157"/>
    </row>
    <row r="9" spans="1:13">
      <c r="A9" t="s">
        <v>11</v>
      </c>
      <c r="C9" s="29" t="s">
        <v>122</v>
      </c>
      <c r="D9" s="23">
        <f>'Elec-Dec18'!E11</f>
        <v>-124563748.69250001</v>
      </c>
      <c r="E9" s="23">
        <v>0</v>
      </c>
      <c r="F9" s="23">
        <f t="shared" ref="E9:F14" si="0">IF($C9="P",$D9,0)</f>
        <v>-124563748.69250001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6" t="s">
        <v>115</v>
      </c>
      <c r="M9" s="106" t="s">
        <v>11</v>
      </c>
    </row>
    <row r="10" spans="1:13">
      <c r="A10" t="s">
        <v>12</v>
      </c>
      <c r="C10" s="29" t="s">
        <v>123</v>
      </c>
      <c r="D10" s="23">
        <f>'Elec-Dec18'!E12</f>
        <v>-65638036.694100007</v>
      </c>
      <c r="E10" s="23">
        <f t="shared" si="0"/>
        <v>0</v>
      </c>
      <c r="F10" s="23">
        <f t="shared" si="0"/>
        <v>0</v>
      </c>
      <c r="G10" s="23">
        <f t="shared" si="1"/>
        <v>-65638036.694100007</v>
      </c>
      <c r="H10" s="23">
        <f t="shared" si="2"/>
        <v>0</v>
      </c>
      <c r="I10" s="23">
        <f>IF($C10="O",$D10,0)</f>
        <v>0</v>
      </c>
      <c r="L10" t="s">
        <v>124</v>
      </c>
      <c r="M10" s="116">
        <f>'E-PLT'!I15</f>
        <v>905266231</v>
      </c>
    </row>
    <row r="11" spans="1:13">
      <c r="A11" t="s">
        <v>13</v>
      </c>
      <c r="C11" s="29" t="s">
        <v>41</v>
      </c>
      <c r="D11" s="23">
        <f>'Elec-Dec18'!E13</f>
        <v>-157122946.3608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-157122946.3608</v>
      </c>
      <c r="I11" s="23">
        <f>IF($C11="O",$D11,0)</f>
        <v>0</v>
      </c>
      <c r="L11" t="s">
        <v>219</v>
      </c>
      <c r="M11" s="116">
        <f>'E-PLT'!I4+'E-PLT'!I5+'E-PLT'!I6+'E-PLT'!I7</f>
        <v>28009662</v>
      </c>
    </row>
    <row r="12" spans="1:13">
      <c r="A12" t="s">
        <v>78</v>
      </c>
      <c r="C12" s="29" t="s">
        <v>126</v>
      </c>
      <c r="D12" s="23">
        <f>'Elec-Dec18'!E14</f>
        <v>-9444899.3060999997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-9444899.3060999997</v>
      </c>
      <c r="M12" s="156"/>
    </row>
    <row r="13" spans="1:13">
      <c r="A13" t="s">
        <v>128</v>
      </c>
      <c r="C13" s="29" t="s">
        <v>126</v>
      </c>
      <c r="D13" s="23">
        <f>'Elec-Dec18'!E16</f>
        <v>-43850783.705948323</v>
      </c>
      <c r="E13" s="23">
        <f>D13*O26</f>
        <v>-13105445.822524235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-30745337.883424085</v>
      </c>
      <c r="J13" s="23">
        <f>D13-E13-F13-G13-H13-I13</f>
        <v>0</v>
      </c>
      <c r="M13" s="116">
        <f>SUM(M10:M12)</f>
        <v>933275893</v>
      </c>
    </row>
    <row r="14" spans="1:13">
      <c r="A14" t="s">
        <v>129</v>
      </c>
      <c r="C14" s="29" t="s">
        <v>126</v>
      </c>
      <c r="D14" s="33">
        <f>'Elec-Dec18'!E17</f>
        <v>-399508.8887694861</v>
      </c>
      <c r="E14" s="33">
        <f>D14*O26</f>
        <v>-119399.05413081903</v>
      </c>
      <c r="F14" s="33">
        <f t="shared" si="0"/>
        <v>0</v>
      </c>
      <c r="G14" s="33">
        <f t="shared" si="1"/>
        <v>0</v>
      </c>
      <c r="H14" s="33">
        <f t="shared" si="2"/>
        <v>0</v>
      </c>
      <c r="I14" s="33">
        <f>D14*O25</f>
        <v>-280109.83463866706</v>
      </c>
      <c r="J14" s="23">
        <f>D14-E14-F14-G14-H14-I14</f>
        <v>0</v>
      </c>
      <c r="M14" s="116"/>
    </row>
    <row r="15" spans="1:13">
      <c r="A15" t="s">
        <v>71</v>
      </c>
      <c r="C15" s="29"/>
      <c r="D15" s="23">
        <f t="shared" ref="D15:I15" si="3">SUM(D8:D14)</f>
        <v>-407536473.9534179</v>
      </c>
      <c r="E15" s="23">
        <f t="shared" si="3"/>
        <v>-13224844.876655053</v>
      </c>
      <c r="F15" s="23">
        <f t="shared" si="3"/>
        <v>-131080298.99770001</v>
      </c>
      <c r="G15" s="23">
        <f t="shared" si="3"/>
        <v>-65638036.694100007</v>
      </c>
      <c r="H15" s="23">
        <f t="shared" si="3"/>
        <v>-157122946.3608</v>
      </c>
      <c r="I15" s="23">
        <f t="shared" si="3"/>
        <v>-40470347.024162754</v>
      </c>
      <c r="L15" s="107"/>
      <c r="M15" s="157"/>
    </row>
    <row r="16" spans="1:13">
      <c r="A16" t="s">
        <v>22</v>
      </c>
      <c r="C16" s="29" t="s">
        <v>122</v>
      </c>
      <c r="D16" s="23">
        <f>'Elec-Dec18'!E20</f>
        <v>0</v>
      </c>
      <c r="E16" s="23">
        <v>0</v>
      </c>
      <c r="F16" s="23">
        <f>IF($C16="P",$D16,0)</f>
        <v>0</v>
      </c>
      <c r="G16" s="24"/>
      <c r="H16" s="24"/>
      <c r="I16" s="24"/>
      <c r="L16" s="106" t="s">
        <v>115</v>
      </c>
      <c r="M16" s="106" t="s">
        <v>12</v>
      </c>
    </row>
    <row r="17" spans="1:15">
      <c r="A17" t="s">
        <v>130</v>
      </c>
      <c r="C17" s="29" t="s">
        <v>122</v>
      </c>
      <c r="D17" s="23">
        <f>'Elec-Dec18'!E21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131</v>
      </c>
      <c r="M17" s="116">
        <f>'E-PLT'!I16</f>
        <v>477023994</v>
      </c>
    </row>
    <row r="18" spans="1:15">
      <c r="A18" t="s">
        <v>93</v>
      </c>
      <c r="C18" s="29" t="s">
        <v>122</v>
      </c>
      <c r="D18" s="24">
        <f>'Elec-Dec18'!E22</f>
        <v>-4436362.9811085006</v>
      </c>
      <c r="E18" s="23">
        <v>0</v>
      </c>
      <c r="F18" s="23">
        <f>IF($C18="P",$D18,0)</f>
        <v>-4436362.9811085006</v>
      </c>
      <c r="G18" s="24"/>
      <c r="H18" s="24"/>
      <c r="I18" s="24"/>
      <c r="M18" s="116"/>
    </row>
    <row r="19" spans="1:15">
      <c r="A19" t="s">
        <v>205</v>
      </c>
      <c r="C19" s="138" t="s">
        <v>122</v>
      </c>
      <c r="D19" s="24">
        <f>'Elec-Dec18'!E23</f>
        <v>165131.83520004168</v>
      </c>
      <c r="E19" s="23"/>
      <c r="F19" s="23">
        <f>D19</f>
        <v>165131.83520004168</v>
      </c>
      <c r="G19" s="24"/>
      <c r="H19" s="24"/>
      <c r="I19" s="24"/>
      <c r="M19" s="116"/>
    </row>
    <row r="20" spans="1:15">
      <c r="A20" t="s">
        <v>132</v>
      </c>
      <c r="C20" s="29"/>
      <c r="D20" s="113">
        <f>SUM(D15:D19)</f>
        <v>-411807705.09932631</v>
      </c>
      <c r="E20" s="113">
        <f t="shared" ref="E20:I20" si="4">SUM(E15:E19)</f>
        <v>-13224844.876655053</v>
      </c>
      <c r="F20" s="113">
        <f t="shared" si="4"/>
        <v>-135351530.14360845</v>
      </c>
      <c r="G20" s="113">
        <f t="shared" si="4"/>
        <v>-65638036.694100007</v>
      </c>
      <c r="H20" s="113">
        <f t="shared" si="4"/>
        <v>-157122946.3608</v>
      </c>
      <c r="I20" s="113">
        <f t="shared" si="4"/>
        <v>-40470347.024162754</v>
      </c>
      <c r="M20" s="157"/>
    </row>
    <row r="21" spans="1:15">
      <c r="C21" s="29"/>
      <c r="D21" s="23"/>
      <c r="E21" s="23"/>
      <c r="F21" s="23"/>
      <c r="G21" s="23"/>
      <c r="H21" s="23"/>
      <c r="I21" s="23"/>
      <c r="L21" s="106" t="s">
        <v>115</v>
      </c>
      <c r="M21" s="106" t="s">
        <v>13</v>
      </c>
    </row>
    <row r="22" spans="1:15">
      <c r="A22" t="s">
        <v>83</v>
      </c>
      <c r="C22" s="29" t="s">
        <v>122</v>
      </c>
      <c r="D22" s="23">
        <f>'Elec-Dec18'!E29</f>
        <v>26090.014406083337</v>
      </c>
      <c r="E22" s="23">
        <v>0</v>
      </c>
      <c r="F22" s="23">
        <f>IF($C22="P",$D22,0)</f>
        <v>26090.014406083337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-0.53192316542845219</v>
      </c>
      <c r="L22" s="114" t="s">
        <v>135</v>
      </c>
      <c r="M22" s="116">
        <f>'E-PLT'!I17</f>
        <v>1109131502</v>
      </c>
    </row>
    <row r="23" spans="1:15">
      <c r="A23" t="str">
        <f>'Elec-Dec18'!A28</f>
        <v>ADFIT-Plant - AFUDC Equity</v>
      </c>
      <c r="C23" s="191" t="s">
        <v>126</v>
      </c>
      <c r="D23" s="23">
        <f>'Elec-Dec18'!E28</f>
        <v>-21323.277560739374</v>
      </c>
      <c r="E23" s="23"/>
      <c r="F23" s="23"/>
      <c r="G23" s="23"/>
      <c r="H23" s="23"/>
      <c r="I23" s="23">
        <f>IF($C23="O",$D23,0)</f>
        <v>-21323.277560739374</v>
      </c>
      <c r="J23" s="23"/>
      <c r="M23" s="157"/>
    </row>
    <row r="24" spans="1:15">
      <c r="A24" t="s">
        <v>220</v>
      </c>
      <c r="C24" s="138" t="s">
        <v>121</v>
      </c>
      <c r="D24" s="23">
        <f>'Elec-Dec18'!E30</f>
        <v>-114929.30628657466</v>
      </c>
      <c r="E24" s="23">
        <f>D24</f>
        <v>-114929.30628657466</v>
      </c>
      <c r="F24" s="23"/>
      <c r="G24" s="23"/>
      <c r="H24" s="23"/>
      <c r="I24" s="23"/>
      <c r="L24" s="106" t="s">
        <v>115</v>
      </c>
      <c r="M24" s="106" t="s">
        <v>119</v>
      </c>
    </row>
    <row r="25" spans="1:15">
      <c r="A25" t="s">
        <v>133</v>
      </c>
      <c r="B25" s="74" t="s">
        <v>134</v>
      </c>
      <c r="C25" s="29"/>
      <c r="D25" s="23">
        <f>'Elec-Dec18'!E31</f>
        <v>-964864.53192316543</v>
      </c>
      <c r="E25" s="23">
        <f>ROUND($D$25*E32,0)</f>
        <v>-16468</v>
      </c>
      <c r="F25" s="23">
        <f>ROUND($D$25*F32,0)</f>
        <v>-306158</v>
      </c>
      <c r="G25" s="23">
        <f>ROUND($D$25*G32,0)</f>
        <v>-156486</v>
      </c>
      <c r="H25" s="23">
        <f>ROUND($D$25*H32,0)</f>
        <v>-363847</v>
      </c>
      <c r="I25" s="23">
        <f>ROUND($D$25*I32,0)</f>
        <v>-121905</v>
      </c>
      <c r="L25" t="s">
        <v>136</v>
      </c>
      <c r="M25" s="116">
        <f>'E-PLT'!I18</f>
        <v>260548554</v>
      </c>
      <c r="O25" s="8">
        <f>M25/M27</f>
        <v>0.701135425300358</v>
      </c>
    </row>
    <row r="26" spans="1:15">
      <c r="C26" s="29" t="s">
        <v>41</v>
      </c>
      <c r="D26">
        <v>0</v>
      </c>
      <c r="L26" t="s">
        <v>137</v>
      </c>
      <c r="M26" s="156">
        <f>-M5</f>
        <v>111060902.0311</v>
      </c>
      <c r="O26" s="8">
        <f>M26/M27</f>
        <v>0.29886457469964195</v>
      </c>
    </row>
    <row r="27" spans="1:15">
      <c r="A27" t="s">
        <v>29</v>
      </c>
      <c r="D27" s="113">
        <f t="shared" ref="D27:I27" si="5">SUM(D22:D26)</f>
        <v>-1075027.101364396</v>
      </c>
      <c r="E27" s="113">
        <f t="shared" si="5"/>
        <v>-131397.30628657466</v>
      </c>
      <c r="F27" s="113">
        <f t="shared" si="5"/>
        <v>-280067.98559391667</v>
      </c>
      <c r="G27" s="113">
        <f t="shared" si="5"/>
        <v>-156486</v>
      </c>
      <c r="H27" s="113">
        <f t="shared" si="5"/>
        <v>-363847</v>
      </c>
      <c r="I27" s="113">
        <f t="shared" si="5"/>
        <v>-143228.27756073937</v>
      </c>
      <c r="J27" s="23">
        <f>D29-E29-F29-G29-H29-I29</f>
        <v>-0.53192318975925446</v>
      </c>
      <c r="M27" s="116">
        <f>SUM(M25:M26)</f>
        <v>371609456.03110003</v>
      </c>
      <c r="O27" s="8">
        <f>SUM(O25:O26)</f>
        <v>1</v>
      </c>
    </row>
    <row r="28" spans="1:15">
      <c r="D28" s="23"/>
      <c r="M28" s="116"/>
    </row>
    <row r="29" spans="1:15" ht="13.8" thickBot="1">
      <c r="A29" t="s">
        <v>30</v>
      </c>
      <c r="C29" s="172" t="s">
        <v>235</v>
      </c>
      <c r="D29" s="115">
        <f t="shared" ref="D29:I29" si="6">D20+D27</f>
        <v>-412882732.20069069</v>
      </c>
      <c r="E29" s="115">
        <f t="shared" si="6"/>
        <v>-13356242.182941629</v>
      </c>
      <c r="F29" s="115">
        <f t="shared" si="6"/>
        <v>-135631598.12920237</v>
      </c>
      <c r="G29" s="115">
        <f t="shared" si="6"/>
        <v>-65794522.694100007</v>
      </c>
      <c r="H29" s="115">
        <f t="shared" si="6"/>
        <v>-157486793.3608</v>
      </c>
      <c r="I29" s="115">
        <f t="shared" si="6"/>
        <v>-40613575.301723495</v>
      </c>
      <c r="M29" s="116"/>
    </row>
    <row r="30" spans="1:15" ht="13.8" thickTop="1">
      <c r="M30" s="157"/>
    </row>
    <row r="31" spans="1:15">
      <c r="B31" t="s">
        <v>72</v>
      </c>
      <c r="C31" t="s">
        <v>138</v>
      </c>
      <c r="D31" s="111">
        <f>SUM(E31:I31)</f>
        <v>2941241290</v>
      </c>
      <c r="E31" s="116">
        <f>M7</f>
        <v>50200444.968899995</v>
      </c>
      <c r="F31" s="116">
        <f>M13</f>
        <v>933275893</v>
      </c>
      <c r="G31" s="116">
        <f>M17</f>
        <v>477023994</v>
      </c>
      <c r="H31" s="116">
        <f>M22</f>
        <v>1109131502</v>
      </c>
      <c r="I31" s="116">
        <f>M27</f>
        <v>371609456.03110003</v>
      </c>
      <c r="M31" s="157"/>
    </row>
    <row r="32" spans="1:15" hidden="1">
      <c r="E32" s="117">
        <f>ROUND(E31/$D$31,7)</f>
        <v>1.7067800000000001E-2</v>
      </c>
      <c r="F32" s="117">
        <f>ROUND(F31/$D$31,7)</f>
        <v>0.3173068</v>
      </c>
      <c r="G32" s="117">
        <f>ROUND(G31/$D$31,7)</f>
        <v>0.16218460000000001</v>
      </c>
      <c r="H32" s="117">
        <f>ROUND(H31/$D$31,7)</f>
        <v>0.3770964</v>
      </c>
      <c r="I32" s="117">
        <f>ROUND(I31/$D$31,7)</f>
        <v>0.1263444</v>
      </c>
      <c r="M32" s="157"/>
    </row>
    <row r="33" spans="1:13" hidden="1">
      <c r="A33" t="s">
        <v>139</v>
      </c>
      <c r="C33" s="29" t="s">
        <v>40</v>
      </c>
      <c r="D33" s="23">
        <f>SUM(E33:I33)</f>
        <v>-412884000</v>
      </c>
      <c r="E33" s="53">
        <f>ROUND(E29,-3)</f>
        <v>-13356000</v>
      </c>
      <c r="F33" s="53">
        <f>ROUND(F29,-3)</f>
        <v>-135632000</v>
      </c>
      <c r="G33" s="53">
        <f>ROUND(G29,-3)</f>
        <v>-65795000</v>
      </c>
      <c r="H33" s="53">
        <f>ROUND(H29,-3)</f>
        <v>-157487000</v>
      </c>
      <c r="I33" s="53">
        <f>ROUND(I29,-3)</f>
        <v>-40614000</v>
      </c>
      <c r="M33" s="157"/>
    </row>
    <row r="34" spans="1:13" hidden="1">
      <c r="A34" t="s">
        <v>140</v>
      </c>
      <c r="B34" t="s">
        <v>141</v>
      </c>
      <c r="C34" s="29" t="s">
        <v>126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7"/>
    </row>
    <row r="35" spans="1:13" hidden="1">
      <c r="A35" t="s">
        <v>142</v>
      </c>
      <c r="B35" t="s">
        <v>143</v>
      </c>
      <c r="C35" s="29" t="s">
        <v>122</v>
      </c>
      <c r="D35" s="111"/>
      <c r="E35" s="111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7"/>
    </row>
    <row r="36" spans="1:13" hidden="1">
      <c r="A36" t="s">
        <v>144</v>
      </c>
      <c r="B36" t="s">
        <v>145</v>
      </c>
      <c r="C36" s="29" t="s">
        <v>122</v>
      </c>
      <c r="D36" s="111"/>
      <c r="E36" s="111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7"/>
    </row>
    <row r="37" spans="1:13" hidden="1">
      <c r="A37" t="s">
        <v>146</v>
      </c>
      <c r="B37" t="s">
        <v>147</v>
      </c>
      <c r="C37" s="29" t="s">
        <v>40</v>
      </c>
      <c r="D37" s="111">
        <f>SUM(F37:I37)</f>
        <v>0</v>
      </c>
      <c r="E37" s="111"/>
      <c r="F37" s="23">
        <f>-G37</f>
        <v>0</v>
      </c>
      <c r="G37" s="23">
        <v>0</v>
      </c>
      <c r="H37" s="23">
        <v>0</v>
      </c>
      <c r="I37" s="23">
        <v>0</v>
      </c>
      <c r="M37" s="157"/>
    </row>
    <row r="38" spans="1:13" hidden="1">
      <c r="A38" t="s">
        <v>148</v>
      </c>
      <c r="B38" t="s">
        <v>149</v>
      </c>
      <c r="C38" s="29" t="s">
        <v>40</v>
      </c>
      <c r="D38" s="111">
        <f>SUM(F38:I38)</f>
        <v>0</v>
      </c>
      <c r="E38" s="111"/>
      <c r="F38" s="23"/>
      <c r="G38" s="23"/>
      <c r="H38" s="23"/>
      <c r="I38" s="23"/>
      <c r="M38" s="157"/>
    </row>
    <row r="39" spans="1:13" hidden="1">
      <c r="A39" t="s">
        <v>150</v>
      </c>
      <c r="B39" t="s">
        <v>151</v>
      </c>
      <c r="C39" s="29" t="s">
        <v>40</v>
      </c>
      <c r="D39" s="111">
        <f>SUM(F39:I39)</f>
        <v>0</v>
      </c>
      <c r="E39" s="111"/>
      <c r="F39" s="23"/>
      <c r="G39" s="23"/>
      <c r="H39" s="23"/>
      <c r="I39" s="23"/>
      <c r="M39" s="157"/>
    </row>
    <row r="40" spans="1:13" hidden="1">
      <c r="A40" t="s">
        <v>152</v>
      </c>
      <c r="B40" t="s">
        <v>153</v>
      </c>
      <c r="C40" s="29" t="s">
        <v>122</v>
      </c>
      <c r="D40" s="111"/>
      <c r="E40" s="111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7"/>
    </row>
    <row r="41" spans="1:13" hidden="1">
      <c r="A41" t="s">
        <v>154</v>
      </c>
      <c r="B41" t="s">
        <v>155</v>
      </c>
      <c r="C41" s="29" t="s">
        <v>122</v>
      </c>
      <c r="D41" s="111"/>
      <c r="E41" s="111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7"/>
    </row>
    <row r="42" spans="1:13" hidden="1">
      <c r="A42" t="s">
        <v>93</v>
      </c>
      <c r="B42" t="s">
        <v>156</v>
      </c>
      <c r="C42" s="29" t="s">
        <v>122</v>
      </c>
      <c r="D42" s="111"/>
      <c r="E42" s="111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7"/>
    </row>
    <row r="43" spans="1:13" hidden="1">
      <c r="A43" t="s">
        <v>157</v>
      </c>
      <c r="B43" t="s">
        <v>158</v>
      </c>
      <c r="C43" s="29" t="s">
        <v>122</v>
      </c>
      <c r="D43" s="111"/>
      <c r="E43" s="111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7"/>
    </row>
    <row r="44" spans="1:13" hidden="1">
      <c r="D44" s="118"/>
      <c r="E44" s="118"/>
      <c r="F44" s="118"/>
      <c r="G44" s="118"/>
      <c r="H44" s="118"/>
      <c r="I44" s="118"/>
      <c r="M44" s="157"/>
    </row>
    <row r="45" spans="1:13" hidden="1">
      <c r="A45" s="119" t="s">
        <v>244</v>
      </c>
      <c r="D45" s="180">
        <f t="shared" ref="D45:I45" si="7">SUM(D34:D43)+ROUND(D29,-3)</f>
        <v>-412883000</v>
      </c>
      <c r="E45" s="180">
        <f t="shared" si="7"/>
        <v>-13356000</v>
      </c>
      <c r="F45" s="180">
        <f t="shared" si="7"/>
        <v>-135632000</v>
      </c>
      <c r="G45" s="180">
        <f t="shared" si="7"/>
        <v>-65795000</v>
      </c>
      <c r="H45" s="180">
        <f t="shared" si="7"/>
        <v>-157487000</v>
      </c>
      <c r="I45" s="180">
        <f t="shared" si="7"/>
        <v>-40614000</v>
      </c>
      <c r="M45" s="157"/>
    </row>
    <row r="46" spans="1:13" hidden="1">
      <c r="A46" s="119" t="s">
        <v>245</v>
      </c>
      <c r="D46" s="178">
        <f>SUM(E46:I46)</f>
        <v>0</v>
      </c>
      <c r="E46" s="178"/>
      <c r="F46" s="178"/>
      <c r="G46" s="178"/>
      <c r="H46" s="178"/>
      <c r="I46" s="178"/>
      <c r="M46" s="157"/>
    </row>
    <row r="47" spans="1:13" hidden="1">
      <c r="M47" s="157"/>
    </row>
    <row r="48" spans="1:13" ht="13.8" thickBot="1">
      <c r="A48" s="52"/>
      <c r="D48" s="177"/>
      <c r="E48" s="177"/>
      <c r="F48" s="177"/>
      <c r="G48" s="177"/>
      <c r="H48" s="177"/>
      <c r="I48" s="177"/>
      <c r="M48" s="157" t="s">
        <v>160</v>
      </c>
    </row>
    <row r="49" spans="1:15">
      <c r="M49" s="157"/>
    </row>
    <row r="50" spans="1:15">
      <c r="A50" t="s">
        <v>68</v>
      </c>
      <c r="L50" s="106" t="s">
        <v>115</v>
      </c>
      <c r="M50" s="106" t="s">
        <v>10</v>
      </c>
    </row>
    <row r="51" spans="1:15">
      <c r="A51" s="52" t="s">
        <v>159</v>
      </c>
      <c r="L51" t="s">
        <v>116</v>
      </c>
      <c r="M51" s="116">
        <f>'E-PLT'!M8+'E-PLT'!M9+'E-PLT'!M10+'E-PLT'!M11</f>
        <v>43880747</v>
      </c>
    </row>
    <row r="52" spans="1:15">
      <c r="A52" t="str">
        <f>A3</f>
        <v>Average - Twelve Months Ended December 31, 2018</v>
      </c>
      <c r="L52" t="s">
        <v>118</v>
      </c>
      <c r="M52" s="156">
        <f>'E-PLT'!L32</f>
        <v>50854303.968900003</v>
      </c>
      <c r="O52" s="106"/>
    </row>
    <row r="53" spans="1:15">
      <c r="J53" s="109" t="s">
        <v>120</v>
      </c>
      <c r="L53" t="s">
        <v>118</v>
      </c>
      <c r="M53" s="116"/>
      <c r="O53" s="107"/>
    </row>
    <row r="54" spans="1:15">
      <c r="A54" t="s">
        <v>117</v>
      </c>
      <c r="M54" s="116">
        <f>SUM(M51:M53)</f>
        <v>94735050.968899995</v>
      </c>
      <c r="O54" s="107"/>
    </row>
    <row r="55" spans="1:15">
      <c r="D55" s="30" t="s">
        <v>6</v>
      </c>
      <c r="E55" s="108" t="s">
        <v>10</v>
      </c>
      <c r="F55" s="108" t="s">
        <v>11</v>
      </c>
      <c r="G55" s="108" t="s">
        <v>12</v>
      </c>
      <c r="H55" s="108" t="s">
        <v>13</v>
      </c>
      <c r="I55" s="108" t="s">
        <v>161</v>
      </c>
      <c r="M55" s="157"/>
      <c r="O55" s="107"/>
    </row>
    <row r="56" spans="1:15">
      <c r="E56" s="110"/>
      <c r="F56" s="110"/>
      <c r="G56" s="110"/>
      <c r="H56" s="110"/>
      <c r="L56" s="106" t="s">
        <v>115</v>
      </c>
      <c r="M56" s="106" t="s">
        <v>11</v>
      </c>
      <c r="O56" s="107"/>
    </row>
    <row r="57" spans="1:15">
      <c r="A57" t="s">
        <v>162</v>
      </c>
      <c r="C57" s="138" t="s">
        <v>122</v>
      </c>
      <c r="D57" s="23">
        <f>'Elec-Dec18'!F10</f>
        <v>-3449117.6947999997</v>
      </c>
      <c r="E57" s="111">
        <v>0</v>
      </c>
      <c r="F57" s="111">
        <f>D57</f>
        <v>-3449117.6947999997</v>
      </c>
      <c r="G57" s="111"/>
      <c r="H57" s="111"/>
      <c r="I57" s="112"/>
      <c r="L57" t="s">
        <v>124</v>
      </c>
      <c r="M57" s="116">
        <f>'E-PLT'!M15</f>
        <v>479144585</v>
      </c>
      <c r="O57" s="107"/>
    </row>
    <row r="58" spans="1:15">
      <c r="A58" t="s">
        <v>11</v>
      </c>
      <c r="C58" s="29" t="s">
        <v>122</v>
      </c>
      <c r="D58" s="23">
        <f>'Elec-Dec18'!F11</f>
        <v>-65929826.30749999</v>
      </c>
      <c r="E58" s="23">
        <v>0</v>
      </c>
      <c r="F58" s="23">
        <f t="shared" ref="E58:F63" si="8">IF($C58="P",$D58,0)</f>
        <v>-65929826.30749999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125</v>
      </c>
      <c r="M58" s="116">
        <f>'E-PLT'!M4+'E-PLT'!M5+'E-PLT'!M6+'E-PLT'!M7</f>
        <v>14825118</v>
      </c>
      <c r="O58" s="107"/>
    </row>
    <row r="59" spans="1:15">
      <c r="A59" t="s">
        <v>12</v>
      </c>
      <c r="C59" s="29" t="s">
        <v>123</v>
      </c>
      <c r="D59" s="23">
        <f>'Elec-Dec18'!F12</f>
        <v>-34741282.305899993</v>
      </c>
      <c r="E59" s="23">
        <f t="shared" si="8"/>
        <v>0</v>
      </c>
      <c r="F59" s="23">
        <f t="shared" si="8"/>
        <v>0</v>
      </c>
      <c r="G59" s="23">
        <f t="shared" si="9"/>
        <v>-34741282.305899993</v>
      </c>
      <c r="H59" s="23">
        <f t="shared" si="10"/>
        <v>0</v>
      </c>
      <c r="I59" s="23">
        <f>IF($C59="O",$D59,0)</f>
        <v>0</v>
      </c>
      <c r="L59" t="s">
        <v>127</v>
      </c>
      <c r="M59" s="156"/>
    </row>
    <row r="60" spans="1:15">
      <c r="A60" t="s">
        <v>13</v>
      </c>
      <c r="C60" s="29" t="s">
        <v>41</v>
      </c>
      <c r="D60" s="23">
        <f>'Elec-Dec18'!F13</f>
        <v>-75527708.639200002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-75527708.639200002</v>
      </c>
      <c r="I60" s="23">
        <f>IF($C60="O",$D60,0)</f>
        <v>0</v>
      </c>
      <c r="J60" s="23">
        <f>D62-E62-F62-G62-H62-I62</f>
        <v>0</v>
      </c>
      <c r="M60" s="116">
        <f>SUM(M57:M59)</f>
        <v>493969703</v>
      </c>
      <c r="O60" s="106"/>
    </row>
    <row r="61" spans="1:15">
      <c r="A61" t="s">
        <v>78</v>
      </c>
      <c r="C61" s="29" t="s">
        <v>126</v>
      </c>
      <c r="D61" s="23">
        <f>'Elec-Dec18'!F14</f>
        <v>-4697770.6938999994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-4697770.6938999994</v>
      </c>
      <c r="J61" s="23">
        <f>D63-E63-F63-G63-H63-I63</f>
        <v>0</v>
      </c>
      <c r="M61" s="116"/>
      <c r="O61" s="107"/>
    </row>
    <row r="62" spans="1:15">
      <c r="A62" t="s">
        <v>128</v>
      </c>
      <c r="C62" s="29" t="s">
        <v>126</v>
      </c>
      <c r="D62" s="23">
        <f>'Elec-Dec18'!F16</f>
        <v>-20076300.92988275</v>
      </c>
      <c r="E62" s="23">
        <f>D62*O73</f>
        <v>12840247.892372727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-32916548.822255477</v>
      </c>
      <c r="L62" s="107"/>
      <c r="M62" s="157"/>
      <c r="O62" s="107"/>
    </row>
    <row r="63" spans="1:15">
      <c r="A63" t="s">
        <v>129</v>
      </c>
      <c r="C63" s="29" t="s">
        <v>126</v>
      </c>
      <c r="D63" s="33">
        <f>'Elec-Dec18'!F17</f>
        <v>-182908.03486851393</v>
      </c>
      <c r="E63" s="33">
        <f>D63*O73</f>
        <v>116982.93014340613</v>
      </c>
      <c r="F63" s="33">
        <f t="shared" si="8"/>
        <v>0</v>
      </c>
      <c r="G63" s="33">
        <f t="shared" si="9"/>
        <v>0</v>
      </c>
      <c r="H63" s="33">
        <f t="shared" si="10"/>
        <v>0</v>
      </c>
      <c r="I63" s="33">
        <f>D63*O72</f>
        <v>-299890.96501192008</v>
      </c>
      <c r="L63" s="106" t="s">
        <v>115</v>
      </c>
      <c r="M63" s="106" t="s">
        <v>12</v>
      </c>
      <c r="O63" s="107"/>
    </row>
    <row r="64" spans="1:15">
      <c r="A64" t="s">
        <v>71</v>
      </c>
      <c r="C64" s="29"/>
      <c r="D64" s="23">
        <f t="shared" ref="D64:I64" si="11">SUM(D57:D63)</f>
        <v>-204604914.60605124</v>
      </c>
      <c r="E64" s="23">
        <f t="shared" si="11"/>
        <v>12957230.822516134</v>
      </c>
      <c r="F64" s="23">
        <f t="shared" si="11"/>
        <v>-69378944.002299994</v>
      </c>
      <c r="G64" s="23">
        <f t="shared" si="11"/>
        <v>-34741282.305899993</v>
      </c>
      <c r="H64" s="23">
        <f t="shared" si="11"/>
        <v>-75527708.639200002</v>
      </c>
      <c r="I64" s="23">
        <f t="shared" si="11"/>
        <v>-37914210.481167391</v>
      </c>
      <c r="L64" t="s">
        <v>131</v>
      </c>
      <c r="M64" s="116">
        <f>'E-PLT'!M16</f>
        <v>252482037</v>
      </c>
    </row>
    <row r="65" spans="1:16">
      <c r="A65" t="s">
        <v>22</v>
      </c>
      <c r="C65" s="29" t="s">
        <v>122</v>
      </c>
      <c r="D65" s="23">
        <f>'Elec-Dec18'!F20</f>
        <v>0</v>
      </c>
      <c r="E65" s="23">
        <v>0</v>
      </c>
      <c r="F65" s="23">
        <f>IF($C65="P",$D65,0)</f>
        <v>0</v>
      </c>
      <c r="G65" s="24"/>
      <c r="H65" s="24"/>
      <c r="I65" s="24"/>
      <c r="M65" s="116"/>
      <c r="P65" s="1"/>
    </row>
    <row r="66" spans="1:16">
      <c r="A66" t="s">
        <v>130</v>
      </c>
      <c r="C66" s="29" t="s">
        <v>122</v>
      </c>
      <c r="D66" s="23">
        <f>'Elec-Dec18'!F21</f>
        <v>0</v>
      </c>
      <c r="E66" s="23">
        <v>0</v>
      </c>
      <c r="F66" s="23">
        <f>IF($C66="P",$D66,0)</f>
        <v>0</v>
      </c>
      <c r="G66" s="24"/>
      <c r="H66" s="24"/>
      <c r="I66" s="24"/>
      <c r="M66" s="116"/>
      <c r="O66" s="106"/>
      <c r="P66" s="1"/>
    </row>
    <row r="67" spans="1:16">
      <c r="A67" t="s">
        <v>93</v>
      </c>
      <c r="C67" s="29" t="s">
        <v>122</v>
      </c>
      <c r="D67" s="24">
        <f>'Elec-Dec18'!F22</f>
        <v>-2348104.0338915</v>
      </c>
      <c r="E67" s="23">
        <v>0</v>
      </c>
      <c r="F67" s="23">
        <f>IF($C67="P",$D67,0)</f>
        <v>-2348104.0338915</v>
      </c>
      <c r="G67" s="24"/>
      <c r="H67" s="24"/>
      <c r="I67" s="24"/>
      <c r="M67" s="157"/>
      <c r="O67" s="107"/>
      <c r="P67" s="1"/>
    </row>
    <row r="68" spans="1:16">
      <c r="A68" t="s">
        <v>205</v>
      </c>
      <c r="C68" s="138" t="s">
        <v>122</v>
      </c>
      <c r="D68" s="24">
        <f>'Elec-Dec18'!F23</f>
        <v>87401.939383291654</v>
      </c>
      <c r="E68" s="23"/>
      <c r="F68" s="23">
        <f>IF($C68="P",$D68,0)</f>
        <v>87401.939383291654</v>
      </c>
      <c r="G68" s="24"/>
      <c r="H68" s="24"/>
      <c r="I68" s="24"/>
      <c r="L68" s="106" t="s">
        <v>115</v>
      </c>
      <c r="M68" s="106" t="s">
        <v>13</v>
      </c>
      <c r="O68" s="107"/>
      <c r="P68" s="1"/>
    </row>
    <row r="69" spans="1:16">
      <c r="A69" t="s">
        <v>132</v>
      </c>
      <c r="C69" s="29"/>
      <c r="D69" s="113">
        <f>SUM(D64:D68)</f>
        <v>-206865616.70055944</v>
      </c>
      <c r="E69" s="113">
        <f t="shared" ref="E69:I69" si="12">SUM(E64:E68)</f>
        <v>12957230.822516134</v>
      </c>
      <c r="F69" s="113">
        <f t="shared" si="12"/>
        <v>-71639646.096808195</v>
      </c>
      <c r="G69" s="113">
        <f t="shared" si="12"/>
        <v>-34741282.305899993</v>
      </c>
      <c r="H69" s="113">
        <f t="shared" si="12"/>
        <v>-75527708.639200002</v>
      </c>
      <c r="I69" s="113">
        <f t="shared" si="12"/>
        <v>-37914210.481167391</v>
      </c>
      <c r="J69" s="23">
        <f>D74-E74-F74-G74-H74-I74</f>
        <v>-0.11821912642335519</v>
      </c>
      <c r="L69" s="114" t="s">
        <v>135</v>
      </c>
      <c r="M69" s="116">
        <f>'E-PLT'!M17</f>
        <v>581655603</v>
      </c>
      <c r="O69" s="107"/>
      <c r="P69" s="1"/>
    </row>
    <row r="70" spans="1:16">
      <c r="C70" s="29"/>
      <c r="D70" s="23"/>
      <c r="E70" s="23"/>
      <c r="F70" s="23"/>
      <c r="G70" s="23"/>
      <c r="H70" s="23"/>
      <c r="I70" s="23"/>
      <c r="M70" s="157"/>
      <c r="O70" s="107"/>
      <c r="P70" s="1"/>
    </row>
    <row r="71" spans="1:16">
      <c r="A71" t="s">
        <v>83</v>
      </c>
      <c r="C71" s="29" t="s">
        <v>122</v>
      </c>
      <c r="D71" s="23">
        <f>'Elec-Dec18'!F29</f>
        <v>13809.074760583333</v>
      </c>
      <c r="E71" s="23">
        <v>0</v>
      </c>
      <c r="F71" s="23">
        <f>IF($C71="P",$D71,0)</f>
        <v>13809.074760583333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6" t="s">
        <v>115</v>
      </c>
      <c r="M71" s="106" t="s">
        <v>119</v>
      </c>
      <c r="O71" s="107"/>
      <c r="P71" s="1"/>
    </row>
    <row r="72" spans="1:16">
      <c r="A72" t="str">
        <f>'Elec-Dec18'!A28</f>
        <v>ADFIT-Plant - AFUDC Equity</v>
      </c>
      <c r="C72" s="191" t="s">
        <v>126</v>
      </c>
      <c r="D72" s="23">
        <f>'Elec-Dec18'!F28</f>
        <v>-9762.4831517606272</v>
      </c>
      <c r="E72" s="23"/>
      <c r="F72" s="23"/>
      <c r="G72" s="23"/>
      <c r="H72" s="23"/>
      <c r="I72" s="23">
        <f>IF($C72="O",$D72,0)</f>
        <v>-9762.4831517606272</v>
      </c>
      <c r="L72" t="s">
        <v>136</v>
      </c>
      <c r="M72" s="116">
        <f>'E-PLT'!M18</f>
        <v>130367279</v>
      </c>
      <c r="O72" s="18">
        <f>M72/M74</f>
        <v>1.6395723961908015</v>
      </c>
      <c r="P72" s="1"/>
    </row>
    <row r="73" spans="1:16">
      <c r="A73" t="s">
        <v>220</v>
      </c>
      <c r="C73" s="138" t="s">
        <v>121</v>
      </c>
      <c r="D73" s="23">
        <f>'Elec-Dec18'!F30</f>
        <v>-52618.337545446142</v>
      </c>
      <c r="E73" s="23">
        <f>D73</f>
        <v>-52618.337545446142</v>
      </c>
      <c r="F73" s="23"/>
      <c r="G73" s="23"/>
      <c r="H73" s="23"/>
      <c r="I73" s="23"/>
      <c r="J73" s="23">
        <f>D77-E77-F77-G77-H77-I77</f>
        <v>-0.11821910738945007</v>
      </c>
      <c r="L73" t="s">
        <v>137</v>
      </c>
      <c r="M73" s="156">
        <f>-M52</f>
        <v>-50854303.968900003</v>
      </c>
      <c r="O73" s="18">
        <f>M73/M74</f>
        <v>-0.63957239619080153</v>
      </c>
      <c r="P73" s="1"/>
    </row>
    <row r="74" spans="1:16">
      <c r="A74" t="s">
        <v>133</v>
      </c>
      <c r="B74" s="74" t="s">
        <v>134</v>
      </c>
      <c r="C74" s="29"/>
      <c r="D74" s="23">
        <f>'Elec-Dec18'!F31</f>
        <v>-485427.11821912642</v>
      </c>
      <c r="E74" s="23">
        <f>ROUND($D$74*E80,0)</f>
        <v>-30610</v>
      </c>
      <c r="F74" s="23">
        <f>ROUND($D$74*F80,0)</f>
        <v>-159607</v>
      </c>
      <c r="G74" s="23">
        <f>ROUND($D$74*G80,0)</f>
        <v>-81580</v>
      </c>
      <c r="H74" s="23">
        <f>ROUND($D$74*H80,0)</f>
        <v>-187939</v>
      </c>
      <c r="I74" s="23">
        <f>ROUND($D$74*I80,0)</f>
        <v>-25691</v>
      </c>
      <c r="M74" s="116">
        <f>SUM(M72:M73)</f>
        <v>79512975.031100005</v>
      </c>
      <c r="O74" s="8">
        <f>SUM(O72:O73)</f>
        <v>1</v>
      </c>
      <c r="P74" s="1"/>
    </row>
    <row r="75" spans="1:16">
      <c r="A75" t="s">
        <v>29</v>
      </c>
      <c r="D75" s="113">
        <f t="shared" ref="D75:I75" si="13">SUM(D71:D74)</f>
        <v>-533998.86415574991</v>
      </c>
      <c r="E75" s="113">
        <f t="shared" si="13"/>
        <v>-83228.337545446149</v>
      </c>
      <c r="F75" s="113">
        <f t="shared" si="13"/>
        <v>-145797.92523941665</v>
      </c>
      <c r="G75" s="113">
        <f t="shared" si="13"/>
        <v>-81580</v>
      </c>
      <c r="H75" s="113">
        <f t="shared" si="13"/>
        <v>-187939</v>
      </c>
      <c r="I75" s="113">
        <f t="shared" si="13"/>
        <v>-35453.483151760629</v>
      </c>
      <c r="P75" s="1"/>
    </row>
    <row r="76" spans="1:16">
      <c r="D76" s="23"/>
      <c r="P76" s="1"/>
    </row>
    <row r="77" spans="1:16" ht="13.8" thickBot="1">
      <c r="A77" t="s">
        <v>30</v>
      </c>
      <c r="D77" s="115">
        <f t="shared" ref="D77:I77" si="14">D69+D75</f>
        <v>-207399615.56471518</v>
      </c>
      <c r="E77" s="115">
        <f t="shared" si="14"/>
        <v>12874002.484970687</v>
      </c>
      <c r="F77" s="115">
        <f t="shared" si="14"/>
        <v>-71785444.022047609</v>
      </c>
      <c r="G77" s="115">
        <f t="shared" si="14"/>
        <v>-34822862.305899993</v>
      </c>
      <c r="H77" s="115">
        <f t="shared" si="14"/>
        <v>-75715647.639200002</v>
      </c>
      <c r="I77" s="115">
        <f t="shared" si="14"/>
        <v>-37949663.964319155</v>
      </c>
      <c r="P77" s="1"/>
    </row>
    <row r="78" spans="1:16" ht="13.8" thickTop="1">
      <c r="P78" s="1"/>
    </row>
    <row r="79" spans="1:16">
      <c r="B79" t="s">
        <v>72</v>
      </c>
      <c r="C79" t="s">
        <v>138</v>
      </c>
      <c r="D79" s="111">
        <f>SUM(E79:I79)</f>
        <v>1502355369</v>
      </c>
      <c r="E79" s="111">
        <f>M54</f>
        <v>94735050.968899995</v>
      </c>
      <c r="F79" s="116">
        <f>M60</f>
        <v>493969703</v>
      </c>
      <c r="G79" s="116">
        <f>M64</f>
        <v>252482037</v>
      </c>
      <c r="H79" s="116">
        <f>M69</f>
        <v>581655603</v>
      </c>
      <c r="I79" s="116">
        <f>M74</f>
        <v>79512975.031100005</v>
      </c>
      <c r="P79" s="1"/>
    </row>
    <row r="80" spans="1:16">
      <c r="E80" s="120">
        <f>ROUND(E79/$D$79,7)</f>
        <v>6.3057699999999994E-2</v>
      </c>
      <c r="F80" s="120">
        <f>ROUND(F79/$D$79,7)</f>
        <v>0.3287968</v>
      </c>
      <c r="G80" s="120">
        <f>ROUND(G79/$D$79,7)</f>
        <v>0.1680575</v>
      </c>
      <c r="H80" s="120">
        <f>ROUND(H79/$D$79,7)</f>
        <v>0.38716250000000002</v>
      </c>
      <c r="I80" s="120">
        <f>ROUND(I79/$D$79,7)</f>
        <v>5.29255E-2</v>
      </c>
      <c r="P80" s="1"/>
    </row>
    <row r="81" spans="1:16">
      <c r="C81" s="29"/>
      <c r="D81" s="23"/>
      <c r="E81" s="23"/>
      <c r="F81" s="53"/>
      <c r="G81" s="53"/>
      <c r="H81" s="53"/>
      <c r="I81" s="53"/>
      <c r="P81" s="1"/>
    </row>
    <row r="82" spans="1:16">
      <c r="C82" s="29"/>
      <c r="D82" s="23"/>
      <c r="E82" s="23"/>
      <c r="F82" s="23"/>
      <c r="G82" s="23"/>
      <c r="H82" s="23"/>
      <c r="I82" s="23"/>
    </row>
    <row r="83" spans="1:16">
      <c r="C83" s="29"/>
      <c r="D83" s="23"/>
      <c r="E83" s="23"/>
      <c r="F83" s="23"/>
      <c r="G83" s="23"/>
      <c r="H83" s="23"/>
      <c r="I83" s="23"/>
    </row>
    <row r="84" spans="1:16">
      <c r="C84" s="29"/>
      <c r="D84" s="23"/>
      <c r="E84" s="23"/>
      <c r="F84" s="23"/>
      <c r="G84" s="23"/>
      <c r="H84" s="23"/>
      <c r="I84" s="23"/>
    </row>
    <row r="85" spans="1:16">
      <c r="C85" s="29"/>
      <c r="D85" s="23"/>
      <c r="E85" s="23"/>
      <c r="F85" s="23"/>
      <c r="G85" s="23"/>
      <c r="H85" s="23"/>
      <c r="I85" s="23"/>
    </row>
    <row r="86" spans="1:16">
      <c r="C86" s="29"/>
      <c r="D86" s="23"/>
      <c r="E86" s="23"/>
      <c r="F86" s="23"/>
      <c r="G86" s="23"/>
      <c r="H86" s="23"/>
      <c r="I86" s="23"/>
    </row>
    <row r="87" spans="1:16">
      <c r="C87" s="29"/>
      <c r="D87" s="23"/>
      <c r="E87" s="23"/>
      <c r="F87" s="23"/>
      <c r="G87" s="23"/>
      <c r="H87" s="23"/>
      <c r="I87" s="23"/>
    </row>
    <row r="88" spans="1:16">
      <c r="C88" s="29"/>
      <c r="D88" s="23"/>
      <c r="E88" s="23"/>
      <c r="F88" s="23"/>
      <c r="G88" s="23"/>
      <c r="H88" s="23"/>
      <c r="I88" s="23"/>
    </row>
    <row r="89" spans="1:16">
      <c r="C89" s="29"/>
      <c r="D89" s="23"/>
      <c r="E89" s="23"/>
      <c r="F89" s="23"/>
      <c r="G89" s="23"/>
      <c r="H89" s="23"/>
      <c r="I89" s="23"/>
    </row>
    <row r="90" spans="1:16">
      <c r="C90" s="29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9"/>
      <c r="D92" s="121"/>
      <c r="E92" s="121"/>
      <c r="F92" s="121"/>
      <c r="G92" s="121"/>
      <c r="H92" s="121"/>
      <c r="I92" s="121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7" t="s">
        <v>113</v>
      </c>
    </row>
    <row r="2" spans="1:12">
      <c r="A2" s="52" t="s">
        <v>163</v>
      </c>
      <c r="L2" s="27"/>
    </row>
    <row r="3" spans="1:12">
      <c r="A3" t="str">
        <f>'SYS-Dec18'!D3</f>
        <v>Average - Twelve Months Ended December 31, 2018</v>
      </c>
      <c r="K3" s="106" t="s">
        <v>115</v>
      </c>
      <c r="L3" s="106" t="s">
        <v>10</v>
      </c>
    </row>
    <row r="4" spans="1:12">
      <c r="K4" t="s">
        <v>10</v>
      </c>
      <c r="L4" s="116">
        <f>'G-PLT'!I8</f>
        <v>36603334</v>
      </c>
    </row>
    <row r="5" spans="1:12">
      <c r="A5" t="s">
        <v>117</v>
      </c>
      <c r="K5" t="s">
        <v>118</v>
      </c>
      <c r="L5" s="156">
        <f>-'G-PLT'!H27</f>
        <v>-34272558.265440002</v>
      </c>
    </row>
    <row r="6" spans="1:12">
      <c r="D6" s="30" t="s">
        <v>5</v>
      </c>
      <c r="E6" s="108" t="s">
        <v>10</v>
      </c>
      <c r="F6" s="108" t="s">
        <v>47</v>
      </c>
      <c r="G6" s="108" t="s">
        <v>13</v>
      </c>
      <c r="H6" s="108" t="s">
        <v>119</v>
      </c>
      <c r="I6" s="109" t="s">
        <v>120</v>
      </c>
      <c r="L6" s="116"/>
    </row>
    <row r="7" spans="1:12">
      <c r="E7" s="110"/>
      <c r="F7" s="110"/>
      <c r="G7" s="110"/>
      <c r="L7" s="116">
        <f>SUM(L4:L6)</f>
        <v>2330775.7345599979</v>
      </c>
    </row>
    <row r="8" spans="1:12">
      <c r="A8" t="s">
        <v>10</v>
      </c>
      <c r="C8" s="29" t="s">
        <v>121</v>
      </c>
      <c r="D8" s="23">
        <f>'Gas North-Dec18'!E10</f>
        <v>-333344.48191999999</v>
      </c>
      <c r="E8" s="111">
        <f>D8</f>
        <v>-333344.48191999999</v>
      </c>
      <c r="F8" s="111"/>
      <c r="G8" s="111"/>
      <c r="H8" s="112"/>
      <c r="L8" s="27"/>
    </row>
    <row r="9" spans="1:12">
      <c r="A9" t="s">
        <v>47</v>
      </c>
      <c r="C9" s="29" t="s">
        <v>164</v>
      </c>
      <c r="D9" s="23">
        <f>'Gas North-Dec18'!E11</f>
        <v>-4048755.57</v>
      </c>
      <c r="E9" s="23">
        <v>0</v>
      </c>
      <c r="F9" s="23">
        <f>D9</f>
        <v>-4048755.57</v>
      </c>
      <c r="G9" s="23">
        <f>IF($C9="D",$D9,0)</f>
        <v>0</v>
      </c>
      <c r="H9" s="23">
        <f>IF($C9="O",$D9,0)</f>
        <v>0</v>
      </c>
      <c r="K9" s="106" t="s">
        <v>115</v>
      </c>
      <c r="L9" s="106" t="s">
        <v>11</v>
      </c>
    </row>
    <row r="10" spans="1:12">
      <c r="A10" t="s">
        <v>13</v>
      </c>
      <c r="C10" s="29" t="s">
        <v>41</v>
      </c>
      <c r="D10" s="23">
        <f>'Gas North-Dec18'!E12</f>
        <v>-67917909.960099995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-67917909.960099995</v>
      </c>
      <c r="H10" s="23">
        <f>IF($C10="O",$D10,0)</f>
        <v>0</v>
      </c>
      <c r="K10" t="s">
        <v>47</v>
      </c>
      <c r="L10" s="116">
        <f>'G-PLT'!I10</f>
        <v>28441824</v>
      </c>
    </row>
    <row r="11" spans="1:12">
      <c r="A11" t="s">
        <v>78</v>
      </c>
      <c r="C11" s="29" t="s">
        <v>126</v>
      </c>
      <c r="D11" s="23">
        <f>'Gas North-Dec18'!E13</f>
        <v>-3867147.5657899999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-3867147.5657899999</v>
      </c>
      <c r="L11" s="116"/>
    </row>
    <row r="12" spans="1:12">
      <c r="A12" t="s">
        <v>128</v>
      </c>
      <c r="C12" s="29" t="s">
        <v>126</v>
      </c>
      <c r="D12" s="23">
        <f>'Gas North-Dec18'!E15</f>
        <v>-13536639.498281216</v>
      </c>
      <c r="E12" s="23">
        <f>D12*N23</f>
        <v>-4152558.7351822192</v>
      </c>
      <c r="F12" s="23">
        <f t="shared" si="0"/>
        <v>0</v>
      </c>
      <c r="G12" s="23">
        <f>IF($C12="D",$D12,0)</f>
        <v>0</v>
      </c>
      <c r="H12" s="23">
        <f>D12*N22</f>
        <v>-9384080.763098998</v>
      </c>
      <c r="I12" s="23">
        <f>D12-E12-F12-G12-H12</f>
        <v>0</v>
      </c>
      <c r="L12" s="156"/>
    </row>
    <row r="13" spans="1:12">
      <c r="A13" t="s">
        <v>129</v>
      </c>
      <c r="C13" s="29" t="s">
        <v>126</v>
      </c>
      <c r="D13" s="33">
        <f>'Gas North-Dec18'!E16</f>
        <v>-115478.87759783825</v>
      </c>
      <c r="E13" s="33">
        <f>D13*N23</f>
        <v>-35424.805540461428</v>
      </c>
      <c r="F13" s="33">
        <f t="shared" si="0"/>
        <v>0</v>
      </c>
      <c r="G13" s="33">
        <f>IF($C13="D",$D13,0)</f>
        <v>0</v>
      </c>
      <c r="H13" s="33">
        <f>D13*N22</f>
        <v>-80054.072057376819</v>
      </c>
      <c r="I13" s="23">
        <f>D13-E13-F13-G13-H13</f>
        <v>0</v>
      </c>
      <c r="L13" s="116">
        <f>SUM(L10:L12)</f>
        <v>28441824</v>
      </c>
    </row>
    <row r="14" spans="1:12">
      <c r="A14" t="s">
        <v>71</v>
      </c>
      <c r="C14" s="29"/>
      <c r="D14" s="23">
        <f>SUM(D8:D13)</f>
        <v>-89819275.953689039</v>
      </c>
      <c r="E14" s="23">
        <f>SUM(E8:E13)</f>
        <v>-4521328.0226426804</v>
      </c>
      <c r="F14" s="23">
        <f>SUM(F8:F13)</f>
        <v>-4048755.57</v>
      </c>
      <c r="G14" s="23">
        <f>SUM(G8:G13)</f>
        <v>-67917909.960099995</v>
      </c>
      <c r="H14" s="23">
        <f>SUM(H8:H13)</f>
        <v>-13331282.400946375</v>
      </c>
      <c r="L14" s="116"/>
    </row>
    <row r="15" spans="1:12">
      <c r="C15" s="29"/>
      <c r="D15" s="23"/>
      <c r="E15" s="23"/>
      <c r="F15" s="23"/>
      <c r="G15" s="23"/>
      <c r="H15" s="23"/>
      <c r="L15" s="116"/>
    </row>
    <row r="16" spans="1:12">
      <c r="A16" t="s">
        <v>133</v>
      </c>
      <c r="B16" s="74" t="s">
        <v>134</v>
      </c>
      <c r="C16" s="29"/>
      <c r="D16" s="23">
        <f>'Gas North-Dec18'!E21</f>
        <v>-293813.68381658586</v>
      </c>
      <c r="E16" s="23">
        <f>ROUND($D$16*E29,0)</f>
        <v>-1132</v>
      </c>
      <c r="F16" s="23">
        <f>ROUND($D$16*F29,0)</f>
        <v>-13810</v>
      </c>
      <c r="G16" s="23">
        <f>ROUND($D$16*G29,0)</f>
        <v>-224627</v>
      </c>
      <c r="H16" s="23">
        <f>ROUND($D$16*H29,0)</f>
        <v>-54246</v>
      </c>
      <c r="I16" s="23">
        <f>D16-E16-F16-G16-H16</f>
        <v>1.3161834141355939</v>
      </c>
      <c r="L16" s="116"/>
    </row>
    <row r="17" spans="1:14">
      <c r="A17" t="str">
        <f>'Gas North-Dec18'!A19</f>
        <v>ADFIT-Plant - AFUDC Equity</v>
      </c>
      <c r="B17" s="74"/>
      <c r="C17" s="191" t="s">
        <v>126</v>
      </c>
      <c r="D17" s="23">
        <f>'Gas North-Dec18'!E19</f>
        <v>-6582.4484049612001</v>
      </c>
      <c r="E17" s="23"/>
      <c r="F17" s="23"/>
      <c r="G17" s="23"/>
      <c r="H17" s="23">
        <f>IF($C17="O",$D17,0)</f>
        <v>-6582.4484049612001</v>
      </c>
      <c r="I17" s="23"/>
      <c r="L17" s="27"/>
    </row>
    <row r="18" spans="1:14">
      <c r="A18" t="s">
        <v>220</v>
      </c>
      <c r="C18" s="138" t="s">
        <v>121</v>
      </c>
      <c r="D18" s="23">
        <f>'Gas North-Dec18'!E20</f>
        <v>-35478.421490055807</v>
      </c>
      <c r="E18" s="23">
        <f>D18</f>
        <v>-35478.421490055807</v>
      </c>
      <c r="K18" s="106" t="s">
        <v>115</v>
      </c>
      <c r="L18" s="106" t="s">
        <v>13</v>
      </c>
    </row>
    <row r="19" spans="1:14">
      <c r="A19" t="s">
        <v>29</v>
      </c>
      <c r="D19" s="113">
        <f>SUM(D16:D18)</f>
        <v>-335874.55371160287</v>
      </c>
      <c r="E19" s="113">
        <f>SUM(E16:E18)</f>
        <v>-36610.421490055807</v>
      </c>
      <c r="F19" s="113">
        <f>SUM(F16:F18)</f>
        <v>-13810</v>
      </c>
      <c r="G19" s="113">
        <f>SUM(G16:G18)</f>
        <v>-224627</v>
      </c>
      <c r="H19" s="113">
        <f>SUM(H16:H18)</f>
        <v>-60828.4484049612</v>
      </c>
      <c r="K19" s="114" t="s">
        <v>135</v>
      </c>
      <c r="L19" s="116">
        <f>'G-PLT'!I11</f>
        <v>462635831</v>
      </c>
    </row>
    <row r="20" spans="1:14">
      <c r="D20" s="23"/>
      <c r="L20" s="27"/>
    </row>
    <row r="21" spans="1:14" ht="13.8" thickBot="1">
      <c r="A21" t="s">
        <v>30</v>
      </c>
      <c r="C21" s="172" t="s">
        <v>254</v>
      </c>
      <c r="D21" s="115">
        <f>SUM(D14,D19)</f>
        <v>-90155150.507400647</v>
      </c>
      <c r="E21" s="115">
        <f>SUM(E14,E19)</f>
        <v>-4557938.444132736</v>
      </c>
      <c r="F21" s="115">
        <f>SUM(F14,F19)</f>
        <v>-4062565.57</v>
      </c>
      <c r="G21" s="115">
        <f>SUM(G14,G19)</f>
        <v>-68142536.960099995</v>
      </c>
      <c r="H21" s="115">
        <f>SUM(H14,H19)</f>
        <v>-13392110.849351335</v>
      </c>
      <c r="I21" s="122">
        <f>D21-E21-F21-G21-H21</f>
        <v>1.3161834068596363</v>
      </c>
      <c r="K21" s="106" t="s">
        <v>115</v>
      </c>
      <c r="L21" s="106">
        <v>32352360</v>
      </c>
    </row>
    <row r="22" spans="1:14" ht="13.8" thickTop="1">
      <c r="K22" t="s">
        <v>136</v>
      </c>
      <c r="L22" s="116">
        <f>'G-PLT'!I12</f>
        <v>77450188</v>
      </c>
      <c r="N22" s="8">
        <f>L22/L24</f>
        <v>0.69323562648547443</v>
      </c>
    </row>
    <row r="23" spans="1:14">
      <c r="A23" s="196"/>
      <c r="B23" s="192"/>
      <c r="C23" s="192"/>
      <c r="D23" s="182"/>
      <c r="E23" s="182"/>
      <c r="F23" s="182"/>
      <c r="G23" s="182"/>
      <c r="H23" s="182"/>
      <c r="I23" s="23"/>
      <c r="K23" t="s">
        <v>137</v>
      </c>
      <c r="L23" s="156">
        <f>-L5</f>
        <v>34272558.265440002</v>
      </c>
      <c r="N23" s="8">
        <f>L23/L24</f>
        <v>0.30676437351452557</v>
      </c>
    </row>
    <row r="24" spans="1:14">
      <c r="A24" s="192"/>
      <c r="B24" s="192"/>
      <c r="C24" s="192"/>
      <c r="D24" s="182"/>
      <c r="E24" s="182"/>
      <c r="F24" s="182"/>
      <c r="G24" s="182"/>
      <c r="H24" s="182"/>
      <c r="L24" s="116">
        <f>SUM(L22:L23)</f>
        <v>111722746.26544</v>
      </c>
      <c r="N24" s="8">
        <f>SUM(N22:N23)</f>
        <v>1</v>
      </c>
    </row>
    <row r="25" spans="1:14">
      <c r="A25" s="197"/>
      <c r="B25" s="192"/>
      <c r="C25" s="192"/>
      <c r="D25" s="182"/>
      <c r="E25" s="182"/>
      <c r="F25" s="182"/>
      <c r="G25" s="182"/>
      <c r="H25" s="182"/>
      <c r="L25" s="27"/>
    </row>
    <row r="26" spans="1:14">
      <c r="A26" s="197"/>
      <c r="B26" s="192"/>
      <c r="C26" s="192"/>
      <c r="D26" s="192"/>
      <c r="E26" s="192"/>
      <c r="F26" s="192"/>
      <c r="G26" s="192"/>
      <c r="H26" s="192"/>
      <c r="L26" s="27"/>
    </row>
    <row r="27" spans="1:14">
      <c r="A27" s="52"/>
      <c r="L27" s="27"/>
    </row>
    <row r="28" spans="1:14">
      <c r="B28" t="s">
        <v>72</v>
      </c>
      <c r="C28" t="s">
        <v>138</v>
      </c>
      <c r="D28" s="111">
        <f>SUM(E28:H28)</f>
        <v>605131177</v>
      </c>
      <c r="E28" s="116">
        <f>L7</f>
        <v>2330775.7345599979</v>
      </c>
      <c r="F28" s="116">
        <f>L13</f>
        <v>28441824</v>
      </c>
      <c r="G28" s="116">
        <f>L19</f>
        <v>462635831</v>
      </c>
      <c r="H28" s="116">
        <f>L24</f>
        <v>111722746.26544</v>
      </c>
      <c r="L28" s="27"/>
    </row>
    <row r="29" spans="1:14">
      <c r="E29" s="123">
        <f>ROUND(E28/$D$28,7)</f>
        <v>3.8517E-3</v>
      </c>
      <c r="F29" s="123">
        <f>ROUND(F28/$D$28,7)</f>
        <v>4.7001099999999997E-2</v>
      </c>
      <c r="G29" s="123">
        <f>ROUND(G28/$D$28,7)</f>
        <v>0.76452160000000002</v>
      </c>
      <c r="H29" s="123">
        <f>ROUND(H28/$D$28,7)</f>
        <v>0.1846257</v>
      </c>
      <c r="K29" s="106" t="s">
        <v>115</v>
      </c>
      <c r="L29" s="106" t="s">
        <v>10</v>
      </c>
    </row>
    <row r="30" spans="1:14">
      <c r="C30" s="29"/>
      <c r="D30" s="23"/>
      <c r="E30" s="23"/>
      <c r="F30" s="53"/>
      <c r="G30" s="53"/>
      <c r="H30" s="53"/>
      <c r="K30" t="s">
        <v>10</v>
      </c>
      <c r="L30" s="116">
        <f>'G-PLT'!M8</f>
        <v>14073260</v>
      </c>
    </row>
    <row r="31" spans="1:14">
      <c r="C31" s="29"/>
      <c r="D31" s="23"/>
      <c r="E31" s="23"/>
      <c r="F31" s="23"/>
      <c r="G31" s="23"/>
      <c r="H31" s="23"/>
      <c r="I31" s="109" t="s">
        <v>120</v>
      </c>
      <c r="K31" t="s">
        <v>118</v>
      </c>
      <c r="L31" s="156">
        <f>-'G-PLT'!L27</f>
        <v>-13166866.734559998</v>
      </c>
    </row>
    <row r="32" spans="1:14">
      <c r="K32" t="s">
        <v>118</v>
      </c>
      <c r="L32" s="116"/>
    </row>
    <row r="33" spans="1:14">
      <c r="L33" s="116">
        <f>SUM(L30:L32)</f>
        <v>906393.26544000208</v>
      </c>
    </row>
    <row r="34" spans="1:14">
      <c r="L34" s="116"/>
    </row>
    <row r="35" spans="1:14">
      <c r="L35" s="27"/>
    </row>
    <row r="36" spans="1:14">
      <c r="A36" t="s">
        <v>68</v>
      </c>
      <c r="K36" s="106" t="s">
        <v>115</v>
      </c>
      <c r="L36" s="106" t="s">
        <v>11</v>
      </c>
    </row>
    <row r="37" spans="1:14">
      <c r="A37" s="52" t="s">
        <v>165</v>
      </c>
      <c r="K37" t="s">
        <v>47</v>
      </c>
      <c r="L37" s="116">
        <f>'G-PLT'!M10</f>
        <v>12681251</v>
      </c>
    </row>
    <row r="38" spans="1:14">
      <c r="A38" t="str">
        <f>A3</f>
        <v>Average - Twelve Months Ended December 31, 2018</v>
      </c>
      <c r="L38" s="116"/>
    </row>
    <row r="39" spans="1:14">
      <c r="L39" s="156"/>
    </row>
    <row r="40" spans="1:14">
      <c r="A40" t="s">
        <v>117</v>
      </c>
      <c r="L40" s="116">
        <f>SUM(L37:L39)</f>
        <v>12681251</v>
      </c>
    </row>
    <row r="41" spans="1:14">
      <c r="D41" s="30" t="s">
        <v>6</v>
      </c>
      <c r="E41" s="108" t="s">
        <v>10</v>
      </c>
      <c r="F41" s="108" t="s">
        <v>47</v>
      </c>
      <c r="G41" s="108" t="s">
        <v>13</v>
      </c>
      <c r="H41" s="108" t="s">
        <v>119</v>
      </c>
      <c r="L41" s="116"/>
      <c r="N41" s="106"/>
    </row>
    <row r="42" spans="1:14">
      <c r="E42" s="110"/>
      <c r="F42" s="110"/>
      <c r="G42" s="110"/>
      <c r="I42" s="23">
        <f>D47-E47-F47-G47-H47</f>
        <v>0</v>
      </c>
      <c r="K42" s="107"/>
      <c r="L42" s="27"/>
      <c r="N42" s="107"/>
    </row>
    <row r="43" spans="1:14">
      <c r="A43" t="s">
        <v>162</v>
      </c>
      <c r="C43" s="29" t="s">
        <v>121</v>
      </c>
      <c r="D43" s="23">
        <f>'Gas North-Dec18'!F10</f>
        <v>-127891.51807999998</v>
      </c>
      <c r="E43" s="111">
        <f>D43</f>
        <v>-127891.51807999998</v>
      </c>
      <c r="F43" s="111"/>
      <c r="G43" s="111"/>
      <c r="H43" s="112"/>
      <c r="I43" s="23">
        <f>D48-E48-F48-G48-H48</f>
        <v>0</v>
      </c>
      <c r="L43" s="116"/>
      <c r="N43" s="107"/>
    </row>
    <row r="44" spans="1:14">
      <c r="A44" t="s">
        <v>47</v>
      </c>
      <c r="C44" s="29" t="s">
        <v>122</v>
      </c>
      <c r="D44" s="23">
        <f>'Gas North-Dec18'!F11</f>
        <v>-1810514.4300000004</v>
      </c>
      <c r="E44" s="23">
        <v>0</v>
      </c>
      <c r="F44" s="23">
        <f t="shared" ref="E44:F48" si="1">IF($C44="P",$D44,0)</f>
        <v>-1810514.4300000004</v>
      </c>
      <c r="G44" s="23">
        <f>IF($C44="D",$D44,0)</f>
        <v>0</v>
      </c>
      <c r="H44" s="23">
        <f>IF($C44="O",$D44,0)</f>
        <v>0</v>
      </c>
      <c r="L44" s="27"/>
      <c r="N44" s="107"/>
    </row>
    <row r="45" spans="1:14">
      <c r="A45" t="s">
        <v>13</v>
      </c>
      <c r="C45" s="29" t="s">
        <v>41</v>
      </c>
      <c r="D45" s="23">
        <f>'Gas North-Dec18'!F12</f>
        <v>-30307428.039899997</v>
      </c>
      <c r="E45" s="23">
        <f t="shared" si="1"/>
        <v>0</v>
      </c>
      <c r="F45" s="23">
        <f t="shared" si="1"/>
        <v>0</v>
      </c>
      <c r="G45" s="23">
        <f>IF($C45="D",$D45,0)</f>
        <v>-30307428.039899997</v>
      </c>
      <c r="H45" s="23">
        <f>IF($C45="O",$D45,0)</f>
        <v>0</v>
      </c>
      <c r="K45" s="106" t="s">
        <v>115</v>
      </c>
      <c r="L45" s="106" t="s">
        <v>13</v>
      </c>
      <c r="N45" s="107"/>
    </row>
    <row r="46" spans="1:14">
      <c r="A46" t="s">
        <v>78</v>
      </c>
      <c r="C46" s="29" t="s">
        <v>126</v>
      </c>
      <c r="D46" s="23">
        <f>'Gas North-Dec18'!F13</f>
        <v>-1212315.4342100003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-1212315.4342100003</v>
      </c>
      <c r="K46" s="114" t="s">
        <v>135</v>
      </c>
      <c r="L46" s="116">
        <f>'G-PLT'!M11</f>
        <v>226755152</v>
      </c>
      <c r="N46" s="107"/>
    </row>
    <row r="47" spans="1:14">
      <c r="A47" t="s">
        <v>128</v>
      </c>
      <c r="C47" s="29" t="s">
        <v>126</v>
      </c>
      <c r="D47" s="23">
        <f>'Gas North-Dec18'!F15</f>
        <v>-5193490.4251762992</v>
      </c>
      <c r="E47" s="23">
        <f>D47*N50</f>
        <v>-1739523.0762124339</v>
      </c>
      <c r="F47" s="23">
        <f t="shared" si="1"/>
        <v>0</v>
      </c>
      <c r="G47" s="23">
        <f>IF($C47="D",$D47,0)</f>
        <v>0</v>
      </c>
      <c r="H47" s="23">
        <f>D47*N49</f>
        <v>-3453967.3489638655</v>
      </c>
      <c r="I47" s="23">
        <f>D52-E52-F52-G52-H52</f>
        <v>-0.29306762249325402</v>
      </c>
      <c r="L47" s="27"/>
      <c r="N47" s="107"/>
    </row>
    <row r="48" spans="1:14">
      <c r="A48" t="s">
        <v>129</v>
      </c>
      <c r="C48" s="29" t="s">
        <v>126</v>
      </c>
      <c r="D48" s="33">
        <f>'Gas North-Dec18'!F16</f>
        <v>-51530.852097495102</v>
      </c>
      <c r="E48" s="33">
        <f>D48*N50</f>
        <v>-17259.896335986741</v>
      </c>
      <c r="F48" s="33">
        <f t="shared" si="1"/>
        <v>0</v>
      </c>
      <c r="G48" s="33">
        <f>IF($C48="D",$D48,0)</f>
        <v>0</v>
      </c>
      <c r="H48" s="33">
        <f>D48*N49</f>
        <v>-34270.955761508361</v>
      </c>
      <c r="K48" s="106" t="s">
        <v>115</v>
      </c>
      <c r="L48" s="106">
        <v>32352360</v>
      </c>
    </row>
    <row r="49" spans="1:14">
      <c r="A49" t="s">
        <v>71</v>
      </c>
      <c r="C49" s="29"/>
      <c r="D49" s="23">
        <f>SUM(D43:D48)</f>
        <v>-38703170.699463792</v>
      </c>
      <c r="E49" s="23">
        <f>SUM(E43:E48)</f>
        <v>-1884674.4906284206</v>
      </c>
      <c r="F49" s="23">
        <f>SUM(F43:F48)</f>
        <v>-1810514.4300000004</v>
      </c>
      <c r="G49" s="23">
        <f>SUM(G43:G48)</f>
        <v>-30307428.039899997</v>
      </c>
      <c r="H49" s="23">
        <f>SUM(H43:H48)</f>
        <v>-4700553.7389353737</v>
      </c>
      <c r="K49" t="s">
        <v>136</v>
      </c>
      <c r="L49" s="116">
        <f>'G-PLT'!M12</f>
        <v>26143906</v>
      </c>
      <c r="N49" s="8">
        <f>L49/L51</f>
        <v>0.66505703605809896</v>
      </c>
    </row>
    <row r="50" spans="1:14">
      <c r="C50" s="29"/>
      <c r="D50" s="23"/>
      <c r="E50" s="23"/>
      <c r="F50" s="23"/>
      <c r="G50" s="23"/>
      <c r="H50" s="23"/>
      <c r="I50" s="23">
        <f>D57-E57-F57-G57-H57</f>
        <v>-0.2930676294490695</v>
      </c>
      <c r="K50" t="s">
        <v>137</v>
      </c>
      <c r="L50" s="156">
        <f>-L31</f>
        <v>13166866.734559998</v>
      </c>
      <c r="N50" s="8">
        <f>L50/L51</f>
        <v>0.3349429639419011</v>
      </c>
    </row>
    <row r="51" spans="1:14">
      <c r="C51" s="29"/>
      <c r="D51" s="23"/>
      <c r="E51" s="23"/>
      <c r="F51" s="23"/>
      <c r="G51" s="23"/>
      <c r="H51" s="23"/>
      <c r="L51" s="116">
        <f>SUM(L49:L50)</f>
        <v>39310772.734559998</v>
      </c>
      <c r="N51" s="8">
        <f>SUM(N49:N50)</f>
        <v>1</v>
      </c>
    </row>
    <row r="52" spans="1:14">
      <c r="A52" t="s">
        <v>133</v>
      </c>
      <c r="B52" s="74" t="s">
        <v>134</v>
      </c>
      <c r="C52" s="29"/>
      <c r="D52" s="23">
        <f>'Gas North-Dec18'!F21</f>
        <v>-131110.29306762249</v>
      </c>
      <c r="E52" s="23">
        <f>ROUND($D$52*E60,0)</f>
        <v>-425</v>
      </c>
      <c r="F52" s="23">
        <f>ROUND($D$52*F60,0)</f>
        <v>-5945</v>
      </c>
      <c r="G52" s="23">
        <f>ROUND($D$52*G60,0)</f>
        <v>-106310</v>
      </c>
      <c r="H52" s="23">
        <f>ROUND($D$52*H60,0)</f>
        <v>-18430</v>
      </c>
      <c r="N52" s="107"/>
    </row>
    <row r="53" spans="1:14">
      <c r="A53" t="str">
        <f>'Gas North-Dec18'!A19</f>
        <v>ADFIT-Plant - AFUDC Equity</v>
      </c>
      <c r="B53" s="74"/>
      <c r="C53" s="191" t="s">
        <v>126</v>
      </c>
      <c r="D53" s="23">
        <f>'Gas North-Dec18'!F19</f>
        <v>-2525.4334925387998</v>
      </c>
      <c r="E53" s="23"/>
      <c r="F53" s="23"/>
      <c r="G53" s="23"/>
      <c r="H53" s="23">
        <f>IF($C53="O",$D53,0)</f>
        <v>-2525.4334925387998</v>
      </c>
    </row>
    <row r="54" spans="1:14">
      <c r="A54" t="s">
        <v>220</v>
      </c>
      <c r="B54" s="74"/>
      <c r="C54" s="138" t="s">
        <v>121</v>
      </c>
      <c r="D54" s="23">
        <f>'Gas North-Dec18'!F20</f>
        <v>-13611.712296273347</v>
      </c>
      <c r="E54" s="23">
        <f>D54</f>
        <v>-13611.712296273347</v>
      </c>
      <c r="F54" s="23"/>
      <c r="G54" s="23"/>
      <c r="H54" s="23"/>
    </row>
    <row r="55" spans="1:14">
      <c r="A55" t="s">
        <v>29</v>
      </c>
      <c r="D55" s="113">
        <f>SUM(D52:D54)</f>
        <v>-147247.43885643466</v>
      </c>
      <c r="E55" s="113">
        <f>SUM(E52:E54)</f>
        <v>-14036.712296273347</v>
      </c>
      <c r="F55" s="113">
        <f>SUM(F52:F54)</f>
        <v>-5945</v>
      </c>
      <c r="G55" s="113">
        <f>SUM(G52:G54)</f>
        <v>-106310</v>
      </c>
      <c r="H55" s="113">
        <f>SUM(H52:H54)</f>
        <v>-20955.433492538799</v>
      </c>
      <c r="N55" s="106"/>
    </row>
    <row r="56" spans="1:14">
      <c r="D56" s="23"/>
      <c r="N56" s="107"/>
    </row>
    <row r="57" spans="1:14" ht="13.8" thickBot="1">
      <c r="A57" t="s">
        <v>30</v>
      </c>
      <c r="D57" s="115">
        <f>SUM(D49,D55)</f>
        <v>-38850418.13832023</v>
      </c>
      <c r="E57" s="115">
        <f>SUM(E49,E55)</f>
        <v>-1898711.2029246939</v>
      </c>
      <c r="F57" s="115">
        <f>SUM(F49,F55)</f>
        <v>-1816459.4300000004</v>
      </c>
      <c r="G57" s="115">
        <f>SUM(G49,G55)</f>
        <v>-30413738.039899997</v>
      </c>
      <c r="H57" s="115">
        <f>SUM(H49,H55)</f>
        <v>-4721509.1724279122</v>
      </c>
      <c r="N57" s="107"/>
    </row>
    <row r="58" spans="1:14" ht="13.8" thickTop="1">
      <c r="N58" s="107"/>
    </row>
    <row r="59" spans="1:14">
      <c r="B59" t="s">
        <v>72</v>
      </c>
      <c r="C59" t="s">
        <v>138</v>
      </c>
      <c r="D59" s="111">
        <f>SUM(E59:H59)</f>
        <v>279653569</v>
      </c>
      <c r="E59" s="111">
        <f>L33</f>
        <v>906393.26544000208</v>
      </c>
      <c r="F59" s="116">
        <f>L40</f>
        <v>12681251</v>
      </c>
      <c r="G59" s="116">
        <f>L46</f>
        <v>226755152</v>
      </c>
      <c r="H59" s="116">
        <f>L51</f>
        <v>39310772.734559998</v>
      </c>
      <c r="N59" s="107"/>
    </row>
    <row r="60" spans="1:14">
      <c r="E60" s="120">
        <f>ROUND(E59/$D$59,7)</f>
        <v>3.2410999999999998E-3</v>
      </c>
      <c r="F60" s="120">
        <f>ROUND(F59/$D$59,7)</f>
        <v>4.5346299999999999E-2</v>
      </c>
      <c r="G60" s="120">
        <f>ROUND(G59/$D$59,7)</f>
        <v>0.81084299999999998</v>
      </c>
      <c r="H60" s="120">
        <f>ROUND(H59/$D$59,7)</f>
        <v>0.14056949999999999</v>
      </c>
      <c r="N60" s="107"/>
    </row>
    <row r="61" spans="1:14">
      <c r="C61" s="29"/>
      <c r="D61" s="23"/>
      <c r="E61" s="23"/>
      <c r="F61" s="53"/>
      <c r="G61" s="53"/>
      <c r="H61" s="53"/>
    </row>
    <row r="62" spans="1:14">
      <c r="C62" s="29"/>
      <c r="D62" s="23"/>
      <c r="E62" s="23"/>
      <c r="F62" s="23"/>
      <c r="G62" s="23"/>
      <c r="H62" s="23"/>
    </row>
    <row r="63" spans="1:14">
      <c r="C63" s="29"/>
      <c r="D63" s="23"/>
      <c r="E63" s="23"/>
      <c r="F63" s="23"/>
      <c r="G63" s="23"/>
      <c r="H63" s="23"/>
    </row>
    <row r="64" spans="1:14" hidden="1">
      <c r="C64" s="29"/>
      <c r="D64" s="23"/>
      <c r="E64" s="23"/>
      <c r="F64" s="23"/>
      <c r="G64" s="23"/>
      <c r="H64" s="23"/>
    </row>
    <row r="65" spans="1:8" hidden="1">
      <c r="C65" s="29"/>
      <c r="D65" s="23"/>
      <c r="E65" s="23"/>
      <c r="F65" s="23"/>
      <c r="G65" s="23"/>
      <c r="H65" s="23"/>
    </row>
    <row r="66" spans="1:8" hidden="1">
      <c r="C66" s="29"/>
      <c r="D66" s="23"/>
      <c r="E66" s="23"/>
      <c r="F66" s="23"/>
      <c r="G66" s="23"/>
      <c r="H66" s="23"/>
    </row>
    <row r="67" spans="1:8" hidden="1">
      <c r="C67" s="29"/>
      <c r="D67" s="23"/>
      <c r="E67" s="23"/>
      <c r="F67" s="23"/>
      <c r="G67" s="23"/>
      <c r="H67" s="23"/>
    </row>
    <row r="68" spans="1:8" hidden="1">
      <c r="C68" s="29"/>
      <c r="D68" s="23"/>
      <c r="E68" s="23"/>
      <c r="F68" s="23"/>
      <c r="G68" s="23"/>
      <c r="H68" s="23"/>
    </row>
    <row r="69" spans="1:8" hidden="1">
      <c r="C69" s="29"/>
      <c r="D69" s="23"/>
      <c r="E69" s="23"/>
      <c r="F69" s="23"/>
      <c r="G69" s="23"/>
      <c r="H69" s="23"/>
    </row>
    <row r="70" spans="1:8" hidden="1">
      <c r="C70" s="29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9"/>
      <c r="D72" s="121"/>
      <c r="E72" s="121"/>
      <c r="F72" s="121"/>
      <c r="G72" s="121"/>
      <c r="H72" s="121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H40" sqref="H40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4" style="46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201" t="s">
        <v>4</v>
      </c>
      <c r="D2" s="202"/>
      <c r="E2" s="203"/>
      <c r="G2" s="201" t="s">
        <v>113</v>
      </c>
      <c r="H2" s="202"/>
      <c r="I2" s="203"/>
      <c r="K2" s="201" t="s">
        <v>160</v>
      </c>
      <c r="L2" s="202"/>
      <c r="M2" s="203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3">
        <v>182324</v>
      </c>
      <c r="B4" s="144" t="s">
        <v>204</v>
      </c>
      <c r="C4" s="145">
        <f>SUM(G4,K4)</f>
        <v>0</v>
      </c>
      <c r="D4" s="145">
        <f>SUM(H4,L4)</f>
        <v>8250000</v>
      </c>
      <c r="E4" s="145">
        <f>SUM(C4:D4)</f>
        <v>8250000</v>
      </c>
      <c r="F4" s="145"/>
      <c r="G4" s="146">
        <v>0</v>
      </c>
      <c r="H4" s="146">
        <v>5394675</v>
      </c>
      <c r="I4" s="145">
        <f>SUM(G4:H4)</f>
        <v>5394675</v>
      </c>
      <c r="J4" s="145"/>
      <c r="K4" s="146">
        <v>0</v>
      </c>
      <c r="L4" s="146">
        <v>2855325</v>
      </c>
      <c r="M4" s="145">
        <f>SUM(K4:L4)</f>
        <v>2855325</v>
      </c>
    </row>
    <row r="5" spans="1:13">
      <c r="A5" s="143">
        <v>182325</v>
      </c>
      <c r="B5" s="144" t="s">
        <v>23</v>
      </c>
      <c r="C5" s="145">
        <f t="shared" ref="C5:D11" si="0">SUM(G5,K5)</f>
        <v>0</v>
      </c>
      <c r="D5" s="145">
        <f t="shared" si="0"/>
        <v>2000000</v>
      </c>
      <c r="E5" s="145">
        <f t="shared" ref="E5:E11" si="1">SUM(C5:D5)</f>
        <v>2000000</v>
      </c>
      <c r="F5" s="145"/>
      <c r="G5" s="146">
        <v>0</v>
      </c>
      <c r="H5" s="146">
        <v>1307800</v>
      </c>
      <c r="I5" s="145">
        <f t="shared" ref="I5:I12" si="2">SUM(G5:H5)</f>
        <v>1307800</v>
      </c>
      <c r="J5" s="145"/>
      <c r="K5" s="146">
        <v>0</v>
      </c>
      <c r="L5" s="146">
        <v>692200</v>
      </c>
      <c r="M5" s="145">
        <f t="shared" ref="M5:M12" si="3">SUM(K5:L5)</f>
        <v>692200</v>
      </c>
    </row>
    <row r="6" spans="1:13">
      <c r="A6" s="143">
        <v>182333</v>
      </c>
      <c r="B6" s="144" t="s">
        <v>205</v>
      </c>
      <c r="C6" s="145">
        <f t="shared" si="0"/>
        <v>0</v>
      </c>
      <c r="D6" s="145">
        <f t="shared" si="0"/>
        <v>1162903</v>
      </c>
      <c r="E6" s="145">
        <f t="shared" si="1"/>
        <v>1162903</v>
      </c>
      <c r="F6" s="145"/>
      <c r="G6" s="146">
        <v>0</v>
      </c>
      <c r="H6" s="146">
        <v>760422</v>
      </c>
      <c r="I6" s="145">
        <f t="shared" si="2"/>
        <v>760422</v>
      </c>
      <c r="J6" s="145"/>
      <c r="K6" s="146">
        <v>0</v>
      </c>
      <c r="L6" s="146">
        <v>402481</v>
      </c>
      <c r="M6" s="145">
        <f t="shared" si="3"/>
        <v>402481</v>
      </c>
    </row>
    <row r="7" spans="1:13">
      <c r="A7" s="143">
        <v>182381</v>
      </c>
      <c r="B7" s="144" t="s">
        <v>206</v>
      </c>
      <c r="C7" s="145">
        <f t="shared" si="0"/>
        <v>0</v>
      </c>
      <c r="D7" s="145">
        <f t="shared" si="0"/>
        <v>31421877</v>
      </c>
      <c r="E7" s="145">
        <f t="shared" si="1"/>
        <v>31421877</v>
      </c>
      <c r="F7" s="145"/>
      <c r="G7" s="146">
        <v>0</v>
      </c>
      <c r="H7" s="146">
        <v>20546765</v>
      </c>
      <c r="I7" s="145">
        <f t="shared" si="2"/>
        <v>20546765</v>
      </c>
      <c r="J7" s="145"/>
      <c r="K7" s="146">
        <v>0</v>
      </c>
      <c r="L7" s="146">
        <v>10875112</v>
      </c>
      <c r="M7" s="145">
        <f t="shared" si="3"/>
        <v>10875112</v>
      </c>
    </row>
    <row r="8" spans="1:13">
      <c r="A8" s="147">
        <v>302000</v>
      </c>
      <c r="B8" s="148" t="s">
        <v>207</v>
      </c>
      <c r="C8" s="145">
        <f t="shared" si="0"/>
        <v>602704</v>
      </c>
      <c r="D8" s="145">
        <f t="shared" si="0"/>
        <v>44049218</v>
      </c>
      <c r="E8" s="145">
        <f t="shared" si="1"/>
        <v>44651922</v>
      </c>
      <c r="F8" s="145"/>
      <c r="G8" s="146">
        <v>602704</v>
      </c>
      <c r="H8" s="146">
        <v>28803784</v>
      </c>
      <c r="I8" s="145">
        <f t="shared" si="2"/>
        <v>29406488</v>
      </c>
      <c r="J8" s="145"/>
      <c r="K8" s="146">
        <v>0</v>
      </c>
      <c r="L8" s="146">
        <v>15245434</v>
      </c>
      <c r="M8" s="145">
        <f t="shared" si="3"/>
        <v>15245434</v>
      </c>
    </row>
    <row r="9" spans="1:13">
      <c r="A9" s="147">
        <v>303000</v>
      </c>
      <c r="B9" s="144" t="s">
        <v>208</v>
      </c>
      <c r="C9" s="145">
        <f t="shared" si="0"/>
        <v>319716</v>
      </c>
      <c r="D9" s="145">
        <f t="shared" si="0"/>
        <v>17140091</v>
      </c>
      <c r="E9" s="145">
        <f t="shared" si="1"/>
        <v>17459807</v>
      </c>
      <c r="F9" s="145"/>
      <c r="G9" s="146">
        <v>319716</v>
      </c>
      <c r="H9" s="146">
        <v>11419425</v>
      </c>
      <c r="I9" s="145">
        <f t="shared" si="2"/>
        <v>11739141</v>
      </c>
      <c r="J9" s="145"/>
      <c r="K9" s="146">
        <v>0</v>
      </c>
      <c r="L9" s="146">
        <v>5720666</v>
      </c>
      <c r="M9" s="145">
        <f t="shared" si="3"/>
        <v>5720666</v>
      </c>
    </row>
    <row r="10" spans="1:13">
      <c r="A10" s="147">
        <v>303100</v>
      </c>
      <c r="B10" s="148" t="s">
        <v>209</v>
      </c>
      <c r="C10" s="145">
        <f t="shared" si="0"/>
        <v>3071905</v>
      </c>
      <c r="D10" s="145">
        <f t="shared" si="0"/>
        <v>70917601</v>
      </c>
      <c r="E10" s="145">
        <f t="shared" si="1"/>
        <v>73989506</v>
      </c>
      <c r="F10" s="145"/>
      <c r="G10" s="146">
        <v>3020128</v>
      </c>
      <c r="H10" s="146">
        <v>48645928</v>
      </c>
      <c r="I10" s="145">
        <f t="shared" si="2"/>
        <v>51666056</v>
      </c>
      <c r="J10" s="145"/>
      <c r="K10" s="146">
        <v>51777</v>
      </c>
      <c r="L10" s="146">
        <v>22271673</v>
      </c>
      <c r="M10" s="145">
        <f t="shared" si="3"/>
        <v>22323450</v>
      </c>
    </row>
    <row r="11" spans="1:13">
      <c r="A11" s="147">
        <v>303110</v>
      </c>
      <c r="B11" s="148" t="s">
        <v>210</v>
      </c>
      <c r="C11" s="145">
        <f t="shared" si="0"/>
        <v>0</v>
      </c>
      <c r="D11" s="145">
        <f t="shared" si="0"/>
        <v>1882492</v>
      </c>
      <c r="E11" s="145">
        <f t="shared" si="1"/>
        <v>1882492</v>
      </c>
      <c r="F11" s="145"/>
      <c r="G11" s="146">
        <v>0</v>
      </c>
      <c r="H11" s="146">
        <v>1291295</v>
      </c>
      <c r="I11" s="145">
        <f t="shared" si="2"/>
        <v>1291295</v>
      </c>
      <c r="J11" s="145"/>
      <c r="K11" s="146">
        <v>0</v>
      </c>
      <c r="L11" s="146">
        <v>591197</v>
      </c>
      <c r="M11" s="145">
        <f t="shared" si="3"/>
        <v>591197</v>
      </c>
    </row>
    <row r="12" spans="1:13">
      <c r="A12" s="147" t="s">
        <v>247</v>
      </c>
      <c r="B12" s="148" t="s">
        <v>210</v>
      </c>
      <c r="C12" s="145">
        <f t="shared" ref="C12" si="4">SUM(G12,K12)</f>
        <v>3382775</v>
      </c>
      <c r="D12" s="145">
        <f t="shared" ref="D12" si="5">SUM(H12,L12)</f>
        <v>92974112</v>
      </c>
      <c r="E12" s="145">
        <f t="shared" ref="E12" si="6">SUM(C12:D12)</f>
        <v>96356887</v>
      </c>
      <c r="F12" s="145"/>
      <c r="G12" s="146">
        <v>3382775</v>
      </c>
      <c r="H12" s="146">
        <f>48508988+14577589+689015</f>
        <v>63775592</v>
      </c>
      <c r="I12" s="145">
        <f t="shared" si="2"/>
        <v>67158367</v>
      </c>
      <c r="J12" s="145"/>
      <c r="K12" s="146"/>
      <c r="L12" s="146">
        <f>22208977+6674090+315453</f>
        <v>29198520</v>
      </c>
      <c r="M12" s="145">
        <f t="shared" si="3"/>
        <v>29198520</v>
      </c>
    </row>
    <row r="13" spans="1:13">
      <c r="A13" s="149"/>
      <c r="B13" s="148" t="s">
        <v>211</v>
      </c>
      <c r="C13" s="150">
        <f>SUM(C4:C12)</f>
        <v>7377100</v>
      </c>
      <c r="D13" s="150">
        <f t="shared" ref="D13" si="7">SUM(D4:D12)</f>
        <v>269798294</v>
      </c>
      <c r="E13" s="150">
        <f t="shared" ref="E13" si="8">SUM(E4:E12)</f>
        <v>277175394</v>
      </c>
      <c r="F13" s="145"/>
      <c r="G13" s="150">
        <f>SUM(G4:G12)</f>
        <v>7325323</v>
      </c>
      <c r="H13" s="150">
        <f t="shared" ref="H13:I13" si="9">SUM(H4:H12)</f>
        <v>181945686</v>
      </c>
      <c r="I13" s="150">
        <f t="shared" si="9"/>
        <v>189271009</v>
      </c>
      <c r="J13" s="145"/>
      <c r="K13" s="150">
        <f>SUM(K4:K12)</f>
        <v>51777</v>
      </c>
      <c r="L13" s="150">
        <f t="shared" ref="L13" si="10">SUM(L4:L12)</f>
        <v>87852608</v>
      </c>
      <c r="M13" s="150">
        <f t="shared" ref="M13" si="11">SUM(M4:M12)</f>
        <v>87904385</v>
      </c>
    </row>
    <row r="14" spans="1:13"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>
      <c r="B15" s="46" t="s">
        <v>11</v>
      </c>
      <c r="C15" s="145">
        <f t="shared" ref="C15:D18" si="12">SUM(G15,K15)</f>
        <v>0</v>
      </c>
      <c r="D15" s="145">
        <f t="shared" si="12"/>
        <v>1384410816</v>
      </c>
      <c r="E15" s="145">
        <f>SUM(C15:D15)</f>
        <v>1384410816</v>
      </c>
      <c r="F15" s="145"/>
      <c r="G15" s="146">
        <v>0</v>
      </c>
      <c r="H15" s="146">
        <v>905266231</v>
      </c>
      <c r="I15" s="145">
        <f>SUM(G15:H15)</f>
        <v>905266231</v>
      </c>
      <c r="J15" s="145"/>
      <c r="K15" s="146"/>
      <c r="L15" s="146">
        <v>479144585</v>
      </c>
      <c r="M15" s="145">
        <f>SUM(K15:L15)</f>
        <v>479144585</v>
      </c>
    </row>
    <row r="16" spans="1:13">
      <c r="B16" s="46" t="s">
        <v>12</v>
      </c>
      <c r="C16" s="145">
        <f t="shared" si="12"/>
        <v>0</v>
      </c>
      <c r="D16" s="145">
        <f t="shared" si="12"/>
        <v>729506031</v>
      </c>
      <c r="E16" s="145">
        <f>SUM(C16:D16)</f>
        <v>729506031</v>
      </c>
      <c r="F16" s="145"/>
      <c r="G16" s="146">
        <v>0</v>
      </c>
      <c r="H16" s="146">
        <v>477023994</v>
      </c>
      <c r="I16" s="145">
        <f>SUM(G16:H16)</f>
        <v>477023994</v>
      </c>
      <c r="J16" s="145"/>
      <c r="K16" s="146"/>
      <c r="L16" s="146">
        <v>252482037</v>
      </c>
      <c r="M16" s="145">
        <f>SUM(K16:L16)</f>
        <v>252482037</v>
      </c>
    </row>
    <row r="17" spans="1:13">
      <c r="B17" s="46" t="s">
        <v>13</v>
      </c>
      <c r="C17" s="145">
        <f t="shared" si="12"/>
        <v>1687742524</v>
      </c>
      <c r="D17" s="145">
        <f t="shared" si="12"/>
        <v>3044581</v>
      </c>
      <c r="E17" s="145">
        <f>SUM(C17:D17)</f>
        <v>1690787105</v>
      </c>
      <c r="F17" s="145"/>
      <c r="G17" s="146">
        <v>1107068311</v>
      </c>
      <c r="H17" s="146">
        <v>2063191</v>
      </c>
      <c r="I17" s="145">
        <f>SUM(G17:H17)</f>
        <v>1109131502</v>
      </c>
      <c r="J17" s="145"/>
      <c r="K17" s="146">
        <v>580674213</v>
      </c>
      <c r="L17" s="146">
        <v>981390</v>
      </c>
      <c r="M17" s="145">
        <f>SUM(K17:L17)</f>
        <v>581655603</v>
      </c>
    </row>
    <row r="18" spans="1:13">
      <c r="B18" s="46" t="s">
        <v>212</v>
      </c>
      <c r="C18" s="145">
        <f t="shared" si="12"/>
        <v>102781771</v>
      </c>
      <c r="D18" s="145">
        <f t="shared" si="12"/>
        <v>288134062</v>
      </c>
      <c r="E18" s="145">
        <f>SUM(C18:D18)</f>
        <v>390915833</v>
      </c>
      <c r="F18" s="145"/>
      <c r="G18" s="146">
        <v>62902995</v>
      </c>
      <c r="H18" s="146">
        <v>197645559</v>
      </c>
      <c r="I18" s="145">
        <f>SUM(G18:H18)</f>
        <v>260548554</v>
      </c>
      <c r="J18" s="145"/>
      <c r="K18" s="146">
        <v>39878776</v>
      </c>
      <c r="L18" s="146">
        <v>90488503</v>
      </c>
      <c r="M18" s="145">
        <f>SUM(K18:L18)</f>
        <v>130367279</v>
      </c>
    </row>
    <row r="19" spans="1:13">
      <c r="C19" s="145"/>
      <c r="D19" s="145"/>
      <c r="E19" s="145"/>
      <c r="F19" s="145"/>
      <c r="G19" s="146"/>
      <c r="H19" s="146"/>
      <c r="I19" s="145"/>
      <c r="J19" s="145"/>
      <c r="K19" s="146"/>
      <c r="L19" s="146"/>
      <c r="M19" s="145">
        <f>SUM(K19:L19)</f>
        <v>0</v>
      </c>
    </row>
    <row r="20" spans="1:13" ht="13.8" thickBot="1">
      <c r="B20" s="46" t="s">
        <v>213</v>
      </c>
      <c r="C20" s="151">
        <f t="shared" ref="C20:I20" si="13">SUM(C13:C19)</f>
        <v>1797901395</v>
      </c>
      <c r="D20" s="151">
        <f t="shared" si="13"/>
        <v>2674893784</v>
      </c>
      <c r="E20" s="151">
        <f t="shared" si="13"/>
        <v>4472795179</v>
      </c>
      <c r="F20" s="145">
        <f t="shared" si="13"/>
        <v>0</v>
      </c>
      <c r="G20" s="151">
        <f t="shared" si="13"/>
        <v>1177296629</v>
      </c>
      <c r="H20" s="151">
        <f t="shared" si="13"/>
        <v>1763944661</v>
      </c>
      <c r="I20" s="151">
        <f t="shared" si="13"/>
        <v>2941241290</v>
      </c>
      <c r="J20" s="145"/>
      <c r="K20" s="151">
        <f>SUM(K13:K19)</f>
        <v>620604766</v>
      </c>
      <c r="L20" s="151">
        <f>SUM(L13:L19)</f>
        <v>910949123</v>
      </c>
      <c r="M20" s="151">
        <f>SUM(M13:M19)</f>
        <v>1531553889</v>
      </c>
    </row>
    <row r="21" spans="1:13"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46" t="s">
        <v>214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46">
        <v>303000</v>
      </c>
      <c r="B25" s="46" t="s">
        <v>17</v>
      </c>
      <c r="C25" s="145">
        <f t="shared" ref="C25:C31" si="14">SUM(G25,K25)</f>
        <v>0</v>
      </c>
      <c r="D25" s="146">
        <v>6599684</v>
      </c>
      <c r="E25" s="145">
        <f t="shared" ref="E25:E31" si="15">SUM(C25:D25)</f>
        <v>6599684</v>
      </c>
      <c r="F25" s="145"/>
      <c r="G25" s="146">
        <v>0</v>
      </c>
      <c r="H25" s="145">
        <f>D25*H37</f>
        <v>4527053.2397999996</v>
      </c>
      <c r="I25" s="145">
        <f t="shared" ref="I25:I31" si="16">SUM(G25:H25)</f>
        <v>4527053.2397999996</v>
      </c>
      <c r="J25" s="145"/>
      <c r="K25" s="146">
        <v>0</v>
      </c>
      <c r="L25" s="145">
        <f t="shared" ref="L25:L31" si="17">D25-H25</f>
        <v>2072630.7602000004</v>
      </c>
      <c r="M25" s="145">
        <f t="shared" ref="M25:M31" si="18">SUM(K25:L25)</f>
        <v>2072630.7602000004</v>
      </c>
    </row>
    <row r="26" spans="1:13">
      <c r="B26" s="46" t="s">
        <v>19</v>
      </c>
      <c r="C26" s="145">
        <f t="shared" si="14"/>
        <v>0</v>
      </c>
      <c r="D26" s="146">
        <v>150812</v>
      </c>
      <c r="E26" s="145">
        <f t="shared" si="15"/>
        <v>150812</v>
      </c>
      <c r="F26" s="145"/>
      <c r="G26" s="146">
        <v>0</v>
      </c>
      <c r="H26" s="145">
        <f>D26*H36</f>
        <v>98615.966800000009</v>
      </c>
      <c r="I26" s="145">
        <f t="shared" si="16"/>
        <v>98615.966800000009</v>
      </c>
      <c r="J26" s="145"/>
      <c r="K26" s="146">
        <v>0</v>
      </c>
      <c r="L26" s="145">
        <f t="shared" si="17"/>
        <v>52196.033199999991</v>
      </c>
      <c r="M26" s="145">
        <f t="shared" si="18"/>
        <v>52196.033199999991</v>
      </c>
    </row>
    <row r="27" spans="1:13">
      <c r="A27" s="46">
        <v>303100</v>
      </c>
      <c r="B27" s="46" t="s">
        <v>17</v>
      </c>
      <c r="C27" s="145">
        <f t="shared" si="14"/>
        <v>0</v>
      </c>
      <c r="D27" s="146">
        <v>60246039</v>
      </c>
      <c r="E27" s="145">
        <f t="shared" si="15"/>
        <v>60246039</v>
      </c>
      <c r="F27" s="145"/>
      <c r="G27" s="146">
        <v>0</v>
      </c>
      <c r="H27" s="145">
        <f>D27*H37</f>
        <v>41325770.45205</v>
      </c>
      <c r="I27" s="145">
        <f t="shared" si="16"/>
        <v>41325770.45205</v>
      </c>
      <c r="J27" s="145"/>
      <c r="K27" s="146">
        <v>0</v>
      </c>
      <c r="L27" s="145">
        <f t="shared" si="17"/>
        <v>18920268.54795</v>
      </c>
      <c r="M27" s="145">
        <f t="shared" si="18"/>
        <v>18920268.54795</v>
      </c>
    </row>
    <row r="28" spans="1:13">
      <c r="B28" s="46" t="s">
        <v>19</v>
      </c>
      <c r="C28" s="145">
        <f t="shared" si="14"/>
        <v>0</v>
      </c>
      <c r="D28" s="146">
        <v>62068</v>
      </c>
      <c r="E28" s="145">
        <f t="shared" si="15"/>
        <v>62068</v>
      </c>
      <c r="F28" s="145"/>
      <c r="G28" s="146">
        <v>0</v>
      </c>
      <c r="H28" s="145">
        <f>D28*H37</f>
        <v>42575.544599999994</v>
      </c>
      <c r="I28" s="145">
        <f t="shared" si="16"/>
        <v>42575.544599999994</v>
      </c>
      <c r="J28" s="145"/>
      <c r="K28" s="146">
        <v>0</v>
      </c>
      <c r="L28" s="145">
        <f t="shared" si="17"/>
        <v>19492.455400000006</v>
      </c>
      <c r="M28" s="145">
        <f t="shared" si="18"/>
        <v>19492.455400000006</v>
      </c>
    </row>
    <row r="29" spans="1:13">
      <c r="A29" s="46">
        <v>303110</v>
      </c>
      <c r="B29" s="46" t="s">
        <v>17</v>
      </c>
      <c r="C29" s="145">
        <f t="shared" si="14"/>
        <v>0</v>
      </c>
      <c r="D29" s="146">
        <v>1882492</v>
      </c>
      <c r="E29" s="145">
        <f t="shared" si="15"/>
        <v>1882492</v>
      </c>
      <c r="F29" s="145"/>
      <c r="G29" s="146">
        <v>0</v>
      </c>
      <c r="H29" s="145">
        <f>D29*H38</f>
        <v>1291295.3873999999</v>
      </c>
      <c r="I29" s="145">
        <f t="shared" si="16"/>
        <v>1291295.3873999999</v>
      </c>
      <c r="J29" s="145"/>
      <c r="K29" s="146">
        <v>0</v>
      </c>
      <c r="L29" s="145">
        <f t="shared" si="17"/>
        <v>591196.61260000011</v>
      </c>
      <c r="M29" s="145">
        <f t="shared" si="18"/>
        <v>591196.61260000011</v>
      </c>
    </row>
    <row r="30" spans="1:13">
      <c r="B30" s="46" t="s">
        <v>19</v>
      </c>
      <c r="C30" s="145">
        <f t="shared" ref="C30" si="19">SUM(G30,K30)</f>
        <v>0</v>
      </c>
      <c r="D30" s="146">
        <v>0</v>
      </c>
      <c r="E30" s="145">
        <f t="shared" ref="E30" si="20">SUM(C30:D30)</f>
        <v>0</v>
      </c>
      <c r="F30" s="145"/>
      <c r="G30" s="146">
        <v>0</v>
      </c>
      <c r="H30" s="145">
        <f>D30*H38</f>
        <v>0</v>
      </c>
      <c r="I30" s="145">
        <f t="shared" ref="I30" si="21">SUM(G30:H30)</f>
        <v>0</v>
      </c>
      <c r="J30" s="145"/>
      <c r="K30" s="146">
        <v>0</v>
      </c>
      <c r="L30" s="145">
        <f t="shared" ref="L30" si="22">D30-H30</f>
        <v>0</v>
      </c>
      <c r="M30" s="145">
        <f t="shared" ref="M30" si="23">SUM(K30:L30)</f>
        <v>0</v>
      </c>
    </row>
    <row r="31" spans="1:13">
      <c r="A31" s="46" t="s">
        <v>247</v>
      </c>
      <c r="B31" s="46" t="s">
        <v>17</v>
      </c>
      <c r="C31" s="145">
        <f t="shared" si="14"/>
        <v>0</v>
      </c>
      <c r="D31" s="146">
        <f>70717964+21251679+1004468</f>
        <v>92974111</v>
      </c>
      <c r="E31" s="145">
        <f t="shared" si="15"/>
        <v>92974111</v>
      </c>
      <c r="F31" s="145"/>
      <c r="G31" s="146">
        <v>0</v>
      </c>
      <c r="H31" s="145">
        <f>D31*H39</f>
        <v>63775591.440449998</v>
      </c>
      <c r="I31" s="145">
        <f t="shared" si="16"/>
        <v>63775591.440449998</v>
      </c>
      <c r="J31" s="145"/>
      <c r="K31" s="146">
        <v>0</v>
      </c>
      <c r="L31" s="145">
        <f t="shared" si="17"/>
        <v>29198519.559550002</v>
      </c>
      <c r="M31" s="145">
        <f t="shared" si="18"/>
        <v>29198519.559550002</v>
      </c>
    </row>
    <row r="32" spans="1:13" ht="13.8" thickBot="1">
      <c r="C32" s="151">
        <f>SUM(C25:C31)</f>
        <v>0</v>
      </c>
      <c r="D32" s="152">
        <f>SUM(D25:D31)</f>
        <v>161915206</v>
      </c>
      <c r="E32" s="151">
        <f>SUM(E25:E31)</f>
        <v>161915206</v>
      </c>
      <c r="F32" s="145"/>
      <c r="G32" s="151">
        <f>SUM(G25:G31)</f>
        <v>0</v>
      </c>
      <c r="H32" s="151">
        <f>SUM(H25:H31)</f>
        <v>111060902.0311</v>
      </c>
      <c r="I32" s="151">
        <f>SUM(I25:I31)</f>
        <v>111060902.0311</v>
      </c>
      <c r="J32" s="145"/>
      <c r="K32" s="151">
        <f>SUM(K25:K31)</f>
        <v>0</v>
      </c>
      <c r="L32" s="151">
        <f>SUM(L25:L31)</f>
        <v>50854303.968900003</v>
      </c>
      <c r="M32" s="151">
        <f>SUM(M25:M31)</f>
        <v>50854303.968900003</v>
      </c>
    </row>
    <row r="33" spans="1:13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>
      <c r="A35" s="46" t="s">
        <v>215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>
      <c r="A36" s="46">
        <v>1</v>
      </c>
      <c r="B36" s="46">
        <v>303000</v>
      </c>
      <c r="C36" s="145"/>
      <c r="D36" s="145"/>
      <c r="E36" s="145"/>
      <c r="F36" s="145"/>
      <c r="G36" s="145"/>
      <c r="H36" s="184">
        <v>0.65390000000000004</v>
      </c>
      <c r="I36" s="185"/>
      <c r="J36" s="185"/>
      <c r="K36" s="185"/>
      <c r="L36" s="186">
        <f>1-H36</f>
        <v>0.34609999999999996</v>
      </c>
      <c r="M36" s="145"/>
    </row>
    <row r="37" spans="1:13">
      <c r="A37" s="46">
        <v>4</v>
      </c>
      <c r="B37" s="46">
        <v>303100</v>
      </c>
      <c r="H37" s="187">
        <v>0.68594999999999995</v>
      </c>
      <c r="I37" s="188"/>
      <c r="J37" s="188"/>
      <c r="K37" s="188"/>
      <c r="L37" s="186">
        <f>1-H37</f>
        <v>0.31405000000000005</v>
      </c>
    </row>
    <row r="38" spans="1:13">
      <c r="A38" s="46">
        <v>4</v>
      </c>
      <c r="B38" s="46">
        <v>303110</v>
      </c>
      <c r="H38" s="187">
        <f>H37</f>
        <v>0.68594999999999995</v>
      </c>
      <c r="I38" s="188"/>
      <c r="J38" s="188"/>
      <c r="K38" s="188"/>
      <c r="L38" s="186">
        <f>1-H38</f>
        <v>0.31405000000000005</v>
      </c>
    </row>
    <row r="39" spans="1:13">
      <c r="A39" s="46">
        <v>4</v>
      </c>
      <c r="B39" s="46">
        <v>303115</v>
      </c>
      <c r="H39" s="187">
        <f>H37</f>
        <v>0.68594999999999995</v>
      </c>
      <c r="I39" s="188"/>
      <c r="J39" s="188"/>
      <c r="K39" s="188"/>
      <c r="L39" s="186">
        <f>1-H39</f>
        <v>0.31405000000000005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K12" sqref="K12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2.33203125" style="46" bestFit="1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201" t="s">
        <v>4</v>
      </c>
      <c r="D2" s="202"/>
      <c r="E2" s="203"/>
      <c r="G2" s="201" t="s">
        <v>113</v>
      </c>
      <c r="H2" s="202"/>
      <c r="I2" s="203"/>
      <c r="K2" s="201" t="s">
        <v>160</v>
      </c>
      <c r="L2" s="202"/>
      <c r="M2" s="203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7">
        <v>302000</v>
      </c>
      <c r="B4" s="148" t="s">
        <v>207</v>
      </c>
      <c r="C4" s="145">
        <f t="shared" ref="C4:D7" si="0">SUM(G4,K4)</f>
        <v>0</v>
      </c>
      <c r="D4" s="145">
        <f t="shared" si="0"/>
        <v>0</v>
      </c>
      <c r="E4" s="145">
        <f>SUM(C4:D4)</f>
        <v>0</v>
      </c>
      <c r="F4" s="145"/>
      <c r="G4" s="146">
        <v>0</v>
      </c>
      <c r="H4" s="146">
        <v>0</v>
      </c>
      <c r="I4" s="145">
        <f>SUM(G4:H4)</f>
        <v>0</v>
      </c>
      <c r="J4" s="145"/>
      <c r="K4" s="146">
        <v>0</v>
      </c>
      <c r="L4" s="146">
        <v>0</v>
      </c>
      <c r="M4" s="145">
        <f>SUM(K4:L4)</f>
        <v>0</v>
      </c>
    </row>
    <row r="5" spans="1:13">
      <c r="A5" s="147">
        <v>303000</v>
      </c>
      <c r="B5" s="144" t="s">
        <v>208</v>
      </c>
      <c r="C5" s="145">
        <f t="shared" si="0"/>
        <v>1802199</v>
      </c>
      <c r="D5" s="145">
        <f t="shared" si="0"/>
        <v>1976901</v>
      </c>
      <c r="E5" s="145">
        <f>SUM(C5:D5)</f>
        <v>3779100</v>
      </c>
      <c r="F5" s="145"/>
      <c r="G5" s="146">
        <v>1022594</v>
      </c>
      <c r="H5" s="146">
        <v>1428746</v>
      </c>
      <c r="I5" s="145">
        <f>SUM(G5:H5)</f>
        <v>2451340</v>
      </c>
      <c r="J5" s="145"/>
      <c r="K5" s="146">
        <v>779605</v>
      </c>
      <c r="L5" s="146">
        <v>548155</v>
      </c>
      <c r="M5" s="145">
        <f>SUM(K5:L5)</f>
        <v>1327760</v>
      </c>
    </row>
    <row r="6" spans="1:13">
      <c r="A6" s="147" t="s">
        <v>216</v>
      </c>
      <c r="B6" s="148" t="s">
        <v>209</v>
      </c>
      <c r="C6" s="145">
        <f t="shared" si="0"/>
        <v>984868</v>
      </c>
      <c r="D6" s="145">
        <f t="shared" si="0"/>
        <v>45912626</v>
      </c>
      <c r="E6" s="145">
        <f>SUM(C6:D6)</f>
        <v>46897494</v>
      </c>
      <c r="F6" s="145"/>
      <c r="G6" s="146">
        <v>970021</v>
      </c>
      <c r="H6" s="146">
        <v>33181973</v>
      </c>
      <c r="I6" s="145">
        <f>SUM(G6:H6)</f>
        <v>34151994</v>
      </c>
      <c r="J6" s="145"/>
      <c r="K6" s="146">
        <v>14847</v>
      </c>
      <c r="L6" s="146">
        <v>12730653</v>
      </c>
      <c r="M6" s="145">
        <f>SUM(K6:L6)</f>
        <v>12745500</v>
      </c>
    </row>
    <row r="7" spans="1:13">
      <c r="A7" s="147">
        <v>303110</v>
      </c>
      <c r="B7" s="148" t="s">
        <v>210</v>
      </c>
      <c r="C7" s="145">
        <f t="shared" si="0"/>
        <v>0</v>
      </c>
      <c r="D7" s="145">
        <f t="shared" si="0"/>
        <v>0</v>
      </c>
      <c r="E7" s="145">
        <f>SUM(C7:D7)</f>
        <v>0</v>
      </c>
      <c r="F7" s="145"/>
      <c r="G7" s="146">
        <v>0</v>
      </c>
      <c r="H7" s="146">
        <v>0</v>
      </c>
      <c r="I7" s="145">
        <f>SUM(G7:H7)</f>
        <v>0</v>
      </c>
      <c r="J7" s="145"/>
      <c r="K7" s="146">
        <v>0</v>
      </c>
      <c r="L7" s="146">
        <v>0</v>
      </c>
      <c r="M7" s="145">
        <f>SUM(K7:L7)</f>
        <v>0</v>
      </c>
    </row>
    <row r="8" spans="1:13">
      <c r="A8" s="149"/>
      <c r="B8" s="148" t="s">
        <v>211</v>
      </c>
      <c r="C8" s="150">
        <f>SUM(C4:C7)</f>
        <v>2787067</v>
      </c>
      <c r="D8" s="150">
        <f>SUM(D4:D7)</f>
        <v>47889527</v>
      </c>
      <c r="E8" s="150">
        <f>SUM(E4:E7)</f>
        <v>50676594</v>
      </c>
      <c r="F8" s="145"/>
      <c r="G8" s="150">
        <f>SUM(G4:G7)</f>
        <v>1992615</v>
      </c>
      <c r="H8" s="150">
        <f>SUM(H4:H7)</f>
        <v>34610719</v>
      </c>
      <c r="I8" s="150">
        <f>SUM(I4:I7)</f>
        <v>36603334</v>
      </c>
      <c r="J8" s="145"/>
      <c r="K8" s="150">
        <f>SUM(K4:K7)</f>
        <v>794452</v>
      </c>
      <c r="L8" s="150">
        <f>SUM(L4:L7)</f>
        <v>13278808</v>
      </c>
      <c r="M8" s="150">
        <f>SUM(M4:M7)</f>
        <v>14073260</v>
      </c>
    </row>
    <row r="9" spans="1:13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B10" s="46" t="s">
        <v>47</v>
      </c>
      <c r="C10" s="145">
        <f t="shared" ref="C10:D12" si="1">SUM(G10,K10)</f>
        <v>0</v>
      </c>
      <c r="D10" s="145">
        <f t="shared" si="1"/>
        <v>41123075</v>
      </c>
      <c r="E10" s="145">
        <f>SUM(C10:D10)</f>
        <v>41123075</v>
      </c>
      <c r="F10" s="145"/>
      <c r="G10" s="146">
        <v>0</v>
      </c>
      <c r="H10" s="146">
        <v>28441824</v>
      </c>
      <c r="I10" s="145">
        <f>SUM(G10:H10)</f>
        <v>28441824</v>
      </c>
      <c r="J10" s="145"/>
      <c r="K10" s="146"/>
      <c r="L10" s="146">
        <v>12681251</v>
      </c>
      <c r="M10" s="145">
        <f>SUM(K10:L10)</f>
        <v>12681251</v>
      </c>
    </row>
    <row r="11" spans="1:13">
      <c r="B11" s="46" t="s">
        <v>13</v>
      </c>
      <c r="C11" s="145">
        <f t="shared" si="1"/>
        <v>686797153</v>
      </c>
      <c r="D11" s="145">
        <f t="shared" si="1"/>
        <v>2593830</v>
      </c>
      <c r="E11" s="145">
        <f>SUM(C11:D11)</f>
        <v>689390983</v>
      </c>
      <c r="F11" s="145"/>
      <c r="G11" s="146">
        <v>460878771</v>
      </c>
      <c r="H11" s="146">
        <v>1757060</v>
      </c>
      <c r="I11" s="145">
        <f>SUM(G11:H11)</f>
        <v>462635831</v>
      </c>
      <c r="J11" s="145"/>
      <c r="K11" s="146">
        <v>225918382</v>
      </c>
      <c r="L11" s="146">
        <v>836770</v>
      </c>
      <c r="M11" s="145">
        <f>SUM(K11:L11)</f>
        <v>226755152</v>
      </c>
    </row>
    <row r="12" spans="1:13">
      <c r="B12" s="46" t="s">
        <v>212</v>
      </c>
      <c r="C12" s="145">
        <f t="shared" si="1"/>
        <v>35650033</v>
      </c>
      <c r="D12" s="145">
        <f t="shared" si="1"/>
        <v>67944061</v>
      </c>
      <c r="E12" s="145">
        <f>SUM(C12:D12)</f>
        <v>103594094</v>
      </c>
      <c r="F12" s="145"/>
      <c r="G12" s="146">
        <v>28345656</v>
      </c>
      <c r="H12" s="146">
        <v>49104532</v>
      </c>
      <c r="I12" s="145">
        <f>SUM(G12:H12)</f>
        <v>77450188</v>
      </c>
      <c r="J12" s="145"/>
      <c r="K12" s="146">
        <v>7304377</v>
      </c>
      <c r="L12" s="146">
        <v>18839529</v>
      </c>
      <c r="M12" s="145">
        <f>SUM(K12:L12)</f>
        <v>26143906</v>
      </c>
    </row>
    <row r="13" spans="1:13">
      <c r="C13" s="145"/>
      <c r="D13" s="145"/>
      <c r="E13" s="145"/>
      <c r="F13" s="145"/>
      <c r="G13" s="146"/>
      <c r="H13" s="146"/>
      <c r="I13" s="145"/>
      <c r="J13" s="145"/>
      <c r="K13" s="146"/>
      <c r="L13" s="146"/>
      <c r="M13" s="145">
        <f>SUM(K13:L13)</f>
        <v>0</v>
      </c>
    </row>
    <row r="14" spans="1:13" ht="13.8" thickBot="1">
      <c r="B14" s="46" t="s">
        <v>213</v>
      </c>
      <c r="C14" s="151">
        <f t="shared" ref="C14:I14" si="2">SUM(C8:C13)</f>
        <v>725234253</v>
      </c>
      <c r="D14" s="151">
        <f t="shared" si="2"/>
        <v>159550493</v>
      </c>
      <c r="E14" s="151">
        <f t="shared" si="2"/>
        <v>884784746</v>
      </c>
      <c r="F14" s="145">
        <f t="shared" si="2"/>
        <v>0</v>
      </c>
      <c r="G14" s="151">
        <f t="shared" si="2"/>
        <v>491217042</v>
      </c>
      <c r="H14" s="151">
        <f t="shared" si="2"/>
        <v>113914135</v>
      </c>
      <c r="I14" s="151">
        <f t="shared" si="2"/>
        <v>605131177</v>
      </c>
      <c r="J14" s="145"/>
      <c r="K14" s="151">
        <f>SUM(K8:K13)</f>
        <v>234017211</v>
      </c>
      <c r="L14" s="151">
        <f>SUM(L8:L13)</f>
        <v>45636358</v>
      </c>
      <c r="M14" s="151">
        <f>SUM(M8:M13)</f>
        <v>279653569</v>
      </c>
    </row>
    <row r="15" spans="1:13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>
      <c r="A18" s="46" t="s">
        <v>217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46">
        <v>303000</v>
      </c>
      <c r="B19" s="46" t="s">
        <v>17</v>
      </c>
      <c r="C19" s="145">
        <f t="shared" ref="C19:C24" si="3">SUM(G19,K19)</f>
        <v>0</v>
      </c>
      <c r="D19" s="146">
        <v>1933655</v>
      </c>
      <c r="E19" s="145">
        <f t="shared" ref="E19:E24" si="4">SUM(C19:D19)</f>
        <v>1933655</v>
      </c>
      <c r="F19" s="145"/>
      <c r="G19" s="146">
        <v>0</v>
      </c>
      <c r="H19" s="145">
        <f>D19*H31</f>
        <v>1397491.1416</v>
      </c>
      <c r="I19" s="145">
        <f t="shared" ref="I19:I24" si="5">SUM(G19:H19)</f>
        <v>1397491.1416</v>
      </c>
      <c r="J19" s="145"/>
      <c r="K19" s="146">
        <v>0</v>
      </c>
      <c r="L19" s="145">
        <f t="shared" ref="L19:L24" si="6">D19-H19</f>
        <v>536163.85840000003</v>
      </c>
      <c r="M19" s="145">
        <f t="shared" ref="M19:M24" si="7">SUM(K19:L19)</f>
        <v>536163.85840000003</v>
      </c>
    </row>
    <row r="20" spans="1:13">
      <c r="B20" s="46" t="s">
        <v>19</v>
      </c>
      <c r="C20" s="145">
        <f t="shared" si="3"/>
        <v>0</v>
      </c>
      <c r="D20" s="146">
        <v>43246</v>
      </c>
      <c r="E20" s="145">
        <f t="shared" si="4"/>
        <v>43246</v>
      </c>
      <c r="F20" s="145"/>
      <c r="G20" s="146">
        <v>0</v>
      </c>
      <c r="H20" s="145">
        <f>D20*H31</f>
        <v>31254.74912</v>
      </c>
      <c r="I20" s="145">
        <f t="shared" si="5"/>
        <v>31254.74912</v>
      </c>
      <c r="J20" s="145"/>
      <c r="K20" s="146">
        <v>0</v>
      </c>
      <c r="L20" s="145">
        <f t="shared" si="6"/>
        <v>11991.25088</v>
      </c>
      <c r="M20" s="145">
        <f t="shared" si="7"/>
        <v>11991.25088</v>
      </c>
    </row>
    <row r="21" spans="1:13">
      <c r="A21" s="46">
        <v>303100</v>
      </c>
      <c r="B21" s="46" t="s">
        <v>17</v>
      </c>
      <c r="C21" s="145">
        <f t="shared" si="3"/>
        <v>0</v>
      </c>
      <c r="D21" s="146">
        <v>17652492</v>
      </c>
      <c r="E21" s="145">
        <f t="shared" si="4"/>
        <v>17652492</v>
      </c>
      <c r="F21" s="145"/>
      <c r="G21" s="146">
        <v>0</v>
      </c>
      <c r="H21" s="145">
        <f>D21*H32</f>
        <v>12757809.018240001</v>
      </c>
      <c r="I21" s="145">
        <f t="shared" si="5"/>
        <v>12757809.018240001</v>
      </c>
      <c r="J21" s="145"/>
      <c r="K21" s="146">
        <v>0</v>
      </c>
      <c r="L21" s="145">
        <f t="shared" si="6"/>
        <v>4894682.9817599989</v>
      </c>
      <c r="M21" s="145">
        <f t="shared" si="7"/>
        <v>4894682.9817599989</v>
      </c>
    </row>
    <row r="22" spans="1:13">
      <c r="B22" s="46" t="s">
        <v>19</v>
      </c>
      <c r="C22" s="145">
        <f t="shared" si="3"/>
        <v>0</v>
      </c>
      <c r="D22" s="146">
        <v>17798</v>
      </c>
      <c r="E22" s="145">
        <f t="shared" si="4"/>
        <v>17798</v>
      </c>
      <c r="F22" s="145"/>
      <c r="G22" s="146">
        <v>0</v>
      </c>
      <c r="H22" s="145"/>
      <c r="I22" s="145">
        <f t="shared" si="5"/>
        <v>0</v>
      </c>
      <c r="J22" s="145"/>
      <c r="K22" s="146">
        <v>0</v>
      </c>
      <c r="L22" s="145">
        <f t="shared" si="6"/>
        <v>17798</v>
      </c>
      <c r="M22" s="145">
        <f t="shared" si="7"/>
        <v>17798</v>
      </c>
    </row>
    <row r="23" spans="1:13">
      <c r="A23" s="46">
        <v>303110</v>
      </c>
      <c r="B23" s="46" t="s">
        <v>17</v>
      </c>
      <c r="C23" s="145">
        <f t="shared" si="3"/>
        <v>0</v>
      </c>
      <c r="D23" s="146">
        <v>551555</v>
      </c>
      <c r="E23" s="145">
        <f t="shared" si="4"/>
        <v>551555</v>
      </c>
      <c r="F23" s="145"/>
      <c r="G23" s="146">
        <v>0</v>
      </c>
      <c r="H23" s="145">
        <f>D23*H33</f>
        <v>398619.8296</v>
      </c>
      <c r="I23" s="145">
        <f t="shared" si="5"/>
        <v>398619.8296</v>
      </c>
      <c r="J23" s="145"/>
      <c r="K23" s="146">
        <v>0</v>
      </c>
      <c r="L23" s="145">
        <f t="shared" si="6"/>
        <v>152935.1704</v>
      </c>
      <c r="M23" s="145">
        <f t="shared" si="7"/>
        <v>152935.1704</v>
      </c>
    </row>
    <row r="24" spans="1:13">
      <c r="B24" s="46" t="s">
        <v>19</v>
      </c>
      <c r="C24" s="145">
        <f t="shared" si="3"/>
        <v>0</v>
      </c>
      <c r="D24" s="146">
        <v>0</v>
      </c>
      <c r="E24" s="145">
        <f t="shared" si="4"/>
        <v>0</v>
      </c>
      <c r="F24" s="145"/>
      <c r="G24" s="146">
        <v>0</v>
      </c>
      <c r="H24" s="145"/>
      <c r="I24" s="145">
        <f t="shared" si="5"/>
        <v>0</v>
      </c>
      <c r="J24" s="145"/>
      <c r="K24" s="146">
        <v>0</v>
      </c>
      <c r="L24" s="145">
        <f t="shared" si="6"/>
        <v>0</v>
      </c>
      <c r="M24" s="145">
        <f t="shared" si="7"/>
        <v>0</v>
      </c>
    </row>
    <row r="25" spans="1:13">
      <c r="A25" s="46">
        <v>303115</v>
      </c>
      <c r="B25" s="46" t="s">
        <v>17</v>
      </c>
      <c r="C25" s="145">
        <f t="shared" ref="C25:C26" si="8">SUM(G25,K25)</f>
        <v>0</v>
      </c>
      <c r="D25" s="146">
        <f>20719804+6226574+294301</f>
        <v>27240679</v>
      </c>
      <c r="E25" s="145">
        <f t="shared" ref="E25:E26" si="9">SUM(C25:D25)</f>
        <v>27240679</v>
      </c>
      <c r="F25" s="145"/>
      <c r="G25" s="146">
        <v>0</v>
      </c>
      <c r="H25" s="145">
        <f>D25*H34</f>
        <v>19687383.52688</v>
      </c>
      <c r="I25" s="145">
        <f t="shared" ref="I25:I26" si="10">SUM(G25:H25)</f>
        <v>19687383.52688</v>
      </c>
      <c r="J25" s="145"/>
      <c r="K25" s="146">
        <v>0</v>
      </c>
      <c r="L25" s="145">
        <f t="shared" ref="L25:L26" si="11">D25-H25</f>
        <v>7553295.4731200002</v>
      </c>
      <c r="M25" s="145">
        <f t="shared" ref="M25:M26" si="12">SUM(K25:L25)</f>
        <v>7553295.4731200002</v>
      </c>
    </row>
    <row r="26" spans="1:13">
      <c r="B26" s="46" t="s">
        <v>19</v>
      </c>
      <c r="C26" s="145">
        <f t="shared" si="8"/>
        <v>0</v>
      </c>
      <c r="D26" s="146">
        <v>0</v>
      </c>
      <c r="E26" s="145">
        <f t="shared" si="9"/>
        <v>0</v>
      </c>
      <c r="F26" s="145"/>
      <c r="G26" s="146">
        <v>0</v>
      </c>
      <c r="H26" s="145"/>
      <c r="I26" s="145">
        <f t="shared" si="10"/>
        <v>0</v>
      </c>
      <c r="J26" s="145"/>
      <c r="K26" s="146">
        <v>0</v>
      </c>
      <c r="L26" s="145">
        <f t="shared" si="11"/>
        <v>0</v>
      </c>
      <c r="M26" s="145">
        <f t="shared" si="12"/>
        <v>0</v>
      </c>
    </row>
    <row r="27" spans="1:13" ht="13.8" thickBot="1">
      <c r="C27" s="151">
        <f>SUM(C19:C26)</f>
        <v>0</v>
      </c>
      <c r="D27" s="152">
        <f>SUM(D19:D26)</f>
        <v>47439425</v>
      </c>
      <c r="E27" s="151">
        <f>SUM(E19:E26)</f>
        <v>47439425</v>
      </c>
      <c r="F27" s="145"/>
      <c r="G27" s="151">
        <f>SUM(G19:G26)</f>
        <v>0</v>
      </c>
      <c r="H27" s="151">
        <f t="shared" ref="H27:I27" si="13">SUM(H19:H26)</f>
        <v>34272558.265440002</v>
      </c>
      <c r="I27" s="151">
        <f t="shared" si="13"/>
        <v>34272558.265440002</v>
      </c>
      <c r="J27" s="145"/>
      <c r="K27" s="151">
        <f>SUM(K19:K26)</f>
        <v>0</v>
      </c>
      <c r="L27" s="151">
        <f t="shared" ref="L27:M27" si="14">SUM(L19:L26)</f>
        <v>13166866.734559998</v>
      </c>
      <c r="M27" s="151">
        <f t="shared" si="14"/>
        <v>13166866.734559998</v>
      </c>
    </row>
    <row r="28" spans="1:13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46" t="s">
        <v>215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46">
        <v>4</v>
      </c>
      <c r="B31" s="46">
        <v>303000</v>
      </c>
      <c r="C31" s="145"/>
      <c r="D31" s="145"/>
      <c r="E31" s="145"/>
      <c r="F31" s="145"/>
      <c r="G31" s="145"/>
      <c r="H31" s="184">
        <v>0.72272000000000003</v>
      </c>
      <c r="I31" s="185"/>
      <c r="J31" s="185"/>
      <c r="K31" s="185"/>
      <c r="L31" s="186">
        <f>1-H31</f>
        <v>0.27727999999999997</v>
      </c>
      <c r="M31" s="145"/>
    </row>
    <row r="32" spans="1:13">
      <c r="A32" s="46">
        <v>4</v>
      </c>
      <c r="B32" s="46">
        <v>303100</v>
      </c>
      <c r="H32" s="184">
        <f>H31</f>
        <v>0.72272000000000003</v>
      </c>
      <c r="I32" s="188"/>
      <c r="J32" s="188"/>
      <c r="K32" s="188"/>
      <c r="L32" s="186">
        <f>1-H32</f>
        <v>0.27727999999999997</v>
      </c>
    </row>
    <row r="33" spans="1:12">
      <c r="A33" s="46">
        <v>4</v>
      </c>
      <c r="B33" s="46">
        <v>303110</v>
      </c>
      <c r="H33" s="184">
        <f t="shared" ref="H33:H34" si="15">H32</f>
        <v>0.72272000000000003</v>
      </c>
      <c r="I33" s="188"/>
      <c r="J33" s="188"/>
      <c r="K33" s="188"/>
      <c r="L33" s="186">
        <f>1-H33</f>
        <v>0.27727999999999997</v>
      </c>
    </row>
    <row r="34" spans="1:12">
      <c r="A34" s="46">
        <v>4</v>
      </c>
      <c r="B34" s="46">
        <v>303115</v>
      </c>
      <c r="H34" s="184">
        <f t="shared" si="15"/>
        <v>0.72272000000000003</v>
      </c>
      <c r="I34" s="188"/>
      <c r="J34" s="188"/>
      <c r="K34" s="188"/>
      <c r="L34" s="186">
        <f>1-H34</f>
        <v>0.27727999999999997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D9A7AB-456E-4ED6-B803-8025C159AB53}"/>
</file>

<file path=customXml/itemProps2.xml><?xml version="1.0" encoding="utf-8"?>
<ds:datastoreItem xmlns:ds="http://schemas.openxmlformats.org/officeDocument/2006/customXml" ds:itemID="{7786714F-BB35-4E6C-93A5-8956A5766FEA}"/>
</file>

<file path=customXml/itemProps3.xml><?xml version="1.0" encoding="utf-8"?>
<ds:datastoreItem xmlns:ds="http://schemas.openxmlformats.org/officeDocument/2006/customXml" ds:itemID="{DFE48CFF-BCB9-4965-A2EB-7B59EEF76AEE}"/>
</file>

<file path=customXml/itemProps4.xml><?xml version="1.0" encoding="utf-8"?>
<ds:datastoreItem xmlns:ds="http://schemas.openxmlformats.org/officeDocument/2006/customXml" ds:itemID="{747BC1CD-BD47-45B1-9A51-4F0E6336D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Elec-Dec18</vt:lpstr>
      <vt:lpstr>Gas North-Dec18</vt:lpstr>
      <vt:lpstr>SYS-Dec18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'Elec-Dec18'!Print_Area</vt:lpstr>
      <vt:lpstr>'Gas AMA-Functional'!Print_Area</vt:lpstr>
      <vt:lpstr>'Gas North-Dec18'!Print_Area</vt:lpstr>
      <vt:lpstr>'Other DFIT_AMA'!Print_Area</vt:lpstr>
      <vt:lpstr>'SYS-Dec18'!Print_Area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Pluth, Jeanne</cp:lastModifiedBy>
  <cp:lastPrinted>2018-10-11T14:39:41Z</cp:lastPrinted>
  <dcterms:created xsi:type="dcterms:W3CDTF">2012-08-06T15:48:58Z</dcterms:created>
  <dcterms:modified xsi:type="dcterms:W3CDTF">2019-01-23T21:31:00Z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