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metadata.xml" ContentType="application/vnd.openxmlformats-officedocument.spreadsheetml.sheetMetadata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sonsbehle-my.sharepoint.com/personal/rshaffer_parsonsbehle_com/Documents/Documents/"/>
    </mc:Choice>
  </mc:AlternateContent>
  <xr:revisionPtr revIDLastSave="0" documentId="8_{695BC30C-4353-4553-AB25-5058954DD1CD}" xr6:coauthVersionLast="47" xr6:coauthVersionMax="47" xr10:uidLastSave="{00000000-0000-0000-0000-000000000000}"/>
  <bookViews>
    <workbookView xWindow="-120" yWindow="-120" windowWidth="29040" windowHeight="15720" xr2:uid="{79C3866D-70A8-4330-96AA-D2576BA005F6}"/>
  </bookViews>
  <sheets>
    <sheet name="LVP-3" sheetId="21" r:id="rId1"/>
    <sheet name="LVP-4" sheetId="25" r:id="rId2"/>
    <sheet name="LVP-5" sheetId="28" r:id="rId3"/>
    <sheet name="LVP-6" sheetId="31" r:id="rId4"/>
    <sheet name="WP" sheetId="4" r:id="rId5"/>
    <sheet name="Fig1Data" sheetId="26" r:id="rId6"/>
    <sheet name="Fig1Chart" sheetId="27" r:id="rId7"/>
    <sheet name="Fig2Data" sheetId="29" r:id="rId8"/>
    <sheet name="Fig2Chart" sheetId="3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>'[1]OKLA DATA'!$D$205</definedName>
    <definedName name="\P">'[1]OKLA DATA'!$A$136</definedName>
    <definedName name="_DAT1" localSheetId="1">'[2]WP-H-14-682010_Lobby'!$A$3:$A$31</definedName>
    <definedName name="_DAT1" localSheetId="3">'[2]WP-H-14-682010_Lobby'!$A$3:$A$31</definedName>
    <definedName name="_DAT1">'[2]WP-H-14-682010_Lobby'!$A$3:$A$31</definedName>
    <definedName name="_DAT10" localSheetId="1">'[2]WP-H-14-682010_LobbyA'!$J$2:$J$586</definedName>
    <definedName name="_DAT10" localSheetId="3">'[2]WP-H-14-682010_LobbyA'!$J$2:$J$586</definedName>
    <definedName name="_DAT10">'[2]WP-H-14-682010_LobbyA'!$J$2:$J$586</definedName>
    <definedName name="_DAT2" localSheetId="1">'[2]WP-H-14-682010_Lobby'!$B$3:$B$31</definedName>
    <definedName name="_DAT2" localSheetId="3">'[2]WP-H-14-682010_Lobby'!$B$3:$B$31</definedName>
    <definedName name="_DAT2">'[2]WP-H-14-682010_Lobby'!$B$3:$B$31</definedName>
    <definedName name="_DAT3" localSheetId="1">'[2]WP-H-14-682010_Lobby'!$C$3:$C$31</definedName>
    <definedName name="_DAT3" localSheetId="3">'[2]WP-H-14-682010_Lobby'!$C$3:$C$31</definedName>
    <definedName name="_DAT3">'[2]WP-H-14-682010_Lobby'!$C$3:$C$31</definedName>
    <definedName name="_DAT4" localSheetId="1">'[2]WP-H-14-682010_Lobby'!$E$3:$E$31</definedName>
    <definedName name="_DAT4" localSheetId="3">'[2]WP-H-14-682010_Lobby'!$E$3:$E$31</definedName>
    <definedName name="_DAT4">'[2]WP-H-14-682010_Lobby'!$E$3:$E$31</definedName>
    <definedName name="_DAT5" localSheetId="1">'[2]WP-H-14-682010_Lobby'!$F$3:$F$31</definedName>
    <definedName name="_DAT5" localSheetId="3">'[2]WP-H-14-682010_Lobby'!$F$3:$F$31</definedName>
    <definedName name="_DAT5">'[2]WP-H-14-682010_Lobby'!$F$3:$F$31</definedName>
    <definedName name="_DAT6" localSheetId="1">'[2]WP-H-14-682010_Lobby'!$G$3:$G$31</definedName>
    <definedName name="_DAT6" localSheetId="3">'[2]WP-H-14-682010_Lobby'!$G$3:$G$31</definedName>
    <definedName name="_DAT6">'[2]WP-H-14-682010_Lobby'!$G$3:$G$31</definedName>
    <definedName name="_DAT7" localSheetId="1">'[2]WP-H-14-682010_LobbyA'!$G$2:$G$586</definedName>
    <definedName name="_DAT7" localSheetId="3">'[2]WP-H-14-682010_LobbyA'!$G$2:$G$586</definedName>
    <definedName name="_DAT7">'[2]WP-H-14-682010_LobbyA'!$G$2:$G$586</definedName>
    <definedName name="_DAT8" localSheetId="1">'[2]WP-H-14-682010_LobbyA'!$H$2:$H$586</definedName>
    <definedName name="_DAT8" localSheetId="3">'[2]WP-H-14-682010_LobbyA'!$H$2:$H$586</definedName>
    <definedName name="_DAT8">'[2]WP-H-14-682010_LobbyA'!$H$2:$H$586</definedName>
    <definedName name="_DAT9" localSheetId="1">'[2]WP-H-14-682010_LobbyA'!$I$2:$I$586</definedName>
    <definedName name="_DAT9" localSheetId="3">'[2]WP-H-14-682010_LobbyA'!$I$2:$I$586</definedName>
    <definedName name="_DAT9">'[2]WP-H-14-682010_LobbyA'!$I$2:$I$586</definedName>
    <definedName name="_Fill" localSheetId="5" hidden="1">'[3]COST OF SERVICE'!#REF!</definedName>
    <definedName name="_Fill" localSheetId="7" hidden="1">'[3]COST OF SERVICE'!#REF!</definedName>
    <definedName name="_Fill" localSheetId="0" hidden="1">'[3]COST OF SERVICE'!#REF!</definedName>
    <definedName name="_Fill" localSheetId="1" hidden="1">'[3]COST OF SERVICE'!#REF!</definedName>
    <definedName name="_Fill" localSheetId="2" hidden="1">'[3]COST OF SERVICE'!#REF!</definedName>
    <definedName name="_Fill" localSheetId="3" hidden="1">'[3]COST OF SERVICE'!#REF!</definedName>
    <definedName name="_Fill" hidden="1">'[3]COST OF SERVICE'!#REF!</definedName>
    <definedName name="_xlnm._FilterDatabase" localSheetId="5" hidden="1">Fig1Data!#REF!</definedName>
    <definedName name="_xlnm._FilterDatabase" localSheetId="7" hidden="1">Fig2Data!$A$1:$B$15</definedName>
    <definedName name="_xlnm._FilterDatabase" localSheetId="0" hidden="1">'LVP-3'!$A$7:$Z$16</definedName>
    <definedName name="_xlnm._FilterDatabase" localSheetId="2" hidden="1">'LVP-5'!$A$7:$Z$24</definedName>
    <definedName name="_Key1" localSheetId="5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5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5">#REF!</definedName>
    <definedName name="Calculation_of_Ok_Juris_Cost_of_Fuel" localSheetId="7">#REF!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>#REF!</definedName>
    <definedName name="Comparison_of_Fuel_Okla_Juris" localSheetId="5">#REF!</definedName>
    <definedName name="Comparison_of_Fuel_Okla_Juris" localSheetId="7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>#REF!</definedName>
    <definedName name="CONOCO_FAC" localSheetId="5">#REF!</definedName>
    <definedName name="CONOCO_FAC" localSheetId="7">#REF!</definedName>
    <definedName name="CONOCO_FAC" localSheetId="0">#REF!</definedName>
    <definedName name="CONOCO_FAC" localSheetId="1">#REF!</definedName>
    <definedName name="CONOCO_FAC" localSheetId="2">#REF!</definedName>
    <definedName name="CONOCO_FAC" localSheetId="3">#REF!</definedName>
    <definedName name="CONOCO_FAC">#REF!</definedName>
    <definedName name="cp_by_group" localSheetId="5">#REF!</definedName>
    <definedName name="cp_by_group" localSheetId="7">#REF!</definedName>
    <definedName name="cp_by_group" localSheetId="0">#REF!</definedName>
    <definedName name="cp_by_group" localSheetId="1">#REF!</definedName>
    <definedName name="cp_by_group" localSheetId="2">#REF!</definedName>
    <definedName name="cp_by_group" localSheetId="3">#REF!</definedName>
    <definedName name="cp_by_group">#REF!</definedName>
    <definedName name="cp_by_serv_level" localSheetId="5">#REF!</definedName>
    <definedName name="cp_by_serv_level" localSheetId="7">#REF!</definedName>
    <definedName name="cp_by_serv_level" localSheetId="0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>#REF!</definedName>
    <definedName name="cp_input_area" localSheetId="5">#REF!</definedName>
    <definedName name="cp_input_area" localSheetId="7">#REF!</definedName>
    <definedName name="cp_input_area" localSheetId="0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>#REF!</definedName>
    <definedName name="DATA">'[1]OKLA DATA'!$A$1:$B$118</definedName>
    <definedName name="Data_for_Above_Calculations" localSheetId="5">#REF!</definedName>
    <definedName name="Data_for_Above_Calculations" localSheetId="7">#REF!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>#REF!</definedName>
    <definedName name="dfsdfsdfsdf" localSheetId="5" hidden="1">'[3]COST OF SERVICE'!#REF!</definedName>
    <definedName name="dfsdfsdfsdf" localSheetId="7" hidden="1">'[3]COST OF SERVICE'!#REF!</definedName>
    <definedName name="dfsdfsdfsdf" localSheetId="0" hidden="1">'[3]COST OF SERVICE'!#REF!</definedName>
    <definedName name="dfsdfsdfsdf" localSheetId="1" hidden="1">'[3]COST OF SERVICE'!#REF!</definedName>
    <definedName name="dfsdfsdfsdf" localSheetId="2" hidden="1">'[3]COST OF SERVICE'!#REF!</definedName>
    <definedName name="dfsdfsdfsdf" localSheetId="3" hidden="1">'[3]COST OF SERVICE'!#REF!</definedName>
    <definedName name="dfsdfsdfsdf" hidden="1">'[3]COST OF SERVICE'!#REF!</definedName>
    <definedName name="EGEXMPCA.XLS" localSheetId="1">[6]Input_Data!#REF!</definedName>
    <definedName name="EGEXMPCA.XLS" localSheetId="3">[6]Input_Data!#REF!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5">#REF!</definedName>
    <definedName name="FAC_CALC" localSheetId="7">#REF!</definedName>
    <definedName name="FAC_CALC" localSheetId="0">#REF!</definedName>
    <definedName name="FAC_CALC" localSheetId="1">#REF!</definedName>
    <definedName name="FAC_CALC" localSheetId="2">#REF!</definedName>
    <definedName name="FAC_CALC" localSheetId="3">#REF!</definedName>
    <definedName name="FAC_CALC">#REF!</definedName>
    <definedName name="FCTCcalcN">"optbox_FCcalcN"</definedName>
    <definedName name="FCTCcalcY">"optbox_FccalcY"</definedName>
    <definedName name="FUEL_EXCLUSION_SECTION" localSheetId="5">#REF!</definedName>
    <definedName name="FUEL_EXCLUSION_SECTION" localSheetId="7">#REF!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>#REF!</definedName>
    <definedName name="Fuel_Pro_Forma_Adj" localSheetId="5">#REF!</definedName>
    <definedName name="Fuel_Pro_Forma_Adj" localSheetId="7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>#REF!</definedName>
    <definedName name="GASCOST" localSheetId="5">#REF!</definedName>
    <definedName name="GASCOST" localSheetId="7">#REF!</definedName>
    <definedName name="GASCOST" localSheetId="0">#REF!</definedName>
    <definedName name="GASCOST" localSheetId="1">#REF!</definedName>
    <definedName name="GASCOST" localSheetId="2">#REF!</definedName>
    <definedName name="GASCOST" localSheetId="3">#REF!</definedName>
    <definedName name="GASCOST">#REF!</definedName>
    <definedName name="GeogiaPac">'[4]Customer Bill Details (External'!$O$319</definedName>
    <definedName name="ghfgh" localSheetId="5">#REF!</definedName>
    <definedName name="ghfgh" localSheetId="7">#REF!</definedName>
    <definedName name="ghfgh" localSheetId="0">#REF!</definedName>
    <definedName name="ghfgh" localSheetId="1">#REF!</definedName>
    <definedName name="ghfgh" localSheetId="2">#REF!</definedName>
    <definedName name="ghfgh" localSheetId="3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5">#REF!</definedName>
    <definedName name="JBL" localSheetId="7">#REF!</definedName>
    <definedName name="JBL" localSheetId="0">#REF!</definedName>
    <definedName name="JBL" localSheetId="1">#REF!</definedName>
    <definedName name="JBL" localSheetId="2">#REF!</definedName>
    <definedName name="JBL" localSheetId="3">#REF!</definedName>
    <definedName name="JBL">#REF!</definedName>
    <definedName name="Juris_Weather_Adj_Data" localSheetId="5">#REF!</definedName>
    <definedName name="Juris_Weather_Adj_Data" localSheetId="7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5">#REF!</definedName>
    <definedName name="OKCOALADJ" localSheetId="7">#REF!</definedName>
    <definedName name="OKCOALADJ" localSheetId="0">#REF!</definedName>
    <definedName name="OKCOALADJ" localSheetId="1">#REF!</definedName>
    <definedName name="OKCOALADJ" localSheetId="2">#REF!</definedName>
    <definedName name="OKCOALADJ" localSheetId="3">#REF!</definedName>
    <definedName name="OKCOALADJ">#REF!</definedName>
    <definedName name="OKLAFAC" localSheetId="5">#REF!</definedName>
    <definedName name="OKLAFAC" localSheetId="7">#REF!</definedName>
    <definedName name="OKLAFAC" localSheetId="0">#REF!</definedName>
    <definedName name="OKLAFAC" localSheetId="1">#REF!</definedName>
    <definedName name="OKLAFAC" localSheetId="2">#REF!</definedName>
    <definedName name="OKLAFAC" localSheetId="3">#REF!</definedName>
    <definedName name="OKLAFAC">#REF!</definedName>
    <definedName name="Page" localSheetId="5">#REF!</definedName>
    <definedName name="Page" localSheetId="7">#REF!</definedName>
    <definedName name="Page" localSheetId="0">#REF!</definedName>
    <definedName name="Page" localSheetId="1">#REF!</definedName>
    <definedName name="Page" localSheetId="2">#REF!</definedName>
    <definedName name="Page" localSheetId="3">#REF!</definedName>
    <definedName name="Page">#REF!</definedName>
    <definedName name="PAGE_1" localSheetId="5">#REF!</definedName>
    <definedName name="PAGE_1" localSheetId="7">#REF!</definedName>
    <definedName name="PAGE_1" localSheetId="0">#REF!</definedName>
    <definedName name="PAGE_1" localSheetId="1">#REF!</definedName>
    <definedName name="PAGE_1" localSheetId="2">#REF!</definedName>
    <definedName name="PAGE_1" localSheetId="3">#REF!</definedName>
    <definedName name="PAGE_1">#REF!</definedName>
    <definedName name="PAGE_2" localSheetId="5">#REF!</definedName>
    <definedName name="PAGE_2" localSheetId="7">#REF!</definedName>
    <definedName name="PAGE_2" localSheetId="0">#REF!</definedName>
    <definedName name="PAGE_2" localSheetId="1">#REF!</definedName>
    <definedName name="PAGE_2" localSheetId="2">#REF!</definedName>
    <definedName name="PAGE_2" localSheetId="3">#REF!</definedName>
    <definedName name="PAGE_2">#REF!</definedName>
    <definedName name="PAGE_3">#N/A</definedName>
    <definedName name="PAGE_4">#N/A</definedName>
    <definedName name="Pageheaders" localSheetId="5">'[7]COST OF SERVICE'!#REF!</definedName>
    <definedName name="Pageheaders" localSheetId="7">'[7]COST OF SERVICE'!#REF!</definedName>
    <definedName name="Pageheaders" localSheetId="0">'[7]COST OF SERVICE'!#REF!</definedName>
    <definedName name="Pageheaders" localSheetId="1">'[7]COST OF SERVICE'!#REF!</definedName>
    <definedName name="Pageheaders" localSheetId="2">'[7]COST OF SERVICE'!#REF!</definedName>
    <definedName name="Pageheaders" localSheetId="3">'[7]COST OF SERVICE'!#REF!</definedName>
    <definedName name="Pageheaders">'[7]COST OF SERVICE'!#REF!</definedName>
    <definedName name="Percent" localSheetId="5">#REF!</definedName>
    <definedName name="Percent" localSheetId="7">#REF!</definedName>
    <definedName name="Percent" localSheetId="0">#REF!</definedName>
    <definedName name="Percent" localSheetId="1">#REF!</definedName>
    <definedName name="Percent" localSheetId="2">#REF!</definedName>
    <definedName name="Percent" localSheetId="3">#REF!</definedName>
    <definedName name="Percent">#REF!</definedName>
    <definedName name="Plains">'[4]Customer Bill Details (External'!$O$402</definedName>
    <definedName name="print_all_D_1" localSheetId="5">#REF!</definedName>
    <definedName name="print_all_D_1" localSheetId="7">#REF!</definedName>
    <definedName name="print_all_D_1" localSheetId="0">#REF!</definedName>
    <definedName name="print_all_D_1" localSheetId="1">#REF!</definedName>
    <definedName name="print_all_D_1" localSheetId="2">#REF!</definedName>
    <definedName name="print_all_D_1" localSheetId="3">#REF!</definedName>
    <definedName name="print_all_D_1">#REF!</definedName>
    <definedName name="_xlnm.Print_Titles" localSheetId="5">Fig1Data!#REF!</definedName>
    <definedName name="_xlnm.Print_Titles" localSheetId="7">Fig2Data!#REF!</definedName>
    <definedName name="_xlnm.Print_Titles" localSheetId="0">'LVP-3'!$1:$10</definedName>
    <definedName name="_xlnm.Print_Titles" localSheetId="2">'LVP-5'!$1:$10</definedName>
    <definedName name="QF1_PG1">[8]QF1_PG1!$A$1:$F$47</definedName>
    <definedName name="QF1_PG2">[8]QF1_PG2!$A$1:$H$55</definedName>
    <definedName name="QF1_PG3">[8]QF1_PG3!$A$1:$E$42</definedName>
    <definedName name="Reconcilement" localSheetId="5">#REF!</definedName>
    <definedName name="Reconcilement" localSheetId="7">#REF!</definedName>
    <definedName name="Reconcilement" localSheetId="0">#REF!</definedName>
    <definedName name="Reconcilement" localSheetId="1">#REF!</definedName>
    <definedName name="Reconcilement" localSheetId="2">#REF!</definedName>
    <definedName name="Reconcilement" localSheetId="3">#REF!</definedName>
    <definedName name="Reconcilement">#REF!</definedName>
    <definedName name="RORINPUT" localSheetId="1">'[7]COST OF SERVICE'!$AK$1489</definedName>
    <definedName name="RORINPUT" localSheetId="3">'[7]COST OF SERVICE'!$AK$1489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5">#REF!</definedName>
    <definedName name="sch" localSheetId="7">#REF!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>#REF!</definedName>
    <definedName name="SCH_B1" localSheetId="1">[9]SCH_B1!$A$1:$G$30</definedName>
    <definedName name="SCH_B1" localSheetId="3">[9]SCH_B1!$A$1:$G$30</definedName>
    <definedName name="SCH_B1">[9]SCH_B1!$A$1:$G$30</definedName>
    <definedName name="SCH_B3" localSheetId="1">[9]SCH_B3!$A$1:$G$42</definedName>
    <definedName name="SCH_B3" localSheetId="3">[9]SCH_B3!$A$1:$G$42</definedName>
    <definedName name="SCH_B3">[9]SCH_B3!$A$1:$G$42</definedName>
    <definedName name="SCH_C2" localSheetId="1">[9]SCH_C2!$A$1:$G$42</definedName>
    <definedName name="SCH_C2" localSheetId="3">[9]SCH_C2!$A$1:$G$42</definedName>
    <definedName name="SCH_C2">[9]SCH_C2!$A$1:$G$42</definedName>
    <definedName name="SCH_D2" localSheetId="1">[9]SCH_D2!$A$1:$G$42</definedName>
    <definedName name="SCH_D2" localSheetId="3">[9]SCH_D2!$A$1:$G$42</definedName>
    <definedName name="SCH_D2">[9]SCH_D2!$A$1:$G$42</definedName>
    <definedName name="SCH_H2" localSheetId="1">[9]SCH_H2!$A$1:$G$42</definedName>
    <definedName name="SCH_H2" localSheetId="3">[9]SCH_H2!$A$1:$G$42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5">#REF!</definedName>
    <definedName name="test" localSheetId="7">#REF!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0" localSheetId="1">'[2]WP-H-14-682010_Lobby'!$A$3:$G$31</definedName>
    <definedName name="TEST0" localSheetId="3">'[2]WP-H-14-682010_Lobby'!$A$3:$G$31</definedName>
    <definedName name="TEST0">'[2]WP-H-14-682010_Lobby'!$A$3:$G$31</definedName>
    <definedName name="TESTHKEY" localSheetId="1">'[2]WP-H-14-682010_Lobby'!$G$1</definedName>
    <definedName name="TESTHKEY" localSheetId="3">'[2]WP-H-14-682010_Lobby'!$G$1</definedName>
    <definedName name="TESTHKEY">'[2]WP-H-14-682010_Lobby'!$G$1</definedName>
    <definedName name="TESTKEYS" localSheetId="1">'[2]WP-H-14-682010_Lobby'!$A$3:$F$31</definedName>
    <definedName name="TESTKEYS" localSheetId="3">'[2]WP-H-14-682010_Lobby'!$A$3:$F$31</definedName>
    <definedName name="TESTKEYS">'[2]WP-H-14-682010_Lobby'!$A$3:$F$31</definedName>
    <definedName name="TESTVKEY" localSheetId="1">'[2]WP-H-14-682010_Lobby'!$A$1:$F$1</definedName>
    <definedName name="TESTVKEY" localSheetId="3">'[2]WP-H-14-682010_Lobby'!$A$1:$F$1</definedName>
    <definedName name="TESTVKEY">'[2]WP-H-14-682010_Lobby'!$A$1:$F$1</definedName>
    <definedName name="Weather_Fuel_Cost_Calc" localSheetId="5">#REF!</definedName>
    <definedName name="Weather_Fuel_Cost_Calc" localSheetId="7">#REF!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>#REF!</definedName>
    <definedName name="WEIGHAVG" localSheetId="5">#REF!</definedName>
    <definedName name="WEIGHAVG" localSheetId="7">#REF!</definedName>
    <definedName name="WEIGHAVG" localSheetId="0">#REF!</definedName>
    <definedName name="WEIGHAVG" localSheetId="1">#REF!</definedName>
    <definedName name="WEIGHAVG" localSheetId="2">#REF!</definedName>
    <definedName name="WEIGHAVG" localSheetId="3">#REF!</definedName>
    <definedName name="WEIGHAVG">#REF!</definedName>
    <definedName name="WP_B9a">[11]WP_B9!$A$29:$U$61</definedName>
    <definedName name="WP_B9b" localSheetId="5">[11]WP_B9!#REF!</definedName>
    <definedName name="WP_B9b" localSheetId="7">[11]WP_B9!#REF!</definedName>
    <definedName name="WP_B9b" localSheetId="0">[11]WP_B9!#REF!</definedName>
    <definedName name="WP_B9b" localSheetId="1">[11]WP_B9!#REF!</definedName>
    <definedName name="WP_B9b" localSheetId="2">[11]WP_B9!#REF!</definedName>
    <definedName name="WP_B9b" localSheetId="3">[11]WP_B9!#REF!</definedName>
    <definedName name="WP_B9b">[11]WP_B9!#REF!</definedName>
    <definedName name="WP_G6" localSheetId="5">#REF!</definedName>
    <definedName name="WP_G6" localSheetId="7">#REF!</definedName>
    <definedName name="WP_G6" localSheetId="0">#REF!</definedName>
    <definedName name="WP_G6" localSheetId="1">#REF!</definedName>
    <definedName name="WP_G6" localSheetId="2">#REF!</definedName>
    <definedName name="WP_G6" localSheetId="3">#REF!</definedName>
    <definedName name="WP_G6">#REF!</definedName>
    <definedName name="wrn.ACC._.PROV." localSheetId="5" hidden="1">{"JURIS_ACC_PROV",#N/A,FALSE,"COSTSTUDY";"OKCLS_ACC_PROV",#N/A,FALSE,"COSTSTUDY"}</definedName>
    <definedName name="wrn.ACC._.PROV." localSheetId="7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5" hidden="1">{"CAP_ALLOC_SUMMARY",#N/A,FALSE,"Alloc Summary"}</definedName>
    <definedName name="wrn.CAPACITY._.ALLOC._.SUMMARY." localSheetId="7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hidden="1">{"CAP_ALLOC_SUMMARY",#N/A,FALSE,"Alloc Summary"}</definedName>
    <definedName name="wrn.CUST._.REV._.ALLOC._.INPUT." localSheetId="5" hidden="1">{"SECTK_JURIS_CUSTREV",#N/A,FALSE,"COSTSTUDY";"SECTK_OKCLS_CUSTREV",#N/A,FALSE,"COSTSTUDY"}</definedName>
    <definedName name="wrn.CUST._.REV._.ALLOC._.INPUT." localSheetId="7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5" hidden="1">{"JURIS_CUST_ALLOC_RATIOS",#N/A,FALSE,"COSTSTUDY";"OKCLS_CUST_ALLOC_RATIOS",#N/A,FALSE,"COSTSTUDY"}</definedName>
    <definedName name="wrn.CUSTOMER._.ALLOC._.RATIOS." localSheetId="7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5" hidden="1">{"JURIS_DMDENRGY_RATIOS",#N/A,FALSE,"COSTSTUDY";"OKCLS_DMDENRGY_RATIOS",#N/A,FALSE,"COSTSTUDY"}</definedName>
    <definedName name="wrn.DEMAND._.ENERGY._.RATIOS." localSheetId="7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5" hidden="1">{"JURIS_DEPR_EXP",#N/A,FALSE,"COSTSTUDY";"OKCLS_DEPR_EXP",#N/A,FALSE,"COSTSTUDY"}</definedName>
    <definedName name="wrn.DEPRECIATION._.EXPENSE." localSheetId="7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5" hidden="1">{"JURIS_LAB_ALOC_DEVLP",#N/A,FALSE,"COSTSTUDY";"OKCLS_LAB_ALOC_DEVLP",#N/A,FALSE,"COSTSTUDY"}</definedName>
    <definedName name="wrn.DEVLP._.LABOR._.ALLOC." localSheetId="7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5" hidden="1">{"JURIS_DMDENRGY_AL_INPUT",#N/A,FALSE,"COSTSTUDY";"OKCLS_DMDENRGY_AL_INPUT",#N/A,FALSE,"COSTSTUDY"}</definedName>
    <definedName name="wrn.DMD._.ENERGY._.ALLOC._.INPUT." localSheetId="7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5" hidden="1">{"JURIS_INC_TAX_CALC",#N/A,FALSE,"COSTSTUDY";"OKCLS_INC_TAX_CALC",#N/A,FALSE,"COSTSTUDY"}</definedName>
    <definedName name="wrn.INCOME._.TAX._.CALCULATION." localSheetId="7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5" hidden="1">{"JURIS_INT_ALOC_AMTS",#N/A,FALSE,"COSTSTUDY";"OKCLS_INT_ALOC_AMTS",#N/A,FALSE,"COSTSTUDY"}</definedName>
    <definedName name="wrn.INTERNAL._.ALLOC._.INPUT." localSheetId="7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5" hidden="1">{"JURIS_INTAL_RATIOS",#N/A,FALSE,"COSTSTUDY";"OKCLS_INTAL_RATIOS",#N/A,FALSE,"COSTSTUDY"}</definedName>
    <definedName name="wrn.INTERNAL._.ALLOC._.RATIOS." localSheetId="7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5" hidden="1">{"JURIS_OM_EXP",#N/A,FALSE,"COSTSTUDY";"OKCLS_OM_EXP",#N/A,FALSE,"COSTSTUDY"}</definedName>
    <definedName name="wrn.OM._.EXPENSES." localSheetId="7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5" hidden="1">{"JURIS_PLT_IN_SERV",#N/A,FALSE,"COSTSTUDY";"OKCLS_PLT_IN_SERV",#N/A,FALSE,"COSTSTUDY"}</definedName>
    <definedName name="wrn.PLANT._.IN._.SERVICE." localSheetId="7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5" hidden="1">{"JURIS_RB_ADJS",#N/A,FALSE,"COSTSTUDY";"OKCLS_RB_ADJS",#N/A,FALSE,"COSTSTUDY"}</definedName>
    <definedName name="wrn.RATEBASE._.ADJUSTMENTS." localSheetId="7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5" hidden="1">{"SCHK1",#N/A,FALSE,"FILING REPORTS"}</definedName>
    <definedName name="wrn.SCHEDULE_K_1." localSheetId="7" hidden="1">{"SCHK1",#N/A,FALSE,"FILING REPORTS"}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hidden="1">{"SCHK1",#N/A,FALSE,"FILING REPORTS"}</definedName>
    <definedName name="wrn.SECTLREPORTS." localSheetId="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7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5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7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5" hidden="1">{"OKCLS_SUMMARY",#N/A,FALSE,"INTERNAL REPORTS";"JURIS_SUMMARY",#N/A,FALSE,"INTERNAL REPORTS"}</definedName>
    <definedName name="wrn.SUMMARY." localSheetId="7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5" hidden="1">{"JURIS_TAXES_OTHER",#N/A,FALSE,"COSTSTUDY";"OKCLS_TAXES_OTHER",#N/A,FALSE,"COSTSTUDY"}</definedName>
    <definedName name="wrn.TAXES._.OTHER." localSheetId="7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5">#REF!</definedName>
    <definedName name="Year_End_Customer_Adjustment" localSheetId="7">#REF!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1" l="1"/>
  <c r="J19" i="31"/>
  <c r="H16" i="31"/>
  <c r="J16" i="31" s="1"/>
  <c r="I15" i="31"/>
  <c r="H15" i="31"/>
  <c r="H17" i="31" s="1"/>
  <c r="H9" i="31"/>
  <c r="J8" i="31"/>
  <c r="J7" i="31"/>
  <c r="X156" i="28"/>
  <c r="V156" i="28"/>
  <c r="N156" i="28"/>
  <c r="P156" i="28" s="1"/>
  <c r="I156" i="28"/>
  <c r="G155" i="28" a="1"/>
  <c r="G155" i="28" s="1"/>
  <c r="Z152" i="28"/>
  <c r="X152" i="28"/>
  <c r="V152" i="28"/>
  <c r="N152" i="28"/>
  <c r="I152" i="28"/>
  <c r="P152" i="28" s="1"/>
  <c r="G151" i="28" a="1"/>
  <c r="G151" i="28" s="1"/>
  <c r="X148" i="28"/>
  <c r="V148" i="28"/>
  <c r="N148" i="28"/>
  <c r="P148" i="28" s="1"/>
  <c r="I148" i="28"/>
  <c r="G147" i="28" a="1"/>
  <c r="G147" i="28" s="1"/>
  <c r="X144" i="28"/>
  <c r="V144" i="28"/>
  <c r="N144" i="28"/>
  <c r="I144" i="28"/>
  <c r="P144" i="28" s="1"/>
  <c r="G143" i="28" a="1"/>
  <c r="G143" i="28" s="1"/>
  <c r="X140" i="28"/>
  <c r="V140" i="28"/>
  <c r="P140" i="28"/>
  <c r="N140" i="28"/>
  <c r="I140" i="28"/>
  <c r="X139" i="28"/>
  <c r="V139" i="28"/>
  <c r="N139" i="28"/>
  <c r="I139" i="28"/>
  <c r="P139" i="28" s="1"/>
  <c r="Z138" i="28"/>
  <c r="X137" i="28"/>
  <c r="V137" i="28"/>
  <c r="N137" i="28"/>
  <c r="I137" i="28"/>
  <c r="G137" i="28"/>
  <c r="X136" i="28"/>
  <c r="V136" i="28"/>
  <c r="N136" i="28"/>
  <c r="I136" i="28"/>
  <c r="X135" i="28"/>
  <c r="V135" i="28"/>
  <c r="N135" i="28"/>
  <c r="I135" i="28"/>
  <c r="X134" i="28"/>
  <c r="V134" i="28"/>
  <c r="N134" i="28"/>
  <c r="I134" i="28"/>
  <c r="X133" i="28"/>
  <c r="V133" i="28"/>
  <c r="P133" i="28"/>
  <c r="N133" i="28"/>
  <c r="I133" i="28"/>
  <c r="G132" i="28"/>
  <c r="Z128" i="28"/>
  <c r="P128" i="28"/>
  <c r="Z127" i="28"/>
  <c r="P127" i="28"/>
  <c r="Z126" i="28"/>
  <c r="P126" i="28"/>
  <c r="Z125" i="28"/>
  <c r="P125" i="28"/>
  <c r="Z124" i="28"/>
  <c r="P124" i="28"/>
  <c r="Z123" i="28"/>
  <c r="P123" i="28"/>
  <c r="Z122" i="28"/>
  <c r="Z156" i="28" s="1"/>
  <c r="P122" i="28"/>
  <c r="Z121" i="28"/>
  <c r="P121" i="28"/>
  <c r="P120" i="28"/>
  <c r="Z119" i="28"/>
  <c r="P119" i="28"/>
  <c r="Z118" i="28"/>
  <c r="P118" i="28"/>
  <c r="Z117" i="28"/>
  <c r="P117" i="28"/>
  <c r="Z116" i="28"/>
  <c r="P116" i="28"/>
  <c r="Z115" i="28"/>
  <c r="P115" i="28"/>
  <c r="Z114" i="28"/>
  <c r="P114" i="28"/>
  <c r="Z113" i="28"/>
  <c r="P113" i="28"/>
  <c r="Z112" i="28"/>
  <c r="P112" i="28"/>
  <c r="Z111" i="28"/>
  <c r="P111" i="28"/>
  <c r="Z110" i="28"/>
  <c r="P110" i="28"/>
  <c r="P109" i="28"/>
  <c r="Z108" i="28"/>
  <c r="P108" i="28"/>
  <c r="Z107" i="28"/>
  <c r="P107" i="28"/>
  <c r="Z106" i="28"/>
  <c r="P106" i="28"/>
  <c r="Z105" i="28"/>
  <c r="P105" i="28"/>
  <c r="Z104" i="28"/>
  <c r="P104" i="28"/>
  <c r="Z103" i="28"/>
  <c r="P103" i="28"/>
  <c r="Z102" i="28"/>
  <c r="P102" i="28"/>
  <c r="Z101" i="28"/>
  <c r="P101" i="28"/>
  <c r="Z100" i="28"/>
  <c r="P100" i="28"/>
  <c r="Z99" i="28"/>
  <c r="P99" i="28"/>
  <c r="Z98" i="28"/>
  <c r="P98" i="28"/>
  <c r="Z97" i="28"/>
  <c r="P97" i="28"/>
  <c r="Z96" i="28"/>
  <c r="P96" i="28"/>
  <c r="Z95" i="28"/>
  <c r="P95" i="28"/>
  <c r="Z94" i="28"/>
  <c r="P94" i="28"/>
  <c r="Z93" i="28"/>
  <c r="R93" i="28"/>
  <c r="P93" i="28"/>
  <c r="Z92" i="28"/>
  <c r="R92" i="28"/>
  <c r="P92" i="28"/>
  <c r="Z91" i="28"/>
  <c r="R91" i="28"/>
  <c r="P91" i="28"/>
  <c r="Z90" i="28"/>
  <c r="P90" i="28"/>
  <c r="Z89" i="28"/>
  <c r="P89" i="28"/>
  <c r="Z88" i="28"/>
  <c r="P88" i="28"/>
  <c r="Z87" i="28"/>
  <c r="P87" i="28"/>
  <c r="Z86" i="28"/>
  <c r="P86" i="28"/>
  <c r="Z85" i="28"/>
  <c r="P85" i="28"/>
  <c r="Z84" i="28"/>
  <c r="P84" i="28"/>
  <c r="Z83" i="28"/>
  <c r="P83" i="28"/>
  <c r="Z82" i="28"/>
  <c r="P82" i="28"/>
  <c r="Z81" i="28"/>
  <c r="P81" i="28"/>
  <c r="Z80" i="28"/>
  <c r="P80" i="28"/>
  <c r="Z79" i="28"/>
  <c r="P79" i="28"/>
  <c r="Z78" i="28"/>
  <c r="P78" i="28"/>
  <c r="Z77" i="28"/>
  <c r="R77" i="28"/>
  <c r="P77" i="28"/>
  <c r="Z76" i="28"/>
  <c r="R76" i="28"/>
  <c r="P76" i="28"/>
  <c r="Z75" i="28"/>
  <c r="R75" i="28"/>
  <c r="P75" i="28"/>
  <c r="Z74" i="28"/>
  <c r="P74" i="28"/>
  <c r="Z73" i="28"/>
  <c r="P73" i="28"/>
  <c r="Z72" i="28"/>
  <c r="P72" i="28"/>
  <c r="Z71" i="28"/>
  <c r="P71" i="28"/>
  <c r="Z70" i="28"/>
  <c r="P70" i="28"/>
  <c r="Z69" i="28"/>
  <c r="P69" i="28"/>
  <c r="Z68" i="28"/>
  <c r="P68" i="28"/>
  <c r="Z67" i="28"/>
  <c r="P67" i="28"/>
  <c r="Z66" i="28"/>
  <c r="P66" i="28"/>
  <c r="Z65" i="28"/>
  <c r="P65" i="28"/>
  <c r="Z64" i="28"/>
  <c r="P64" i="28"/>
  <c r="Z63" i="28"/>
  <c r="P63" i="28"/>
  <c r="Z62" i="28"/>
  <c r="P62" i="28"/>
  <c r="Z61" i="28"/>
  <c r="P61" i="28"/>
  <c r="Z60" i="28"/>
  <c r="P60" i="28"/>
  <c r="Z59" i="28"/>
  <c r="P59" i="28"/>
  <c r="Z58" i="28"/>
  <c r="P58" i="28"/>
  <c r="Z57" i="28"/>
  <c r="P57" i="28"/>
  <c r="Z56" i="28"/>
  <c r="P56" i="28"/>
  <c r="Z55" i="28"/>
  <c r="P55" i="28"/>
  <c r="Z54" i="28"/>
  <c r="Z148" i="28" s="1"/>
  <c r="P54" i="28"/>
  <c r="Z53" i="28"/>
  <c r="P53" i="28"/>
  <c r="Z52" i="28"/>
  <c r="P52" i="28"/>
  <c r="Z51" i="28"/>
  <c r="R51" i="28"/>
  <c r="P51" i="28"/>
  <c r="Z50" i="28"/>
  <c r="R50" i="28"/>
  <c r="N138" i="28" s="1"/>
  <c r="P50" i="28"/>
  <c r="Z49" i="28"/>
  <c r="P49" i="28"/>
  <c r="Z48" i="28"/>
  <c r="P48" i="28"/>
  <c r="Z47" i="28"/>
  <c r="P47" i="28"/>
  <c r="Z46" i="28"/>
  <c r="P46" i="28"/>
  <c r="Z45" i="28"/>
  <c r="P45" i="28"/>
  <c r="Z44" i="28"/>
  <c r="P44" i="28"/>
  <c r="Z43" i="28"/>
  <c r="P43" i="28"/>
  <c r="Z42" i="28"/>
  <c r="P42" i="28"/>
  <c r="Z41" i="28"/>
  <c r="P41" i="28"/>
  <c r="Z40" i="28"/>
  <c r="P40" i="28"/>
  <c r="Z39" i="28"/>
  <c r="P39" i="28"/>
  <c r="Z38" i="28"/>
  <c r="P38" i="28"/>
  <c r="Z37" i="28"/>
  <c r="P37" i="28"/>
  <c r="Z36" i="28"/>
  <c r="P36" i="28"/>
  <c r="Z35" i="28"/>
  <c r="P35" i="28"/>
  <c r="Z34" i="28"/>
  <c r="P34" i="28"/>
  <c r="Z33" i="28"/>
  <c r="P33" i="28"/>
  <c r="Z32" i="28"/>
  <c r="P32" i="28"/>
  <c r="Z31" i="28"/>
  <c r="P31" i="28"/>
  <c r="P30" i="28"/>
  <c r="Z29" i="28"/>
  <c r="P29" i="28"/>
  <c r="Z28" i="28"/>
  <c r="P28" i="28"/>
  <c r="Z27" i="28"/>
  <c r="P27" i="28"/>
  <c r="Z26" i="28"/>
  <c r="P26" i="28"/>
  <c r="Z25" i="28"/>
  <c r="P25" i="28"/>
  <c r="Z24" i="28"/>
  <c r="P24" i="28"/>
  <c r="Z23" i="28"/>
  <c r="P23" i="28"/>
  <c r="Z22" i="28"/>
  <c r="P22" i="28"/>
  <c r="Z21" i="28"/>
  <c r="P21" i="28"/>
  <c r="Z20" i="28"/>
  <c r="P20" i="28"/>
  <c r="Z19" i="28"/>
  <c r="P19" i="28"/>
  <c r="Z18" i="28"/>
  <c r="P18" i="28"/>
  <c r="Z17" i="28"/>
  <c r="P17" i="28"/>
  <c r="Z16" i="28"/>
  <c r="Z137" i="28" s="1"/>
  <c r="P16" i="28"/>
  <c r="P15" i="28"/>
  <c r="Z14" i="28"/>
  <c r="P14" i="28"/>
  <c r="Z13" i="28"/>
  <c r="Z134" i="28" s="1"/>
  <c r="P13" i="28"/>
  <c r="Z12" i="28"/>
  <c r="P12" i="28"/>
  <c r="Z11" i="28"/>
  <c r="Z144" i="28" s="1"/>
  <c r="P11" i="28"/>
  <c r="J10" i="31" l="1"/>
  <c r="J15" i="31"/>
  <c r="J18" i="31" s="1"/>
  <c r="J20" i="31" s="1"/>
  <c r="P137" i="28"/>
  <c r="P138" i="28"/>
  <c r="V138" i="28"/>
  <c r="Z136" i="28"/>
  <c r="X138" i="28"/>
  <c r="Z140" i="28"/>
  <c r="Z135" i="28"/>
  <c r="Z139" i="28"/>
  <c r="I138" i="28"/>
  <c r="Z133" i="28"/>
  <c r="J22" i="31" l="1"/>
  <c r="J24" i="31" s="1"/>
  <c r="J26" i="31" s="1"/>
  <c r="J24" i="25"/>
  <c r="Z138" i="21"/>
  <c r="X138" i="21"/>
  <c r="V138" i="21"/>
  <c r="Q138" i="21"/>
  <c r="O138" i="21"/>
  <c r="I138" i="21"/>
  <c r="J19" i="25" l="1"/>
  <c r="H16" i="25"/>
  <c r="I15" i="25"/>
  <c r="J15" i="25" s="1"/>
  <c r="H15" i="25"/>
  <c r="H9" i="25"/>
  <c r="J8" i="25"/>
  <c r="J7" i="25"/>
  <c r="J10" i="25" l="1"/>
  <c r="J12" i="25" s="1"/>
  <c r="H17" i="25"/>
  <c r="J16" i="25"/>
  <c r="J18" i="25" s="1"/>
  <c r="J20" i="25" s="1"/>
  <c r="J22" i="25" l="1"/>
  <c r="J26" i="25" s="1"/>
  <c r="X169" i="21" l="1"/>
  <c r="V169" i="21"/>
  <c r="O169" i="21"/>
  <c r="Q169" i="21" s="1"/>
  <c r="I169" i="21"/>
  <c r="X168" i="21"/>
  <c r="V168" i="21"/>
  <c r="O168" i="21"/>
  <c r="I168" i="21"/>
  <c r="X167" i="21"/>
  <c r="V167" i="21"/>
  <c r="O167" i="21"/>
  <c r="I167" i="21"/>
  <c r="X166" i="21"/>
  <c r="V166" i="21"/>
  <c r="O166" i="21"/>
  <c r="Q166" i="21" s="1"/>
  <c r="I166" i="21"/>
  <c r="G165" i="21" a="1"/>
  <c r="G165" i="21" s="1"/>
  <c r="X162" i="21"/>
  <c r="V162" i="21"/>
  <c r="O162" i="21"/>
  <c r="Q162" i="21" s="1"/>
  <c r="I162" i="21"/>
  <c r="X161" i="21"/>
  <c r="V161" i="21"/>
  <c r="O161" i="21"/>
  <c r="I161" i="21"/>
  <c r="Q161" i="21" s="1"/>
  <c r="X160" i="21"/>
  <c r="V160" i="21"/>
  <c r="O160" i="21"/>
  <c r="I160" i="21"/>
  <c r="X159" i="21"/>
  <c r="V159" i="21"/>
  <c r="O159" i="21"/>
  <c r="I159" i="21"/>
  <c r="G158" i="21" a="1"/>
  <c r="G158" i="21" s="1"/>
  <c r="X155" i="21"/>
  <c r="V155" i="21"/>
  <c r="O155" i="21"/>
  <c r="I155" i="21"/>
  <c r="X154" i="21"/>
  <c r="V154" i="21"/>
  <c r="O154" i="21"/>
  <c r="I154" i="21"/>
  <c r="X153" i="21"/>
  <c r="V153" i="21"/>
  <c r="O153" i="21"/>
  <c r="I153" i="21"/>
  <c r="X152" i="21"/>
  <c r="V152" i="21"/>
  <c r="O152" i="21"/>
  <c r="I152" i="21"/>
  <c r="Q152" i="21" s="1"/>
  <c r="G151" i="21" a="1"/>
  <c r="G151" i="21" s="1"/>
  <c r="X148" i="21"/>
  <c r="V148" i="21"/>
  <c r="O148" i="21"/>
  <c r="I148" i="21"/>
  <c r="X147" i="21"/>
  <c r="V147" i="21"/>
  <c r="O147" i="21"/>
  <c r="I147" i="21"/>
  <c r="Q147" i="21" s="1"/>
  <c r="X146" i="21"/>
  <c r="V146" i="21"/>
  <c r="O146" i="21"/>
  <c r="I146" i="21"/>
  <c r="X145" i="21"/>
  <c r="V145" i="21"/>
  <c r="O145" i="21"/>
  <c r="I145" i="21"/>
  <c r="Q145" i="21" s="1"/>
  <c r="G144" i="21" a="1"/>
  <c r="G144" i="21" s="1"/>
  <c r="X140" i="21"/>
  <c r="V140" i="21"/>
  <c r="O140" i="21"/>
  <c r="Q140" i="21" s="1"/>
  <c r="I140" i="21"/>
  <c r="X139" i="21"/>
  <c r="V139" i="21"/>
  <c r="O139" i="21"/>
  <c r="Q139" i="21" s="1"/>
  <c r="I139" i="21"/>
  <c r="G138" i="21"/>
  <c r="X137" i="21"/>
  <c r="V137" i="21"/>
  <c r="O137" i="21"/>
  <c r="I137" i="21"/>
  <c r="X136" i="21"/>
  <c r="V136" i="21"/>
  <c r="O136" i="21"/>
  <c r="I136" i="21"/>
  <c r="X135" i="21"/>
  <c r="V135" i="21"/>
  <c r="O135" i="21"/>
  <c r="I135" i="21"/>
  <c r="X134" i="21"/>
  <c r="V134" i="21"/>
  <c r="O134" i="21"/>
  <c r="Q134" i="21" s="1"/>
  <c r="I134" i="21"/>
  <c r="X133" i="21"/>
  <c r="V133" i="21"/>
  <c r="O133" i="21"/>
  <c r="Q133" i="21" s="1"/>
  <c r="I133" i="21"/>
  <c r="X132" i="21"/>
  <c r="V132" i="21"/>
  <c r="O132" i="21"/>
  <c r="Q132" i="21" s="1"/>
  <c r="I132" i="21"/>
  <c r="G131" i="21"/>
  <c r="Q128" i="21"/>
  <c r="Z127" i="21"/>
  <c r="Q127" i="21"/>
  <c r="Z126" i="21"/>
  <c r="Q126" i="21"/>
  <c r="Q125" i="21"/>
  <c r="Z124" i="21"/>
  <c r="Q124" i="21"/>
  <c r="Z123" i="21"/>
  <c r="Q123" i="21"/>
  <c r="Q122" i="21"/>
  <c r="Z121" i="21"/>
  <c r="Z167" i="21" s="1"/>
  <c r="Q121" i="21"/>
  <c r="Z120" i="21"/>
  <c r="Q120" i="21"/>
  <c r="Z119" i="21"/>
  <c r="Q119" i="21"/>
  <c r="Z118" i="21"/>
  <c r="Q118" i="21"/>
  <c r="Q117" i="21"/>
  <c r="Z116" i="21"/>
  <c r="Q116" i="21"/>
  <c r="Z115" i="21"/>
  <c r="Q115" i="21"/>
  <c r="Z114" i="21"/>
  <c r="Q114" i="21"/>
  <c r="Z113" i="21"/>
  <c r="Q113" i="21"/>
  <c r="Z112" i="21"/>
  <c r="Q112" i="21"/>
  <c r="Z111" i="21"/>
  <c r="Q111" i="21"/>
  <c r="Z110" i="21"/>
  <c r="Q110" i="21"/>
  <c r="Q109" i="21"/>
  <c r="Z108" i="21"/>
  <c r="Q108" i="21"/>
  <c r="Z107" i="21"/>
  <c r="Q107" i="21"/>
  <c r="Z106" i="21"/>
  <c r="Q106" i="21"/>
  <c r="Z105" i="21"/>
  <c r="Q105" i="21"/>
  <c r="Z104" i="21"/>
  <c r="Q104" i="21"/>
  <c r="Z103" i="21"/>
  <c r="Q103" i="21"/>
  <c r="Z102" i="21"/>
  <c r="Q102" i="21"/>
  <c r="Z101" i="21"/>
  <c r="Q101" i="21"/>
  <c r="Z100" i="21"/>
  <c r="Q100" i="21"/>
  <c r="Z99" i="21"/>
  <c r="Q99" i="21"/>
  <c r="Z98" i="21"/>
  <c r="Q98" i="21"/>
  <c r="Z97" i="21"/>
  <c r="Q97" i="21"/>
  <c r="Z96" i="21"/>
  <c r="Q96" i="21"/>
  <c r="Z95" i="21"/>
  <c r="Q95" i="21"/>
  <c r="Z94" i="21"/>
  <c r="Q94" i="21"/>
  <c r="Z93" i="21"/>
  <c r="Q93" i="21"/>
  <c r="Z92" i="21"/>
  <c r="Q92" i="21"/>
  <c r="Z91" i="21"/>
  <c r="Q91" i="21"/>
  <c r="Z90" i="21"/>
  <c r="Q90" i="21"/>
  <c r="Z89" i="21"/>
  <c r="Q89" i="21"/>
  <c r="Z88" i="21"/>
  <c r="Q88" i="21"/>
  <c r="Z87" i="21"/>
  <c r="Q87" i="21"/>
  <c r="Z86" i="21"/>
  <c r="Q86" i="21"/>
  <c r="Z85" i="21"/>
  <c r="Q85" i="21"/>
  <c r="Z84" i="21"/>
  <c r="Q84" i="21"/>
  <c r="Z83" i="21"/>
  <c r="Q83" i="21"/>
  <c r="Z82" i="21"/>
  <c r="Q82" i="21"/>
  <c r="Q81" i="21"/>
  <c r="Q80" i="21"/>
  <c r="Z79" i="21"/>
  <c r="Z159" i="21" s="1"/>
  <c r="Q79" i="21"/>
  <c r="Q78" i="21"/>
  <c r="Z77" i="21"/>
  <c r="Q77" i="21"/>
  <c r="Z76" i="21"/>
  <c r="Q76" i="21"/>
  <c r="Z75" i="21"/>
  <c r="Q75" i="21"/>
  <c r="Q74" i="21"/>
  <c r="Q73" i="21"/>
  <c r="Z72" i="21"/>
  <c r="Q72" i="21"/>
  <c r="Z71" i="21"/>
  <c r="Q71" i="21"/>
  <c r="Z70" i="21"/>
  <c r="Q70" i="21"/>
  <c r="Z69" i="21"/>
  <c r="Q69" i="21"/>
  <c r="Z68" i="21"/>
  <c r="Q68" i="21"/>
  <c r="Z67" i="21"/>
  <c r="Q67" i="21"/>
  <c r="Z66" i="21"/>
  <c r="Q66" i="21"/>
  <c r="Z65" i="21"/>
  <c r="Q65" i="21"/>
  <c r="Z64" i="21"/>
  <c r="Q64" i="21"/>
  <c r="Z63" i="21"/>
  <c r="Q63" i="21"/>
  <c r="Z62" i="21"/>
  <c r="Q62" i="21"/>
  <c r="Z61" i="21"/>
  <c r="Q61" i="21"/>
  <c r="Z60" i="21"/>
  <c r="Q60" i="21"/>
  <c r="Z59" i="21"/>
  <c r="Q59" i="21"/>
  <c r="Z58" i="21"/>
  <c r="Q58" i="21"/>
  <c r="Z57" i="21"/>
  <c r="Q57" i="21"/>
  <c r="Z56" i="21"/>
  <c r="Q56" i="21"/>
  <c r="Z55" i="21"/>
  <c r="Q55" i="21"/>
  <c r="Z54" i="21"/>
  <c r="Q54" i="21"/>
  <c r="Z53" i="21"/>
  <c r="Q53" i="21"/>
  <c r="Z52" i="21"/>
  <c r="Q52" i="21"/>
  <c r="Z51" i="21"/>
  <c r="Q51" i="21"/>
  <c r="Z50" i="21"/>
  <c r="Q50" i="21"/>
  <c r="Z49" i="21"/>
  <c r="Q49" i="21"/>
  <c r="Z48" i="21"/>
  <c r="Q48" i="21"/>
  <c r="Z47" i="21"/>
  <c r="Q47" i="21"/>
  <c r="Z46" i="21"/>
  <c r="Q46" i="21"/>
  <c r="Z45" i="21"/>
  <c r="Q45" i="21"/>
  <c r="Q44" i="21"/>
  <c r="Z43" i="21"/>
  <c r="Q43" i="21"/>
  <c r="Z42" i="21"/>
  <c r="Q42" i="21"/>
  <c r="Z41" i="21"/>
  <c r="Q41" i="21"/>
  <c r="Z40" i="21"/>
  <c r="Q40" i="21"/>
  <c r="Z39" i="21"/>
  <c r="Q39" i="21"/>
  <c r="Z38" i="21"/>
  <c r="Q38" i="21"/>
  <c r="Z37" i="21"/>
  <c r="Q37" i="21"/>
  <c r="Z36" i="21"/>
  <c r="Q36" i="21"/>
  <c r="Z35" i="21"/>
  <c r="Z140" i="21" s="1"/>
  <c r="Q35" i="21"/>
  <c r="Z34" i="21"/>
  <c r="Q34" i="21"/>
  <c r="Z33" i="21"/>
  <c r="Q33" i="21"/>
  <c r="Z32" i="21"/>
  <c r="Q32" i="21"/>
  <c r="Z31" i="21"/>
  <c r="Q31" i="21"/>
  <c r="Z30" i="21"/>
  <c r="Q30" i="21"/>
  <c r="Q29" i="21"/>
  <c r="Z28" i="21"/>
  <c r="Q28" i="21"/>
  <c r="Z27" i="21"/>
  <c r="Q27" i="21"/>
  <c r="Z26" i="21"/>
  <c r="Q26" i="21"/>
  <c r="Z25" i="21"/>
  <c r="Q25" i="21"/>
  <c r="Z24" i="21"/>
  <c r="Q24" i="21"/>
  <c r="Q23" i="21"/>
  <c r="Z22" i="21"/>
  <c r="Q22" i="21"/>
  <c r="Z21" i="21"/>
  <c r="Q21" i="21"/>
  <c r="R20" i="21"/>
  <c r="Q20" i="21"/>
  <c r="R19" i="21"/>
  <c r="Q19" i="21"/>
  <c r="Z18" i="21"/>
  <c r="R18" i="21"/>
  <c r="Q18" i="21"/>
  <c r="Z17" i="21"/>
  <c r="R17" i="21"/>
  <c r="Q17" i="21"/>
  <c r="Z16" i="21"/>
  <c r="Z147" i="21" s="1"/>
  <c r="R16" i="21"/>
  <c r="Q16" i="21"/>
  <c r="Z15" i="21"/>
  <c r="R15" i="21"/>
  <c r="Q15" i="21"/>
  <c r="R14" i="21"/>
  <c r="Q14" i="21"/>
  <c r="Z13" i="21"/>
  <c r="R13" i="21"/>
  <c r="Q13" i="21"/>
  <c r="Z12" i="21"/>
  <c r="R12" i="21"/>
  <c r="Q12" i="21"/>
  <c r="Z11" i="21"/>
  <c r="R11" i="21"/>
  <c r="Q11" i="21"/>
  <c r="Q167" i="21" l="1"/>
  <c r="Z145" i="21"/>
  <c r="Z155" i="21"/>
  <c r="Q153" i="21"/>
  <c r="Q159" i="21"/>
  <c r="Q148" i="21"/>
  <c r="Q168" i="21"/>
  <c r="Q154" i="21"/>
  <c r="Z169" i="21"/>
  <c r="Z136" i="21"/>
  <c r="Q146" i="21"/>
  <c r="Q160" i="21"/>
  <c r="Z168" i="21"/>
  <c r="Z135" i="21"/>
  <c r="Z146" i="21"/>
  <c r="Z162" i="21"/>
  <c r="Q155" i="21"/>
  <c r="Z153" i="21"/>
  <c r="Z148" i="21"/>
  <c r="Z152" i="21"/>
  <c r="Z154" i="21"/>
  <c r="Z166" i="21"/>
  <c r="Z161" i="21"/>
  <c r="Z134" i="21"/>
  <c r="Z137" i="21"/>
  <c r="Z139" i="21"/>
  <c r="Z160" i="21"/>
  <c r="Z132" i="21"/>
  <c r="Z133" i="2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<sst xmlns="http://schemas.openxmlformats.org/spreadsheetml/2006/main" count="1842" uniqueCount="578">
  <si>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</si>
  <si>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</si>
  <si>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</si>
  <si>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</si>
  <si>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</si>
  <si>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</si>
  <si>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</si>
  <si>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</si>
  <si>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</si>
  <si>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</si>
  <si>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</si>
  <si>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</si>
  <si>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</si>
  <si>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</si>
  <si>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</si>
  <si>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</si>
  <si>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</si>
  <si>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</si>
  <si>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</si>
  <si>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</si>
  <si>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</si>
  <si>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</si>
  <si>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</si>
  <si>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</si>
  <si>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</si>
  <si>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</si>
  <si>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</si>
  <si>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</si>
  <si>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</si>
  <si>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Michigan</t>
  </si>
  <si>
    <t>Consumers Energy Co.</t>
  </si>
  <si>
    <t>CMS</t>
  </si>
  <si>
    <t>V</t>
  </si>
  <si>
    <t>Settled</t>
  </si>
  <si>
    <t>N/A</t>
  </si>
  <si>
    <t>West Virginia</t>
  </si>
  <si>
    <t>AEP</t>
  </si>
  <si>
    <t>New Jersey</t>
  </si>
  <si>
    <t>Atlantic City Electric Co.</t>
  </si>
  <si>
    <t>EXC</t>
  </si>
  <si>
    <t>D</t>
  </si>
  <si>
    <t>New York</t>
  </si>
  <si>
    <t>ED</t>
  </si>
  <si>
    <t>Oklahoma</t>
  </si>
  <si>
    <t>Maryland</t>
  </si>
  <si>
    <t>FE</t>
  </si>
  <si>
    <t>Fully Litigated</t>
  </si>
  <si>
    <t>Kentucky</t>
  </si>
  <si>
    <t>Kentucky Utilities Co.</t>
  </si>
  <si>
    <t>PPL</t>
  </si>
  <si>
    <t>Louisville Gas &amp; Electric Co.</t>
  </si>
  <si>
    <t>South Carolina</t>
  </si>
  <si>
    <t>Duke Energy Carolinas LLC</t>
  </si>
  <si>
    <t>DTE Electric Co.</t>
  </si>
  <si>
    <t>DTE</t>
  </si>
  <si>
    <t>Duke Energy Progress LLC</t>
  </si>
  <si>
    <t>DUK</t>
  </si>
  <si>
    <t>Otter Tail Power Co.</t>
  </si>
  <si>
    <t>OTTR</t>
  </si>
  <si>
    <t>Upper Peninsula Power Co.</t>
  </si>
  <si>
    <t>Potomac Electric Power Co.</t>
  </si>
  <si>
    <t>Vermont</t>
  </si>
  <si>
    <t>Green Mountain Power Corp.</t>
  </si>
  <si>
    <t>Wisconsin</t>
  </si>
  <si>
    <t>XEL</t>
  </si>
  <si>
    <t>Massachusetts</t>
  </si>
  <si>
    <t>Montana</t>
  </si>
  <si>
    <t>NWE</t>
  </si>
  <si>
    <t>Wisconsin Electric Power Co.</t>
  </si>
  <si>
    <t>WEC</t>
  </si>
  <si>
    <t>Wisconsin Public Service Corp.</t>
  </si>
  <si>
    <t>Louisiana</t>
  </si>
  <si>
    <t>ETR</t>
  </si>
  <si>
    <t>Idaho</t>
  </si>
  <si>
    <t>Avista Corp.</t>
  </si>
  <si>
    <t>AVA</t>
  </si>
  <si>
    <t>Illinois</t>
  </si>
  <si>
    <t>Commonwealth Edison Co.</t>
  </si>
  <si>
    <t>Indiana</t>
  </si>
  <si>
    <t>NI</t>
  </si>
  <si>
    <t>Ameren Illinois</t>
  </si>
  <si>
    <t>AEE</t>
  </si>
  <si>
    <t>Georgia</t>
  </si>
  <si>
    <t>Georgia Power Co.</t>
  </si>
  <si>
    <t>SO</t>
  </si>
  <si>
    <t>Baltimore Gas and Electric Co.</t>
  </si>
  <si>
    <t>California</t>
  </si>
  <si>
    <t>PCG</t>
  </si>
  <si>
    <t>San Diego Gas &amp; Electric Co.</t>
  </si>
  <si>
    <t>SRE</t>
  </si>
  <si>
    <t>Southern California Edison Co.</t>
  </si>
  <si>
    <t>EIX</t>
  </si>
  <si>
    <t>Arkansas</t>
  </si>
  <si>
    <t>Nevada</t>
  </si>
  <si>
    <t>Sierra Pacific Power Co.</t>
  </si>
  <si>
    <t>BRK.A</t>
  </si>
  <si>
    <t>LNT</t>
  </si>
  <si>
    <t>Consolidated Edison Co. of NY</t>
  </si>
  <si>
    <t>Rockland Electric Company</t>
  </si>
  <si>
    <t>Indiana Michigan Power Co.</t>
  </si>
  <si>
    <t>PacifiCorp</t>
  </si>
  <si>
    <t>Colorado</t>
  </si>
  <si>
    <t>Texas</t>
  </si>
  <si>
    <t>Maine</t>
  </si>
  <si>
    <t>Central Maine Power Co.</t>
  </si>
  <si>
    <t>IBE</t>
  </si>
  <si>
    <t>North Carolina</t>
  </si>
  <si>
    <t>Virginia Electric &amp; Power Co.</t>
  </si>
  <si>
    <t>Washington</t>
  </si>
  <si>
    <t>UTL</t>
  </si>
  <si>
    <t>Duke Energy Kentucky Inc.</t>
  </si>
  <si>
    <t>New Mexico</t>
  </si>
  <si>
    <t>Southwestern Public Service Co</t>
  </si>
  <si>
    <t>New Hampshire</t>
  </si>
  <si>
    <t>AQN</t>
  </si>
  <si>
    <t>Empire District Electric Co.</t>
  </si>
  <si>
    <t>Puget Sound Energy Inc.</t>
  </si>
  <si>
    <t>Delmarva Power &amp; Light Co.</t>
  </si>
  <si>
    <t>Jersey Central Power &amp; Light Co.</t>
  </si>
  <si>
    <t>Virginia</t>
  </si>
  <si>
    <t>Madison Gas and Electric Co.</t>
  </si>
  <si>
    <t>MGEE</t>
  </si>
  <si>
    <t>Nevada Power Co.</t>
  </si>
  <si>
    <t>ES</t>
  </si>
  <si>
    <t>Oregon</t>
  </si>
  <si>
    <t>Arizona</t>
  </si>
  <si>
    <t>Tucson Electric Power Co.</t>
  </si>
  <si>
    <t>FTS</t>
  </si>
  <si>
    <t>Wisconsin Power and Light Co</t>
  </si>
  <si>
    <t>Kentucky Power Co.</t>
  </si>
  <si>
    <t>C-2020-00174</t>
  </si>
  <si>
    <t>D-E-7, Sub 1214</t>
  </si>
  <si>
    <t>µ</t>
  </si>
  <si>
    <t>D-E-2, Sub 1219</t>
  </si>
  <si>
    <t>Florida</t>
  </si>
  <si>
    <t>Duke Energy Florida LLC</t>
  </si>
  <si>
    <t>D-20210016-EI</t>
  </si>
  <si>
    <t>Wyoming</t>
  </si>
  <si>
    <t>20000-578-ER-20</t>
  </si>
  <si>
    <t>District of Columbia</t>
  </si>
  <si>
    <t xml:space="preserve">Potomac Electric  </t>
  </si>
  <si>
    <t>FC-1156</t>
  </si>
  <si>
    <t>C-9655</t>
  </si>
  <si>
    <t>El Paso Electric Co.</t>
  </si>
  <si>
    <t>C-20-00104-UT</t>
  </si>
  <si>
    <t>C-2020-00349</t>
  </si>
  <si>
    <t>NA</t>
  </si>
  <si>
    <t>C-2020-00350 (elec.)</t>
  </si>
  <si>
    <t>D-ER20120746</t>
  </si>
  <si>
    <t>Dominion Energy South Carolina</t>
  </si>
  <si>
    <t>D-2020-125-E</t>
  </si>
  <si>
    <t>Delaware</t>
  </si>
  <si>
    <t>D-20-0149</t>
  </si>
  <si>
    <t>North Dakota</t>
  </si>
  <si>
    <t>Northern States Power Co.</t>
  </si>
  <si>
    <t>C-PU-20-441</t>
  </si>
  <si>
    <t xml:space="preserve"> </t>
  </si>
  <si>
    <t>21-1963-TF</t>
  </si>
  <si>
    <t>C-AVU-E-21-01</t>
  </si>
  <si>
    <t>D-UE-200900</t>
  </si>
  <si>
    <t>Tampa Electric Co.</t>
  </si>
  <si>
    <t>EMA</t>
  </si>
  <si>
    <t>D-20210034-EI</t>
  </si>
  <si>
    <t>Florida Power &amp; Light Co.</t>
  </si>
  <si>
    <t>NEE</t>
  </si>
  <si>
    <t>D-20210015-EI</t>
  </si>
  <si>
    <t>Versant Power</t>
  </si>
  <si>
    <t>D-2020-00316</t>
  </si>
  <si>
    <t>Arizona Public Service Co.</t>
  </si>
  <si>
    <t>PNW</t>
  </si>
  <si>
    <t>D-E-01345A-19-0236</t>
  </si>
  <si>
    <t>6.62^%</t>
  </si>
  <si>
    <t>Miinnesota</t>
  </si>
  <si>
    <t>D-E-017/GR-20-719</t>
  </si>
  <si>
    <t>Ohio</t>
  </si>
  <si>
    <t>Ohio Power Co.</t>
  </si>
  <si>
    <t>C-20-0585-EL-AIR</t>
  </si>
  <si>
    <t>Central Hudson Gas &amp; Electric</t>
  </si>
  <si>
    <t>C-20-E-0428</t>
  </si>
  <si>
    <t>Southwestern Electric Power Co</t>
  </si>
  <si>
    <t>D-51415</t>
  </si>
  <si>
    <t>C-PUR-2021-00058</t>
  </si>
  <si>
    <t>D-3270-UR-124 (Elec)</t>
  </si>
  <si>
    <t>D-4220-UR-125 (Elec)</t>
  </si>
  <si>
    <t>D-6680-UR-123 (Elec)</t>
  </si>
  <si>
    <t>D-21-0367</t>
  </si>
  <si>
    <t>D-21-0365</t>
  </si>
  <si>
    <t>D-ER21050823</t>
  </si>
  <si>
    <t>C-U-20963</t>
  </si>
  <si>
    <t>Public Service Co. of OK</t>
  </si>
  <si>
    <t>Niagara Mohawk Power Corp.</t>
  </si>
  <si>
    <t>C-20-E-0380</t>
  </si>
  <si>
    <t>C-20-00238-UT</t>
  </si>
  <si>
    <t>Ca-45576</t>
  </si>
  <si>
    <t>Public Service Co. of CO</t>
  </si>
  <si>
    <t>D-21AL-0317E</t>
  </si>
  <si>
    <t>C-21-E-0074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</si>
  <si>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</si>
  <si>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</si>
  <si>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</si>
  <si>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</si>
  <si>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</si>
  <si>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</si>
  <si>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</si>
  <si>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</si>
  <si>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</si>
  <si>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</si>
  <si>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</si>
  <si>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</si>
  <si>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Unitil Energy Systems Inc.</t>
  </si>
  <si>
    <t>D-DE-21-030</t>
  </si>
  <si>
    <t>Portland General Electric Co.</t>
  </si>
  <si>
    <t>POR</t>
  </si>
  <si>
    <t>D-UE-394</t>
  </si>
  <si>
    <t>D-21-070-U</t>
  </si>
  <si>
    <t>D-52195</t>
  </si>
  <si>
    <t>C-22-0175-TF</t>
  </si>
  <si>
    <t>Oklahoma Gas and Electric Co.</t>
  </si>
  <si>
    <t>OGE</t>
  </si>
  <si>
    <t>Ca-PUD202100164</t>
  </si>
  <si>
    <t>Tennessee</t>
  </si>
  <si>
    <t>Kingsport Power Company</t>
  </si>
  <si>
    <t>D-21-00107</t>
  </si>
  <si>
    <t>C-U-20836</t>
  </si>
  <si>
    <t>D-22-0302</t>
  </si>
  <si>
    <t>(13)/(14)</t>
  </si>
  <si>
    <t>(15)</t>
  </si>
  <si>
    <t>(10) - (5)</t>
  </si>
  <si>
    <t>(8) x (9)</t>
  </si>
  <si>
    <t>(6) + (7)</t>
  </si>
  <si>
    <t>Common Equity</t>
  </si>
  <si>
    <t>Weighted Cost</t>
  </si>
  <si>
    <t>Cost</t>
  </si>
  <si>
    <t>Capital Component</t>
  </si>
  <si>
    <t>(3) x (4)</t>
  </si>
  <si>
    <t>(1) + (2)</t>
  </si>
  <si>
    <t>Ratio</t>
  </si>
  <si>
    <t>Ca-PUD202100055</t>
  </si>
  <si>
    <t>NG.</t>
  </si>
  <si>
    <t>Orange &amp; Rockland Utlts Inc.</t>
  </si>
  <si>
    <t>NSTAR Electric Co.</t>
  </si>
  <si>
    <t>DPU 22-22</t>
  </si>
  <si>
    <t>D-22-0297</t>
  </si>
  <si>
    <t>C-9681</t>
  </si>
  <si>
    <t>Duke Energy Ohio Inc.</t>
  </si>
  <si>
    <t>C-21-0887-EL-AIR</t>
  </si>
  <si>
    <t>The Dayton Power &amp; Light Co.</t>
  </si>
  <si>
    <t>AES</t>
  </si>
  <si>
    <t>C-20-1651-EL-AIR</t>
  </si>
  <si>
    <t>Pacific Gas and Electric Co.</t>
  </si>
  <si>
    <t>A-22-04-008</t>
  </si>
  <si>
    <t>A-22-04-012</t>
  </si>
  <si>
    <t>A-22-04-009</t>
  </si>
  <si>
    <t>D-UE-399</t>
  </si>
  <si>
    <t>D-44280</t>
  </si>
  <si>
    <t>D-6690-UR-127 (Elec)</t>
  </si>
  <si>
    <t>D-UE-220066</t>
  </si>
  <si>
    <t>D-22-06014</t>
  </si>
  <si>
    <t>λ</t>
  </si>
  <si>
    <t>D-5-UR-110 (WEP-Elec)</t>
  </si>
  <si>
    <t>Ca-PUD202100163</t>
  </si>
  <si>
    <t>C-U-21224</t>
  </si>
  <si>
    <t>Minnesota</t>
  </si>
  <si>
    <t>Minnesota Power Entrprs Inc.</t>
  </si>
  <si>
    <t>ALE</t>
  </si>
  <si>
    <t>D-E-015/GR-21-335</t>
  </si>
  <si>
    <t>Cheyenne Light Fuel Power Co.</t>
  </si>
  <si>
    <t>BKH</t>
  </si>
  <si>
    <t>D-20003-214-ER-22</t>
  </si>
  <si>
    <t>D-2022-254-E</t>
  </si>
  <si>
    <t>D-U-35441</t>
  </si>
  <si>
    <t>Oncor Electric Delivery Co.</t>
  </si>
  <si>
    <t>D-53601</t>
  </si>
  <si>
    <t>C-U-21286</t>
  </si>
  <si>
    <t>Liberty Utilities (CalPeco Ele</t>
  </si>
  <si>
    <t>A-21-05-017</t>
  </si>
  <si>
    <t>D-2022-00255</t>
  </si>
  <si>
    <t>D-E-002/GR-21-630</t>
  </si>
  <si>
    <t>D-2022-00152</t>
  </si>
  <si>
    <t>Withdrawn/Rejected</t>
  </si>
  <si>
    <t>MDU Resources Group</t>
  </si>
  <si>
    <t>MDU</t>
  </si>
  <si>
    <t>C-PU-22-194</t>
  </si>
  <si>
    <t>C-22-E-0064</t>
  </si>
  <si>
    <t>Northern IN Public Svc. Co. LLC</t>
  </si>
  <si>
    <t>Entergy Texas Inc.</t>
  </si>
  <si>
    <t>D-53719</t>
  </si>
  <si>
    <t>D-E-2 Sub 1300</t>
  </si>
  <si>
    <t>Connecticut</t>
  </si>
  <si>
    <t>The United Illuminating Co.</t>
  </si>
  <si>
    <t>D-22-08-08</t>
  </si>
  <si>
    <t>D-E-01933A-22-0107</t>
  </si>
  <si>
    <t>C-23-1852-TF</t>
  </si>
  <si>
    <t>C-AVU-E-23-01</t>
  </si>
  <si>
    <t>Alaska</t>
  </si>
  <si>
    <t>Alaska Electric Light Power</t>
  </si>
  <si>
    <t>D-U-22-078</t>
  </si>
  <si>
    <t>D-22AL-0530E</t>
  </si>
  <si>
    <t>D-2022-11-099</t>
  </si>
  <si>
    <t>C-2022-00372</t>
  </si>
  <si>
    <t>NY State Electric &amp; Gas Corp.</t>
  </si>
  <si>
    <t>C-22-E-0317</t>
  </si>
  <si>
    <t>Rochester Gas &amp; Electric Corp.</t>
  </si>
  <si>
    <t>C-22-E-0319</t>
  </si>
  <si>
    <t>The Potomac Edison Co.</t>
  </si>
  <si>
    <t>C-9695</t>
  </si>
  <si>
    <t>Southwestern Public Svc Co.</t>
  </si>
  <si>
    <t>C-22-00286-UT</t>
  </si>
  <si>
    <t>NorthWestern Energy Group</t>
  </si>
  <si>
    <t>D-2022-7-78 (elec)</t>
  </si>
  <si>
    <t>Ca-PUD2022-000093</t>
  </si>
  <si>
    <t>D-3270-UR-125 (Elec)</t>
  </si>
  <si>
    <t>D-4220-UR-126 (Elec)</t>
  </si>
  <si>
    <t>D-6680-UR-124 (Elec)</t>
  </si>
  <si>
    <t>D-ER23020091</t>
  </si>
  <si>
    <t>D-200000-633-ER-23</t>
  </si>
  <si>
    <t>C-U-21297</t>
  </si>
  <si>
    <t>A-22-05-006</t>
  </si>
  <si>
    <t>D-23-0082</t>
  </si>
  <si>
    <t>D-23-0055</t>
  </si>
  <si>
    <t>C-9692</t>
  </si>
  <si>
    <t>D-E-7 Sub 1276</t>
  </si>
  <si>
    <t>D-UE-416</t>
  </si>
  <si>
    <t>D-23-06007</t>
  </si>
  <si>
    <t>Idaho Power Co.</t>
  </si>
  <si>
    <t>IDA</t>
  </si>
  <si>
    <t>C-IPC-E-23-11</t>
  </si>
  <si>
    <t>Public Service Co. of NM</t>
  </si>
  <si>
    <t>PNM</t>
  </si>
  <si>
    <t>C-22-00270-UT</t>
  </si>
  <si>
    <t>C-2023-00159</t>
  </si>
  <si>
    <t>UNS Electric Inc.</t>
  </si>
  <si>
    <t>D-E-04204A-22-0251</t>
  </si>
  <si>
    <t>D-ER23030144</t>
  </si>
  <si>
    <t>C-PUR-2023-00101</t>
  </si>
  <si>
    <t>C-U-21389</t>
  </si>
  <si>
    <t>D-E-01345A-22-0144</t>
  </si>
  <si>
    <t>Monongahela Power Co.</t>
  </si>
  <si>
    <t>C-23-0460-E-42T</t>
  </si>
  <si>
    <t>λ S&amp;P incorrectly reports the ROE ask as 10.26% and the authorized ROE as 9.56%</t>
  </si>
  <si>
    <t>Reported Authorized Returns on Equity, Electric Utility Rate Cases Completed, 2021 to Present</t>
  </si>
  <si>
    <t>AES Indiana</t>
  </si>
  <si>
    <t>D-22-0897</t>
  </si>
  <si>
    <t>5/12/2024</t>
  </si>
  <si>
    <t>Avista Requested ROE</t>
  </si>
  <si>
    <t>Electric National Average ROE for Vertically Integrated Utilities, 2021 to Present (9.62%)</t>
  </si>
  <si>
    <t>Christie Direct, p. 14, Table No. 2</t>
  </si>
  <si>
    <t>Total Debt</t>
  </si>
  <si>
    <t>WACC at National Average ROE (9.62%)</t>
  </si>
  <si>
    <t>Impact of Avista's Proposed Increase in Return on Equity 
Vs. Electric National Average for Vertically Integrated Utilities, 2021 to Present - Rate Year 1</t>
  </si>
  <si>
    <t>Proposed ROE (10.40%)</t>
  </si>
  <si>
    <t>Increase in Revenue Requirement from Increase in ROE</t>
  </si>
  <si>
    <t>Electric Rate Revenue Increase, National Average ROE</t>
  </si>
  <si>
    <t>Electric Rate Revenue Increase, Proposed ROE</t>
  </si>
  <si>
    <t>Schultz Direct, Ex. KJS-2, p. 3, line 1</t>
  </si>
  <si>
    <t>Schultz Direct, Ex. KJS-2, p. 3, line 6</t>
  </si>
  <si>
    <t>(11)/(12)</t>
  </si>
  <si>
    <t>Schultz Direct, Ex. KJS-2, p. 3, line 7</t>
  </si>
  <si>
    <t>Increase Related to Increase in ROE</t>
  </si>
  <si>
    <t>Proposed Electric Rate Revenue Increase - Rate Year 1</t>
  </si>
  <si>
    <t>Rate Base - Rate Year 1</t>
  </si>
  <si>
    <t>Difference in Electric Rate Revenue Increase</t>
  </si>
  <si>
    <t>Conversion Factor</t>
  </si>
  <si>
    <t>Percent Increase Related to Increase in ROE</t>
  </si>
  <si>
    <t>WACC at Proposed ROE (10.40%)</t>
  </si>
  <si>
    <t>Reported Authorized Returns on Equity, Gas Utility Rate Cases Completed, 2021 to Present</t>
  </si>
  <si>
    <t>Applicant's Proxy Group (Y/N)</t>
  </si>
  <si>
    <t>(7) - (5)</t>
  </si>
  <si>
    <t>(7) X (12)</t>
  </si>
  <si>
    <t>D-20-0150</t>
  </si>
  <si>
    <t>Cascade Natural Gas Corp.</t>
  </si>
  <si>
    <t>D-UG 390</t>
  </si>
  <si>
    <t>D-20-0308</t>
  </si>
  <si>
    <t>Nebraska</t>
  </si>
  <si>
    <t>Black Hills Nebraska Gas LLC</t>
  </si>
  <si>
    <t>D-NG-109</t>
  </si>
  <si>
    <t>Piedmont Natural Gas Co.</t>
  </si>
  <si>
    <t>D-20-00086</t>
  </si>
  <si>
    <t>Pennsylvania</t>
  </si>
  <si>
    <t>Columbia Gas of Pennsylvania</t>
  </si>
  <si>
    <t>D-R-2020-3018835</t>
  </si>
  <si>
    <t>Washington Gas Light Co.</t>
  </si>
  <si>
    <t>ALA</t>
  </si>
  <si>
    <t>FC-1162</t>
  </si>
  <si>
    <t>Southwest Gas Corp.</t>
  </si>
  <si>
    <t>SWX</t>
  </si>
  <si>
    <t>A-19-08-015 (SoCal)</t>
  </si>
  <si>
    <t>A-19-08-015 (NoCal)</t>
  </si>
  <si>
    <t>A-19-08-015 (LkTah)</t>
  </si>
  <si>
    <t>C-9651</t>
  </si>
  <si>
    <t>C-PU-20-379</t>
  </si>
  <si>
    <t>D-UG-200568</t>
  </si>
  <si>
    <t>Corning Natural Gas Corp.</t>
  </si>
  <si>
    <t>CNIG</t>
  </si>
  <si>
    <t>C-20-G-0101</t>
  </si>
  <si>
    <t>PECO Energy Co</t>
  </si>
  <si>
    <t>D-R-2020-3018929</t>
  </si>
  <si>
    <t>C-2020-00350 (gas)</t>
  </si>
  <si>
    <t>Hope Gas Inc.</t>
  </si>
  <si>
    <t>C-20-0746-G-42T</t>
  </si>
  <si>
    <t>Liberty Utilities EnergyNorth</t>
  </si>
  <si>
    <t>D-DG-20-105</t>
  </si>
  <si>
    <t>Brooklyn Union Gas Co.</t>
  </si>
  <si>
    <t>C-19-G-0309</t>
  </si>
  <si>
    <t>KeySpan Gas East Corp.</t>
  </si>
  <si>
    <t>C-19-G-0310</t>
  </si>
  <si>
    <t>C-AVU-G-21-01</t>
  </si>
  <si>
    <t>North Shore Gas Co.</t>
  </si>
  <si>
    <t>D-20-0810</t>
  </si>
  <si>
    <t>Michigan Gas Utilities Corp.</t>
  </si>
  <si>
    <t>C-U-20718</t>
  </si>
  <si>
    <t>Virginia Natural Gas Inc.</t>
  </si>
  <si>
    <t>C-PUR-2020-00095</t>
  </si>
  <si>
    <t>D-UG-200901</t>
  </si>
  <si>
    <t>D-2021-7-G</t>
  </si>
  <si>
    <t>Boston Gas Co.</t>
  </si>
  <si>
    <t>DPU 20-120</t>
  </si>
  <si>
    <t>Sthrn IN Gas &amp; Electric Co.</t>
  </si>
  <si>
    <t>CNP</t>
  </si>
  <si>
    <t>Ca-45447</t>
  </si>
  <si>
    <t>Missouri</t>
  </si>
  <si>
    <t>Spire Missouri Inc.</t>
  </si>
  <si>
    <t>SR</t>
  </si>
  <si>
    <t>C-GR-2021-0108</t>
  </si>
  <si>
    <t>Indiana Gas Co.</t>
  </si>
  <si>
    <t>Ca-45468</t>
  </si>
  <si>
    <t>New Jersey Natural Gas Co.</t>
  </si>
  <si>
    <t>NJR</t>
  </si>
  <si>
    <t>D-GR21030679</t>
  </si>
  <si>
    <t>Northern Illinois Gas Co.</t>
  </si>
  <si>
    <t>D-21-0098</t>
  </si>
  <si>
    <t> </t>
  </si>
  <si>
    <t>C-20-G-0429</t>
  </si>
  <si>
    <t>D- 4220-UR-125 (Gas)</t>
  </si>
  <si>
    <t>D-6680-UR-123 (Gas)</t>
  </si>
  <si>
    <t>D-3270-UR-124 (Gas)</t>
  </si>
  <si>
    <t>Oklahoma Natural Gas Co</t>
  </si>
  <si>
    <t>OGS</t>
  </si>
  <si>
    <t>Ca-PUD202100063</t>
  </si>
  <si>
    <t>Columbia Gas of Maryland Inc</t>
  </si>
  <si>
    <t>C-9664</t>
  </si>
  <si>
    <t>DTE Gas Co.</t>
  </si>
  <si>
    <t>C-U-20940</t>
  </si>
  <si>
    <t>Black Hills Colorado Gas Inc.</t>
  </si>
  <si>
    <t>D-21AL-0236G</t>
  </si>
  <si>
    <t>Iowa</t>
  </si>
  <si>
    <t>Black Hills Iowa Gas Utility</t>
  </si>
  <si>
    <t>D-RPU-2021-0002</t>
  </si>
  <si>
    <t>Columbia Gas of Kentucky Inc</t>
  </si>
  <si>
    <t>C-2021-00183</t>
  </si>
  <si>
    <t>C-2021-00190</t>
  </si>
  <si>
    <t>Delta Natural Gas Co.</t>
  </si>
  <si>
    <t>WTRG</t>
  </si>
  <si>
    <t>C-2021-00185</t>
  </si>
  <si>
    <t>D-G-9, Sub 781</t>
  </si>
  <si>
    <t>C-20-G-0381</t>
  </si>
  <si>
    <t>Public Service Co. of NC</t>
  </si>
  <si>
    <t>D-G-5 Sub 632</t>
  </si>
  <si>
    <t>D-21-09001 (Southern)</t>
  </si>
  <si>
    <t>D-21-09001 (Northern)</t>
  </si>
  <si>
    <t>C-21-G-0073</t>
  </si>
  <si>
    <t>Atmos Energy Corp.</t>
  </si>
  <si>
    <t>ATO</t>
  </si>
  <si>
    <t>C-2021-00214</t>
  </si>
  <si>
    <t>C-21-G-0394</t>
  </si>
  <si>
    <t>C-U-21148</t>
  </si>
  <si>
    <t>Northern Utilities Inc.</t>
  </si>
  <si>
    <t>D-DG-21-104</t>
  </si>
  <si>
    <t>Northern IN Public Svc Co.</t>
  </si>
  <si>
    <t>Ca-45621</t>
  </si>
  <si>
    <t>D-UG 433</t>
  </si>
  <si>
    <t>Elizabethtown Gas Co.</t>
  </si>
  <si>
    <t>SJI</t>
  </si>
  <si>
    <t>D-GR21121254</t>
  </si>
  <si>
    <t>CenterPoint Energy Resources</t>
  </si>
  <si>
    <t>D-G-008/GR-21-435</t>
  </si>
  <si>
    <t>D-UG-210755</t>
  </si>
  <si>
    <t>D-2022-89-G</t>
  </si>
  <si>
    <t>Black Hills Energy Arkansas</t>
  </si>
  <si>
    <t>D-21-097-U</t>
  </si>
  <si>
    <t>D-22-0002</t>
  </si>
  <si>
    <t>Northwest Natural Gas Co.</t>
  </si>
  <si>
    <t>NWN</t>
  </si>
  <si>
    <t>D-UG-435</t>
  </si>
  <si>
    <t>D-22AL-0046G</t>
  </si>
  <si>
    <t>C-PU-21-381</t>
  </si>
  <si>
    <t>The Berkshire Gas Co.</t>
  </si>
  <si>
    <t>DPU 22-20</t>
  </si>
  <si>
    <t>A-21-08-014 (Gas)</t>
  </si>
  <si>
    <t>C-9680</t>
  </si>
  <si>
    <t>New Mexico Gas Co.</t>
  </si>
  <si>
    <t>C-21-00267-UT</t>
  </si>
  <si>
    <t>Southern California Gas Co.</t>
  </si>
  <si>
    <t>A-22-04-011</t>
  </si>
  <si>
    <t>South Jersey Gas Co.</t>
  </si>
  <si>
    <t>JPM</t>
  </si>
  <si>
    <t>D-GR22040253</t>
  </si>
  <si>
    <t>D-UG-220067</t>
  </si>
  <si>
    <t>Utah</t>
  </si>
  <si>
    <t>Dominion Energy Inc.</t>
  </si>
  <si>
    <t>D-22-057-03</t>
  </si>
  <si>
    <t>D-5-UR-110 (WEP-Gas)</t>
  </si>
  <si>
    <t>Wisconsin Gas LLC</t>
  </si>
  <si>
    <t>D-5-UR-110</t>
  </si>
  <si>
    <t>D-6690-UR-127 (Gas)</t>
  </si>
  <si>
    <t>Texas Gas Service Co.</t>
  </si>
  <si>
    <t>D-OSS-22-00009896</t>
  </si>
  <si>
    <t>D-G-01551A-21-0368</t>
  </si>
  <si>
    <t>Florida Public Utilities Co.</t>
  </si>
  <si>
    <t>CPK</t>
  </si>
  <si>
    <t>D-20220067-GU</t>
  </si>
  <si>
    <t>Columbia Gas Ohio Inc.</t>
  </si>
  <si>
    <t>C-21-0637-GA-AIR</t>
  </si>
  <si>
    <t>D-G-002/GR-21-678</t>
  </si>
  <si>
    <t>Pivotal Utility Holdings Inc.</t>
  </si>
  <si>
    <t>20220069-GU</t>
  </si>
  <si>
    <t>D-22AL-0348G</t>
  </si>
  <si>
    <t>Intermountain Gas Co.</t>
  </si>
  <si>
    <t>C-INT-G-22-07</t>
  </si>
  <si>
    <t>Consolidated Edison Company</t>
  </si>
  <si>
    <t>C-22-G-0065</t>
  </si>
  <si>
    <t>C-AVU-G-23-01</t>
  </si>
  <si>
    <t>D-2023-00051</t>
  </si>
  <si>
    <t>D-2023-70-G</t>
  </si>
  <si>
    <t>D-2023-7-G</t>
  </si>
  <si>
    <t>Chattanooga Gas Co.</t>
  </si>
  <si>
    <t>D-23-00029</t>
  </si>
  <si>
    <t>C-22-G-0318</t>
  </si>
  <si>
    <t>C-22-G-0320</t>
  </si>
  <si>
    <t>NorthWestern Energy Corp.</t>
  </si>
  <si>
    <t>NEW</t>
  </si>
  <si>
    <t>D-2022-7-78 (gas)</t>
  </si>
  <si>
    <t>Minnesota Energy Resources</t>
  </si>
  <si>
    <t>D-G-011/GR-22-504</t>
  </si>
  <si>
    <t>D-UG-461</t>
  </si>
  <si>
    <t>C-22-0507-GA-AIR</t>
  </si>
  <si>
    <t>D-3270-UR-125 (gas)</t>
  </si>
  <si>
    <t>Questar Gas Co.</t>
  </si>
  <si>
    <t>D-30010-215-GR-23</t>
  </si>
  <si>
    <t>Peoples Gas System</t>
  </si>
  <si>
    <t>D-20230023-GU</t>
  </si>
  <si>
    <t>D-4220-UR-126 (gas)</t>
  </si>
  <si>
    <t>D-6680-UR-124 (gas)</t>
  </si>
  <si>
    <t>D-23-0067</t>
  </si>
  <si>
    <t>D-23-0068</t>
  </si>
  <si>
    <t>D-23-0066</t>
  </si>
  <si>
    <t>The Peoples Gas Light &amp; Gas Co.</t>
  </si>
  <si>
    <t>D-23-0069</t>
  </si>
  <si>
    <t>D-23-00035</t>
  </si>
  <si>
    <t>C-9692 (gas)</t>
  </si>
  <si>
    <t>C-9704</t>
  </si>
  <si>
    <t>FC-1169</t>
  </si>
  <si>
    <t>Mountaineer Gas Co.</t>
  </si>
  <si>
    <t>UGI</t>
  </si>
  <si>
    <t>C-23-0280-G-42T</t>
  </si>
  <si>
    <t>Advice Letter No. 6207-G</t>
  </si>
  <si>
    <t>Black Hills Wyoming Gas LLC</t>
  </si>
  <si>
    <t>D-30026-78-GR-23</t>
  </si>
  <si>
    <t>D-OSS-23-00014399</t>
  </si>
  <si>
    <t>D-23AL-0231G</t>
  </si>
  <si>
    <t>ENSTAR Natural Gas Co.</t>
  </si>
  <si>
    <t>D-U-22-081</t>
  </si>
  <si>
    <t>D-23-09012 (Northern)</t>
  </si>
  <si>
    <t>D-23-09012 (Southern)</t>
  </si>
  <si>
    <t>Northeast Ohio Natural Gas Corp</t>
  </si>
  <si>
    <t>C-23-0154-GA-AIR</t>
  </si>
  <si>
    <t>Applicant Proxy Group</t>
  </si>
  <si>
    <t>6/16/2024</t>
  </si>
  <si>
    <t>Impact of Avista's Proposed Increase in Return on Equity 
Vs. Natural Gas National Average for Investor Owned Gas Utilities, 2021 to Present - Rate Year 1</t>
  </si>
  <si>
    <t>Natural Gas National Average ROE for Investor Owned Gas Utilities, 2021 to Present (9.58%)</t>
  </si>
  <si>
    <t>WACC at National Average ROE (9.58%)</t>
  </si>
  <si>
    <t>Schultz Direct, Ex. KJS-3, p. 3, line 1</t>
  </si>
  <si>
    <t>Natural Gas Rate Revenue Increase, National Average ROE</t>
  </si>
  <si>
    <t>Natural Gas Rate Revenue Increase, Proposed ROE</t>
  </si>
  <si>
    <t>Difference in Natural Gas Rate Revenue Increase</t>
  </si>
  <si>
    <t>Schultz Direct, Ex. KJS-3, p. 3, line 6</t>
  </si>
  <si>
    <t>Schultz Direct, Ex. KJS-3, p. 3, line 7</t>
  </si>
  <si>
    <t>Proposed Natural Gas Rate Revenue Increase - Rate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</si>
</sst>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0%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_(* #,##0.000000_);_(* \(#,##0.00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0" fontId="2" fillId="0" borderId="0" xfId="0" applyNumberFormat="1" applyFont="1"/>
    <xf numFmtId="164" fontId="7" fillId="0" borderId="0" xfId="1" applyNumberFormat="1" applyFont="1" applyFill="1"/>
    <xf numFmtId="0" fontId="0" fillId="0" borderId="0" xfId="0" applyAlignment="1">
      <alignment horizontal="center"/>
    </xf>
    <xf numFmtId="0" fontId="2" fillId="0" borderId="4" xfId="0" applyFont="1" applyBorder="1"/>
    <xf numFmtId="0" fontId="11" fillId="0" borderId="0" xfId="0" applyFont="1"/>
    <xf numFmtId="10" fontId="12" fillId="0" borderId="0" xfId="0" applyNumberFormat="1" applyFont="1"/>
    <xf numFmtId="0" fontId="10" fillId="0" borderId="0" xfId="0" applyFont="1" applyAlignment="1">
      <alignment horizontal="center" wrapText="1"/>
    </xf>
    <xf numFmtId="0" fontId="13" fillId="0" borderId="0" xfId="0" applyFont="1"/>
    <xf numFmtId="0" fontId="12" fillId="0" borderId="0" xfId="0" applyFont="1"/>
    <xf numFmtId="14" fontId="12" fillId="0" borderId="0" xfId="0" applyNumberFormat="1" applyFont="1"/>
    <xf numFmtId="10" fontId="12" fillId="0" borderId="0" xfId="0" applyNumberFormat="1" applyFont="1" applyAlignment="1">
      <alignment horizontal="right"/>
    </xf>
    <xf numFmtId="10" fontId="14" fillId="0" borderId="0" xfId="0" applyNumberFormat="1" applyFont="1"/>
    <xf numFmtId="0" fontId="14" fillId="0" borderId="0" xfId="0" applyFont="1"/>
    <xf numFmtId="0" fontId="15" fillId="0" borderId="0" xfId="0" applyFont="1"/>
    <xf numFmtId="14" fontId="14" fillId="0" borderId="0" xfId="0" applyNumberFormat="1" applyFont="1"/>
    <xf numFmtId="0" fontId="7" fillId="0" borderId="0" xfId="0" applyFont="1" applyAlignment="1">
      <alignment horizontal="center" wrapText="1"/>
    </xf>
    <xf numFmtId="0" fontId="9" fillId="0" borderId="0" xfId="0" applyFont="1"/>
    <xf numFmtId="10" fontId="14" fillId="0" borderId="0" xfId="0" applyNumberFormat="1" applyFont="1" applyAlignment="1">
      <alignment horizontal="right"/>
    </xf>
    <xf numFmtId="0" fontId="16" fillId="0" borderId="4" xfId="3" applyFont="1" applyBorder="1"/>
    <xf numFmtId="0" fontId="16" fillId="0" borderId="0" xfId="3" applyFont="1"/>
    <xf numFmtId="0" fontId="5" fillId="0" borderId="0" xfId="0" applyFont="1"/>
    <xf numFmtId="10" fontId="5" fillId="0" borderId="0" xfId="0" applyNumberFormat="1" applyFont="1"/>
    <xf numFmtId="164" fontId="16" fillId="0" borderId="0" xfId="1" applyNumberFormat="1" applyFont="1" applyFill="1"/>
    <xf numFmtId="10" fontId="5" fillId="0" borderId="0" xfId="2" applyNumberFormat="1" applyFont="1" applyFill="1"/>
    <xf numFmtId="10" fontId="5" fillId="0" borderId="0" xfId="2" applyNumberFormat="1" applyFont="1"/>
    <xf numFmtId="0" fontId="5" fillId="0" borderId="4" xfId="0" applyFont="1" applyBorder="1" applyAlignment="1">
      <alignment horizontal="left"/>
    </xf>
    <xf numFmtId="10" fontId="5" fillId="0" borderId="4" xfId="0" applyNumberFormat="1" applyFont="1" applyBorder="1"/>
    <xf numFmtId="10" fontId="0" fillId="0" borderId="0" xfId="0" applyNumberFormat="1"/>
    <xf numFmtId="165" fontId="0" fillId="0" borderId="0" xfId="0" applyNumberFormat="1"/>
    <xf numFmtId="10" fontId="5" fillId="0" borderId="0" xfId="0" applyNumberFormat="1" applyFont="1" applyAlignment="1">
      <alignment horizontal="right"/>
    </xf>
    <xf numFmtId="49" fontId="16" fillId="0" borderId="0" xfId="3" applyNumberFormat="1" applyFont="1"/>
    <xf numFmtId="0" fontId="17" fillId="0" borderId="0" xfId="0" applyFont="1"/>
    <xf numFmtId="14" fontId="2" fillId="0" borderId="0" xfId="0" applyNumberFormat="1" applyFont="1"/>
    <xf numFmtId="49" fontId="4" fillId="0" borderId="0" xfId="0" quotePrefix="1" applyNumberFormat="1" applyFont="1" applyAlignment="1">
      <alignment horizontal="center"/>
    </xf>
    <xf numFmtId="167" fontId="4" fillId="0" borderId="0" xfId="2" applyNumberFormat="1" applyFont="1" applyFill="1" applyBorder="1" applyAlignment="1">
      <alignment horizontal="right"/>
    </xf>
    <xf numFmtId="0" fontId="18" fillId="0" borderId="0" xfId="0" quotePrefix="1" applyFont="1" applyAlignment="1">
      <alignment horizontal="center"/>
    </xf>
    <xf numFmtId="42" fontId="4" fillId="0" borderId="0" xfId="4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center"/>
    </xf>
    <xf numFmtId="42" fontId="18" fillId="0" borderId="0" xfId="4" applyNumberFormat="1" applyFont="1" applyFill="1" applyBorder="1" applyAlignment="1">
      <alignment horizontal="right"/>
    </xf>
    <xf numFmtId="10" fontId="18" fillId="0" borderId="0" xfId="2" applyNumberFormat="1" applyFont="1" applyFill="1" applyBorder="1"/>
    <xf numFmtId="0" fontId="18" fillId="0" borderId="0" xfId="0" applyFont="1"/>
    <xf numFmtId="10" fontId="18" fillId="0" borderId="4" xfId="2" applyNumberFormat="1" applyFont="1" applyFill="1" applyBorder="1"/>
    <xf numFmtId="2" fontId="18" fillId="0" borderId="0" xfId="0" applyNumberFormat="1" applyFont="1"/>
    <xf numFmtId="0" fontId="4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/>
    <xf numFmtId="10" fontId="2" fillId="0" borderId="0" xfId="2" applyNumberFormat="1" applyFont="1"/>
    <xf numFmtId="10" fontId="2" fillId="0" borderId="0" xfId="2" applyNumberFormat="1" applyFont="1" applyAlignment="1">
      <alignment horizontal="right"/>
    </xf>
    <xf numFmtId="42" fontId="18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0" fontId="18" fillId="0" borderId="0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>
      <alignment horizontal="right"/>
    </xf>
    <xf numFmtId="166" fontId="18" fillId="0" borderId="0" xfId="4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2" fontId="4" fillId="0" borderId="0" xfId="0" applyNumberFormat="1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10" fontId="18" fillId="0" borderId="0" xfId="0" applyNumberFormat="1" applyFont="1"/>
    <xf numFmtId="168" fontId="18" fillId="0" borderId="0" xfId="0" applyNumberFormat="1" applyFont="1"/>
    <xf numFmtId="0" fontId="14" fillId="2" borderId="0" xfId="0" applyFont="1" applyFill="1"/>
    <xf numFmtId="0" fontId="15" fillId="2" borderId="0" xfId="0" applyFont="1" applyFill="1"/>
    <xf numFmtId="10" fontId="14" fillId="2" borderId="0" xfId="0" applyNumberFormat="1" applyFont="1" applyFill="1"/>
    <xf numFmtId="14" fontId="14" fillId="2" borderId="0" xfId="0" applyNumberFormat="1" applyFont="1" applyFill="1"/>
    <xf numFmtId="0" fontId="7" fillId="2" borderId="0" xfId="0" applyFont="1" applyFill="1" applyAlignment="1">
      <alignment horizontal="center" wrapText="1"/>
    </xf>
    <xf numFmtId="164" fontId="7" fillId="2" borderId="0" xfId="1" applyNumberFormat="1" applyFont="1" applyFill="1"/>
    <xf numFmtId="0" fontId="0" fillId="2" borderId="0" xfId="0" applyFill="1" applyAlignment="1">
      <alignment horizontal="center"/>
    </xf>
    <xf numFmtId="0" fontId="9" fillId="2" borderId="0" xfId="0" applyFont="1" applyFill="1"/>
    <xf numFmtId="10" fontId="14" fillId="2" borderId="0" xfId="0" applyNumberFormat="1" applyFont="1" applyFill="1" applyAlignment="1">
      <alignment horizontal="right"/>
    </xf>
    <xf numFmtId="10" fontId="2" fillId="2" borderId="0" xfId="0" applyNumberFormat="1" applyFont="1" applyFill="1"/>
    <xf numFmtId="169" fontId="18" fillId="0" borderId="0" xfId="1" applyNumberFormat="1" applyFont="1" applyFill="1" applyBorder="1" applyAlignment="1">
      <alignment horizontal="right"/>
    </xf>
    <xf numFmtId="0" fontId="7" fillId="0" borderId="0" xfId="0" quotePrefix="1" applyFont="1" applyAlignment="1">
      <alignment horizontal="left" vertical="top" wrapText="1"/>
    </xf>
    <xf numFmtId="10" fontId="2" fillId="0" borderId="0" xfId="2" applyNumberFormat="1" applyFont="1" applyFill="1" applyBorder="1"/>
    <xf numFmtId="14" fontId="2" fillId="0" borderId="0" xfId="2" applyNumberFormat="1" applyFont="1" applyFill="1" applyBorder="1"/>
    <xf numFmtId="10" fontId="7" fillId="0" borderId="0" xfId="2" applyNumberFormat="1" applyFont="1" applyBorder="1"/>
    <xf numFmtId="164" fontId="7" fillId="0" borderId="0" xfId="1" applyNumberFormat="1" applyFont="1" applyFill="1" applyBorder="1"/>
    <xf numFmtId="10" fontId="0" fillId="0" borderId="0" xfId="2" applyNumberFormat="1" applyFont="1" applyBorder="1"/>
    <xf numFmtId="164" fontId="7" fillId="0" borderId="0" xfId="1" applyNumberFormat="1" applyFont="1" applyFill="1" applyBorder="1" applyAlignment="1">
      <alignment horizontal="right"/>
    </xf>
    <xf numFmtId="14" fontId="2" fillId="0" borderId="0" xfId="0" applyNumberFormat="1" applyFont="1" applyAlignment="1">
      <alignment horizontal="right"/>
    </xf>
    <xf numFmtId="10" fontId="2" fillId="0" borderId="0" xfId="2" applyNumberFormat="1" applyFont="1" applyFill="1" applyBorder="1" applyAlignment="1">
      <alignment horizontal="right"/>
    </xf>
    <xf numFmtId="10" fontId="2" fillId="0" borderId="0" xfId="0" applyNumberFormat="1" applyFont="1" applyAlignment="1">
      <alignment horizontal="right"/>
    </xf>
    <xf numFmtId="0" fontId="0" fillId="0" borderId="4" xfId="0" applyBorder="1"/>
    <xf numFmtId="0" fontId="7" fillId="2" borderId="0" xfId="0" quotePrefix="1" applyFont="1" applyFill="1" applyAlignment="1">
      <alignment horizontal="left" vertical="top" wrapText="1"/>
    </xf>
    <xf numFmtId="10" fontId="2" fillId="2" borderId="0" xfId="2" applyNumberFormat="1" applyFont="1" applyFill="1" applyBorder="1"/>
    <xf numFmtId="14" fontId="2" fillId="2" borderId="0" xfId="2" applyNumberFormat="1" applyFont="1" applyFill="1" applyBorder="1"/>
    <xf numFmtId="10" fontId="7" fillId="2" borderId="0" xfId="2" applyNumberFormat="1" applyFont="1" applyFill="1" applyBorder="1"/>
    <xf numFmtId="164" fontId="7" fillId="2" borderId="0" xfId="1" applyNumberFormat="1" applyFont="1" applyFill="1" applyBorder="1"/>
    <xf numFmtId="10" fontId="0" fillId="2" borderId="0" xfId="2" applyNumberFormat="1" applyFont="1" applyFill="1" applyBorder="1"/>
    <xf numFmtId="0" fontId="12" fillId="2" borderId="0" xfId="0" applyFont="1" applyFill="1"/>
    <xf numFmtId="0" fontId="11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</cellXfs>
  <cellStyles count="5">
    <cellStyle name="Comma" xfId="1" builtinId="3"/>
    <cellStyle name="Currency" xfId="4" builtinId="4"/>
    <cellStyle name="Normal" xfId="0" builtinId="0"/>
    <cellStyle name="Normal 7" xfId="3" xr:uid="{03484A80-ED7E-4512-B274-3C52923DA3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1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05-458B-95C5-DDAB3DBEEFBE}"/>
              </c:ext>
            </c:extLst>
          </c:dPt>
          <c:cat>
            <c:strRef>
              <c:f>Fig1Data!$A$1:$A$86</c:f>
              <c:strCache>
                <c:ptCount val="86"/>
                <c:pt idx="0">
                  <c:v>Alaska Electric Light Power</c:v>
                </c:pt>
                <c:pt idx="1">
                  <c:v>Florida Power &amp; Light Co.</c:v>
                </c:pt>
                <c:pt idx="2">
                  <c:v>Georgia Power Co.</c:v>
                </c:pt>
                <c:pt idx="3">
                  <c:v>Avista Requested ROE</c:v>
                </c:pt>
                <c:pt idx="4">
                  <c:v>Duke Energy Carolinas LLC</c:v>
                </c:pt>
                <c:pt idx="5">
                  <c:v>Southern California Edison Co.</c:v>
                </c:pt>
                <c:pt idx="6">
                  <c:v>Northern States Power Co.</c:v>
                </c:pt>
                <c:pt idx="7">
                  <c:v>Wisconsin Power and Light Co</c:v>
                </c:pt>
                <c:pt idx="8">
                  <c:v>Pacific Gas and Electric Co.</c:v>
                </c:pt>
                <c:pt idx="9">
                  <c:v>Liberty Utilities (CalPeco Ele</c:v>
                </c:pt>
                <c:pt idx="10">
                  <c:v>PacifiCorp</c:v>
                </c:pt>
                <c:pt idx="11">
                  <c:v>Tampa Electric Co.</c:v>
                </c:pt>
                <c:pt idx="12">
                  <c:v>San Diego Gas &amp; Electric Co.</c:v>
                </c:pt>
                <c:pt idx="13">
                  <c:v>Consumers Energy Co.</c:v>
                </c:pt>
                <c:pt idx="14">
                  <c:v>DTE Electric Co.</c:v>
                </c:pt>
                <c:pt idx="15">
                  <c:v>Consumers Energy Co.</c:v>
                </c:pt>
                <c:pt idx="16">
                  <c:v>Upper Peninsula Power Co.</c:v>
                </c:pt>
                <c:pt idx="17">
                  <c:v>DTE Electric Co.</c:v>
                </c:pt>
                <c:pt idx="18">
                  <c:v>Consumers Energy Co.</c:v>
                </c:pt>
                <c:pt idx="19">
                  <c:v>AES Indiana</c:v>
                </c:pt>
                <c:pt idx="20">
                  <c:v>Duke Energy Florida LLC</c:v>
                </c:pt>
                <c:pt idx="21">
                  <c:v>Indiana Michigan Power Co.</c:v>
                </c:pt>
                <c:pt idx="22">
                  <c:v>Madison Gas and Electric Co.</c:v>
                </c:pt>
                <c:pt idx="23">
                  <c:v>Wisconsin Public Service Corp.</c:v>
                </c:pt>
                <c:pt idx="24">
                  <c:v>Wisconsin Electric Power Co.</c:v>
                </c:pt>
                <c:pt idx="25">
                  <c:v>Northern IN Public Svc. Co. LLC</c:v>
                </c:pt>
                <c:pt idx="26">
                  <c:v>Duke Energy Progress LLC</c:v>
                </c:pt>
                <c:pt idx="27">
                  <c:v>Northern States Power Co.</c:v>
                </c:pt>
                <c:pt idx="28">
                  <c:v>Wisconsin Power and Light Co</c:v>
                </c:pt>
                <c:pt idx="29">
                  <c:v>Monongahela Power Co.</c:v>
                </c:pt>
                <c:pt idx="30">
                  <c:v>Cheyenne Light Fuel Power Co.</c:v>
                </c:pt>
                <c:pt idx="31">
                  <c:v>MDU Resources Group</c:v>
                </c:pt>
                <c:pt idx="32">
                  <c:v>Duke Energy Kentucky Inc.</c:v>
                </c:pt>
                <c:pt idx="33">
                  <c:v>Kingsport Power Company</c:v>
                </c:pt>
                <c:pt idx="34">
                  <c:v>UNS Electric Inc.</c:v>
                </c:pt>
                <c:pt idx="35">
                  <c:v>Indiana Michigan Power Co.</c:v>
                </c:pt>
                <c:pt idx="36">
                  <c:v>Virginia Electric &amp; Power Co.</c:v>
                </c:pt>
                <c:pt idx="37">
                  <c:v>Madison Gas and Electric Co.</c:v>
                </c:pt>
                <c:pt idx="38">
                  <c:v>Minnesota Power Entrprs Inc.</c:v>
                </c:pt>
                <c:pt idx="39">
                  <c:v>MDU Resources Group</c:v>
                </c:pt>
                <c:pt idx="40">
                  <c:v>NorthWestern Energy Group</c:v>
                </c:pt>
                <c:pt idx="41">
                  <c:v>Duke Energy Carolinas LLC</c:v>
                </c:pt>
                <c:pt idx="42">
                  <c:v>Duke Energy Progress LLC</c:v>
                </c:pt>
                <c:pt idx="43">
                  <c:v>Duke Energy Progress LLC</c:v>
                </c:pt>
                <c:pt idx="44">
                  <c:v>Idaho Power Co.</c:v>
                </c:pt>
                <c:pt idx="45">
                  <c:v>Green Mountain Power Corp.</c:v>
                </c:pt>
                <c:pt idx="46">
                  <c:v>Entergy Texas Inc.</c:v>
                </c:pt>
                <c:pt idx="47">
                  <c:v>Potomac Electric Power Co.</c:v>
                </c:pt>
                <c:pt idx="48">
                  <c:v>Tucson Electric Power Co.</c:v>
                </c:pt>
                <c:pt idx="49">
                  <c:v>Arizona Public Service Co.</c:v>
                </c:pt>
                <c:pt idx="50">
                  <c:v>Nevada Power Co.</c:v>
                </c:pt>
                <c:pt idx="51">
                  <c:v>PacifiCorp</c:v>
                </c:pt>
                <c:pt idx="52">
                  <c:v>Dominion Energy South Carolina</c:v>
                </c:pt>
                <c:pt idx="53">
                  <c:v>Northern States Power Co.</c:v>
                </c:pt>
                <c:pt idx="54">
                  <c:v>Portland General Electric Co.</c:v>
                </c:pt>
                <c:pt idx="55">
                  <c:v>Southwestern Electric Power Co</c:v>
                </c:pt>
                <c:pt idx="56">
                  <c:v>Oklahoma Gas and Electric Co.</c:v>
                </c:pt>
                <c:pt idx="57">
                  <c:v>Kingsport Power Company</c:v>
                </c:pt>
                <c:pt idx="58">
                  <c:v>PacifiCorp</c:v>
                </c:pt>
                <c:pt idx="59">
                  <c:v>Sierra Pacific Power Co.</c:v>
                </c:pt>
                <c:pt idx="60">
                  <c:v>Southwestern Electric Power Co</c:v>
                </c:pt>
                <c:pt idx="61">
                  <c:v>Southwestern Public Svc Co.</c:v>
                </c:pt>
                <c:pt idx="62">
                  <c:v>Portland General Electric Co.</c:v>
                </c:pt>
                <c:pt idx="63">
                  <c:v>Otter Tail Power Co.</c:v>
                </c:pt>
                <c:pt idx="64">
                  <c:v>Kentucky Utilities Co.</c:v>
                </c:pt>
                <c:pt idx="65">
                  <c:v>Louisville Gas &amp; Electric Co.</c:v>
                </c:pt>
                <c:pt idx="66">
                  <c:v>Avista Corp.</c:v>
                </c:pt>
                <c:pt idx="67">
                  <c:v>Avista Corp.</c:v>
                </c:pt>
                <c:pt idx="68">
                  <c:v>Public Service Co. of OK</c:v>
                </c:pt>
                <c:pt idx="69">
                  <c:v>Puget Sound Energy Inc.</c:v>
                </c:pt>
                <c:pt idx="70">
                  <c:v>Avista Corp.</c:v>
                </c:pt>
                <c:pt idx="71">
                  <c:v>Virginia Electric &amp; Power Co.</c:v>
                </c:pt>
                <c:pt idx="72">
                  <c:v>Southwestern Public Service Co</c:v>
                </c:pt>
                <c:pt idx="73">
                  <c:v>El Paso Electric Co.</c:v>
                </c:pt>
                <c:pt idx="74">
                  <c:v>PacifiCorp</c:v>
                </c:pt>
                <c:pt idx="75">
                  <c:v>Empire District Electric Co.</c:v>
                </c:pt>
                <c:pt idx="76">
                  <c:v>Public Service Co. of CO</c:v>
                </c:pt>
                <c:pt idx="77">
                  <c:v>Public Service Co. of OK</c:v>
                </c:pt>
                <c:pt idx="78">
                  <c:v>Kentucky Power Co.</c:v>
                </c:pt>
                <c:pt idx="79">
                  <c:v>Public Service Co. of CO</c:v>
                </c:pt>
                <c:pt idx="80">
                  <c:v>Southwestern Electric Power Co</c:v>
                </c:pt>
                <c:pt idx="81">
                  <c:v>Northern States Power Co.</c:v>
                </c:pt>
                <c:pt idx="82">
                  <c:v>Public Service Co. of NM</c:v>
                </c:pt>
                <c:pt idx="83">
                  <c:v>Arizona Public Service Co.</c:v>
                </c:pt>
                <c:pt idx="84">
                  <c:v>Green Mountain Power Corp.</c:v>
                </c:pt>
                <c:pt idx="85">
                  <c:v>Green Mountain Power Corp.</c:v>
                </c:pt>
              </c:strCache>
            </c:strRef>
          </c:cat>
          <c:val>
            <c:numRef>
              <c:f>Fig1Data!$B$1:$B$86</c:f>
              <c:numCache>
                <c:formatCode>0.00%</c:formatCode>
                <c:ptCount val="86"/>
                <c:pt idx="0">
                  <c:v>0.11449999999999999</c:v>
                </c:pt>
                <c:pt idx="1">
                  <c:v>0.106</c:v>
                </c:pt>
                <c:pt idx="2">
                  <c:v>0.105</c:v>
                </c:pt>
                <c:pt idx="3">
                  <c:v>0.104</c:v>
                </c:pt>
                <c:pt idx="4">
                  <c:v>0.10100000000000001</c:v>
                </c:pt>
                <c:pt idx="5">
                  <c:v>0.10050000000000001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9.9500000000000005E-2</c:v>
                </c:pt>
                <c:pt idx="12">
                  <c:v>9.9499999999999991E-2</c:v>
                </c:pt>
                <c:pt idx="13">
                  <c:v>9.9000000000000005E-2</c:v>
                </c:pt>
                <c:pt idx="14">
                  <c:v>9.9000000000000005E-2</c:v>
                </c:pt>
                <c:pt idx="15">
                  <c:v>9.9000000000000005E-2</c:v>
                </c:pt>
                <c:pt idx="16">
                  <c:v>9.9000000000000005E-2</c:v>
                </c:pt>
                <c:pt idx="17">
                  <c:v>9.9000000000000005E-2</c:v>
                </c:pt>
                <c:pt idx="18">
                  <c:v>9.9000000000000005E-2</c:v>
                </c:pt>
                <c:pt idx="19">
                  <c:v>9.9000000000000005E-2</c:v>
                </c:pt>
                <c:pt idx="20">
                  <c:v>9.8500000000000004E-2</c:v>
                </c:pt>
                <c:pt idx="21">
                  <c:v>9.8500000000000004E-2</c:v>
                </c:pt>
                <c:pt idx="22">
                  <c:v>9.8000000000000004E-2</c:v>
                </c:pt>
                <c:pt idx="23">
                  <c:v>9.8000000000000004E-2</c:v>
                </c:pt>
                <c:pt idx="24">
                  <c:v>9.8000000000000004E-2</c:v>
                </c:pt>
                <c:pt idx="25">
                  <c:v>9.8000000000000004E-2</c:v>
                </c:pt>
                <c:pt idx="26">
                  <c:v>9.8000000000000004E-2</c:v>
                </c:pt>
                <c:pt idx="27">
                  <c:v>9.8000000000000004E-2</c:v>
                </c:pt>
                <c:pt idx="28">
                  <c:v>9.8000000000000004E-2</c:v>
                </c:pt>
                <c:pt idx="29">
                  <c:v>9.8000000000000004E-2</c:v>
                </c:pt>
                <c:pt idx="30">
                  <c:v>9.7500000000000003E-2</c:v>
                </c:pt>
                <c:pt idx="31">
                  <c:v>9.7500000000000003E-2</c:v>
                </c:pt>
                <c:pt idx="32">
                  <c:v>9.7500000000000003E-2</c:v>
                </c:pt>
                <c:pt idx="33">
                  <c:v>9.7500000000000003E-2</c:v>
                </c:pt>
                <c:pt idx="34">
                  <c:v>9.7500000000000003E-2</c:v>
                </c:pt>
                <c:pt idx="35">
                  <c:v>9.7000000000000003E-2</c:v>
                </c:pt>
                <c:pt idx="36">
                  <c:v>9.7000000000000003E-2</c:v>
                </c:pt>
                <c:pt idx="37">
                  <c:v>9.6999999999999989E-2</c:v>
                </c:pt>
                <c:pt idx="38">
                  <c:v>9.6500000000000002E-2</c:v>
                </c:pt>
                <c:pt idx="39">
                  <c:v>9.6500000000000002E-2</c:v>
                </c:pt>
                <c:pt idx="40">
                  <c:v>9.6500000000000002E-2</c:v>
                </c:pt>
                <c:pt idx="41">
                  <c:v>9.6000000000000002E-2</c:v>
                </c:pt>
                <c:pt idx="42">
                  <c:v>9.6000000000000002E-2</c:v>
                </c:pt>
                <c:pt idx="43">
                  <c:v>9.6000000000000002E-2</c:v>
                </c:pt>
                <c:pt idx="44">
                  <c:v>9.6000000000000002E-2</c:v>
                </c:pt>
                <c:pt idx="45">
                  <c:v>9.5799999999999996E-2</c:v>
                </c:pt>
                <c:pt idx="46">
                  <c:v>9.5699999999999993E-2</c:v>
                </c:pt>
                <c:pt idx="47">
                  <c:v>9.5500000000000002E-2</c:v>
                </c:pt>
                <c:pt idx="48">
                  <c:v>9.5500000000000002E-2</c:v>
                </c:pt>
                <c:pt idx="49">
                  <c:v>9.5500000000000002E-2</c:v>
                </c:pt>
                <c:pt idx="50">
                  <c:v>9.5200000000000007E-2</c:v>
                </c:pt>
                <c:pt idx="51">
                  <c:v>9.5000000000000001E-2</c:v>
                </c:pt>
                <c:pt idx="52">
                  <c:v>9.5000000000000001E-2</c:v>
                </c:pt>
                <c:pt idx="53">
                  <c:v>9.5000000000000001E-2</c:v>
                </c:pt>
                <c:pt idx="54">
                  <c:v>9.5000000000000001E-2</c:v>
                </c:pt>
                <c:pt idx="55">
                  <c:v>9.5000000000000001E-2</c:v>
                </c:pt>
                <c:pt idx="56">
                  <c:v>9.5000000000000001E-2</c:v>
                </c:pt>
                <c:pt idx="57">
                  <c:v>9.5000000000000001E-2</c:v>
                </c:pt>
                <c:pt idx="58">
                  <c:v>9.5000000000000001E-2</c:v>
                </c:pt>
                <c:pt idx="59">
                  <c:v>9.5000000000000001E-2</c:v>
                </c:pt>
                <c:pt idx="60">
                  <c:v>9.5000000000000001E-2</c:v>
                </c:pt>
                <c:pt idx="61">
                  <c:v>9.5000000000000001E-2</c:v>
                </c:pt>
                <c:pt idx="62">
                  <c:v>9.5000000000000001E-2</c:v>
                </c:pt>
                <c:pt idx="63">
                  <c:v>9.4799999999999995E-2</c:v>
                </c:pt>
                <c:pt idx="64">
                  <c:v>9.4299999999999995E-2</c:v>
                </c:pt>
                <c:pt idx="65">
                  <c:v>9.4299999999999995E-2</c:v>
                </c:pt>
                <c:pt idx="66">
                  <c:v>9.4E-2</c:v>
                </c:pt>
                <c:pt idx="67">
                  <c:v>9.4E-2</c:v>
                </c:pt>
                <c:pt idx="68">
                  <c:v>9.4E-2</c:v>
                </c:pt>
                <c:pt idx="69">
                  <c:v>9.4E-2</c:v>
                </c:pt>
                <c:pt idx="70">
                  <c:v>9.4E-2</c:v>
                </c:pt>
                <c:pt idx="71">
                  <c:v>9.35E-2</c:v>
                </c:pt>
                <c:pt idx="72">
                  <c:v>9.35E-2</c:v>
                </c:pt>
                <c:pt idx="73">
                  <c:v>9.35E-2</c:v>
                </c:pt>
                <c:pt idx="74">
                  <c:v>9.35E-2</c:v>
                </c:pt>
                <c:pt idx="75">
                  <c:v>9.3000000000000013E-2</c:v>
                </c:pt>
                <c:pt idx="76">
                  <c:v>9.3000000000000013E-2</c:v>
                </c:pt>
                <c:pt idx="77">
                  <c:v>9.3000000000000013E-2</c:v>
                </c:pt>
                <c:pt idx="78">
                  <c:v>9.2999999999999999E-2</c:v>
                </c:pt>
                <c:pt idx="79">
                  <c:v>9.2999999999999999E-2</c:v>
                </c:pt>
                <c:pt idx="80">
                  <c:v>9.2499999999999999E-2</c:v>
                </c:pt>
                <c:pt idx="81">
                  <c:v>9.2499999999999999E-2</c:v>
                </c:pt>
                <c:pt idx="82">
                  <c:v>9.2499999999999999E-2</c:v>
                </c:pt>
                <c:pt idx="83">
                  <c:v>8.6999999999999994E-2</c:v>
                </c:pt>
                <c:pt idx="84">
                  <c:v>8.5699999999999998E-2</c:v>
                </c:pt>
                <c:pt idx="85">
                  <c:v>8.5699999999999998E-2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5-458B-95C5-DDAB3DBEE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1931999"/>
        <c:axId val="1661932959"/>
      </c:barChart>
      <c:catAx>
        <c:axId val="1661931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932959"/>
        <c:crosses val="autoZero"/>
        <c:auto val="1"/>
        <c:lblAlgn val="ctr"/>
        <c:lblOffset val="100"/>
        <c:noMultiLvlLbl val="0"/>
      </c:catAx>
      <c:valAx>
        <c:axId val="166193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93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5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8-4BB2-87AA-C71B1425723F}"/>
              </c:ext>
            </c:extLst>
          </c:dPt>
          <c:cat>
            <c:strRef>
              <c:f>Fig2Data!$A$1:$A$119</c:f>
              <c:strCache>
                <c:ptCount val="119"/>
                <c:pt idx="0">
                  <c:v>ENSTAR Natural Gas Co.</c:v>
                </c:pt>
                <c:pt idx="1">
                  <c:v>Southern California Gas Co.</c:v>
                </c:pt>
                <c:pt idx="2">
                  <c:v>Avista Requested ROE</c:v>
                </c:pt>
                <c:pt idx="3">
                  <c:v>Florida Public Utilities Co.</c:v>
                </c:pt>
                <c:pt idx="4">
                  <c:v>PECO Energy Co</c:v>
                </c:pt>
                <c:pt idx="5">
                  <c:v>San Diego Gas &amp; Electric Co.</c:v>
                </c:pt>
                <c:pt idx="6">
                  <c:v>Peoples Gas System</c:v>
                </c:pt>
                <c:pt idx="7">
                  <c:v>Southwest Gas Corp.</c:v>
                </c:pt>
                <c:pt idx="8">
                  <c:v>Southwest Gas Corp.</c:v>
                </c:pt>
                <c:pt idx="9">
                  <c:v>Southwest Gas Corp.</c:v>
                </c:pt>
                <c:pt idx="10">
                  <c:v>Northern States Power Co.</c:v>
                </c:pt>
                <c:pt idx="11">
                  <c:v>Wisconsin Power and Light Co</c:v>
                </c:pt>
                <c:pt idx="12">
                  <c:v>DTE Gas Co.</c:v>
                </c:pt>
                <c:pt idx="13">
                  <c:v>Consumers Energy Co.</c:v>
                </c:pt>
                <c:pt idx="14">
                  <c:v>Columbia Gas of Pennsylvania</c:v>
                </c:pt>
                <c:pt idx="15">
                  <c:v>Northern IN Public Svc Co.</c:v>
                </c:pt>
                <c:pt idx="16">
                  <c:v>Black Hills Wyoming Gas LLC</c:v>
                </c:pt>
                <c:pt idx="17">
                  <c:v>Michigan Gas Utilities Corp.</c:v>
                </c:pt>
                <c:pt idx="18">
                  <c:v>Piedmont Natural Gas Co.</c:v>
                </c:pt>
                <c:pt idx="19">
                  <c:v>Piedmont Natural Gas Co.</c:v>
                </c:pt>
                <c:pt idx="20">
                  <c:v>Indiana Gas Co.</c:v>
                </c:pt>
                <c:pt idx="21">
                  <c:v>Madison Gas and Electric Co.</c:v>
                </c:pt>
                <c:pt idx="22">
                  <c:v>Northern States Power Co.</c:v>
                </c:pt>
                <c:pt idx="23">
                  <c:v>Southern California Gas Co.</c:v>
                </c:pt>
                <c:pt idx="24">
                  <c:v>Wisconsin Electric Power Co.</c:v>
                </c:pt>
                <c:pt idx="25">
                  <c:v>Wisconsin Gas LLC</c:v>
                </c:pt>
                <c:pt idx="26">
                  <c:v>Wisconsin Public Service Corp.</c:v>
                </c:pt>
                <c:pt idx="27">
                  <c:v>Chattanooga Gas Co.</c:v>
                </c:pt>
                <c:pt idx="28">
                  <c:v>Northern States Power Co.</c:v>
                </c:pt>
                <c:pt idx="29">
                  <c:v>Wisconsin Power and Light Co</c:v>
                </c:pt>
                <c:pt idx="30">
                  <c:v>Piedmont Natural Gas Co.</c:v>
                </c:pt>
                <c:pt idx="31">
                  <c:v>Northern Illinois Gas Co.</c:v>
                </c:pt>
                <c:pt idx="32">
                  <c:v>Mountaineer Gas Co.</c:v>
                </c:pt>
                <c:pt idx="33">
                  <c:v>Northeast Ohio Natural Gas Corp</c:v>
                </c:pt>
                <c:pt idx="34">
                  <c:v>Madison Gas and Electric Co.</c:v>
                </c:pt>
                <c:pt idx="35">
                  <c:v>Texas Gas Service Co.</c:v>
                </c:pt>
                <c:pt idx="36">
                  <c:v>Washington Gas Light Co.</c:v>
                </c:pt>
                <c:pt idx="37">
                  <c:v>Boston Gas Co.</c:v>
                </c:pt>
                <c:pt idx="38">
                  <c:v>Sthrn IN Gas &amp; Electric Co.</c:v>
                </c:pt>
                <c:pt idx="39">
                  <c:v>The Berkshire Gas Co.</c:v>
                </c:pt>
                <c:pt idx="40">
                  <c:v>Ameren Illinois</c:v>
                </c:pt>
                <c:pt idx="41">
                  <c:v>North Shore Gas Co.</c:v>
                </c:pt>
                <c:pt idx="42">
                  <c:v>Columbia Gas of Maryland Inc</c:v>
                </c:pt>
                <c:pt idx="43">
                  <c:v>Columbia Gas of Maryland Inc</c:v>
                </c:pt>
                <c:pt idx="44">
                  <c:v>Minnesota Energy Resources</c:v>
                </c:pt>
                <c:pt idx="45">
                  <c:v>Questar Gas Co.</c:v>
                </c:pt>
                <c:pt idx="46">
                  <c:v>Washington Gas Light Co.</c:v>
                </c:pt>
                <c:pt idx="47">
                  <c:v>Delmarva Power &amp; Light Co.</c:v>
                </c:pt>
                <c:pt idx="48">
                  <c:v>New Jersey Natural Gas Co.</c:v>
                </c:pt>
                <c:pt idx="49">
                  <c:v>Black Hills Iowa Gas Utility</c:v>
                </c:pt>
                <c:pt idx="50">
                  <c:v>Piedmont Natural Gas Co.</c:v>
                </c:pt>
                <c:pt idx="51">
                  <c:v>Public Service Co. of NC</c:v>
                </c:pt>
                <c:pt idx="52">
                  <c:v>Elizabethtown Gas Co.</c:v>
                </c:pt>
                <c:pt idx="53">
                  <c:v>Black Hills Energy Arkansas</c:v>
                </c:pt>
                <c:pt idx="54">
                  <c:v>Delmarva Power &amp; Light Co.</c:v>
                </c:pt>
                <c:pt idx="55">
                  <c:v>South Jersey Gas Co.</c:v>
                </c:pt>
                <c:pt idx="56">
                  <c:v>Dominion Energy Inc.</c:v>
                </c:pt>
                <c:pt idx="57">
                  <c:v>Texas Gas Service Co.</c:v>
                </c:pt>
                <c:pt idx="58">
                  <c:v>Columbia Gas Ohio Inc.</c:v>
                </c:pt>
                <c:pt idx="59">
                  <c:v>Duke Energy Ohio Inc.</c:v>
                </c:pt>
                <c:pt idx="60">
                  <c:v>Northern States Power Co.</c:v>
                </c:pt>
                <c:pt idx="61">
                  <c:v>NorthWestern Energy Corp.</c:v>
                </c:pt>
                <c:pt idx="62">
                  <c:v>Hope Gas Inc.</c:v>
                </c:pt>
                <c:pt idx="63">
                  <c:v>Northern Illinois Gas Co.</c:v>
                </c:pt>
                <c:pt idx="64">
                  <c:v>Black Hills Nebraska Gas LLC</c:v>
                </c:pt>
                <c:pt idx="65">
                  <c:v>Virginia Natural Gas Inc.</c:v>
                </c:pt>
                <c:pt idx="66">
                  <c:v>Pivotal Utility Holdings Inc.</c:v>
                </c:pt>
                <c:pt idx="67">
                  <c:v>Intermountain Gas Co.</c:v>
                </c:pt>
                <c:pt idx="68">
                  <c:v>Avista Corp.</c:v>
                </c:pt>
                <c:pt idx="69">
                  <c:v>Washington Gas Light Co.</c:v>
                </c:pt>
                <c:pt idx="70">
                  <c:v>Southwest Gas Corp.</c:v>
                </c:pt>
                <c:pt idx="71">
                  <c:v>Southwest Gas Corp.</c:v>
                </c:pt>
                <c:pt idx="72">
                  <c:v>Dominion Energy South Carolina</c:v>
                </c:pt>
                <c:pt idx="73">
                  <c:v>Baltimore Gas and Electric Co.</c:v>
                </c:pt>
                <c:pt idx="74">
                  <c:v>Ameren Illinois</c:v>
                </c:pt>
                <c:pt idx="75">
                  <c:v>Louisville Gas &amp; Electric Co.</c:v>
                </c:pt>
                <c:pt idx="76">
                  <c:v>Cascade Natural Gas Corp.</c:v>
                </c:pt>
                <c:pt idx="77">
                  <c:v>Cascade Natural Gas Corp.</c:v>
                </c:pt>
                <c:pt idx="78">
                  <c:v>Avista Corp.</c:v>
                </c:pt>
                <c:pt idx="79">
                  <c:v>Avista Corp.</c:v>
                </c:pt>
                <c:pt idx="80">
                  <c:v>Oklahoma Natural Gas Co</c:v>
                </c:pt>
                <c:pt idx="81">
                  <c:v>Southwest Gas Corp.</c:v>
                </c:pt>
                <c:pt idx="82">
                  <c:v>Southwest Gas Corp.</c:v>
                </c:pt>
                <c:pt idx="83">
                  <c:v>Avista Corp.</c:v>
                </c:pt>
                <c:pt idx="84">
                  <c:v>Cascade Natural Gas Corp.</c:v>
                </c:pt>
                <c:pt idx="85">
                  <c:v>Northwest Natural Gas Co.</c:v>
                </c:pt>
                <c:pt idx="86">
                  <c:v>Puget Sound Energy Inc.</c:v>
                </c:pt>
                <c:pt idx="87">
                  <c:v>Avista Corp.</c:v>
                </c:pt>
                <c:pt idx="88">
                  <c:v>CenterPoint Energy Resources</c:v>
                </c:pt>
                <c:pt idx="89">
                  <c:v>Duke Energy Kentucky Inc.</c:v>
                </c:pt>
                <c:pt idx="90">
                  <c:v>New Mexico Gas Co.</c:v>
                </c:pt>
                <c:pt idx="91">
                  <c:v>North Shore Gas Co.</c:v>
                </c:pt>
                <c:pt idx="92">
                  <c:v>The Peoples Gas Light &amp; Gas Co.</c:v>
                </c:pt>
                <c:pt idx="93">
                  <c:v>Spire Missouri Inc.</c:v>
                </c:pt>
                <c:pt idx="94">
                  <c:v>Columbia Gas of Kentucky Inc</c:v>
                </c:pt>
                <c:pt idx="95">
                  <c:v>Northern Utilities Inc.</c:v>
                </c:pt>
                <c:pt idx="96">
                  <c:v>MDU Resources Group</c:v>
                </c:pt>
                <c:pt idx="97">
                  <c:v>Liberty Utilities EnergyNorth</c:v>
                </c:pt>
                <c:pt idx="98">
                  <c:v>Piedmont Natural Gas Co.</c:v>
                </c:pt>
                <c:pt idx="99">
                  <c:v>Southwest Gas Corp.</c:v>
                </c:pt>
                <c:pt idx="100">
                  <c:v>Northern Utilities Inc.</c:v>
                </c:pt>
                <c:pt idx="101">
                  <c:v>Atmos Energy Corp.</c:v>
                </c:pt>
                <c:pt idx="102">
                  <c:v>Piedmont Natural Gas Co.</c:v>
                </c:pt>
                <c:pt idx="103">
                  <c:v>Black Hills Colorado Gas Inc.</c:v>
                </c:pt>
                <c:pt idx="104">
                  <c:v>Washington Gas Light Co.</c:v>
                </c:pt>
                <c:pt idx="105">
                  <c:v>Delta Natural Gas Co.</c:v>
                </c:pt>
                <c:pt idx="106">
                  <c:v>Corning Natural Gas Corp.</c:v>
                </c:pt>
                <c:pt idx="107">
                  <c:v>Consolidated Edison Company</c:v>
                </c:pt>
                <c:pt idx="108">
                  <c:v>Atmos Energy Corp.</c:v>
                </c:pt>
                <c:pt idx="109">
                  <c:v>Black Hills Colorado Gas Inc.</c:v>
                </c:pt>
                <c:pt idx="110">
                  <c:v>Orange &amp; Rockland Utlts Inc.</c:v>
                </c:pt>
                <c:pt idx="111">
                  <c:v>Public Service Co. of CO</c:v>
                </c:pt>
                <c:pt idx="112">
                  <c:v>NY State Electric &amp; Gas Corp.</c:v>
                </c:pt>
                <c:pt idx="113">
                  <c:v>Rochester Gas &amp; Electric Corp.</c:v>
                </c:pt>
                <c:pt idx="114">
                  <c:v>Central Hudson Gas &amp; Electric</c:v>
                </c:pt>
                <c:pt idx="115">
                  <c:v>Niagara Mohawk Power Corp.</c:v>
                </c:pt>
                <c:pt idx="116">
                  <c:v>Corning Natural Gas Corp.</c:v>
                </c:pt>
                <c:pt idx="117">
                  <c:v>Brooklyn Union Gas Co.</c:v>
                </c:pt>
                <c:pt idx="118">
                  <c:v>KeySpan Gas East Corp.</c:v>
                </c:pt>
              </c:strCache>
            </c:strRef>
          </c:cat>
          <c:val>
            <c:numRef>
              <c:f>Fig2Data!$B$1:$B$119</c:f>
              <c:numCache>
                <c:formatCode>0.00%</c:formatCode>
                <c:ptCount val="119"/>
                <c:pt idx="0">
                  <c:v>0.1188</c:v>
                </c:pt>
                <c:pt idx="1">
                  <c:v>0.105</c:v>
                </c:pt>
                <c:pt idx="2">
                  <c:v>0.104</c:v>
                </c:pt>
                <c:pt idx="3">
                  <c:v>0.10249999999999999</c:v>
                </c:pt>
                <c:pt idx="4">
                  <c:v>0.1024</c:v>
                </c:pt>
                <c:pt idx="5">
                  <c:v>0.10199999999999999</c:v>
                </c:pt>
                <c:pt idx="6">
                  <c:v>0.10150000000000001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9.9000000000000005E-2</c:v>
                </c:pt>
                <c:pt idx="13">
                  <c:v>9.9000000000000005E-2</c:v>
                </c:pt>
                <c:pt idx="14">
                  <c:v>9.8599999999999993E-2</c:v>
                </c:pt>
                <c:pt idx="15">
                  <c:v>9.8500000000000004E-2</c:v>
                </c:pt>
                <c:pt idx="16">
                  <c:v>9.8500000000000004E-2</c:v>
                </c:pt>
                <c:pt idx="17">
                  <c:v>9.849999999999999E-2</c:v>
                </c:pt>
                <c:pt idx="18">
                  <c:v>9.8000000000000004E-2</c:v>
                </c:pt>
                <c:pt idx="19">
                  <c:v>9.8000000000000004E-2</c:v>
                </c:pt>
                <c:pt idx="20">
                  <c:v>9.8000000000000004E-2</c:v>
                </c:pt>
                <c:pt idx="21">
                  <c:v>9.8000000000000004E-2</c:v>
                </c:pt>
                <c:pt idx="22">
                  <c:v>9.8000000000000004E-2</c:v>
                </c:pt>
                <c:pt idx="23">
                  <c:v>9.8000000000000004E-2</c:v>
                </c:pt>
                <c:pt idx="24">
                  <c:v>9.8000000000000004E-2</c:v>
                </c:pt>
                <c:pt idx="25">
                  <c:v>9.8000000000000004E-2</c:v>
                </c:pt>
                <c:pt idx="26">
                  <c:v>9.8000000000000004E-2</c:v>
                </c:pt>
                <c:pt idx="27">
                  <c:v>9.8000000000000004E-2</c:v>
                </c:pt>
                <c:pt idx="28">
                  <c:v>9.8000000000000004E-2</c:v>
                </c:pt>
                <c:pt idx="29">
                  <c:v>9.8000000000000004E-2</c:v>
                </c:pt>
                <c:pt idx="30">
                  <c:v>9.8000000000000004E-2</c:v>
                </c:pt>
                <c:pt idx="31">
                  <c:v>9.7500000000000003E-2</c:v>
                </c:pt>
                <c:pt idx="32">
                  <c:v>9.7500000000000003E-2</c:v>
                </c:pt>
                <c:pt idx="33">
                  <c:v>9.7500000000000003E-2</c:v>
                </c:pt>
                <c:pt idx="34">
                  <c:v>9.7000000000000003E-2</c:v>
                </c:pt>
                <c:pt idx="35">
                  <c:v>9.7000000000000003E-2</c:v>
                </c:pt>
                <c:pt idx="36">
                  <c:v>9.6999999999999989E-2</c:v>
                </c:pt>
                <c:pt idx="37">
                  <c:v>9.6999999999999989E-2</c:v>
                </c:pt>
                <c:pt idx="38">
                  <c:v>9.6999999999999989E-2</c:v>
                </c:pt>
                <c:pt idx="39">
                  <c:v>9.6999999999999989E-2</c:v>
                </c:pt>
                <c:pt idx="40">
                  <c:v>9.6699999999999994E-2</c:v>
                </c:pt>
                <c:pt idx="41">
                  <c:v>9.6699999999999994E-2</c:v>
                </c:pt>
                <c:pt idx="42">
                  <c:v>9.6500000000000002E-2</c:v>
                </c:pt>
                <c:pt idx="43">
                  <c:v>9.6500000000000002E-2</c:v>
                </c:pt>
                <c:pt idx="44">
                  <c:v>9.6500000000000002E-2</c:v>
                </c:pt>
                <c:pt idx="45">
                  <c:v>9.6500000000000002E-2</c:v>
                </c:pt>
                <c:pt idx="46">
                  <c:v>9.6500000000000002E-2</c:v>
                </c:pt>
                <c:pt idx="47">
                  <c:v>9.6000000000000002E-2</c:v>
                </c:pt>
                <c:pt idx="48">
                  <c:v>9.6000000000000002E-2</c:v>
                </c:pt>
                <c:pt idx="49">
                  <c:v>9.6000000000000002E-2</c:v>
                </c:pt>
                <c:pt idx="50">
                  <c:v>9.6000000000000002E-2</c:v>
                </c:pt>
                <c:pt idx="51">
                  <c:v>9.6000000000000002E-2</c:v>
                </c:pt>
                <c:pt idx="52">
                  <c:v>9.6000000000000002E-2</c:v>
                </c:pt>
                <c:pt idx="53">
                  <c:v>9.6000000000000002E-2</c:v>
                </c:pt>
                <c:pt idx="54">
                  <c:v>9.6000000000000002E-2</c:v>
                </c:pt>
                <c:pt idx="55">
                  <c:v>9.6000000000000002E-2</c:v>
                </c:pt>
                <c:pt idx="56">
                  <c:v>9.6000000000000002E-2</c:v>
                </c:pt>
                <c:pt idx="57">
                  <c:v>9.6000000000000002E-2</c:v>
                </c:pt>
                <c:pt idx="58">
                  <c:v>9.6000000000000002E-2</c:v>
                </c:pt>
                <c:pt idx="59">
                  <c:v>9.6000000000000002E-2</c:v>
                </c:pt>
                <c:pt idx="60">
                  <c:v>9.5700000000000007E-2</c:v>
                </c:pt>
                <c:pt idx="61">
                  <c:v>9.5500000000000002E-2</c:v>
                </c:pt>
                <c:pt idx="62">
                  <c:v>9.5399999999999985E-2</c:v>
                </c:pt>
                <c:pt idx="63">
                  <c:v>9.5100000000000004E-2</c:v>
                </c:pt>
                <c:pt idx="64">
                  <c:v>9.5000000000000001E-2</c:v>
                </c:pt>
                <c:pt idx="65">
                  <c:v>9.5000000000000001E-2</c:v>
                </c:pt>
                <c:pt idx="66">
                  <c:v>9.5000000000000001E-2</c:v>
                </c:pt>
                <c:pt idx="67">
                  <c:v>9.5000000000000001E-2</c:v>
                </c:pt>
                <c:pt idx="68">
                  <c:v>9.5000000000000001E-2</c:v>
                </c:pt>
                <c:pt idx="69">
                  <c:v>9.5000000000000001E-2</c:v>
                </c:pt>
                <c:pt idx="70">
                  <c:v>9.5000000000000001E-2</c:v>
                </c:pt>
                <c:pt idx="71">
                  <c:v>9.5000000000000001E-2</c:v>
                </c:pt>
                <c:pt idx="72">
                  <c:v>9.4899999999999998E-2</c:v>
                </c:pt>
                <c:pt idx="73">
                  <c:v>9.4500000000000001E-2</c:v>
                </c:pt>
                <c:pt idx="74">
                  <c:v>9.4399999999999998E-2</c:v>
                </c:pt>
                <c:pt idx="75">
                  <c:v>9.4299999999999995E-2</c:v>
                </c:pt>
                <c:pt idx="76">
                  <c:v>9.4E-2</c:v>
                </c:pt>
                <c:pt idx="77">
                  <c:v>9.4E-2</c:v>
                </c:pt>
                <c:pt idx="78">
                  <c:v>9.4E-2</c:v>
                </c:pt>
                <c:pt idx="79">
                  <c:v>9.4E-2</c:v>
                </c:pt>
                <c:pt idx="80">
                  <c:v>9.4E-2</c:v>
                </c:pt>
                <c:pt idx="81">
                  <c:v>9.4E-2</c:v>
                </c:pt>
                <c:pt idx="82">
                  <c:v>9.4E-2</c:v>
                </c:pt>
                <c:pt idx="83">
                  <c:v>9.4E-2</c:v>
                </c:pt>
                <c:pt idx="84">
                  <c:v>9.4E-2</c:v>
                </c:pt>
                <c:pt idx="85">
                  <c:v>9.4E-2</c:v>
                </c:pt>
                <c:pt idx="86">
                  <c:v>9.4E-2</c:v>
                </c:pt>
                <c:pt idx="87">
                  <c:v>9.4E-2</c:v>
                </c:pt>
                <c:pt idx="88">
                  <c:v>9.3899999999999997E-2</c:v>
                </c:pt>
                <c:pt idx="89">
                  <c:v>9.3800000000000008E-2</c:v>
                </c:pt>
                <c:pt idx="90">
                  <c:v>9.3800000000000008E-2</c:v>
                </c:pt>
                <c:pt idx="91">
                  <c:v>9.3799999999999994E-2</c:v>
                </c:pt>
                <c:pt idx="92">
                  <c:v>9.3799999999999994E-2</c:v>
                </c:pt>
                <c:pt idx="93">
                  <c:v>9.3699999999999992E-2</c:v>
                </c:pt>
                <c:pt idx="94">
                  <c:v>9.35E-2</c:v>
                </c:pt>
                <c:pt idx="95">
                  <c:v>9.35E-2</c:v>
                </c:pt>
                <c:pt idx="96">
                  <c:v>9.3000000000000013E-2</c:v>
                </c:pt>
                <c:pt idx="97">
                  <c:v>9.3000000000000013E-2</c:v>
                </c:pt>
                <c:pt idx="98">
                  <c:v>9.3000000000000013E-2</c:v>
                </c:pt>
                <c:pt idx="99">
                  <c:v>9.3000000000000013E-2</c:v>
                </c:pt>
                <c:pt idx="100">
                  <c:v>9.2999999999999999E-2</c:v>
                </c:pt>
                <c:pt idx="101">
                  <c:v>9.2999999999999999E-2</c:v>
                </c:pt>
                <c:pt idx="102">
                  <c:v>9.2999999999999999E-2</c:v>
                </c:pt>
                <c:pt idx="103">
                  <c:v>9.2999999999999999E-2</c:v>
                </c:pt>
                <c:pt idx="104">
                  <c:v>9.2499999999999999E-2</c:v>
                </c:pt>
                <c:pt idx="105">
                  <c:v>9.2499999999999999E-2</c:v>
                </c:pt>
                <c:pt idx="106">
                  <c:v>9.2499999999999999E-2</c:v>
                </c:pt>
                <c:pt idx="107">
                  <c:v>9.2499999999999999E-2</c:v>
                </c:pt>
                <c:pt idx="108">
                  <c:v>9.2299999999999993E-2</c:v>
                </c:pt>
                <c:pt idx="109">
                  <c:v>9.1999999999999998E-2</c:v>
                </c:pt>
                <c:pt idx="110">
                  <c:v>9.1999999999999998E-2</c:v>
                </c:pt>
                <c:pt idx="111">
                  <c:v>9.1999999999999998E-2</c:v>
                </c:pt>
                <c:pt idx="112">
                  <c:v>9.1999999999999998E-2</c:v>
                </c:pt>
                <c:pt idx="113">
                  <c:v>9.1999999999999998E-2</c:v>
                </c:pt>
                <c:pt idx="114">
                  <c:v>0.09</c:v>
                </c:pt>
                <c:pt idx="115">
                  <c:v>0.09</c:v>
                </c:pt>
                <c:pt idx="116">
                  <c:v>8.8000000000000009E-2</c:v>
                </c:pt>
                <c:pt idx="117">
                  <c:v>8.8000000000000009E-2</c:v>
                </c:pt>
                <c:pt idx="118">
                  <c:v>8.8000000000000009E-2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BB2-87AA-C71B14257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1362703"/>
        <c:axId val="1441363183"/>
      </c:barChart>
      <c:catAx>
        <c:axId val="14413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363183"/>
        <c:crosses val="autoZero"/>
        <c:auto val="1"/>
        <c:lblAlgn val="ctr"/>
        <c:lblOffset val="100"/>
        <c:noMultiLvlLbl val="0"/>
      </c:catAx>
      <c:valAx>
        <c:axId val="144136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3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6579B3-29BD-4FB9-BD00-0812F5734F37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D9610B-85BC-4EA6-9723-86CDA65EE744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387C86-DACD-5D3B-A77C-B60A96A1BB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D321BD-2516-697E-F194-D95B7755A1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  <sheetName val="WP_C1.2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14">
          <cell r="B14" t="str">
            <v>1.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F2DC-B844-48E6-8E74-9576F853060A}">
  <sheetPr>
    <pageSetUpPr fitToPage="1"/>
  </sheetPr>
  <dimension ref="A4:AD532"/>
  <sheetViews>
    <sheetView tabSelected="1" view="pageLayout" zoomScale="85" zoomScaleNormal="90" zoomScalePageLayoutView="85" workbookViewId="0">
      <selection activeCell="V44" sqref="V44"/>
    </sheetView>
  </sheetViews>
  <sheetFormatPr defaultColWidth="9.140625" defaultRowHeight="15" x14ac:dyDescent="0.25"/>
  <cols>
    <col min="1" max="1" width="15.85546875" bestFit="1" customWidth="1"/>
    <col min="2" max="2" width="0.42578125" customWidth="1"/>
    <col min="3" max="3" width="27.5703125" customWidth="1"/>
    <col min="4" max="4" width="0.42578125" customWidth="1"/>
    <col min="5" max="5" width="18.5703125" bestFit="1" customWidth="1"/>
    <col min="6" max="6" width="0.42578125" customWidth="1"/>
    <col min="7" max="7" width="17.85546875" bestFit="1" customWidth="1"/>
    <col min="8" max="8" width="0.42578125" customWidth="1"/>
    <col min="9" max="9" width="9.42578125" customWidth="1"/>
    <col min="10" max="10" width="2" style="1" bestFit="1" customWidth="1"/>
    <col min="11" max="11" width="10.85546875" bestFit="1" customWidth="1"/>
    <col min="12" max="12" width="0.42578125" customWidth="1"/>
    <col min="13" max="13" width="10.140625" customWidth="1"/>
    <col min="14" max="14" width="0.42578125" customWidth="1"/>
    <col min="15" max="15" width="12.7109375" bestFit="1" customWidth="1"/>
    <col min="16" max="16" width="1.5703125" style="1" bestFit="1" customWidth="1"/>
    <col min="18" max="19" width="0.42578125" customWidth="1"/>
    <col min="20" max="20" width="13.28515625" bestFit="1" customWidth="1"/>
    <col min="21" max="21" width="0.42578125" customWidth="1"/>
    <col min="23" max="23" width="0.42578125" customWidth="1"/>
    <col min="25" max="25" width="0.42578125" customWidth="1"/>
    <col min="26" max="26" width="11" customWidth="1"/>
    <col min="27" max="27" width="0.42578125" customWidth="1"/>
    <col min="29" max="29" width="0.42578125" customWidth="1"/>
    <col min="30" max="30" width="9.7109375" customWidth="1"/>
  </cols>
  <sheetData>
    <row r="4" spans="1:28" ht="15.75" thickBot="1" x14ac:dyDescent="0.3"/>
    <row r="5" spans="1:28" ht="16.5" thickBot="1" x14ac:dyDescent="0.3">
      <c r="A5" s="100" t="s">
        <v>340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</row>
    <row r="7" spans="1:28" s="3" customFormat="1" ht="63.75" x14ac:dyDescent="0.2">
      <c r="A7" s="2" t="s">
        <v>0</v>
      </c>
      <c r="C7" s="2" t="s">
        <v>1</v>
      </c>
      <c r="E7" s="2" t="s">
        <v>2</v>
      </c>
      <c r="G7" s="2" t="s">
        <v>3</v>
      </c>
      <c r="I7" s="2" t="s">
        <v>4</v>
      </c>
      <c r="J7" s="4"/>
      <c r="K7" s="2" t="s">
        <v>5</v>
      </c>
      <c r="M7" s="2" t="s">
        <v>6</v>
      </c>
      <c r="O7" s="2" t="s">
        <v>7</v>
      </c>
      <c r="P7" s="4"/>
      <c r="Q7" s="2" t="s">
        <v>8</v>
      </c>
      <c r="T7" s="2" t="s">
        <v>9</v>
      </c>
      <c r="V7" s="2" t="s">
        <v>10</v>
      </c>
      <c r="X7" s="2" t="s">
        <v>11</v>
      </c>
      <c r="Z7" s="2" t="s">
        <v>12</v>
      </c>
    </row>
    <row r="8" spans="1:28" s="5" customFormat="1" ht="12" x14ac:dyDescent="0.2">
      <c r="A8" s="5" t="s">
        <v>13</v>
      </c>
      <c r="C8" s="5" t="s">
        <v>14</v>
      </c>
      <c r="E8" s="5" t="s">
        <v>15</v>
      </c>
      <c r="G8" s="5" t="s">
        <v>16</v>
      </c>
      <c r="I8" s="5" t="s">
        <v>17</v>
      </c>
      <c r="J8" s="6"/>
      <c r="K8" s="5" t="s">
        <v>18</v>
      </c>
      <c r="M8" s="5" t="s">
        <v>19</v>
      </c>
      <c r="O8" s="5" t="s">
        <v>20</v>
      </c>
      <c r="P8" s="6"/>
      <c r="Q8" s="5" t="s">
        <v>21</v>
      </c>
      <c r="T8" s="5" t="s">
        <v>23</v>
      </c>
      <c r="V8" s="5" t="s">
        <v>24</v>
      </c>
      <c r="X8" s="5" t="s">
        <v>25</v>
      </c>
      <c r="Z8" s="5" t="s">
        <v>26</v>
      </c>
    </row>
    <row r="9" spans="1:28" s="5" customFormat="1" ht="12" x14ac:dyDescent="0.2">
      <c r="J9" s="6"/>
      <c r="P9" s="6"/>
      <c r="Q9" s="5" t="s">
        <v>27</v>
      </c>
      <c r="Z9" s="5" t="s">
        <v>28</v>
      </c>
    </row>
    <row r="11" spans="1:28" x14ac:dyDescent="0.25">
      <c r="A11" s="15" t="s">
        <v>47</v>
      </c>
      <c r="B11" s="11"/>
      <c r="C11" s="15" t="s">
        <v>129</v>
      </c>
      <c r="D11" s="15"/>
      <c r="E11" s="15" t="s">
        <v>36</v>
      </c>
      <c r="F11" s="15"/>
      <c r="G11" s="15" t="s">
        <v>130</v>
      </c>
      <c r="H11" s="11"/>
      <c r="I11" s="17">
        <v>0.1</v>
      </c>
      <c r="J11" s="15"/>
      <c r="K11" s="16">
        <v>44209</v>
      </c>
      <c r="L11" s="15"/>
      <c r="M11" s="13" t="s">
        <v>32</v>
      </c>
      <c r="N11" s="11"/>
      <c r="O11" s="12">
        <v>9.2999999999999999E-2</v>
      </c>
      <c r="P11" s="15"/>
      <c r="Q11" s="8">
        <f t="shared" ref="Q11:Q31" si="0">(O11-I11)*10000</f>
        <v>-70.000000000000057</v>
      </c>
      <c r="R11" s="9" t="str">
        <f t="shared" ref="R11:R20" si="1">IF(OR(D11="ALE",D11="LNT",D11="AEE",D11="DUK",D11="EIX",D11="ETR",D11="IDA",D11="NWE",D11="OGE",D11="OTTR",D11="PNW",D11="POR",D11="XEL"),"Y","")</f>
        <v/>
      </c>
      <c r="S11" s="11"/>
      <c r="T11" s="14" t="s">
        <v>46</v>
      </c>
      <c r="U11" s="11"/>
      <c r="V11" s="17">
        <v>6.1899999999999997E-2</v>
      </c>
      <c r="W11" s="15"/>
      <c r="X11" s="17">
        <v>0.4325</v>
      </c>
      <c r="Y11" s="11"/>
      <c r="Z11" s="7">
        <f>X11*O11</f>
        <v>4.0222500000000001E-2</v>
      </c>
      <c r="AA11" s="11"/>
      <c r="AB11" s="11"/>
    </row>
    <row r="12" spans="1:28" x14ac:dyDescent="0.25">
      <c r="A12" s="15" t="s">
        <v>106</v>
      </c>
      <c r="B12" s="11"/>
      <c r="C12" s="15" t="s">
        <v>52</v>
      </c>
      <c r="D12" s="15"/>
      <c r="E12" s="52" t="s">
        <v>56</v>
      </c>
      <c r="F12" s="15"/>
      <c r="G12" s="15" t="s">
        <v>131</v>
      </c>
      <c r="H12" s="11"/>
      <c r="I12" s="18">
        <v>0.105</v>
      </c>
      <c r="J12" s="19" t="s">
        <v>132</v>
      </c>
      <c r="K12" s="16">
        <v>44286</v>
      </c>
      <c r="L12" s="15"/>
      <c r="M12" s="13" t="s">
        <v>32</v>
      </c>
      <c r="N12" s="11"/>
      <c r="O12" s="12">
        <v>9.6000000000000002E-2</v>
      </c>
      <c r="P12" s="15"/>
      <c r="Q12" s="8">
        <f t="shared" si="0"/>
        <v>-89.999999999999943</v>
      </c>
      <c r="R12" s="9" t="str">
        <f t="shared" si="1"/>
        <v/>
      </c>
      <c r="S12" s="11"/>
      <c r="T12" s="14" t="s">
        <v>33</v>
      </c>
      <c r="U12" s="11"/>
      <c r="V12" s="17">
        <v>7.0400000000000004E-2</v>
      </c>
      <c r="W12" s="15"/>
      <c r="X12" s="17">
        <v>0.52</v>
      </c>
      <c r="Y12" s="11"/>
      <c r="Z12" s="7">
        <f>X12*O12</f>
        <v>4.9920000000000006E-2</v>
      </c>
      <c r="AA12" s="11"/>
      <c r="AB12" s="11"/>
    </row>
    <row r="13" spans="1:28" x14ac:dyDescent="0.25">
      <c r="A13" s="15" t="s">
        <v>106</v>
      </c>
      <c r="B13" s="11"/>
      <c r="C13" s="15" t="s">
        <v>55</v>
      </c>
      <c r="D13" s="15"/>
      <c r="E13" s="52" t="s">
        <v>56</v>
      </c>
      <c r="F13" s="15"/>
      <c r="G13" s="15" t="s">
        <v>133</v>
      </c>
      <c r="H13" s="11"/>
      <c r="I13" s="18">
        <v>0.105</v>
      </c>
      <c r="J13" s="19" t="s">
        <v>132</v>
      </c>
      <c r="K13" s="16">
        <v>44302</v>
      </c>
      <c r="L13" s="15"/>
      <c r="M13" s="13" t="s">
        <v>32</v>
      </c>
      <c r="N13" s="11"/>
      <c r="O13" s="12">
        <v>9.6000000000000002E-2</v>
      </c>
      <c r="P13" s="15"/>
      <c r="Q13" s="8">
        <f t="shared" si="0"/>
        <v>-89.999999999999943</v>
      </c>
      <c r="R13" s="9" t="str">
        <f t="shared" si="1"/>
        <v/>
      </c>
      <c r="S13" s="11"/>
      <c r="T13" s="14" t="s">
        <v>33</v>
      </c>
      <c r="U13" s="11"/>
      <c r="V13" s="17">
        <v>6.9199999999999998E-2</v>
      </c>
      <c r="W13" s="15"/>
      <c r="X13" s="17">
        <v>0.52</v>
      </c>
      <c r="Y13" s="11"/>
      <c r="Z13" s="7">
        <f>X13*O13</f>
        <v>4.9920000000000006E-2</v>
      </c>
      <c r="AA13" s="11"/>
      <c r="AB13" s="11"/>
    </row>
    <row r="14" spans="1:28" x14ac:dyDescent="0.25">
      <c r="A14" s="15" t="s">
        <v>134</v>
      </c>
      <c r="B14" s="11"/>
      <c r="C14" s="15" t="s">
        <v>135</v>
      </c>
      <c r="D14" s="15"/>
      <c r="E14" s="52" t="s">
        <v>56</v>
      </c>
      <c r="F14" s="15"/>
      <c r="G14" s="15" t="s">
        <v>136</v>
      </c>
      <c r="H14" s="11"/>
      <c r="I14" s="17">
        <v>9.8500000000000004E-2</v>
      </c>
      <c r="J14" s="15"/>
      <c r="K14" s="16">
        <v>44320</v>
      </c>
      <c r="L14" s="15"/>
      <c r="M14" s="13" t="s">
        <v>32</v>
      </c>
      <c r="N14" s="11"/>
      <c r="O14" s="12">
        <v>9.8500000000000004E-2</v>
      </c>
      <c r="P14" s="15"/>
      <c r="Q14" s="8">
        <f t="shared" si="0"/>
        <v>0</v>
      </c>
      <c r="R14" s="9" t="str">
        <f t="shared" si="1"/>
        <v/>
      </c>
      <c r="S14" s="11"/>
      <c r="T14" s="14" t="s">
        <v>33</v>
      </c>
      <c r="U14" s="11"/>
      <c r="V14" s="17" t="s">
        <v>34</v>
      </c>
      <c r="W14" s="15"/>
      <c r="X14" s="17" t="s">
        <v>34</v>
      </c>
      <c r="Y14" s="11"/>
      <c r="Z14" s="17" t="s">
        <v>34</v>
      </c>
      <c r="AA14" s="11"/>
      <c r="AB14" s="11"/>
    </row>
    <row r="15" spans="1:28" x14ac:dyDescent="0.25">
      <c r="A15" s="19" t="s">
        <v>137</v>
      </c>
      <c r="B15" s="20"/>
      <c r="C15" s="19" t="s">
        <v>100</v>
      </c>
      <c r="D15" s="19"/>
      <c r="E15" s="19" t="s">
        <v>95</v>
      </c>
      <c r="F15" s="19"/>
      <c r="G15" s="19" t="s">
        <v>138</v>
      </c>
      <c r="H15" s="20"/>
      <c r="I15" s="18">
        <v>9.8000000000000004E-2</v>
      </c>
      <c r="J15" s="19"/>
      <c r="K15" s="21">
        <v>44334</v>
      </c>
      <c r="L15" s="19"/>
      <c r="M15" s="22" t="s">
        <v>32</v>
      </c>
      <c r="N15" s="20"/>
      <c r="O15" s="18">
        <v>9.5000000000000001E-2</v>
      </c>
      <c r="P15" s="19"/>
      <c r="Q15" s="8">
        <f t="shared" si="0"/>
        <v>-30.000000000000028</v>
      </c>
      <c r="R15" s="9" t="str">
        <f t="shared" si="1"/>
        <v/>
      </c>
      <c r="S15" s="20"/>
      <c r="T15" s="23" t="s">
        <v>46</v>
      </c>
      <c r="U15" s="20"/>
      <c r="V15" s="24">
        <v>7.1900000000000006E-2</v>
      </c>
      <c r="W15" s="19"/>
      <c r="X15" s="24">
        <v>0.51</v>
      </c>
      <c r="Y15" s="20"/>
      <c r="Z15" s="7">
        <f>X15*O15</f>
        <v>4.845E-2</v>
      </c>
      <c r="AA15" s="11"/>
      <c r="AB15" s="11"/>
    </row>
    <row r="16" spans="1:28" x14ac:dyDescent="0.25">
      <c r="A16" s="19" t="s">
        <v>139</v>
      </c>
      <c r="B16" s="20"/>
      <c r="C16" s="19" t="s">
        <v>140</v>
      </c>
      <c r="D16" s="19"/>
      <c r="E16" s="19" t="s">
        <v>39</v>
      </c>
      <c r="F16" s="19"/>
      <c r="G16" s="19" t="s">
        <v>141</v>
      </c>
      <c r="H16" s="20"/>
      <c r="I16" s="18">
        <v>9.7000000000000003E-2</v>
      </c>
      <c r="J16" s="19"/>
      <c r="K16" s="21">
        <v>44351</v>
      </c>
      <c r="L16" s="19"/>
      <c r="M16" s="22" t="s">
        <v>40</v>
      </c>
      <c r="N16" s="20"/>
      <c r="O16" s="18">
        <v>9.2799999999999994E-2</v>
      </c>
      <c r="P16" s="19"/>
      <c r="Q16" s="8">
        <f t="shared" si="0"/>
        <v>-42.000000000000092</v>
      </c>
      <c r="R16" s="9" t="str">
        <f t="shared" si="1"/>
        <v/>
      </c>
      <c r="S16" s="20"/>
      <c r="T16" s="23" t="s">
        <v>46</v>
      </c>
      <c r="U16" s="20"/>
      <c r="V16" s="24">
        <v>7.17E-2</v>
      </c>
      <c r="W16" s="19"/>
      <c r="X16" s="24">
        <v>0.50680000000000003</v>
      </c>
      <c r="Y16" s="20"/>
      <c r="Z16" s="7">
        <f>X16*O16</f>
        <v>4.7031039999999996E-2</v>
      </c>
      <c r="AA16" s="11"/>
      <c r="AB16" s="11"/>
    </row>
    <row r="17" spans="1:28" x14ac:dyDescent="0.25">
      <c r="A17" s="19" t="s">
        <v>44</v>
      </c>
      <c r="B17" s="20"/>
      <c r="C17" s="19" t="s">
        <v>60</v>
      </c>
      <c r="D17" s="19"/>
      <c r="E17" s="19" t="s">
        <v>39</v>
      </c>
      <c r="F17" s="19"/>
      <c r="G17" s="19" t="s">
        <v>142</v>
      </c>
      <c r="H17" s="20"/>
      <c r="I17" s="18">
        <v>0.10199999999999999</v>
      </c>
      <c r="J17" s="19"/>
      <c r="K17" s="21">
        <v>44370</v>
      </c>
      <c r="L17" s="19"/>
      <c r="M17" s="22" t="s">
        <v>32</v>
      </c>
      <c r="N17" s="20"/>
      <c r="O17" s="18">
        <v>9.5500000000000002E-2</v>
      </c>
      <c r="P17" s="19"/>
      <c r="Q17" s="8">
        <f t="shared" si="0"/>
        <v>-64.999999999999915</v>
      </c>
      <c r="R17" s="9" t="str">
        <f t="shared" si="1"/>
        <v/>
      </c>
      <c r="S17" s="20"/>
      <c r="T17" s="23" t="s">
        <v>46</v>
      </c>
      <c r="U17" s="20"/>
      <c r="V17" s="24">
        <v>7.2099999999999997E-2</v>
      </c>
      <c r="W17" s="19"/>
      <c r="X17" s="24">
        <v>0.505</v>
      </c>
      <c r="Y17" s="20"/>
      <c r="Z17" s="7">
        <f>X17*O17</f>
        <v>4.82275E-2</v>
      </c>
      <c r="AA17" s="11"/>
      <c r="AB17" s="11"/>
    </row>
    <row r="18" spans="1:28" x14ac:dyDescent="0.25">
      <c r="A18" s="19" t="s">
        <v>111</v>
      </c>
      <c r="B18" s="20"/>
      <c r="C18" s="19" t="s">
        <v>143</v>
      </c>
      <c r="D18" s="19"/>
      <c r="E18" s="19"/>
      <c r="F18" s="19"/>
      <c r="G18" s="19" t="s">
        <v>144</v>
      </c>
      <c r="H18" s="20"/>
      <c r="I18" s="18">
        <v>0.10299999999999999</v>
      </c>
      <c r="J18" s="19"/>
      <c r="K18" s="21">
        <v>44375</v>
      </c>
      <c r="L18" s="19"/>
      <c r="M18" s="22" t="s">
        <v>40</v>
      </c>
      <c r="N18" s="20"/>
      <c r="O18" s="18">
        <v>0.09</v>
      </c>
      <c r="P18" s="19"/>
      <c r="Q18" s="8">
        <f t="shared" si="0"/>
        <v>-129.99999999999997</v>
      </c>
      <c r="R18" s="9" t="str">
        <f t="shared" si="1"/>
        <v/>
      </c>
      <c r="S18" s="20"/>
      <c r="T18" s="23" t="s">
        <v>46</v>
      </c>
      <c r="U18" s="20"/>
      <c r="V18" s="24">
        <v>7.1800000000000003E-2</v>
      </c>
      <c r="W18" s="19"/>
      <c r="X18" s="24">
        <v>0.49209999999999998</v>
      </c>
      <c r="Y18" s="20"/>
      <c r="Z18" s="7">
        <f>X18*O18</f>
        <v>4.4288999999999995E-2</v>
      </c>
      <c r="AA18" s="11"/>
      <c r="AB18" s="11"/>
    </row>
    <row r="19" spans="1:28" x14ac:dyDescent="0.25">
      <c r="A19" s="19" t="s">
        <v>47</v>
      </c>
      <c r="B19" s="20"/>
      <c r="C19" s="19" t="s">
        <v>48</v>
      </c>
      <c r="D19" s="19"/>
      <c r="E19" s="19" t="s">
        <v>49</v>
      </c>
      <c r="F19" s="19"/>
      <c r="G19" s="19" t="s">
        <v>145</v>
      </c>
      <c r="H19" s="20"/>
      <c r="I19" s="18">
        <v>0.1</v>
      </c>
      <c r="J19" s="19"/>
      <c r="K19" s="21">
        <v>44377</v>
      </c>
      <c r="L19" s="19"/>
      <c r="M19" s="22" t="s">
        <v>32</v>
      </c>
      <c r="N19" s="20"/>
      <c r="O19" s="18">
        <v>9.4299999999999995E-2</v>
      </c>
      <c r="P19" s="19"/>
      <c r="Q19" s="8">
        <f t="shared" si="0"/>
        <v>-57.000000000000107</v>
      </c>
      <c r="R19" s="9" t="str">
        <f t="shared" si="1"/>
        <v/>
      </c>
      <c r="S19" s="20"/>
      <c r="T19" s="23" t="s">
        <v>33</v>
      </c>
      <c r="U19" s="20"/>
      <c r="V19" s="17" t="s">
        <v>34</v>
      </c>
      <c r="W19" s="19"/>
      <c r="X19" s="17" t="s">
        <v>34</v>
      </c>
      <c r="Y19" s="20"/>
      <c r="Z19" s="17" t="s">
        <v>34</v>
      </c>
      <c r="AA19" s="11"/>
      <c r="AB19" s="11"/>
    </row>
    <row r="20" spans="1:28" x14ac:dyDescent="0.25">
      <c r="A20" s="19" t="s">
        <v>47</v>
      </c>
      <c r="B20" s="20"/>
      <c r="C20" s="19" t="s">
        <v>50</v>
      </c>
      <c r="D20" s="19"/>
      <c r="E20" s="19" t="s">
        <v>49</v>
      </c>
      <c r="F20" s="19"/>
      <c r="G20" s="19" t="s">
        <v>147</v>
      </c>
      <c r="H20" s="20"/>
      <c r="I20" s="18">
        <v>0.1</v>
      </c>
      <c r="J20" s="19"/>
      <c r="K20" s="21">
        <v>44377</v>
      </c>
      <c r="L20" s="19"/>
      <c r="M20" s="22" t="s">
        <v>32</v>
      </c>
      <c r="N20" s="20"/>
      <c r="O20" s="18">
        <v>9.4299999999999995E-2</v>
      </c>
      <c r="P20" s="19"/>
      <c r="Q20" s="8">
        <f t="shared" si="0"/>
        <v>-57.000000000000107</v>
      </c>
      <c r="R20" s="9" t="str">
        <f t="shared" si="1"/>
        <v/>
      </c>
      <c r="S20" s="20"/>
      <c r="T20" s="23" t="s">
        <v>33</v>
      </c>
      <c r="U20" s="20"/>
      <c r="V20" s="17" t="s">
        <v>34</v>
      </c>
      <c r="W20" s="19"/>
      <c r="X20" s="17" t="s">
        <v>34</v>
      </c>
      <c r="Y20" s="20"/>
      <c r="Z20" s="17" t="s">
        <v>34</v>
      </c>
      <c r="AA20" s="11"/>
      <c r="AB20" s="11"/>
    </row>
    <row r="21" spans="1:28" x14ac:dyDescent="0.25">
      <c r="A21" s="19" t="s">
        <v>37</v>
      </c>
      <c r="B21" s="20"/>
      <c r="C21" s="19" t="s">
        <v>38</v>
      </c>
      <c r="D21" s="19"/>
      <c r="E21" s="19" t="s">
        <v>39</v>
      </c>
      <c r="F21" s="19"/>
      <c r="G21" s="19" t="s">
        <v>148</v>
      </c>
      <c r="H21" s="20"/>
      <c r="I21" s="18">
        <v>0.10299999999999999</v>
      </c>
      <c r="J21" s="19"/>
      <c r="K21" s="21">
        <v>44391</v>
      </c>
      <c r="L21" s="19"/>
      <c r="M21" s="22" t="s">
        <v>40</v>
      </c>
      <c r="N21" s="20"/>
      <c r="O21" s="18">
        <v>9.6000000000000002E-2</v>
      </c>
      <c r="P21" s="19"/>
      <c r="Q21" s="8">
        <f t="shared" si="0"/>
        <v>-69.999999999999929</v>
      </c>
      <c r="R21" s="9"/>
      <c r="S21" s="20"/>
      <c r="T21" s="23" t="s">
        <v>33</v>
      </c>
      <c r="U21" s="20"/>
      <c r="V21" s="24">
        <v>6.9900000000000004E-2</v>
      </c>
      <c r="W21" s="19"/>
      <c r="X21" s="24">
        <v>0.50209999999999999</v>
      </c>
      <c r="Y21" s="20"/>
      <c r="Z21" s="7">
        <f>X21*O21</f>
        <v>4.8201599999999997E-2</v>
      </c>
      <c r="AA21" s="11"/>
      <c r="AB21" s="11"/>
    </row>
    <row r="22" spans="1:28" x14ac:dyDescent="0.25">
      <c r="A22" s="19" t="s">
        <v>51</v>
      </c>
      <c r="B22" s="20"/>
      <c r="C22" s="19" t="s">
        <v>149</v>
      </c>
      <c r="D22" s="19"/>
      <c r="E22" s="19" t="s">
        <v>40</v>
      </c>
      <c r="F22" s="19"/>
      <c r="G22" s="19" t="s">
        <v>150</v>
      </c>
      <c r="H22" s="20"/>
      <c r="I22" s="18">
        <v>0.10249999999999999</v>
      </c>
      <c r="J22" s="19"/>
      <c r="K22" s="21">
        <v>44398</v>
      </c>
      <c r="L22" s="19"/>
      <c r="M22" s="22" t="s">
        <v>32</v>
      </c>
      <c r="N22" s="20"/>
      <c r="O22" s="18">
        <v>9.5000000000000001E-2</v>
      </c>
      <c r="P22" s="19"/>
      <c r="Q22" s="8">
        <f t="shared" si="0"/>
        <v>-74.999999999999929</v>
      </c>
      <c r="R22" s="9"/>
      <c r="S22" s="20"/>
      <c r="T22" s="23" t="s">
        <v>33</v>
      </c>
      <c r="U22" s="20"/>
      <c r="V22" s="17" t="s">
        <v>34</v>
      </c>
      <c r="W22" s="19"/>
      <c r="X22" s="24">
        <v>0.51619999999999999</v>
      </c>
      <c r="Y22" s="20"/>
      <c r="Z22" s="7">
        <f>X22*O22</f>
        <v>4.9038999999999999E-2</v>
      </c>
      <c r="AA22" s="11"/>
      <c r="AB22" s="11"/>
    </row>
    <row r="23" spans="1:28" x14ac:dyDescent="0.25">
      <c r="A23" s="19" t="s">
        <v>151</v>
      </c>
      <c r="B23" s="20"/>
      <c r="C23" s="19" t="s">
        <v>117</v>
      </c>
      <c r="D23" s="19"/>
      <c r="E23" s="19" t="s">
        <v>39</v>
      </c>
      <c r="F23" s="19"/>
      <c r="G23" s="19" t="s">
        <v>152</v>
      </c>
      <c r="H23" s="20"/>
      <c r="I23" s="18">
        <v>0.10299999999999999</v>
      </c>
      <c r="J23" s="19"/>
      <c r="K23" s="21">
        <v>44413</v>
      </c>
      <c r="L23" s="19"/>
      <c r="M23" s="22" t="s">
        <v>40</v>
      </c>
      <c r="N23" s="20"/>
      <c r="O23" s="18">
        <v>9.6000000000000002E-2</v>
      </c>
      <c r="P23" s="19"/>
      <c r="Q23" s="8">
        <f t="shared" si="0"/>
        <v>-69.999999999999929</v>
      </c>
      <c r="R23" s="9"/>
      <c r="S23" s="20"/>
      <c r="T23" s="23" t="s">
        <v>46</v>
      </c>
      <c r="U23" s="20"/>
      <c r="V23" s="24">
        <v>6.8000000000000005E-2</v>
      </c>
      <c r="W23" s="19"/>
      <c r="X23" s="17" t="s">
        <v>34</v>
      </c>
      <c r="Y23" s="20"/>
      <c r="Z23" s="24" t="s">
        <v>34</v>
      </c>
      <c r="AA23" s="11"/>
      <c r="AB23" s="11"/>
    </row>
    <row r="24" spans="1:28" x14ac:dyDescent="0.25">
      <c r="A24" s="19" t="s">
        <v>153</v>
      </c>
      <c r="B24" s="20"/>
      <c r="C24" s="19" t="s">
        <v>154</v>
      </c>
      <c r="D24" s="19"/>
      <c r="E24" s="19" t="s">
        <v>64</v>
      </c>
      <c r="F24" s="19"/>
      <c r="G24" s="19" t="s">
        <v>155</v>
      </c>
      <c r="H24" s="20"/>
      <c r="I24" s="18">
        <v>0.10199999999999999</v>
      </c>
      <c r="J24" s="19"/>
      <c r="K24" s="21">
        <v>44426</v>
      </c>
      <c r="L24" s="19"/>
      <c r="M24" s="22" t="s">
        <v>32</v>
      </c>
      <c r="N24" s="20"/>
      <c r="O24" s="18">
        <v>9.5000000000000001E-2</v>
      </c>
      <c r="P24" s="19"/>
      <c r="Q24" s="8">
        <f t="shared" si="0"/>
        <v>-69.999999999999929</v>
      </c>
      <c r="R24" s="9"/>
      <c r="S24" s="20"/>
      <c r="T24" s="23" t="s">
        <v>33</v>
      </c>
      <c r="U24" s="20"/>
      <c r="V24" s="24">
        <v>6.9699999999999998E-2</v>
      </c>
      <c r="W24" s="19"/>
      <c r="X24" s="24">
        <v>0.52500000000000002</v>
      </c>
      <c r="Y24" s="20"/>
      <c r="Z24" s="7">
        <f>X24*O24</f>
        <v>4.9875000000000003E-2</v>
      </c>
      <c r="AA24" s="11"/>
      <c r="AB24" s="11"/>
    </row>
    <row r="25" spans="1:28" x14ac:dyDescent="0.25">
      <c r="A25" s="19" t="s">
        <v>61</v>
      </c>
      <c r="B25" s="20"/>
      <c r="C25" s="19" t="s">
        <v>62</v>
      </c>
      <c r="D25" s="19"/>
      <c r="E25" s="19" t="s">
        <v>156</v>
      </c>
      <c r="F25" s="19"/>
      <c r="G25" s="19" t="s">
        <v>157</v>
      </c>
      <c r="H25" s="20"/>
      <c r="I25" s="18">
        <v>8.5699999999999998E-2</v>
      </c>
      <c r="J25" s="19"/>
      <c r="K25" s="21">
        <v>44439</v>
      </c>
      <c r="L25" s="19"/>
      <c r="M25" s="22" t="s">
        <v>32</v>
      </c>
      <c r="N25" s="20"/>
      <c r="O25" s="18">
        <v>8.5699999999999998E-2</v>
      </c>
      <c r="P25" s="19"/>
      <c r="Q25" s="8">
        <f t="shared" si="0"/>
        <v>0</v>
      </c>
      <c r="R25" s="9"/>
      <c r="S25" s="20"/>
      <c r="T25" s="23" t="s">
        <v>46</v>
      </c>
      <c r="U25" s="20"/>
      <c r="V25" s="24">
        <v>6.6699999999999995E-2</v>
      </c>
      <c r="W25" s="19"/>
      <c r="X25" s="24">
        <v>0.50419999999999998</v>
      </c>
      <c r="Y25" s="20"/>
      <c r="Z25" s="7">
        <f>X25*O25</f>
        <v>4.3209939999999995E-2</v>
      </c>
      <c r="AA25" s="11"/>
      <c r="AB25" s="11"/>
    </row>
    <row r="26" spans="1:28" x14ac:dyDescent="0.25">
      <c r="A26" s="19" t="s">
        <v>73</v>
      </c>
      <c r="B26" s="20"/>
      <c r="C26" s="19" t="s">
        <v>74</v>
      </c>
      <c r="D26" s="19"/>
      <c r="E26" s="19" t="s">
        <v>75</v>
      </c>
      <c r="F26" s="19"/>
      <c r="G26" s="19" t="s">
        <v>158</v>
      </c>
      <c r="H26" s="20"/>
      <c r="I26" s="18">
        <v>9.9000000000000005E-2</v>
      </c>
      <c r="J26" s="19"/>
      <c r="K26" s="21">
        <v>44440</v>
      </c>
      <c r="L26" s="19"/>
      <c r="M26" s="22" t="s">
        <v>32</v>
      </c>
      <c r="N26" s="20"/>
      <c r="O26" s="18">
        <v>9.4E-2</v>
      </c>
      <c r="P26" s="19"/>
      <c r="Q26" s="8">
        <f t="shared" si="0"/>
        <v>-50.000000000000043</v>
      </c>
      <c r="R26" s="9"/>
      <c r="S26" s="20"/>
      <c r="T26" s="23" t="s">
        <v>33</v>
      </c>
      <c r="U26" s="20"/>
      <c r="V26" s="24">
        <v>7.0499999999999993E-2</v>
      </c>
      <c r="W26" s="19"/>
      <c r="X26" s="24">
        <v>0.5</v>
      </c>
      <c r="Y26" s="20"/>
      <c r="Z26" s="7">
        <f>X26*O26</f>
        <v>4.7E-2</v>
      </c>
      <c r="AA26" s="11"/>
      <c r="AB26" s="11"/>
    </row>
    <row r="27" spans="1:28" x14ac:dyDescent="0.25">
      <c r="A27" s="70" t="s">
        <v>108</v>
      </c>
      <c r="B27" s="71"/>
      <c r="C27" s="70" t="s">
        <v>74</v>
      </c>
      <c r="D27" s="70"/>
      <c r="E27" s="70" t="s">
        <v>75</v>
      </c>
      <c r="F27" s="70"/>
      <c r="G27" s="70" t="s">
        <v>159</v>
      </c>
      <c r="H27" s="71"/>
      <c r="I27" s="72">
        <v>9.9000000000000005E-2</v>
      </c>
      <c r="J27" s="70"/>
      <c r="K27" s="73">
        <v>44466</v>
      </c>
      <c r="L27" s="70"/>
      <c r="M27" s="74" t="s">
        <v>32</v>
      </c>
      <c r="N27" s="71"/>
      <c r="O27" s="72">
        <v>9.4E-2</v>
      </c>
      <c r="P27" s="70"/>
      <c r="Q27" s="75">
        <f t="shared" si="0"/>
        <v>-50.000000000000043</v>
      </c>
      <c r="R27" s="76"/>
      <c r="S27" s="71"/>
      <c r="T27" s="77" t="s">
        <v>33</v>
      </c>
      <c r="U27" s="71"/>
      <c r="V27" s="78">
        <v>7.1199999999999999E-2</v>
      </c>
      <c r="W27" s="70"/>
      <c r="X27" s="78">
        <v>0.48499999999999999</v>
      </c>
      <c r="Y27" s="71"/>
      <c r="Z27" s="79">
        <f>X27*O27</f>
        <v>4.5589999999999999E-2</v>
      </c>
      <c r="AA27" s="11"/>
      <c r="AB27" s="11"/>
    </row>
    <row r="28" spans="1:28" x14ac:dyDescent="0.25">
      <c r="A28" s="19" t="s">
        <v>134</v>
      </c>
      <c r="B28" s="20"/>
      <c r="C28" s="19" t="s">
        <v>160</v>
      </c>
      <c r="D28" s="19"/>
      <c r="E28" s="19" t="s">
        <v>161</v>
      </c>
      <c r="F28" s="19"/>
      <c r="G28" s="19" t="s">
        <v>162</v>
      </c>
      <c r="H28" s="20"/>
      <c r="I28" s="18">
        <v>0.1075</v>
      </c>
      <c r="J28" s="19"/>
      <c r="K28" s="21">
        <v>44490</v>
      </c>
      <c r="L28" s="19"/>
      <c r="M28" s="22" t="s">
        <v>32</v>
      </c>
      <c r="N28" s="20"/>
      <c r="O28" s="18">
        <v>9.9500000000000005E-2</v>
      </c>
      <c r="P28" s="19"/>
      <c r="Q28" s="8">
        <f t="shared" si="0"/>
        <v>-79.999999999999929</v>
      </c>
      <c r="R28" s="9"/>
      <c r="S28" s="20"/>
      <c r="T28" s="23" t="s">
        <v>33</v>
      </c>
      <c r="U28" s="20"/>
      <c r="V28" s="24">
        <v>6.2600000000000003E-2</v>
      </c>
      <c r="W28" s="19"/>
      <c r="X28" s="24">
        <v>0.45069999999999999</v>
      </c>
      <c r="Y28" s="20"/>
      <c r="Z28" s="7">
        <f>X28*O28</f>
        <v>4.484465E-2</v>
      </c>
      <c r="AA28" s="11"/>
      <c r="AB28" s="11"/>
    </row>
    <row r="29" spans="1:28" x14ac:dyDescent="0.25">
      <c r="A29" s="19" t="s">
        <v>134</v>
      </c>
      <c r="B29" s="20"/>
      <c r="C29" s="19" t="s">
        <v>163</v>
      </c>
      <c r="D29" s="19"/>
      <c r="E29" s="19" t="s">
        <v>164</v>
      </c>
      <c r="F29" s="19"/>
      <c r="G29" s="19" t="s">
        <v>165</v>
      </c>
      <c r="H29" s="20"/>
      <c r="I29" s="18">
        <v>0.115</v>
      </c>
      <c r="J29" s="19"/>
      <c r="K29" s="21">
        <v>44495</v>
      </c>
      <c r="L29" s="19"/>
      <c r="M29" s="22" t="s">
        <v>32</v>
      </c>
      <c r="N29" s="20"/>
      <c r="O29" s="18">
        <v>0.106</v>
      </c>
      <c r="P29" s="19"/>
      <c r="Q29" s="8">
        <f t="shared" si="0"/>
        <v>-90.000000000000085</v>
      </c>
      <c r="R29" s="9"/>
      <c r="S29" s="20"/>
      <c r="T29" s="23" t="s">
        <v>33</v>
      </c>
      <c r="U29" s="20"/>
      <c r="V29" s="17" t="s">
        <v>34</v>
      </c>
      <c r="W29" s="19"/>
      <c r="X29" s="17" t="s">
        <v>34</v>
      </c>
      <c r="Y29" s="20"/>
      <c r="Z29" s="17" t="s">
        <v>34</v>
      </c>
      <c r="AA29" s="11"/>
      <c r="AB29" s="11"/>
    </row>
    <row r="30" spans="1:28" x14ac:dyDescent="0.25">
      <c r="A30" s="19" t="s">
        <v>103</v>
      </c>
      <c r="B30" s="20"/>
      <c r="C30" s="19" t="s">
        <v>166</v>
      </c>
      <c r="D30" s="19"/>
      <c r="E30" s="19" t="s">
        <v>156</v>
      </c>
      <c r="F30" s="19"/>
      <c r="G30" s="19" t="s">
        <v>167</v>
      </c>
      <c r="H30" s="20"/>
      <c r="I30" s="18">
        <v>9.35E-2</v>
      </c>
      <c r="J30" s="19"/>
      <c r="K30" s="21">
        <v>44497</v>
      </c>
      <c r="L30" s="19"/>
      <c r="M30" s="22" t="s">
        <v>40</v>
      </c>
      <c r="N30" s="20"/>
      <c r="O30" s="18">
        <v>9.35E-2</v>
      </c>
      <c r="P30" s="19"/>
      <c r="Q30" s="8">
        <f t="shared" si="0"/>
        <v>0</v>
      </c>
      <c r="R30" s="9"/>
      <c r="S30" s="20"/>
      <c r="T30" s="23" t="s">
        <v>146</v>
      </c>
      <c r="U30" s="20"/>
      <c r="V30" s="24">
        <v>6.5699999999999995E-2</v>
      </c>
      <c r="W30" s="19"/>
      <c r="X30" s="24">
        <v>0.49</v>
      </c>
      <c r="Y30" s="20"/>
      <c r="Z30" s="7">
        <f t="shared" ref="Z30:Z43" si="2">X30*O30</f>
        <v>4.5815000000000002E-2</v>
      </c>
      <c r="AA30" s="11"/>
      <c r="AB30" s="11"/>
    </row>
    <row r="31" spans="1:28" x14ac:dyDescent="0.25">
      <c r="A31" s="19" t="s">
        <v>125</v>
      </c>
      <c r="B31" s="20"/>
      <c r="C31" s="19" t="s">
        <v>168</v>
      </c>
      <c r="D31" s="19"/>
      <c r="E31" s="19" t="s">
        <v>169</v>
      </c>
      <c r="F31" s="19"/>
      <c r="G31" s="19" t="s">
        <v>170</v>
      </c>
      <c r="H31" s="20"/>
      <c r="I31" s="18">
        <v>0.1</v>
      </c>
      <c r="J31" s="19"/>
      <c r="K31" s="21">
        <v>44502</v>
      </c>
      <c r="L31" s="19"/>
      <c r="M31" s="22" t="s">
        <v>32</v>
      </c>
      <c r="N31" s="20"/>
      <c r="O31" s="18">
        <v>8.6999999999999994E-2</v>
      </c>
      <c r="P31" s="19"/>
      <c r="Q31" s="8">
        <f t="shared" si="0"/>
        <v>-130.00000000000011</v>
      </c>
      <c r="R31" s="9"/>
      <c r="S31" s="20"/>
      <c r="T31" s="23" t="s">
        <v>33</v>
      </c>
      <c r="U31" s="20"/>
      <c r="V31" s="24" t="s">
        <v>171</v>
      </c>
      <c r="W31" s="19"/>
      <c r="X31" s="24">
        <v>0.54669999999999996</v>
      </c>
      <c r="Y31" s="20"/>
      <c r="Z31" s="7">
        <f t="shared" si="2"/>
        <v>4.7562899999999991E-2</v>
      </c>
      <c r="AA31" s="11"/>
      <c r="AB31" s="11"/>
    </row>
    <row r="32" spans="1:28" x14ac:dyDescent="0.25">
      <c r="A32" s="19" t="s">
        <v>172</v>
      </c>
      <c r="B32" s="20"/>
      <c r="C32" s="19" t="s">
        <v>57</v>
      </c>
      <c r="D32" s="19"/>
      <c r="E32" s="19" t="s">
        <v>58</v>
      </c>
      <c r="F32" s="19"/>
      <c r="G32" s="19" t="s">
        <v>173</v>
      </c>
      <c r="H32" s="20"/>
      <c r="I32" s="18">
        <v>0.10199999999999999</v>
      </c>
      <c r="J32" s="19"/>
      <c r="K32" s="21">
        <v>44504</v>
      </c>
      <c r="L32" s="19"/>
      <c r="M32" s="22" t="s">
        <v>32</v>
      </c>
      <c r="N32" s="20"/>
      <c r="O32" s="18">
        <v>9.4799999999999995E-2</v>
      </c>
      <c r="P32" s="19"/>
      <c r="Q32" s="8">
        <f>(O32-I32)*10000</f>
        <v>-71.999999999999986</v>
      </c>
      <c r="R32" s="9"/>
      <c r="S32" s="20"/>
      <c r="T32" s="23" t="s">
        <v>46</v>
      </c>
      <c r="U32" s="20"/>
      <c r="V32" s="24">
        <v>7.1800000000000003E-2</v>
      </c>
      <c r="W32" s="19"/>
      <c r="X32" s="24">
        <v>0.52500000000000002</v>
      </c>
      <c r="Y32" s="20"/>
      <c r="Z32" s="7">
        <f t="shared" si="2"/>
        <v>4.9770000000000002E-2</v>
      </c>
      <c r="AA32" s="11"/>
      <c r="AB32" s="11"/>
    </row>
    <row r="33" spans="1:28" x14ac:dyDescent="0.25">
      <c r="A33" s="19" t="s">
        <v>174</v>
      </c>
      <c r="B33" s="20"/>
      <c r="C33" s="19" t="s">
        <v>175</v>
      </c>
      <c r="D33" s="19"/>
      <c r="E33" s="19" t="s">
        <v>36</v>
      </c>
      <c r="F33" s="19"/>
      <c r="G33" s="19" t="s">
        <v>176</v>
      </c>
      <c r="H33" s="20"/>
      <c r="I33" s="18">
        <v>0.10150000000000001</v>
      </c>
      <c r="J33" s="19"/>
      <c r="K33" s="21">
        <v>44517</v>
      </c>
      <c r="L33" s="19"/>
      <c r="M33" s="22" t="s">
        <v>40</v>
      </c>
      <c r="N33" s="20"/>
      <c r="O33" s="18">
        <v>9.7000000000000003E-2</v>
      </c>
      <c r="P33" s="19"/>
      <c r="Q33" s="8">
        <f t="shared" ref="Q33:Q97" si="3">(O33-I33)*10000</f>
        <v>-45.000000000000043</v>
      </c>
      <c r="R33" s="9"/>
      <c r="S33" s="20"/>
      <c r="T33" s="23" t="s">
        <v>33</v>
      </c>
      <c r="U33" s="20"/>
      <c r="V33" s="24">
        <v>7.2800000000000004E-2</v>
      </c>
      <c r="W33" s="19"/>
      <c r="X33" s="24">
        <v>0.43430000000000002</v>
      </c>
      <c r="Y33" s="20"/>
      <c r="Z33" s="7">
        <f t="shared" si="2"/>
        <v>4.2127100000000001E-2</v>
      </c>
      <c r="AA33" s="11"/>
      <c r="AB33" s="11"/>
    </row>
    <row r="34" spans="1:28" x14ac:dyDescent="0.25">
      <c r="A34" s="19" t="s">
        <v>41</v>
      </c>
      <c r="B34" s="20"/>
      <c r="C34" s="19" t="s">
        <v>177</v>
      </c>
      <c r="D34" s="19"/>
      <c r="E34" s="19" t="s">
        <v>127</v>
      </c>
      <c r="F34" s="19"/>
      <c r="G34" s="19" t="s">
        <v>178</v>
      </c>
      <c r="H34" s="20"/>
      <c r="I34" s="18">
        <v>9.0999999999999998E-2</v>
      </c>
      <c r="J34" s="19"/>
      <c r="K34" s="21">
        <v>44518</v>
      </c>
      <c r="L34" s="19"/>
      <c r="M34" s="22" t="s">
        <v>40</v>
      </c>
      <c r="N34" s="20"/>
      <c r="O34" s="18">
        <v>0.09</v>
      </c>
      <c r="P34" s="19"/>
      <c r="Q34" s="8">
        <f t="shared" si="3"/>
        <v>-10.000000000000009</v>
      </c>
      <c r="R34" s="9"/>
      <c r="S34" s="20"/>
      <c r="T34" s="23" t="s">
        <v>33</v>
      </c>
      <c r="U34" s="20"/>
      <c r="V34" s="24">
        <v>6.4799999999999996E-2</v>
      </c>
      <c r="W34" s="19"/>
      <c r="X34" s="24">
        <v>0.5</v>
      </c>
      <c r="Y34" s="20"/>
      <c r="Z34" s="7">
        <f t="shared" si="2"/>
        <v>4.4999999999999998E-2</v>
      </c>
      <c r="AA34" s="11"/>
      <c r="AB34" s="11"/>
    </row>
    <row r="35" spans="1:28" x14ac:dyDescent="0.25">
      <c r="A35" s="19" t="s">
        <v>102</v>
      </c>
      <c r="B35" s="20"/>
      <c r="C35" s="19" t="s">
        <v>179</v>
      </c>
      <c r="D35" s="19"/>
      <c r="E35" s="19" t="s">
        <v>36</v>
      </c>
      <c r="F35" s="19"/>
      <c r="G35" s="19" t="s">
        <v>180</v>
      </c>
      <c r="H35" s="20"/>
      <c r="I35" s="18">
        <v>0.10349999999999999</v>
      </c>
      <c r="J35" s="19"/>
      <c r="K35" s="21">
        <v>44518</v>
      </c>
      <c r="L35" s="19"/>
      <c r="M35" s="22" t="s">
        <v>32</v>
      </c>
      <c r="N35" s="20"/>
      <c r="O35" s="18">
        <v>9.2499999999999999E-2</v>
      </c>
      <c r="P35" s="19"/>
      <c r="Q35" s="8">
        <f t="shared" si="3"/>
        <v>-109.99999999999996</v>
      </c>
      <c r="R35" s="9"/>
      <c r="S35" s="20"/>
      <c r="T35" s="23" t="s">
        <v>46</v>
      </c>
      <c r="U35" s="20"/>
      <c r="V35" s="24">
        <v>6.6900000000000001E-2</v>
      </c>
      <c r="W35" s="19"/>
      <c r="X35" s="24">
        <v>0.49370000000000003</v>
      </c>
      <c r="Y35" s="20"/>
      <c r="Z35" s="7">
        <f t="shared" si="2"/>
        <v>4.566725E-2</v>
      </c>
      <c r="AA35" s="11"/>
      <c r="AB35" s="11"/>
    </row>
    <row r="36" spans="1:28" x14ac:dyDescent="0.25">
      <c r="A36" s="19" t="s">
        <v>119</v>
      </c>
      <c r="B36" s="20"/>
      <c r="C36" s="19" t="s">
        <v>107</v>
      </c>
      <c r="D36" s="19"/>
      <c r="E36" s="19" t="s">
        <v>40</v>
      </c>
      <c r="F36" s="19"/>
      <c r="G36" s="19" t="s">
        <v>181</v>
      </c>
      <c r="H36" s="20"/>
      <c r="I36" s="18">
        <v>0.108</v>
      </c>
      <c r="J36" s="19"/>
      <c r="K36" s="21">
        <v>44518</v>
      </c>
      <c r="L36" s="19"/>
      <c r="M36" s="22" t="s">
        <v>32</v>
      </c>
      <c r="N36" s="20"/>
      <c r="O36" s="18">
        <v>9.35E-2</v>
      </c>
      <c r="P36" s="19"/>
      <c r="Q36" s="8">
        <f t="shared" si="3"/>
        <v>-145</v>
      </c>
      <c r="R36" s="9"/>
      <c r="S36" s="20"/>
      <c r="T36" s="23" t="s">
        <v>33</v>
      </c>
      <c r="U36" s="20"/>
      <c r="V36" s="24">
        <v>6.9199999999999998E-2</v>
      </c>
      <c r="W36" s="19"/>
      <c r="X36" s="24">
        <v>0.51919999999999999</v>
      </c>
      <c r="Y36" s="20"/>
      <c r="Z36" s="7">
        <f t="shared" si="2"/>
        <v>4.8545199999999997E-2</v>
      </c>
      <c r="AA36" s="11"/>
      <c r="AB36" s="11"/>
    </row>
    <row r="37" spans="1:28" x14ac:dyDescent="0.25">
      <c r="A37" s="19" t="s">
        <v>63</v>
      </c>
      <c r="B37" s="20"/>
      <c r="C37" s="19" t="s">
        <v>120</v>
      </c>
      <c r="D37" s="19"/>
      <c r="E37" s="19" t="s">
        <v>121</v>
      </c>
      <c r="F37" s="19"/>
      <c r="G37" s="19" t="s">
        <v>182</v>
      </c>
      <c r="H37" s="20"/>
      <c r="I37" s="18">
        <v>9.8000000000000004E-2</v>
      </c>
      <c r="J37" s="19"/>
      <c r="K37" s="21">
        <v>44523</v>
      </c>
      <c r="L37" s="19"/>
      <c r="M37" s="22" t="s">
        <v>32</v>
      </c>
      <c r="N37" s="20"/>
      <c r="O37" s="18">
        <v>9.8000000000000004E-2</v>
      </c>
      <c r="P37" s="19"/>
      <c r="Q37" s="8">
        <f t="shared" si="3"/>
        <v>0</v>
      </c>
      <c r="R37" s="9"/>
      <c r="S37" s="20"/>
      <c r="T37" s="23" t="s">
        <v>33</v>
      </c>
      <c r="U37" s="20"/>
      <c r="V37" s="24">
        <v>7.1800000000000003E-2</v>
      </c>
      <c r="W37" s="19"/>
      <c r="X37" s="24">
        <v>0.55000000000000004</v>
      </c>
      <c r="Y37" s="20"/>
      <c r="Z37" s="7">
        <f t="shared" si="2"/>
        <v>5.3900000000000003E-2</v>
      </c>
      <c r="AA37" s="11"/>
      <c r="AB37" s="11"/>
    </row>
    <row r="38" spans="1:28" x14ac:dyDescent="0.25">
      <c r="A38" s="19" t="s">
        <v>63</v>
      </c>
      <c r="B38" s="20"/>
      <c r="C38" s="19" t="s">
        <v>154</v>
      </c>
      <c r="D38" s="19"/>
      <c r="E38" s="19" t="s">
        <v>64</v>
      </c>
      <c r="F38" s="19"/>
      <c r="G38" s="19" t="s">
        <v>183</v>
      </c>
      <c r="H38" s="20"/>
      <c r="I38" s="18">
        <v>0.1</v>
      </c>
      <c r="J38" s="19"/>
      <c r="K38" s="21">
        <v>44518</v>
      </c>
      <c r="L38" s="19"/>
      <c r="M38" s="22" t="s">
        <v>32</v>
      </c>
      <c r="N38" s="20"/>
      <c r="O38" s="18">
        <v>0.1</v>
      </c>
      <c r="P38" s="19"/>
      <c r="Q38" s="8">
        <f t="shared" si="3"/>
        <v>0</v>
      </c>
      <c r="R38" s="9"/>
      <c r="S38" s="20"/>
      <c r="T38" s="23" t="s">
        <v>33</v>
      </c>
      <c r="U38" s="20"/>
      <c r="V38" s="24">
        <v>7.3099999999999998E-2</v>
      </c>
      <c r="W38" s="19"/>
      <c r="X38" s="24">
        <v>0.52500000000000002</v>
      </c>
      <c r="Y38" s="20"/>
      <c r="Z38" s="7">
        <f t="shared" si="2"/>
        <v>5.2500000000000005E-2</v>
      </c>
      <c r="AA38" s="11"/>
      <c r="AB38" s="11"/>
    </row>
    <row r="39" spans="1:28" x14ac:dyDescent="0.25">
      <c r="A39" s="19" t="s">
        <v>63</v>
      </c>
      <c r="B39" s="20"/>
      <c r="C39" s="19" t="s">
        <v>128</v>
      </c>
      <c r="D39" s="19"/>
      <c r="E39" s="19" t="s">
        <v>96</v>
      </c>
      <c r="F39" s="19"/>
      <c r="G39" s="19" t="s">
        <v>184</v>
      </c>
      <c r="H39" s="20"/>
      <c r="I39" s="18">
        <v>0.1</v>
      </c>
      <c r="J39" s="19"/>
      <c r="K39" s="21">
        <v>44518</v>
      </c>
      <c r="L39" s="19"/>
      <c r="M39" s="22" t="s">
        <v>32</v>
      </c>
      <c r="N39" s="20"/>
      <c r="O39" s="18">
        <v>0.1</v>
      </c>
      <c r="P39" s="19"/>
      <c r="Q39" s="8">
        <f t="shared" si="3"/>
        <v>0</v>
      </c>
      <c r="R39" s="9"/>
      <c r="S39" s="20"/>
      <c r="T39" s="23" t="s">
        <v>33</v>
      </c>
      <c r="U39" s="20"/>
      <c r="V39" s="24">
        <v>7.4800000000000005E-2</v>
      </c>
      <c r="W39" s="19"/>
      <c r="X39" s="24">
        <v>0.52500000000000002</v>
      </c>
      <c r="Y39" s="20"/>
      <c r="Z39" s="7">
        <f t="shared" si="2"/>
        <v>5.2500000000000005E-2</v>
      </c>
      <c r="AA39" s="11"/>
      <c r="AB39" s="11"/>
    </row>
    <row r="40" spans="1:28" x14ac:dyDescent="0.25">
      <c r="A40" s="19" t="s">
        <v>76</v>
      </c>
      <c r="B40" s="20"/>
      <c r="C40" s="19" t="s">
        <v>77</v>
      </c>
      <c r="D40" s="19"/>
      <c r="E40" s="19" t="s">
        <v>39</v>
      </c>
      <c r="F40" s="19"/>
      <c r="G40" s="19" t="s">
        <v>185</v>
      </c>
      <c r="H40" s="20"/>
      <c r="I40" s="18">
        <v>7.3599999999999999E-2</v>
      </c>
      <c r="J40" s="19"/>
      <c r="K40" s="21">
        <v>44531</v>
      </c>
      <c r="L40" s="19"/>
      <c r="M40" s="22" t="s">
        <v>40</v>
      </c>
      <c r="N40" s="20"/>
      <c r="O40" s="18">
        <v>7.3599999999999999E-2</v>
      </c>
      <c r="P40" s="19"/>
      <c r="Q40" s="8">
        <f t="shared" si="3"/>
        <v>0</v>
      </c>
      <c r="R40" s="9"/>
      <c r="S40" s="20"/>
      <c r="T40" s="23" t="s">
        <v>46</v>
      </c>
      <c r="U40" s="20"/>
      <c r="V40" s="24">
        <v>5.7200000000000001E-2</v>
      </c>
      <c r="W40" s="19"/>
      <c r="X40" s="24">
        <v>0.48699999999999999</v>
      </c>
      <c r="Y40" s="20"/>
      <c r="Z40" s="7">
        <f t="shared" si="2"/>
        <v>3.5843199999999999E-2</v>
      </c>
      <c r="AA40" s="11"/>
      <c r="AB40" s="11"/>
    </row>
    <row r="41" spans="1:28" x14ac:dyDescent="0.25">
      <c r="A41" s="19" t="s">
        <v>76</v>
      </c>
      <c r="B41" s="20"/>
      <c r="C41" s="19" t="s">
        <v>80</v>
      </c>
      <c r="D41" s="19"/>
      <c r="E41" s="19" t="s">
        <v>81</v>
      </c>
      <c r="F41" s="19"/>
      <c r="G41" s="19" t="s">
        <v>186</v>
      </c>
      <c r="H41" s="20"/>
      <c r="I41" s="18">
        <v>7.3599999999999999E-2</v>
      </c>
      <c r="J41" s="19"/>
      <c r="K41" s="21">
        <v>44543</v>
      </c>
      <c r="L41" s="19"/>
      <c r="M41" s="22" t="s">
        <v>40</v>
      </c>
      <c r="N41" s="20"/>
      <c r="O41" s="18">
        <v>7.3599999999999999E-2</v>
      </c>
      <c r="P41" s="19"/>
      <c r="Q41" s="8">
        <f t="shared" si="3"/>
        <v>0</v>
      </c>
      <c r="R41" s="9"/>
      <c r="S41" s="20"/>
      <c r="T41" s="23" t="s">
        <v>46</v>
      </c>
      <c r="U41" s="20"/>
      <c r="V41" s="24">
        <v>5.7799999999999997E-2</v>
      </c>
      <c r="W41" s="19"/>
      <c r="X41" s="24">
        <v>0.51</v>
      </c>
      <c r="Y41" s="20"/>
      <c r="Z41" s="7">
        <f t="shared" si="2"/>
        <v>3.7536E-2</v>
      </c>
      <c r="AA41" s="11"/>
      <c r="AB41" s="11"/>
    </row>
    <row r="42" spans="1:28" x14ac:dyDescent="0.25">
      <c r="A42" s="19" t="s">
        <v>37</v>
      </c>
      <c r="B42" s="20"/>
      <c r="C42" s="19" t="s">
        <v>98</v>
      </c>
      <c r="D42" s="19"/>
      <c r="E42" s="19" t="s">
        <v>42</v>
      </c>
      <c r="F42" s="19"/>
      <c r="G42" s="19" t="s">
        <v>187</v>
      </c>
      <c r="H42" s="20"/>
      <c r="I42" s="18">
        <v>0.1</v>
      </c>
      <c r="J42" s="19"/>
      <c r="K42" s="21">
        <v>44545</v>
      </c>
      <c r="L42" s="19"/>
      <c r="M42" s="22" t="s">
        <v>40</v>
      </c>
      <c r="N42" s="20"/>
      <c r="O42" s="18">
        <v>9.6000000000000002E-2</v>
      </c>
      <c r="P42" s="19"/>
      <c r="Q42" s="8">
        <f t="shared" si="3"/>
        <v>-40.000000000000036</v>
      </c>
      <c r="R42" s="9"/>
      <c r="S42" s="20"/>
      <c r="T42" s="23" t="s">
        <v>33</v>
      </c>
      <c r="U42" s="20"/>
      <c r="V42" s="24">
        <v>7.0800000000000002E-2</v>
      </c>
      <c r="W42" s="19"/>
      <c r="X42" s="24">
        <v>0.48509999999999998</v>
      </c>
      <c r="Y42" s="20"/>
      <c r="Z42" s="7">
        <f t="shared" si="2"/>
        <v>4.6569599999999996E-2</v>
      </c>
      <c r="AA42" s="11"/>
      <c r="AB42" s="11"/>
    </row>
    <row r="43" spans="1:28" x14ac:dyDescent="0.25">
      <c r="A43" s="19" t="s">
        <v>29</v>
      </c>
      <c r="B43" s="20"/>
      <c r="C43" s="19" t="s">
        <v>30</v>
      </c>
      <c r="D43" s="19"/>
      <c r="E43" s="19" t="s">
        <v>31</v>
      </c>
      <c r="F43" s="19"/>
      <c r="G43" s="19" t="s">
        <v>188</v>
      </c>
      <c r="H43" s="20"/>
      <c r="I43" s="18">
        <v>0.105</v>
      </c>
      <c r="J43" s="19"/>
      <c r="K43" s="21">
        <v>44552</v>
      </c>
      <c r="L43" s="19"/>
      <c r="M43" s="22" t="s">
        <v>32</v>
      </c>
      <c r="N43" s="20"/>
      <c r="O43" s="18">
        <v>9.9000000000000005E-2</v>
      </c>
      <c r="P43" s="19"/>
      <c r="Q43" s="8">
        <f t="shared" si="3"/>
        <v>-59.999999999999915</v>
      </c>
      <c r="R43" s="9"/>
      <c r="S43" s="20"/>
      <c r="T43" s="23" t="s">
        <v>46</v>
      </c>
      <c r="U43" s="20"/>
      <c r="V43" s="24">
        <v>5.62E-2</v>
      </c>
      <c r="W43" s="19"/>
      <c r="X43" s="24">
        <v>0.41839999999999999</v>
      </c>
      <c r="Y43" s="20"/>
      <c r="Z43" s="7">
        <f t="shared" si="2"/>
        <v>4.1421600000000003E-2</v>
      </c>
      <c r="AA43" s="11"/>
      <c r="AB43" s="11"/>
    </row>
    <row r="44" spans="1:28" x14ac:dyDescent="0.25">
      <c r="A44" s="19" t="s">
        <v>43</v>
      </c>
      <c r="B44" s="20"/>
      <c r="C44" s="19" t="s">
        <v>189</v>
      </c>
      <c r="D44" s="19"/>
      <c r="E44" s="19" t="s">
        <v>36</v>
      </c>
      <c r="F44" s="19"/>
      <c r="G44" s="19" t="s">
        <v>237</v>
      </c>
      <c r="H44" s="20"/>
      <c r="I44" s="18">
        <v>0.1</v>
      </c>
      <c r="J44" s="19"/>
      <c r="K44" s="21">
        <v>44558</v>
      </c>
      <c r="L44" s="19"/>
      <c r="M44" s="22" t="s">
        <v>32</v>
      </c>
      <c r="N44" s="20"/>
      <c r="O44" s="18">
        <v>9.4E-2</v>
      </c>
      <c r="P44" s="19"/>
      <c r="Q44" s="8">
        <f t="shared" si="3"/>
        <v>-60.000000000000057</v>
      </c>
      <c r="R44" s="9"/>
      <c r="S44" s="20"/>
      <c r="T44" s="23" t="s">
        <v>33</v>
      </c>
      <c r="U44" s="20"/>
      <c r="V44" s="24">
        <v>6.7400000000000002E-2</v>
      </c>
      <c r="W44" s="19"/>
      <c r="X44" s="24" t="s">
        <v>34</v>
      </c>
      <c r="Y44" s="20"/>
      <c r="Z44" s="24" t="s">
        <v>34</v>
      </c>
      <c r="AA44" s="11"/>
      <c r="AB44" s="11"/>
    </row>
    <row r="45" spans="1:28" x14ac:dyDescent="0.25">
      <c r="A45" s="19" t="s">
        <v>41</v>
      </c>
      <c r="B45" s="20"/>
      <c r="C45" s="19" t="s">
        <v>190</v>
      </c>
      <c r="D45" s="19"/>
      <c r="E45" s="19" t="s">
        <v>238</v>
      </c>
      <c r="F45" s="19"/>
      <c r="G45" s="19" t="s">
        <v>191</v>
      </c>
      <c r="H45" s="20"/>
      <c r="I45" s="18">
        <v>9.5000000000000001E-2</v>
      </c>
      <c r="J45" s="19"/>
      <c r="K45" s="21">
        <v>44581</v>
      </c>
      <c r="L45" s="19"/>
      <c r="M45" s="22" t="s">
        <v>40</v>
      </c>
      <c r="N45" s="20"/>
      <c r="O45" s="18">
        <v>0.09</v>
      </c>
      <c r="P45" s="19"/>
      <c r="Q45" s="8">
        <f t="shared" si="3"/>
        <v>-50.000000000000043</v>
      </c>
      <c r="R45" s="9"/>
      <c r="S45" s="20"/>
      <c r="T45" s="23" t="s">
        <v>33</v>
      </c>
      <c r="U45" s="20"/>
      <c r="V45" s="24">
        <v>6.08E-2</v>
      </c>
      <c r="W45" s="19"/>
      <c r="X45" s="24">
        <v>0.48</v>
      </c>
      <c r="Y45" s="20"/>
      <c r="Z45" s="7">
        <f t="shared" ref="Z45:Z72" si="4">X45*O45</f>
        <v>4.3199999999999995E-2</v>
      </c>
      <c r="AA45" s="11"/>
      <c r="AB45" s="11"/>
    </row>
    <row r="46" spans="1:28" x14ac:dyDescent="0.25">
      <c r="A46" s="19" t="s">
        <v>111</v>
      </c>
      <c r="B46" s="20"/>
      <c r="C46" s="19" t="s">
        <v>112</v>
      </c>
      <c r="D46" s="19"/>
      <c r="E46" s="19" t="s">
        <v>64</v>
      </c>
      <c r="F46" s="19"/>
      <c r="G46" s="19" t="s">
        <v>192</v>
      </c>
      <c r="H46" s="20"/>
      <c r="I46" s="18">
        <v>0.10349999999999999</v>
      </c>
      <c r="J46" s="19"/>
      <c r="K46" s="21">
        <v>44608</v>
      </c>
      <c r="L46" s="19"/>
      <c r="M46" s="22" t="s">
        <v>32</v>
      </c>
      <c r="N46" s="20"/>
      <c r="O46" s="18">
        <v>9.35E-2</v>
      </c>
      <c r="P46" s="19"/>
      <c r="Q46" s="8">
        <f t="shared" si="3"/>
        <v>-99.999999999999943</v>
      </c>
      <c r="R46" s="9"/>
      <c r="S46" s="20"/>
      <c r="T46" s="23" t="s">
        <v>33</v>
      </c>
      <c r="U46" s="20"/>
      <c r="V46" s="24">
        <v>7.0699999999999999E-2</v>
      </c>
      <c r="W46" s="19"/>
      <c r="X46" s="24">
        <v>0.54720000000000002</v>
      </c>
      <c r="Y46" s="20"/>
      <c r="Z46" s="7">
        <f t="shared" si="4"/>
        <v>5.1163199999999999E-2</v>
      </c>
      <c r="AA46" s="11"/>
      <c r="AB46" s="11"/>
    </row>
    <row r="47" spans="1:28" x14ac:dyDescent="0.25">
      <c r="A47" s="19" t="s">
        <v>78</v>
      </c>
      <c r="B47" s="20"/>
      <c r="C47" s="19" t="s">
        <v>99</v>
      </c>
      <c r="D47" s="19"/>
      <c r="E47" s="19" t="s">
        <v>36</v>
      </c>
      <c r="F47" s="19"/>
      <c r="G47" s="19" t="s">
        <v>193</v>
      </c>
      <c r="H47" s="20"/>
      <c r="I47" s="18">
        <v>0.1</v>
      </c>
      <c r="J47" s="19"/>
      <c r="K47" s="21">
        <v>44615</v>
      </c>
      <c r="L47" s="19"/>
      <c r="M47" s="22" t="s">
        <v>32</v>
      </c>
      <c r="N47" s="20"/>
      <c r="O47" s="18">
        <v>9.7000000000000003E-2</v>
      </c>
      <c r="P47" s="19"/>
      <c r="Q47" s="8">
        <f t="shared" si="3"/>
        <v>-30.000000000000028</v>
      </c>
      <c r="R47" s="9"/>
      <c r="S47" s="20"/>
      <c r="T47" s="23" t="s">
        <v>33</v>
      </c>
      <c r="U47" s="20"/>
      <c r="V47" s="24">
        <v>5.7799999999999997E-2</v>
      </c>
      <c r="W47" s="19"/>
      <c r="X47" s="24">
        <v>0.40699999999999997</v>
      </c>
      <c r="Y47" s="20"/>
      <c r="Z47" s="7">
        <f t="shared" si="4"/>
        <v>3.9479E-2</v>
      </c>
      <c r="AA47" s="11"/>
      <c r="AB47" s="11"/>
    </row>
    <row r="48" spans="1:28" x14ac:dyDescent="0.25">
      <c r="A48" s="19" t="s">
        <v>101</v>
      </c>
      <c r="B48" s="20"/>
      <c r="C48" s="19" t="s">
        <v>194</v>
      </c>
      <c r="D48" s="19"/>
      <c r="E48" s="19" t="s">
        <v>64</v>
      </c>
      <c r="F48" s="19"/>
      <c r="G48" s="19" t="s">
        <v>195</v>
      </c>
      <c r="H48" s="20"/>
      <c r="I48" s="18">
        <v>0.1</v>
      </c>
      <c r="J48" s="19"/>
      <c r="K48" s="21">
        <v>44636</v>
      </c>
      <c r="L48" s="19"/>
      <c r="M48" s="22" t="s">
        <v>32</v>
      </c>
      <c r="N48" s="20"/>
      <c r="O48" s="18">
        <v>9.2999999999999999E-2</v>
      </c>
      <c r="P48" s="19"/>
      <c r="Q48" s="8">
        <f t="shared" si="3"/>
        <v>-70.000000000000057</v>
      </c>
      <c r="R48" s="9"/>
      <c r="S48" s="20"/>
      <c r="T48" s="23" t="s">
        <v>33</v>
      </c>
      <c r="U48" s="20"/>
      <c r="V48" s="24">
        <v>6.8199999999999997E-2</v>
      </c>
      <c r="W48" s="19"/>
      <c r="X48" s="24">
        <v>0.55689999999999995</v>
      </c>
      <c r="Y48" s="20"/>
      <c r="Z48" s="7">
        <f t="shared" si="4"/>
        <v>5.1791699999999996E-2</v>
      </c>
      <c r="AA48" s="11"/>
      <c r="AB48" s="11"/>
    </row>
    <row r="49" spans="1:28" x14ac:dyDescent="0.25">
      <c r="A49" s="19" t="s">
        <v>41</v>
      </c>
      <c r="B49" s="20"/>
      <c r="C49" s="19" t="s">
        <v>239</v>
      </c>
      <c r="D49" s="19"/>
      <c r="E49" s="19" t="s">
        <v>42</v>
      </c>
      <c r="F49" s="19"/>
      <c r="G49" s="19" t="s">
        <v>196</v>
      </c>
      <c r="H49" s="20"/>
      <c r="I49" s="18">
        <v>9.5000000000000001E-2</v>
      </c>
      <c r="J49" s="19"/>
      <c r="K49" s="21">
        <v>44665</v>
      </c>
      <c r="L49" s="19"/>
      <c r="M49" s="22" t="s">
        <v>40</v>
      </c>
      <c r="N49" s="20"/>
      <c r="O49" s="18">
        <v>9.1999999999999998E-2</v>
      </c>
      <c r="P49" s="19"/>
      <c r="Q49" s="8">
        <f t="shared" si="3"/>
        <v>-30.000000000000028</v>
      </c>
      <c r="R49" s="9"/>
      <c r="S49" s="20"/>
      <c r="T49" s="23" t="s">
        <v>33</v>
      </c>
      <c r="U49" s="20"/>
      <c r="V49" s="24">
        <v>6.7699999999999996E-2</v>
      </c>
      <c r="W49" s="19"/>
      <c r="X49" s="24">
        <v>0.48</v>
      </c>
      <c r="Y49" s="20"/>
      <c r="Z49" s="7">
        <f t="shared" si="4"/>
        <v>4.4159999999999998E-2</v>
      </c>
      <c r="AA49" s="11"/>
      <c r="AB49" s="11"/>
    </row>
    <row r="50" spans="1:28" x14ac:dyDescent="0.25">
      <c r="A50" s="19" t="s">
        <v>113</v>
      </c>
      <c r="B50" s="20"/>
      <c r="C50" s="19" t="s">
        <v>209</v>
      </c>
      <c r="D50" s="19"/>
      <c r="E50" s="19" t="s">
        <v>109</v>
      </c>
      <c r="F50" s="19"/>
      <c r="G50" s="19" t="s">
        <v>210</v>
      </c>
      <c r="H50" s="20"/>
      <c r="I50" s="18">
        <v>0.1</v>
      </c>
      <c r="J50" s="19"/>
      <c r="K50" s="21">
        <v>44693</v>
      </c>
      <c r="L50" s="19"/>
      <c r="M50" s="22" t="s">
        <v>40</v>
      </c>
      <c r="N50" s="20"/>
      <c r="O50" s="18">
        <v>9.1999999999999998E-2</v>
      </c>
      <c r="P50" s="19"/>
      <c r="Q50" s="8">
        <f t="shared" si="3"/>
        <v>-80.000000000000071</v>
      </c>
      <c r="R50" s="9"/>
      <c r="S50" s="20"/>
      <c r="T50" s="23" t="s">
        <v>33</v>
      </c>
      <c r="U50" s="20"/>
      <c r="V50" s="24">
        <v>7.4200000000000002E-2</v>
      </c>
      <c r="W50" s="19"/>
      <c r="X50" s="24">
        <v>0.5</v>
      </c>
      <c r="Y50" s="20"/>
      <c r="Z50" s="7">
        <f t="shared" si="4"/>
        <v>4.5999999999999999E-2</v>
      </c>
      <c r="AA50" s="11"/>
      <c r="AB50" s="11"/>
    </row>
    <row r="51" spans="1:28" x14ac:dyDescent="0.25">
      <c r="A51" s="19" t="s">
        <v>124</v>
      </c>
      <c r="B51" s="20"/>
      <c r="C51" s="19" t="s">
        <v>211</v>
      </c>
      <c r="D51" s="19"/>
      <c r="E51" s="19" t="s">
        <v>212</v>
      </c>
      <c r="F51" s="19"/>
      <c r="G51" s="19" t="s">
        <v>213</v>
      </c>
      <c r="H51" s="20"/>
      <c r="I51" s="18">
        <v>9.5000000000000001E-2</v>
      </c>
      <c r="J51" s="19"/>
      <c r="K51" s="21">
        <v>44676</v>
      </c>
      <c r="L51" s="19"/>
      <c r="M51" s="22" t="s">
        <v>32</v>
      </c>
      <c r="N51" s="20"/>
      <c r="O51" s="18">
        <v>9.5000000000000001E-2</v>
      </c>
      <c r="P51" s="19"/>
      <c r="Q51" s="8">
        <f t="shared" si="3"/>
        <v>0</v>
      </c>
      <c r="R51" s="9"/>
      <c r="S51" s="20"/>
      <c r="T51" s="23" t="s">
        <v>33</v>
      </c>
      <c r="U51" s="20"/>
      <c r="V51" s="24">
        <v>6.8099999999999994E-2</v>
      </c>
      <c r="W51" s="19"/>
      <c r="X51" s="24">
        <v>0.52</v>
      </c>
      <c r="Y51" s="20"/>
      <c r="Z51" s="7">
        <f t="shared" si="4"/>
        <v>4.9399999999999999E-2</v>
      </c>
      <c r="AA51" s="11"/>
      <c r="AB51" s="11"/>
    </row>
    <row r="52" spans="1:28" x14ac:dyDescent="0.25">
      <c r="A52" s="19" t="s">
        <v>92</v>
      </c>
      <c r="B52" s="20"/>
      <c r="C52" s="19" t="s">
        <v>179</v>
      </c>
      <c r="D52" s="19"/>
      <c r="E52" s="19" t="s">
        <v>36</v>
      </c>
      <c r="F52" s="19"/>
      <c r="G52" s="19" t="s">
        <v>214</v>
      </c>
      <c r="H52" s="20"/>
      <c r="I52" s="18">
        <v>0.10349999999999999</v>
      </c>
      <c r="J52" s="19"/>
      <c r="K52" s="21">
        <v>44704</v>
      </c>
      <c r="L52" s="19"/>
      <c r="M52" s="22" t="s">
        <v>32</v>
      </c>
      <c r="N52" s="20"/>
      <c r="O52" s="18">
        <v>9.5000000000000001E-2</v>
      </c>
      <c r="P52" s="19"/>
      <c r="Q52" s="8">
        <f t="shared" si="3"/>
        <v>-84.999999999999943</v>
      </c>
      <c r="R52" s="9"/>
      <c r="S52" s="20"/>
      <c r="T52" s="23" t="s">
        <v>46</v>
      </c>
      <c r="U52" s="20"/>
      <c r="V52" s="24">
        <v>4.7399999999999998E-2</v>
      </c>
      <c r="W52" s="19"/>
      <c r="X52" s="24">
        <v>0.44540000000000002</v>
      </c>
      <c r="Y52" s="20"/>
      <c r="Z52" s="7">
        <f t="shared" si="4"/>
        <v>4.2313000000000003E-2</v>
      </c>
      <c r="AA52" s="11"/>
      <c r="AB52" s="11"/>
    </row>
    <row r="53" spans="1:28" x14ac:dyDescent="0.25">
      <c r="A53" s="19" t="s">
        <v>102</v>
      </c>
      <c r="B53" s="20"/>
      <c r="C53" s="19" t="s">
        <v>143</v>
      </c>
      <c r="D53" s="19"/>
      <c r="E53" s="19" t="s">
        <v>156</v>
      </c>
      <c r="F53" s="19"/>
      <c r="G53" s="19" t="s">
        <v>215</v>
      </c>
      <c r="H53" s="20"/>
      <c r="I53" s="18">
        <v>0.10299999999999999</v>
      </c>
      <c r="J53" s="19"/>
      <c r="K53" s="21">
        <v>44819</v>
      </c>
      <c r="L53" s="19"/>
      <c r="M53" s="22" t="s">
        <v>32</v>
      </c>
      <c r="N53" s="20"/>
      <c r="O53" s="18">
        <v>9.35E-2</v>
      </c>
      <c r="P53" s="19"/>
      <c r="Q53" s="8">
        <f t="shared" si="3"/>
        <v>-94.999999999999943</v>
      </c>
      <c r="R53" s="9"/>
      <c r="S53" s="20"/>
      <c r="T53" s="23" t="s">
        <v>33</v>
      </c>
      <c r="U53" s="20"/>
      <c r="V53" s="24">
        <v>7.4999999999999997E-2</v>
      </c>
      <c r="W53" s="19"/>
      <c r="X53" s="24">
        <v>0.51</v>
      </c>
      <c r="Y53" s="20"/>
      <c r="Z53" s="7">
        <f t="shared" si="4"/>
        <v>4.7684999999999998E-2</v>
      </c>
      <c r="AA53" s="11"/>
      <c r="AB53" s="11"/>
    </row>
    <row r="54" spans="1:28" x14ac:dyDescent="0.25">
      <c r="A54" s="19" t="s">
        <v>61</v>
      </c>
      <c r="B54" s="20"/>
      <c r="C54" s="19" t="s">
        <v>62</v>
      </c>
      <c r="D54" s="19"/>
      <c r="E54" s="19" t="s">
        <v>156</v>
      </c>
      <c r="F54" s="19"/>
      <c r="G54" s="19" t="s">
        <v>216</v>
      </c>
      <c r="H54" s="20"/>
      <c r="I54" s="18">
        <v>8.5699999999999998E-2</v>
      </c>
      <c r="J54" s="19"/>
      <c r="K54" s="21">
        <v>44804</v>
      </c>
      <c r="L54" s="19"/>
      <c r="M54" s="22" t="s">
        <v>32</v>
      </c>
      <c r="N54" s="20"/>
      <c r="O54" s="18">
        <v>8.5699999999999998E-2</v>
      </c>
      <c r="P54" s="19"/>
      <c r="Q54" s="8">
        <f t="shared" si="3"/>
        <v>0</v>
      </c>
      <c r="R54" s="9"/>
      <c r="S54" s="20"/>
      <c r="T54" s="23" t="s">
        <v>46</v>
      </c>
      <c r="U54" s="20"/>
      <c r="V54" s="24">
        <v>6.3E-2</v>
      </c>
      <c r="W54" s="19"/>
      <c r="X54" s="24">
        <v>0.49980000000000002</v>
      </c>
      <c r="Y54" s="20"/>
      <c r="Z54" s="7">
        <f t="shared" si="4"/>
        <v>4.283286E-2</v>
      </c>
      <c r="AA54" s="11"/>
      <c r="AB54" s="11"/>
    </row>
    <row r="55" spans="1:28" x14ac:dyDescent="0.25">
      <c r="A55" s="19" t="s">
        <v>43</v>
      </c>
      <c r="B55" s="20"/>
      <c r="C55" s="19" t="s">
        <v>217</v>
      </c>
      <c r="D55" s="19"/>
      <c r="E55" s="19" t="s">
        <v>218</v>
      </c>
      <c r="F55" s="19"/>
      <c r="G55" s="19" t="s">
        <v>219</v>
      </c>
      <c r="H55" s="20"/>
      <c r="I55" s="18">
        <v>0.10199999999999999</v>
      </c>
      <c r="J55" s="19"/>
      <c r="K55" s="21">
        <v>44812</v>
      </c>
      <c r="L55" s="19"/>
      <c r="M55" s="22" t="s">
        <v>32</v>
      </c>
      <c r="N55" s="20"/>
      <c r="O55" s="18">
        <v>9.5000000000000001E-2</v>
      </c>
      <c r="P55" s="19"/>
      <c r="Q55" s="8">
        <f t="shared" si="3"/>
        <v>-69.999999999999929</v>
      </c>
      <c r="R55" s="9"/>
      <c r="S55" s="20"/>
      <c r="T55" s="23" t="s">
        <v>33</v>
      </c>
      <c r="U55" s="20"/>
      <c r="V55" s="24" t="s">
        <v>34</v>
      </c>
      <c r="W55" s="19"/>
      <c r="X55" s="24">
        <v>0.53369999999999995</v>
      </c>
      <c r="Y55" s="20"/>
      <c r="Z55" s="7">
        <f t="shared" si="4"/>
        <v>5.0701499999999997E-2</v>
      </c>
      <c r="AA55" s="11"/>
      <c r="AB55" s="11"/>
    </row>
    <row r="56" spans="1:28" x14ac:dyDescent="0.25">
      <c r="A56" s="19" t="s">
        <v>220</v>
      </c>
      <c r="B56" s="20"/>
      <c r="C56" s="19" t="s">
        <v>221</v>
      </c>
      <c r="D56" s="19"/>
      <c r="E56" s="19" t="s">
        <v>36</v>
      </c>
      <c r="F56" s="19"/>
      <c r="G56" s="19" t="s">
        <v>222</v>
      </c>
      <c r="H56" s="20"/>
      <c r="I56" s="18">
        <v>0.10199999999999999</v>
      </c>
      <c r="J56" s="19"/>
      <c r="K56" s="21">
        <v>44859</v>
      </c>
      <c r="L56" s="19"/>
      <c r="M56" s="22" t="s">
        <v>32</v>
      </c>
      <c r="N56" s="20"/>
      <c r="O56" s="18">
        <v>9.5000000000000001E-2</v>
      </c>
      <c r="P56" s="19"/>
      <c r="Q56" s="8">
        <f t="shared" si="3"/>
        <v>-69.999999999999929</v>
      </c>
      <c r="R56" s="9"/>
      <c r="S56" s="20"/>
      <c r="T56" s="23" t="s">
        <v>33</v>
      </c>
      <c r="U56" s="20"/>
      <c r="V56" s="24">
        <v>6.0199999999999997E-2</v>
      </c>
      <c r="W56" s="19"/>
      <c r="X56" s="24">
        <v>0.48899999999999999</v>
      </c>
      <c r="Y56" s="20"/>
      <c r="Z56" s="7">
        <f t="shared" si="4"/>
        <v>4.6454999999999996E-2</v>
      </c>
      <c r="AA56" s="11"/>
      <c r="AB56" s="11"/>
    </row>
    <row r="57" spans="1:28" x14ac:dyDescent="0.25">
      <c r="A57" s="19" t="s">
        <v>76</v>
      </c>
      <c r="B57" s="20"/>
      <c r="C57" s="19" t="s">
        <v>77</v>
      </c>
      <c r="D57" s="19"/>
      <c r="E57" s="19" t="s">
        <v>39</v>
      </c>
      <c r="F57" s="19"/>
      <c r="G57" s="19" t="s">
        <v>224</v>
      </c>
      <c r="H57" s="20"/>
      <c r="I57" s="18">
        <v>7.85E-2</v>
      </c>
      <c r="J57" s="19"/>
      <c r="K57" s="21">
        <v>44882</v>
      </c>
      <c r="L57" s="19"/>
      <c r="M57" s="22" t="s">
        <v>40</v>
      </c>
      <c r="N57" s="20"/>
      <c r="O57" s="18">
        <v>7.85E-2</v>
      </c>
      <c r="P57" s="19"/>
      <c r="Q57" s="8">
        <f t="shared" si="3"/>
        <v>0</v>
      </c>
      <c r="R57" s="9"/>
      <c r="S57" s="20"/>
      <c r="T57" s="23" t="s">
        <v>46</v>
      </c>
      <c r="U57" s="20"/>
      <c r="V57" s="24">
        <v>5.9400000000000001E-2</v>
      </c>
      <c r="W57" s="19"/>
      <c r="X57" s="24">
        <v>0.49450000000000005</v>
      </c>
      <c r="Y57" s="20"/>
      <c r="Z57" s="7">
        <f t="shared" si="4"/>
        <v>3.8818250000000006E-2</v>
      </c>
      <c r="AA57" s="11"/>
      <c r="AB57" s="11"/>
    </row>
    <row r="58" spans="1:28" x14ac:dyDescent="0.25">
      <c r="A58" s="19" t="s">
        <v>29</v>
      </c>
      <c r="B58" s="20"/>
      <c r="C58" s="19" t="s">
        <v>53</v>
      </c>
      <c r="D58" s="19"/>
      <c r="E58" s="19" t="s">
        <v>54</v>
      </c>
      <c r="F58" s="19"/>
      <c r="G58" s="19" t="s">
        <v>223</v>
      </c>
      <c r="H58" s="20"/>
      <c r="I58" s="18">
        <v>0.10249999999999999</v>
      </c>
      <c r="J58" s="19"/>
      <c r="K58" s="21">
        <v>44883</v>
      </c>
      <c r="L58" s="19"/>
      <c r="M58" s="22" t="s">
        <v>32</v>
      </c>
      <c r="N58" s="20"/>
      <c r="O58" s="18">
        <v>9.9000000000000005E-2</v>
      </c>
      <c r="P58" s="19"/>
      <c r="Q58" s="8">
        <f t="shared" si="3"/>
        <v>-34.999999999999893</v>
      </c>
      <c r="R58" s="9"/>
      <c r="S58" s="20"/>
      <c r="T58" s="23" t="s">
        <v>46</v>
      </c>
      <c r="U58" s="20"/>
      <c r="V58" s="24">
        <v>5.4199999999999998E-2</v>
      </c>
      <c r="W58" s="19"/>
      <c r="X58" s="24">
        <v>0.3962</v>
      </c>
      <c r="Y58" s="20"/>
      <c r="Z58" s="7">
        <f t="shared" si="4"/>
        <v>3.9223800000000003E-2</v>
      </c>
      <c r="AA58" s="11"/>
      <c r="AB58" s="11"/>
    </row>
    <row r="59" spans="1:28" x14ac:dyDescent="0.25">
      <c r="A59" s="19" t="s">
        <v>65</v>
      </c>
      <c r="B59" s="20"/>
      <c r="C59" s="19" t="s">
        <v>240</v>
      </c>
      <c r="D59" s="19"/>
      <c r="E59" s="19" t="s">
        <v>123</v>
      </c>
      <c r="F59" s="19"/>
      <c r="G59" s="19" t="s">
        <v>241</v>
      </c>
      <c r="H59" s="20"/>
      <c r="I59" s="18">
        <v>0.105</v>
      </c>
      <c r="J59" s="19"/>
      <c r="K59" s="21">
        <v>44895</v>
      </c>
      <c r="L59" s="19"/>
      <c r="M59" s="22" t="s">
        <v>40</v>
      </c>
      <c r="N59" s="20"/>
      <c r="O59" s="18">
        <v>9.8000000000000004E-2</v>
      </c>
      <c r="P59" s="19"/>
      <c r="Q59" s="8">
        <f t="shared" si="3"/>
        <v>-69.999999999999929</v>
      </c>
      <c r="R59" s="9"/>
      <c r="S59" s="20"/>
      <c r="T59" s="23" t="s">
        <v>46</v>
      </c>
      <c r="U59" s="20"/>
      <c r="V59" s="24">
        <v>7.0599999999999996E-2</v>
      </c>
      <c r="W59" s="19"/>
      <c r="X59" s="24">
        <v>0.53210000000000002</v>
      </c>
      <c r="Y59" s="20"/>
      <c r="Z59" s="7">
        <f t="shared" si="4"/>
        <v>5.2145800000000006E-2</v>
      </c>
      <c r="AA59" s="11"/>
      <c r="AB59" s="11"/>
    </row>
    <row r="60" spans="1:28" x14ac:dyDescent="0.25">
      <c r="A60" s="19" t="s">
        <v>76</v>
      </c>
      <c r="B60" s="20"/>
      <c r="C60" s="19" t="s">
        <v>80</v>
      </c>
      <c r="D60" s="19"/>
      <c r="E60" s="19" t="s">
        <v>81</v>
      </c>
      <c r="F60" s="19"/>
      <c r="G60" s="19" t="s">
        <v>242</v>
      </c>
      <c r="H60" s="20"/>
      <c r="I60" s="18">
        <v>7.85E-2</v>
      </c>
      <c r="J60" s="19"/>
      <c r="K60" s="21">
        <v>44896</v>
      </c>
      <c r="L60" s="19"/>
      <c r="M60" s="22" t="s">
        <v>40</v>
      </c>
      <c r="N60" s="20"/>
      <c r="O60" s="18">
        <v>7.85E-2</v>
      </c>
      <c r="P60" s="19"/>
      <c r="Q60" s="8">
        <f t="shared" si="3"/>
        <v>0</v>
      </c>
      <c r="R60" s="9"/>
      <c r="S60" s="20"/>
      <c r="T60" s="23" t="s">
        <v>46</v>
      </c>
      <c r="U60" s="20"/>
      <c r="V60" s="24">
        <v>5.8999999999999997E-2</v>
      </c>
      <c r="W60" s="19"/>
      <c r="X60" s="24">
        <v>0.5</v>
      </c>
      <c r="Y60" s="20"/>
      <c r="Z60" s="7">
        <f t="shared" si="4"/>
        <v>3.925E-2</v>
      </c>
      <c r="AA60" s="11"/>
      <c r="AB60" s="11"/>
    </row>
    <row r="61" spans="1:28" x14ac:dyDescent="0.25">
      <c r="A61" s="19" t="s">
        <v>44</v>
      </c>
      <c r="B61" s="20"/>
      <c r="C61" s="19" t="s">
        <v>117</v>
      </c>
      <c r="D61" s="19"/>
      <c r="E61" s="19" t="s">
        <v>39</v>
      </c>
      <c r="F61" s="19"/>
      <c r="G61" s="19" t="s">
        <v>243</v>
      </c>
      <c r="H61" s="20"/>
      <c r="I61" s="18">
        <v>0.10249999999999999</v>
      </c>
      <c r="J61" s="19"/>
      <c r="K61" s="21">
        <v>44909</v>
      </c>
      <c r="L61" s="19"/>
      <c r="M61" s="22" t="s">
        <v>40</v>
      </c>
      <c r="N61" s="20"/>
      <c r="O61" s="18">
        <v>9.6000000000000002E-2</v>
      </c>
      <c r="P61" s="19"/>
      <c r="Q61" s="8">
        <f t="shared" si="3"/>
        <v>-64.999999999999915</v>
      </c>
      <c r="R61" s="9"/>
      <c r="S61" s="20"/>
      <c r="T61" s="23" t="s">
        <v>33</v>
      </c>
      <c r="U61" s="20"/>
      <c r="V61" s="24">
        <v>6.6199999999999995E-2</v>
      </c>
      <c r="W61" s="19"/>
      <c r="X61" s="24">
        <v>0.505</v>
      </c>
      <c r="Y61" s="20"/>
      <c r="Z61" s="7">
        <f t="shared" si="4"/>
        <v>4.8480000000000002E-2</v>
      </c>
      <c r="AA61" s="11"/>
      <c r="AB61" s="11"/>
    </row>
    <row r="62" spans="1:28" x14ac:dyDescent="0.25">
      <c r="A62" s="19" t="s">
        <v>174</v>
      </c>
      <c r="B62" s="20"/>
      <c r="C62" s="19" t="s">
        <v>244</v>
      </c>
      <c r="D62" s="19"/>
      <c r="E62" s="19" t="s">
        <v>56</v>
      </c>
      <c r="F62" s="19"/>
      <c r="G62" s="19" t="s">
        <v>245</v>
      </c>
      <c r="H62" s="20"/>
      <c r="I62" s="18">
        <v>0.10300000000000001</v>
      </c>
      <c r="J62" s="19"/>
      <c r="K62" s="21">
        <v>44909</v>
      </c>
      <c r="L62" s="19"/>
      <c r="M62" s="22" t="s">
        <v>40</v>
      </c>
      <c r="N62" s="20"/>
      <c r="O62" s="18">
        <v>9.5000000000000001E-2</v>
      </c>
      <c r="P62" s="19"/>
      <c r="Q62" s="8">
        <f t="shared" si="3"/>
        <v>-80.000000000000071</v>
      </c>
      <c r="R62" s="9"/>
      <c r="S62" s="20"/>
      <c r="T62" s="23" t="s">
        <v>33</v>
      </c>
      <c r="U62" s="20"/>
      <c r="V62" s="24">
        <v>6.8599999999999994E-2</v>
      </c>
      <c r="W62" s="19"/>
      <c r="X62" s="24">
        <v>0.505</v>
      </c>
      <c r="Y62" s="20"/>
      <c r="Z62" s="7">
        <f t="shared" si="4"/>
        <v>4.7975000000000004E-2</v>
      </c>
      <c r="AA62" s="11"/>
      <c r="AB62" s="11"/>
    </row>
    <row r="63" spans="1:28" x14ac:dyDescent="0.25">
      <c r="A63" s="19" t="s">
        <v>174</v>
      </c>
      <c r="B63" s="20"/>
      <c r="C63" s="19" t="s">
        <v>246</v>
      </c>
      <c r="D63" s="19"/>
      <c r="E63" s="19" t="s">
        <v>247</v>
      </c>
      <c r="F63" s="19"/>
      <c r="G63" s="19" t="s">
        <v>248</v>
      </c>
      <c r="H63" s="20"/>
      <c r="I63" s="18">
        <v>0.105</v>
      </c>
      <c r="J63" s="19"/>
      <c r="K63" s="21">
        <v>44909</v>
      </c>
      <c r="L63" s="19"/>
      <c r="M63" s="22" t="s">
        <v>40</v>
      </c>
      <c r="N63" s="20"/>
      <c r="O63" s="18">
        <v>0.1</v>
      </c>
      <c r="P63" s="19"/>
      <c r="Q63" s="8">
        <f t="shared" si="3"/>
        <v>-49.999999999999908</v>
      </c>
      <c r="R63" s="9"/>
      <c r="S63" s="20"/>
      <c r="T63" s="23" t="s">
        <v>46</v>
      </c>
      <c r="U63" s="20"/>
      <c r="V63" s="24">
        <v>7.4300000000000005E-2</v>
      </c>
      <c r="W63" s="19"/>
      <c r="X63" s="24">
        <v>0.53869999999999996</v>
      </c>
      <c r="Y63" s="20"/>
      <c r="Z63" s="7">
        <f t="shared" si="4"/>
        <v>5.3870000000000001E-2</v>
      </c>
      <c r="AA63" s="11"/>
      <c r="AB63" s="11"/>
    </row>
    <row r="64" spans="1:28" x14ac:dyDescent="0.25">
      <c r="A64" s="19" t="s">
        <v>86</v>
      </c>
      <c r="B64" s="20"/>
      <c r="C64" s="19" t="s">
        <v>249</v>
      </c>
      <c r="D64" s="19"/>
      <c r="E64" s="19" t="s">
        <v>87</v>
      </c>
      <c r="F64" s="19"/>
      <c r="G64" s="19" t="s">
        <v>250</v>
      </c>
      <c r="H64" s="20"/>
      <c r="I64" s="18">
        <v>0.11</v>
      </c>
      <c r="J64" s="19"/>
      <c r="K64" s="21">
        <v>44910</v>
      </c>
      <c r="L64" s="19"/>
      <c r="M64" s="22" t="s">
        <v>32</v>
      </c>
      <c r="N64" s="20"/>
      <c r="O64" s="18">
        <v>0.1</v>
      </c>
      <c r="P64" s="19"/>
      <c r="Q64" s="8">
        <f t="shared" si="3"/>
        <v>-99.999999999999943</v>
      </c>
      <c r="R64" s="9"/>
      <c r="S64" s="20"/>
      <c r="T64" s="23" t="s">
        <v>46</v>
      </c>
      <c r="U64" s="20"/>
      <c r="V64" s="24">
        <v>7.2700000000000001E-2</v>
      </c>
      <c r="W64" s="19"/>
      <c r="X64" s="24">
        <v>0.52</v>
      </c>
      <c r="Y64" s="20"/>
      <c r="Z64" s="7">
        <f t="shared" si="4"/>
        <v>5.2000000000000005E-2</v>
      </c>
      <c r="AA64" s="11"/>
      <c r="AB64" s="11"/>
    </row>
    <row r="65" spans="1:28" x14ac:dyDescent="0.25">
      <c r="A65" s="19" t="s">
        <v>86</v>
      </c>
      <c r="B65" s="20"/>
      <c r="C65" s="19" t="s">
        <v>88</v>
      </c>
      <c r="D65" s="19"/>
      <c r="E65" s="19" t="s">
        <v>89</v>
      </c>
      <c r="F65" s="19"/>
      <c r="G65" s="19" t="s">
        <v>251</v>
      </c>
      <c r="H65" s="20"/>
      <c r="I65" s="18">
        <v>0.10550000000000001</v>
      </c>
      <c r="J65" s="19"/>
      <c r="K65" s="21">
        <v>44910</v>
      </c>
      <c r="L65" s="19"/>
      <c r="M65" s="22" t="s">
        <v>32</v>
      </c>
      <c r="N65" s="20"/>
      <c r="O65" s="18">
        <v>9.9499999999999991E-2</v>
      </c>
      <c r="P65" s="19"/>
      <c r="Q65" s="8">
        <f t="shared" si="3"/>
        <v>-60.000000000000192</v>
      </c>
      <c r="R65" s="9"/>
      <c r="S65" s="20"/>
      <c r="T65" s="23" t="s">
        <v>46</v>
      </c>
      <c r="U65" s="20"/>
      <c r="V65" s="24">
        <v>7.1800000000000003E-2</v>
      </c>
      <c r="W65" s="19"/>
      <c r="X65" s="24">
        <v>0.52</v>
      </c>
      <c r="Y65" s="20"/>
      <c r="Z65" s="7">
        <f t="shared" si="4"/>
        <v>5.1739999999999994E-2</v>
      </c>
      <c r="AA65" s="11"/>
      <c r="AB65" s="11"/>
    </row>
    <row r="66" spans="1:28" x14ac:dyDescent="0.25">
      <c r="A66" s="19" t="s">
        <v>86</v>
      </c>
      <c r="B66" s="20"/>
      <c r="C66" s="19" t="s">
        <v>90</v>
      </c>
      <c r="D66" s="19"/>
      <c r="E66" s="19" t="s">
        <v>91</v>
      </c>
      <c r="F66" s="19"/>
      <c r="G66" s="19" t="s">
        <v>252</v>
      </c>
      <c r="H66" s="20"/>
      <c r="I66" s="18">
        <v>0.10529999999999999</v>
      </c>
      <c r="J66" s="19"/>
      <c r="K66" s="21">
        <v>44910</v>
      </c>
      <c r="L66" s="19"/>
      <c r="M66" s="22" t="s">
        <v>32</v>
      </c>
      <c r="N66" s="20"/>
      <c r="O66" s="18">
        <v>0.10050000000000001</v>
      </c>
      <c r="P66" s="19"/>
      <c r="Q66" s="8">
        <f t="shared" si="3"/>
        <v>-47.999999999999851</v>
      </c>
      <c r="R66" s="9"/>
      <c r="S66" s="20"/>
      <c r="T66" s="23" t="s">
        <v>46</v>
      </c>
      <c r="U66" s="20"/>
      <c r="V66" s="24">
        <v>7.4399999999999994E-2</v>
      </c>
      <c r="W66" s="19"/>
      <c r="X66" s="24">
        <v>0.52</v>
      </c>
      <c r="Y66" s="20"/>
      <c r="Z66" s="7">
        <f t="shared" si="4"/>
        <v>5.2260000000000008E-2</v>
      </c>
      <c r="AA66" s="11"/>
      <c r="AB66" s="11"/>
    </row>
    <row r="67" spans="1:28" x14ac:dyDescent="0.25">
      <c r="A67" s="19" t="s">
        <v>124</v>
      </c>
      <c r="B67" s="20"/>
      <c r="C67" s="19" t="s">
        <v>100</v>
      </c>
      <c r="D67" s="19"/>
      <c r="E67" s="19" t="s">
        <v>95</v>
      </c>
      <c r="F67" s="19"/>
      <c r="G67" s="19" t="s">
        <v>253</v>
      </c>
      <c r="H67" s="20"/>
      <c r="I67" s="18">
        <v>9.8000000000000004E-2</v>
      </c>
      <c r="J67" s="19"/>
      <c r="K67" s="21">
        <v>44911</v>
      </c>
      <c r="L67" s="19"/>
      <c r="M67" s="22" t="s">
        <v>32</v>
      </c>
      <c r="N67" s="20"/>
      <c r="O67" s="18">
        <v>9.5000000000000001E-2</v>
      </c>
      <c r="P67" s="19"/>
      <c r="Q67" s="8">
        <f t="shared" si="3"/>
        <v>-30.000000000000028</v>
      </c>
      <c r="R67" s="9"/>
      <c r="S67" s="20"/>
      <c r="T67" s="23" t="s">
        <v>33</v>
      </c>
      <c r="U67" s="20"/>
      <c r="V67" s="24">
        <v>7.1099999999999997E-2</v>
      </c>
      <c r="W67" s="19"/>
      <c r="X67" s="24">
        <v>0.5</v>
      </c>
      <c r="Y67" s="20"/>
      <c r="Z67" s="7">
        <f t="shared" si="4"/>
        <v>4.7500000000000001E-2</v>
      </c>
      <c r="AA67" s="11"/>
      <c r="AB67" s="11"/>
    </row>
    <row r="68" spans="1:28" x14ac:dyDescent="0.25">
      <c r="A68" s="19" t="s">
        <v>82</v>
      </c>
      <c r="B68" s="20"/>
      <c r="C68" s="19" t="s">
        <v>83</v>
      </c>
      <c r="D68" s="19"/>
      <c r="E68" s="19" t="s">
        <v>84</v>
      </c>
      <c r="F68" s="19"/>
      <c r="G68" s="19" t="s">
        <v>254</v>
      </c>
      <c r="H68" s="20"/>
      <c r="I68" s="18">
        <v>0.11</v>
      </c>
      <c r="J68" s="19"/>
      <c r="K68" s="21">
        <v>44915</v>
      </c>
      <c r="L68" s="19"/>
      <c r="M68" s="22" t="s">
        <v>32</v>
      </c>
      <c r="N68" s="20"/>
      <c r="O68" s="18">
        <v>0.105</v>
      </c>
      <c r="P68" s="19"/>
      <c r="Q68" s="8">
        <f t="shared" si="3"/>
        <v>-50.000000000000043</v>
      </c>
      <c r="R68" s="9"/>
      <c r="S68" s="20"/>
      <c r="T68" s="23" t="s">
        <v>33</v>
      </c>
      <c r="U68" s="20"/>
      <c r="V68" s="24" t="s">
        <v>146</v>
      </c>
      <c r="W68" s="19"/>
      <c r="X68" s="24">
        <v>0.56000000000000005</v>
      </c>
      <c r="Y68" s="20"/>
      <c r="Z68" s="7">
        <f t="shared" si="4"/>
        <v>5.8800000000000005E-2</v>
      </c>
      <c r="AA68" s="11"/>
      <c r="AB68" s="11"/>
    </row>
    <row r="69" spans="1:28" x14ac:dyDescent="0.25">
      <c r="A69" s="19" t="s">
        <v>63</v>
      </c>
      <c r="B69" s="20"/>
      <c r="C69" s="19" t="s">
        <v>70</v>
      </c>
      <c r="D69" s="19"/>
      <c r="E69" s="19" t="s">
        <v>69</v>
      </c>
      <c r="F69" s="19"/>
      <c r="G69" s="19" t="s">
        <v>255</v>
      </c>
      <c r="H69" s="20"/>
      <c r="I69" s="18">
        <v>0.1</v>
      </c>
      <c r="J69" s="19"/>
      <c r="K69" s="21">
        <v>44917</v>
      </c>
      <c r="L69" s="19"/>
      <c r="M69" s="22" t="s">
        <v>32</v>
      </c>
      <c r="N69" s="20"/>
      <c r="O69" s="18">
        <v>9.8000000000000004E-2</v>
      </c>
      <c r="P69" s="19"/>
      <c r="Q69" s="8">
        <f t="shared" si="3"/>
        <v>-20.000000000000018</v>
      </c>
      <c r="R69" s="9"/>
      <c r="S69" s="20"/>
      <c r="T69" s="23" t="s">
        <v>46</v>
      </c>
      <c r="U69" s="20"/>
      <c r="V69" s="24" t="s">
        <v>34</v>
      </c>
      <c r="W69" s="19"/>
      <c r="X69" s="24">
        <v>0.53</v>
      </c>
      <c r="Y69" s="20"/>
      <c r="Z69" s="7">
        <f t="shared" si="4"/>
        <v>5.1940000000000007E-2</v>
      </c>
      <c r="AA69" s="11"/>
      <c r="AB69" s="11"/>
    </row>
    <row r="70" spans="1:28" x14ac:dyDescent="0.25">
      <c r="A70" s="70" t="s">
        <v>108</v>
      </c>
      <c r="B70" s="71"/>
      <c r="C70" s="70" t="s">
        <v>116</v>
      </c>
      <c r="D70" s="70"/>
      <c r="E70" s="70" t="s">
        <v>156</v>
      </c>
      <c r="F70" s="70"/>
      <c r="G70" s="70" t="s">
        <v>256</v>
      </c>
      <c r="H70" s="71"/>
      <c r="I70" s="72">
        <v>9.9000000000000005E-2</v>
      </c>
      <c r="J70" s="70"/>
      <c r="K70" s="73">
        <v>44917</v>
      </c>
      <c r="L70" s="70"/>
      <c r="M70" s="74" t="s">
        <v>32</v>
      </c>
      <c r="N70" s="71"/>
      <c r="O70" s="72">
        <v>9.4E-2</v>
      </c>
      <c r="P70" s="70"/>
      <c r="Q70" s="75">
        <f t="shared" si="3"/>
        <v>-50.000000000000043</v>
      </c>
      <c r="R70" s="76"/>
      <c r="S70" s="71"/>
      <c r="T70" s="77" t="s">
        <v>33</v>
      </c>
      <c r="U70" s="71"/>
      <c r="V70" s="78">
        <v>7.1599999999999997E-2</v>
      </c>
      <c r="W70" s="70"/>
      <c r="X70" s="78">
        <v>0.49</v>
      </c>
      <c r="Y70" s="71"/>
      <c r="Z70" s="79">
        <f t="shared" si="4"/>
        <v>4.6059999999999997E-2</v>
      </c>
      <c r="AA70" s="11"/>
      <c r="AB70" s="11"/>
    </row>
    <row r="71" spans="1:28" x14ac:dyDescent="0.25">
      <c r="A71" s="19" t="s">
        <v>93</v>
      </c>
      <c r="B71" s="20"/>
      <c r="C71" s="19" t="s">
        <v>94</v>
      </c>
      <c r="D71" s="19"/>
      <c r="E71" s="19" t="s">
        <v>95</v>
      </c>
      <c r="F71" s="19"/>
      <c r="G71" s="19" t="s">
        <v>257</v>
      </c>
      <c r="H71" s="20"/>
      <c r="I71" s="18">
        <v>0.10100000000000001</v>
      </c>
      <c r="J71" s="19" t="s">
        <v>258</v>
      </c>
      <c r="K71" s="21">
        <v>44922</v>
      </c>
      <c r="L71" s="19"/>
      <c r="M71" s="22" t="s">
        <v>32</v>
      </c>
      <c r="N71" s="20"/>
      <c r="O71" s="18">
        <v>9.5000000000000001E-2</v>
      </c>
      <c r="P71" s="19" t="s">
        <v>258</v>
      </c>
      <c r="Q71" s="8">
        <f t="shared" si="3"/>
        <v>-60.000000000000057</v>
      </c>
      <c r="R71" s="9"/>
      <c r="S71" s="20"/>
      <c r="T71" s="23" t="s">
        <v>46</v>
      </c>
      <c r="U71" s="20"/>
      <c r="V71" s="24">
        <v>6.9800000000000001E-2</v>
      </c>
      <c r="W71" s="19"/>
      <c r="X71" s="24">
        <v>0.52400000000000002</v>
      </c>
      <c r="Y71" s="20"/>
      <c r="Z71" s="7">
        <f t="shared" si="4"/>
        <v>4.9780000000000005E-2</v>
      </c>
      <c r="AA71" s="11"/>
      <c r="AB71" s="11"/>
    </row>
    <row r="72" spans="1:28" x14ac:dyDescent="0.25">
      <c r="A72" s="19" t="s">
        <v>63</v>
      </c>
      <c r="B72" s="20"/>
      <c r="C72" s="19" t="s">
        <v>68</v>
      </c>
      <c r="D72" s="19"/>
      <c r="E72" s="19" t="s">
        <v>69</v>
      </c>
      <c r="F72" s="19"/>
      <c r="G72" s="19" t="s">
        <v>259</v>
      </c>
      <c r="H72" s="20"/>
      <c r="I72" s="18">
        <v>0.1</v>
      </c>
      <c r="J72" s="19"/>
      <c r="K72" s="21">
        <v>44924</v>
      </c>
      <c r="L72" s="19"/>
      <c r="M72" s="22" t="s">
        <v>32</v>
      </c>
      <c r="N72" s="20"/>
      <c r="O72" s="18">
        <v>9.8000000000000004E-2</v>
      </c>
      <c r="P72" s="19"/>
      <c r="Q72" s="8">
        <f t="shared" si="3"/>
        <v>-20.000000000000018</v>
      </c>
      <c r="R72" s="9"/>
      <c r="S72" s="20"/>
      <c r="T72" s="23" t="s">
        <v>46</v>
      </c>
      <c r="U72" s="20"/>
      <c r="V72" s="24" t="s">
        <v>34</v>
      </c>
      <c r="W72" s="19"/>
      <c r="X72" s="24">
        <v>0.53</v>
      </c>
      <c r="Y72" s="20"/>
      <c r="Z72" s="7">
        <f t="shared" si="4"/>
        <v>5.1940000000000007E-2</v>
      </c>
      <c r="AA72" s="11"/>
      <c r="AB72" s="11"/>
    </row>
    <row r="73" spans="1:28" x14ac:dyDescent="0.25">
      <c r="A73" s="19" t="s">
        <v>43</v>
      </c>
      <c r="B73" s="20"/>
      <c r="C73" s="19" t="s">
        <v>115</v>
      </c>
      <c r="D73" s="19"/>
      <c r="E73" s="19" t="s">
        <v>114</v>
      </c>
      <c r="F73" s="19"/>
      <c r="G73" s="19" t="s">
        <v>260</v>
      </c>
      <c r="H73" s="20"/>
      <c r="I73" s="18">
        <v>0.1</v>
      </c>
      <c r="J73" s="19"/>
      <c r="K73" s="21">
        <v>44924</v>
      </c>
      <c r="L73" s="19"/>
      <c r="M73" s="22" t="s">
        <v>32</v>
      </c>
      <c r="N73" s="20"/>
      <c r="O73" s="18">
        <v>9.3000000000000013E-2</v>
      </c>
      <c r="P73" s="19"/>
      <c r="Q73" s="8">
        <f t="shared" si="3"/>
        <v>-69.999999999999929</v>
      </c>
      <c r="R73" s="9"/>
      <c r="S73" s="20"/>
      <c r="T73" s="23" t="s">
        <v>33</v>
      </c>
      <c r="U73" s="20"/>
      <c r="V73" s="17" t="s">
        <v>34</v>
      </c>
      <c r="W73" s="19"/>
      <c r="X73" s="17" t="s">
        <v>34</v>
      </c>
      <c r="Y73" s="20"/>
      <c r="Z73" s="17" t="s">
        <v>34</v>
      </c>
      <c r="AA73" s="11"/>
      <c r="AB73" s="11"/>
    </row>
    <row r="74" spans="1:28" x14ac:dyDescent="0.25">
      <c r="A74" s="19" t="s">
        <v>29</v>
      </c>
      <c r="B74" s="20"/>
      <c r="C74" s="19" t="s">
        <v>30</v>
      </c>
      <c r="D74" s="19"/>
      <c r="E74" s="19" t="s">
        <v>31</v>
      </c>
      <c r="F74" s="19"/>
      <c r="G74" s="19" t="s">
        <v>261</v>
      </c>
      <c r="H74" s="20"/>
      <c r="I74" s="18">
        <v>0.10249999999999999</v>
      </c>
      <c r="J74" s="19"/>
      <c r="K74" s="21">
        <v>44945</v>
      </c>
      <c r="L74" s="19"/>
      <c r="M74" s="22" t="s">
        <v>32</v>
      </c>
      <c r="N74" s="20"/>
      <c r="O74" s="18">
        <v>9.9000000000000005E-2</v>
      </c>
      <c r="P74" s="19"/>
      <c r="Q74" s="8">
        <f t="shared" si="3"/>
        <v>-34.999999999999893</v>
      </c>
      <c r="R74" s="9"/>
      <c r="S74" s="20"/>
      <c r="T74" s="23" t="s">
        <v>33</v>
      </c>
      <c r="U74" s="20"/>
      <c r="V74" s="17" t="s">
        <v>34</v>
      </c>
      <c r="W74" s="19"/>
      <c r="X74" s="17" t="s">
        <v>34</v>
      </c>
      <c r="Y74" s="20"/>
      <c r="Z74" s="17" t="s">
        <v>34</v>
      </c>
      <c r="AA74" s="11"/>
      <c r="AB74" s="11"/>
    </row>
    <row r="75" spans="1:28" x14ac:dyDescent="0.25">
      <c r="A75" s="19" t="s">
        <v>262</v>
      </c>
      <c r="B75" s="20"/>
      <c r="C75" s="19" t="s">
        <v>263</v>
      </c>
      <c r="D75" s="19"/>
      <c r="E75" s="19" t="s">
        <v>264</v>
      </c>
      <c r="F75" s="19"/>
      <c r="G75" s="19" t="s">
        <v>265</v>
      </c>
      <c r="H75" s="20"/>
      <c r="I75" s="18">
        <v>0.10249999999999999</v>
      </c>
      <c r="J75" s="19"/>
      <c r="K75" s="21">
        <v>44949</v>
      </c>
      <c r="L75" s="19"/>
      <c r="M75" s="22" t="s">
        <v>32</v>
      </c>
      <c r="N75" s="20"/>
      <c r="O75" s="18">
        <v>9.6500000000000002E-2</v>
      </c>
      <c r="P75" s="19"/>
      <c r="Q75" s="8">
        <f t="shared" si="3"/>
        <v>-59.999999999999915</v>
      </c>
      <c r="R75" s="9"/>
      <c r="S75" s="20"/>
      <c r="T75" s="23" t="s">
        <v>46</v>
      </c>
      <c r="U75" s="20"/>
      <c r="V75" s="17">
        <v>7.1199999999999999E-2</v>
      </c>
      <c r="W75" s="19"/>
      <c r="X75" s="17">
        <v>0.52500000000000002</v>
      </c>
      <c r="Y75" s="20"/>
      <c r="Z75" s="17">
        <f>X75*O75</f>
        <v>5.0662500000000006E-2</v>
      </c>
      <c r="AA75" s="11"/>
      <c r="AB75" s="11"/>
    </row>
    <row r="76" spans="1:28" x14ac:dyDescent="0.25">
      <c r="A76" s="19" t="s">
        <v>137</v>
      </c>
      <c r="B76" s="20"/>
      <c r="C76" s="19" t="s">
        <v>266</v>
      </c>
      <c r="D76" s="19"/>
      <c r="E76" s="19" t="s">
        <v>267</v>
      </c>
      <c r="F76" s="19"/>
      <c r="G76" s="19" t="s">
        <v>268</v>
      </c>
      <c r="H76" s="20"/>
      <c r="I76" s="18">
        <v>0.10300000000000001</v>
      </c>
      <c r="J76" s="19"/>
      <c r="K76" s="21">
        <v>44952</v>
      </c>
      <c r="L76" s="19"/>
      <c r="M76" s="22" t="s">
        <v>32</v>
      </c>
      <c r="N76" s="20"/>
      <c r="O76" s="18">
        <v>9.7500000000000003E-2</v>
      </c>
      <c r="P76" s="19"/>
      <c r="Q76" s="8">
        <f t="shared" si="3"/>
        <v>-55.00000000000005</v>
      </c>
      <c r="R76" s="9"/>
      <c r="S76" s="20"/>
      <c r="T76" s="23" t="s">
        <v>33</v>
      </c>
      <c r="U76" s="20"/>
      <c r="V76" s="17">
        <v>7.4800000000000005E-2</v>
      </c>
      <c r="W76" s="19"/>
      <c r="X76" s="17">
        <v>0.52</v>
      </c>
      <c r="Y76" s="20"/>
      <c r="Z76" s="17">
        <f>X76*O76</f>
        <v>5.0700000000000002E-2</v>
      </c>
      <c r="AA76" s="11"/>
      <c r="AB76" s="11"/>
    </row>
    <row r="77" spans="1:28" x14ac:dyDescent="0.25">
      <c r="A77" s="19" t="s">
        <v>51</v>
      </c>
      <c r="B77" s="20"/>
      <c r="C77" s="19" t="s">
        <v>55</v>
      </c>
      <c r="D77" s="19"/>
      <c r="E77" s="19" t="s">
        <v>56</v>
      </c>
      <c r="F77" s="19"/>
      <c r="G77" s="19" t="s">
        <v>269</v>
      </c>
      <c r="H77" s="20"/>
      <c r="I77" s="18">
        <v>0.10199999999999999</v>
      </c>
      <c r="J77" s="19"/>
      <c r="K77" s="21">
        <v>44966</v>
      </c>
      <c r="L77" s="19"/>
      <c r="M77" s="22" t="s">
        <v>32</v>
      </c>
      <c r="N77" s="20"/>
      <c r="O77" s="18">
        <v>9.6000000000000002E-2</v>
      </c>
      <c r="P77" s="19"/>
      <c r="Q77" s="8">
        <f t="shared" si="3"/>
        <v>-59.999999999999915</v>
      </c>
      <c r="R77" s="9"/>
      <c r="S77" s="20"/>
      <c r="T77" s="23" t="s">
        <v>33</v>
      </c>
      <c r="U77" s="20"/>
      <c r="V77" s="17">
        <v>6.83E-2</v>
      </c>
      <c r="W77" s="19"/>
      <c r="X77" s="17">
        <v>0.52429999999999999</v>
      </c>
      <c r="Y77" s="20"/>
      <c r="Z77" s="17">
        <f>X77*O77</f>
        <v>5.0332799999999997E-2</v>
      </c>
      <c r="AA77" s="11"/>
      <c r="AB77" s="11"/>
    </row>
    <row r="78" spans="1:28" x14ac:dyDescent="0.25">
      <c r="A78" s="19" t="s">
        <v>71</v>
      </c>
      <c r="B78" s="20"/>
      <c r="C78" s="19" t="s">
        <v>179</v>
      </c>
      <c r="D78" s="19"/>
      <c r="E78" s="19" t="s">
        <v>36</v>
      </c>
      <c r="F78" s="19"/>
      <c r="G78" s="19" t="s">
        <v>270</v>
      </c>
      <c r="H78" s="20"/>
      <c r="I78" s="18">
        <v>0.10349999999999999</v>
      </c>
      <c r="J78" s="19"/>
      <c r="K78" s="21">
        <v>44974</v>
      </c>
      <c r="L78" s="19"/>
      <c r="M78" s="22" t="s">
        <v>32</v>
      </c>
      <c r="N78" s="20"/>
      <c r="O78" s="18">
        <v>9.5000000000000001E-2</v>
      </c>
      <c r="P78" s="19"/>
      <c r="Q78" s="8">
        <f t="shared" si="3"/>
        <v>-84.999999999999943</v>
      </c>
      <c r="R78" s="9"/>
      <c r="S78" s="20"/>
      <c r="T78" s="23" t="s">
        <v>33</v>
      </c>
      <c r="U78" s="20"/>
      <c r="V78" s="17" t="s">
        <v>34</v>
      </c>
      <c r="W78" s="19"/>
      <c r="X78" s="17" t="s">
        <v>34</v>
      </c>
      <c r="Y78" s="20"/>
      <c r="Z78" s="17" t="s">
        <v>34</v>
      </c>
      <c r="AA78" s="11"/>
      <c r="AB78" s="11"/>
    </row>
    <row r="79" spans="1:28" x14ac:dyDescent="0.25">
      <c r="A79" s="19" t="s">
        <v>102</v>
      </c>
      <c r="B79" s="20"/>
      <c r="C79" s="19" t="s">
        <v>271</v>
      </c>
      <c r="D79" s="19"/>
      <c r="E79" s="19" t="s">
        <v>89</v>
      </c>
      <c r="F79" s="19"/>
      <c r="G79" s="19" t="s">
        <v>272</v>
      </c>
      <c r="H79" s="20"/>
      <c r="I79" s="18">
        <v>0.10300000000000001</v>
      </c>
      <c r="J79" s="19"/>
      <c r="K79" s="21">
        <v>44994</v>
      </c>
      <c r="L79" s="19"/>
      <c r="M79" s="22" t="s">
        <v>40</v>
      </c>
      <c r="N79" s="20"/>
      <c r="O79" s="18">
        <v>9.6999999999999989E-2</v>
      </c>
      <c r="P79" s="19"/>
      <c r="Q79" s="8">
        <f t="shared" si="3"/>
        <v>-60.000000000000192</v>
      </c>
      <c r="R79" s="9"/>
      <c r="S79" s="20"/>
      <c r="T79" s="23" t="s">
        <v>46</v>
      </c>
      <c r="U79" s="20"/>
      <c r="V79" s="17">
        <v>6.6500000000000004E-2</v>
      </c>
      <c r="W79" s="19"/>
      <c r="X79" s="17">
        <v>0.42499999999999999</v>
      </c>
      <c r="Y79" s="20"/>
      <c r="Z79" s="17">
        <f>X79*O79</f>
        <v>4.1224999999999991E-2</v>
      </c>
      <c r="AA79" s="11"/>
      <c r="AB79" s="11"/>
    </row>
    <row r="80" spans="1:28" x14ac:dyDescent="0.25">
      <c r="A80" s="19" t="s">
        <v>29</v>
      </c>
      <c r="B80" s="20"/>
      <c r="C80" s="19" t="s">
        <v>59</v>
      </c>
      <c r="D80" s="19"/>
      <c r="E80" s="19" t="s">
        <v>156</v>
      </c>
      <c r="F80" s="19"/>
      <c r="G80" s="19" t="s">
        <v>273</v>
      </c>
      <c r="H80" s="20"/>
      <c r="I80" s="18">
        <v>0.10800000000000001</v>
      </c>
      <c r="J80" s="19"/>
      <c r="K80" s="21">
        <v>45009</v>
      </c>
      <c r="L80" s="19"/>
      <c r="M80" s="22" t="s">
        <v>32</v>
      </c>
      <c r="N80" s="20"/>
      <c r="O80" s="18">
        <v>9.9000000000000005E-2</v>
      </c>
      <c r="P80" s="19"/>
      <c r="Q80" s="8">
        <f t="shared" si="3"/>
        <v>-90.000000000000085</v>
      </c>
      <c r="R80" s="9"/>
      <c r="S80" s="20"/>
      <c r="T80" s="23" t="s">
        <v>33</v>
      </c>
      <c r="U80" s="20"/>
      <c r="V80" s="17" t="s">
        <v>34</v>
      </c>
      <c r="W80" s="19"/>
      <c r="X80" s="17" t="s">
        <v>34</v>
      </c>
      <c r="Y80" s="20"/>
      <c r="Z80" s="17" t="s">
        <v>34</v>
      </c>
      <c r="AA80" s="11"/>
      <c r="AB80" s="11"/>
    </row>
    <row r="81" spans="1:28" x14ac:dyDescent="0.25">
      <c r="A81" s="19" t="s">
        <v>86</v>
      </c>
      <c r="B81" s="20"/>
      <c r="C81" s="19" t="s">
        <v>274</v>
      </c>
      <c r="D81" s="19"/>
      <c r="E81" s="19" t="s">
        <v>114</v>
      </c>
      <c r="F81" s="19"/>
      <c r="G81" s="19" t="s">
        <v>275</v>
      </c>
      <c r="H81" s="20"/>
      <c r="I81" s="18">
        <v>0.105</v>
      </c>
      <c r="J81" s="19"/>
      <c r="K81" s="21">
        <v>45043</v>
      </c>
      <c r="L81" s="19"/>
      <c r="M81" s="22" t="s">
        <v>32</v>
      </c>
      <c r="N81" s="20"/>
      <c r="O81" s="18">
        <v>0.1</v>
      </c>
      <c r="P81" s="19"/>
      <c r="Q81" s="8">
        <f t="shared" si="3"/>
        <v>-49.999999999999908</v>
      </c>
      <c r="R81" s="9"/>
      <c r="S81" s="20"/>
      <c r="T81" s="23" t="s">
        <v>33</v>
      </c>
      <c r="U81" s="20"/>
      <c r="V81" s="17" t="s">
        <v>34</v>
      </c>
      <c r="W81" s="19"/>
      <c r="X81" s="17">
        <v>0.52500000000000002</v>
      </c>
      <c r="Y81" s="20"/>
      <c r="Z81" s="17" t="s">
        <v>34</v>
      </c>
      <c r="AA81" s="11"/>
      <c r="AB81" s="11"/>
    </row>
    <row r="82" spans="1:28" x14ac:dyDescent="0.25">
      <c r="A82" s="19" t="s">
        <v>103</v>
      </c>
      <c r="B82" s="20"/>
      <c r="C82" s="19" t="s">
        <v>166</v>
      </c>
      <c r="D82" s="19"/>
      <c r="E82" s="19" t="s">
        <v>156</v>
      </c>
      <c r="F82" s="19"/>
      <c r="G82" s="19" t="s">
        <v>276</v>
      </c>
      <c r="H82" s="20"/>
      <c r="I82" s="18">
        <v>9.35E-2</v>
      </c>
      <c r="J82" s="19"/>
      <c r="K82" s="21">
        <v>45077</v>
      </c>
      <c r="L82" s="19"/>
      <c r="M82" s="22" t="s">
        <v>40</v>
      </c>
      <c r="N82" s="20"/>
      <c r="O82" s="18">
        <v>9.35E-2</v>
      </c>
      <c r="P82" s="19"/>
      <c r="Q82" s="8">
        <f t="shared" si="3"/>
        <v>0</v>
      </c>
      <c r="R82" s="9"/>
      <c r="S82" s="20"/>
      <c r="T82" s="23" t="s">
        <v>33</v>
      </c>
      <c r="U82" s="20"/>
      <c r="V82" s="17">
        <v>5.6899999999999999E-2</v>
      </c>
      <c r="W82" s="19"/>
      <c r="X82" s="17">
        <v>0.49</v>
      </c>
      <c r="Y82" s="20"/>
      <c r="Z82" s="17">
        <f t="shared" ref="Z82:Z108" si="5">X82*O82</f>
        <v>4.5815000000000002E-2</v>
      </c>
      <c r="AA82" s="11"/>
      <c r="AB82" s="11"/>
    </row>
    <row r="83" spans="1:28" x14ac:dyDescent="0.25">
      <c r="A83" s="19" t="s">
        <v>262</v>
      </c>
      <c r="B83" s="20"/>
      <c r="C83" s="19" t="s">
        <v>154</v>
      </c>
      <c r="D83" s="19"/>
      <c r="E83" s="19" t="s">
        <v>64</v>
      </c>
      <c r="F83" s="19"/>
      <c r="G83" s="19" t="s">
        <v>277</v>
      </c>
      <c r="H83" s="20"/>
      <c r="I83" s="18">
        <v>0.10199999999999999</v>
      </c>
      <c r="J83" s="19"/>
      <c r="K83" s="21">
        <v>45078</v>
      </c>
      <c r="L83" s="19"/>
      <c r="M83" s="22" t="s">
        <v>32</v>
      </c>
      <c r="N83" s="20"/>
      <c r="O83" s="18">
        <v>9.2499999999999999E-2</v>
      </c>
      <c r="P83" s="19"/>
      <c r="Q83" s="8">
        <f t="shared" si="3"/>
        <v>-94.999999999999943</v>
      </c>
      <c r="R83" s="9"/>
      <c r="S83" s="20"/>
      <c r="T83" s="23" t="s">
        <v>146</v>
      </c>
      <c r="U83" s="20"/>
      <c r="V83" s="17" t="s">
        <v>146</v>
      </c>
      <c r="W83" s="19"/>
      <c r="X83" s="17">
        <v>0.52500000000000002</v>
      </c>
      <c r="Y83" s="20"/>
      <c r="Z83" s="17">
        <f t="shared" si="5"/>
        <v>4.8562500000000001E-2</v>
      </c>
      <c r="AA83" s="11"/>
      <c r="AB83" s="11"/>
    </row>
    <row r="84" spans="1:28" x14ac:dyDescent="0.25">
      <c r="A84" s="19" t="s">
        <v>103</v>
      </c>
      <c r="B84" s="20"/>
      <c r="C84" s="19" t="s">
        <v>104</v>
      </c>
      <c r="D84" s="19"/>
      <c r="E84" s="19" t="s">
        <v>105</v>
      </c>
      <c r="F84" s="19"/>
      <c r="G84" s="19" t="s">
        <v>278</v>
      </c>
      <c r="H84" s="20"/>
      <c r="I84" s="18">
        <v>0.10199999999999999</v>
      </c>
      <c r="J84" s="19"/>
      <c r="K84" s="21">
        <v>45083</v>
      </c>
      <c r="L84" s="19"/>
      <c r="M84" s="22" t="s">
        <v>40</v>
      </c>
      <c r="N84" s="20"/>
      <c r="O84" s="18">
        <v>9.35E-2</v>
      </c>
      <c r="P84" s="19"/>
      <c r="Q84" s="8">
        <f t="shared" si="3"/>
        <v>-84.999999999999943</v>
      </c>
      <c r="R84" s="9"/>
      <c r="S84" s="20"/>
      <c r="T84" s="23" t="s">
        <v>279</v>
      </c>
      <c r="U84" s="20"/>
      <c r="V84" s="17" t="s">
        <v>146</v>
      </c>
      <c r="W84" s="19"/>
      <c r="X84" s="17">
        <v>0.5</v>
      </c>
      <c r="Y84" s="20"/>
      <c r="Z84" s="17">
        <f t="shared" si="5"/>
        <v>4.675E-2</v>
      </c>
      <c r="AA84" s="11"/>
      <c r="AB84" s="11"/>
    </row>
    <row r="85" spans="1:28" x14ac:dyDescent="0.25">
      <c r="A85" s="19" t="s">
        <v>153</v>
      </c>
      <c r="B85" s="20"/>
      <c r="C85" s="19" t="s">
        <v>280</v>
      </c>
      <c r="D85" s="19"/>
      <c r="E85" s="19" t="s">
        <v>281</v>
      </c>
      <c r="F85" s="19"/>
      <c r="G85" s="19" t="s">
        <v>282</v>
      </c>
      <c r="H85" s="20"/>
      <c r="I85" s="18">
        <v>0.105</v>
      </c>
      <c r="J85" s="19"/>
      <c r="K85" s="21">
        <v>45083</v>
      </c>
      <c r="L85" s="19"/>
      <c r="M85" s="22" t="s">
        <v>32</v>
      </c>
      <c r="N85" s="20"/>
      <c r="O85" s="18">
        <v>9.7500000000000003E-2</v>
      </c>
      <c r="P85" s="19"/>
      <c r="Q85" s="8">
        <f t="shared" si="3"/>
        <v>-74.999999999999929</v>
      </c>
      <c r="R85" s="9"/>
      <c r="S85" s="20"/>
      <c r="T85" s="23" t="s">
        <v>33</v>
      </c>
      <c r="U85" s="20"/>
      <c r="V85" s="17">
        <v>7.1300000000000002E-2</v>
      </c>
      <c r="W85" s="19"/>
      <c r="X85" s="17">
        <v>0.5081</v>
      </c>
      <c r="Y85" s="20"/>
      <c r="Z85" s="17">
        <f t="shared" si="5"/>
        <v>4.953975E-2</v>
      </c>
      <c r="AA85" s="11"/>
      <c r="AB85" s="11"/>
    </row>
    <row r="86" spans="1:28" x14ac:dyDescent="0.25">
      <c r="A86" s="19" t="s">
        <v>41</v>
      </c>
      <c r="B86" s="20"/>
      <c r="C86" s="19" t="s">
        <v>97</v>
      </c>
      <c r="D86" s="19"/>
      <c r="E86" s="19" t="s">
        <v>42</v>
      </c>
      <c r="F86" s="19"/>
      <c r="G86" s="19" t="s">
        <v>283</v>
      </c>
      <c r="H86" s="20"/>
      <c r="I86" s="18">
        <v>0.1</v>
      </c>
      <c r="J86" s="19"/>
      <c r="K86" s="21">
        <v>45127</v>
      </c>
      <c r="L86" s="19"/>
      <c r="M86" s="22" t="s">
        <v>40</v>
      </c>
      <c r="N86" s="20"/>
      <c r="O86" s="18">
        <v>9.2499999999999999E-2</v>
      </c>
      <c r="P86" s="19"/>
      <c r="Q86" s="8">
        <f t="shared" si="3"/>
        <v>-75.000000000000071</v>
      </c>
      <c r="R86" s="9"/>
      <c r="S86" s="20"/>
      <c r="T86" s="23" t="s">
        <v>33</v>
      </c>
      <c r="U86" s="20"/>
      <c r="V86" s="17">
        <v>6.7500000000000004E-2</v>
      </c>
      <c r="W86" s="19"/>
      <c r="X86" s="17">
        <v>0.48</v>
      </c>
      <c r="Y86" s="20"/>
      <c r="Z86" s="17">
        <f t="shared" si="5"/>
        <v>4.4399999999999995E-2</v>
      </c>
      <c r="AA86" s="11"/>
      <c r="AB86" s="11"/>
    </row>
    <row r="87" spans="1:28" x14ac:dyDescent="0.25">
      <c r="A87" s="19" t="s">
        <v>78</v>
      </c>
      <c r="B87" s="20"/>
      <c r="C87" s="19" t="s">
        <v>284</v>
      </c>
      <c r="D87" s="19"/>
      <c r="E87" s="19" t="s">
        <v>79</v>
      </c>
      <c r="F87" s="19"/>
      <c r="G87" s="58">
        <v>45772</v>
      </c>
      <c r="H87" s="20"/>
      <c r="I87" s="18">
        <v>0.104</v>
      </c>
      <c r="J87" s="19"/>
      <c r="K87" s="21">
        <v>45140</v>
      </c>
      <c r="L87" s="19"/>
      <c r="M87" s="22" t="s">
        <v>32</v>
      </c>
      <c r="N87" s="20"/>
      <c r="O87" s="18">
        <v>9.8000000000000004E-2</v>
      </c>
      <c r="P87" s="19"/>
      <c r="Q87" s="8">
        <f t="shared" si="3"/>
        <v>-59.999999999999915</v>
      </c>
      <c r="R87" s="9"/>
      <c r="S87" s="20"/>
      <c r="T87" s="23" t="s">
        <v>33</v>
      </c>
      <c r="U87" s="20"/>
      <c r="V87" s="17">
        <v>6.8000000000000005E-2</v>
      </c>
      <c r="W87" s="19"/>
      <c r="X87" s="17">
        <v>0.51629999999999998</v>
      </c>
      <c r="Y87" s="20"/>
      <c r="Z87" s="17">
        <f t="shared" si="5"/>
        <v>5.0597400000000001E-2</v>
      </c>
      <c r="AA87" s="11"/>
      <c r="AB87" s="11"/>
    </row>
    <row r="88" spans="1:28" x14ac:dyDescent="0.25">
      <c r="A88" s="19" t="s">
        <v>102</v>
      </c>
      <c r="B88" s="20"/>
      <c r="C88" s="19" t="s">
        <v>285</v>
      </c>
      <c r="D88" s="19"/>
      <c r="E88" s="19" t="s">
        <v>72</v>
      </c>
      <c r="F88" s="19"/>
      <c r="G88" s="19" t="s">
        <v>286</v>
      </c>
      <c r="H88" s="20"/>
      <c r="I88" s="18">
        <v>0.108</v>
      </c>
      <c r="J88" s="19"/>
      <c r="K88" s="21">
        <v>45141</v>
      </c>
      <c r="L88" s="19"/>
      <c r="M88" s="22" t="s">
        <v>32</v>
      </c>
      <c r="N88" s="20"/>
      <c r="O88" s="18">
        <v>9.5699999999999993E-2</v>
      </c>
      <c r="P88" s="19"/>
      <c r="Q88" s="8">
        <f t="shared" si="3"/>
        <v>-123.00000000000006</v>
      </c>
      <c r="R88" s="9"/>
      <c r="S88" s="20"/>
      <c r="T88" s="23" t="s">
        <v>33</v>
      </c>
      <c r="U88" s="20"/>
      <c r="V88" s="17">
        <v>6.6100000000000006E-2</v>
      </c>
      <c r="W88" s="19"/>
      <c r="X88" s="17">
        <v>0.5121</v>
      </c>
      <c r="Y88" s="20"/>
      <c r="Z88" s="17">
        <f t="shared" si="5"/>
        <v>4.9007969999999998E-2</v>
      </c>
      <c r="AA88" s="11"/>
      <c r="AB88" s="11"/>
    </row>
    <row r="89" spans="1:28" x14ac:dyDescent="0.25">
      <c r="A89" s="19" t="s">
        <v>106</v>
      </c>
      <c r="B89" s="20"/>
      <c r="C89" s="19" t="s">
        <v>55</v>
      </c>
      <c r="D89" s="19"/>
      <c r="E89" s="19" t="s">
        <v>56</v>
      </c>
      <c r="F89" s="19"/>
      <c r="G89" s="19" t="s">
        <v>287</v>
      </c>
      <c r="H89" s="20"/>
      <c r="I89" s="18">
        <v>0.104</v>
      </c>
      <c r="J89" s="19"/>
      <c r="K89" s="21">
        <v>45156</v>
      </c>
      <c r="L89" s="19"/>
      <c r="M89" s="22" t="s">
        <v>32</v>
      </c>
      <c r="N89" s="20"/>
      <c r="O89" s="18">
        <v>9.8000000000000004E-2</v>
      </c>
      <c r="P89" s="19"/>
      <c r="Q89" s="8">
        <f t="shared" si="3"/>
        <v>-59.999999999999915</v>
      </c>
      <c r="R89" s="9"/>
      <c r="S89" s="20"/>
      <c r="T89" s="23" t="s">
        <v>33</v>
      </c>
      <c r="U89" s="20"/>
      <c r="V89" s="17">
        <v>7.0699999999999999E-2</v>
      </c>
      <c r="W89" s="19"/>
      <c r="X89" s="17">
        <v>0.53</v>
      </c>
      <c r="Y89" s="20"/>
      <c r="Z89" s="17">
        <f t="shared" si="5"/>
        <v>5.1940000000000007E-2</v>
      </c>
      <c r="AA89" s="11"/>
      <c r="AB89" s="11"/>
    </row>
    <row r="90" spans="1:28" x14ac:dyDescent="0.25">
      <c r="A90" s="19" t="s">
        <v>288</v>
      </c>
      <c r="B90" s="20"/>
      <c r="C90" s="19" t="s">
        <v>289</v>
      </c>
      <c r="D90" s="19"/>
      <c r="E90" s="19" t="s">
        <v>105</v>
      </c>
      <c r="F90" s="19"/>
      <c r="G90" s="19" t="s">
        <v>290</v>
      </c>
      <c r="H90" s="20"/>
      <c r="I90" s="18">
        <v>0.10199999999999999</v>
      </c>
      <c r="J90" s="19"/>
      <c r="K90" s="21">
        <v>45163</v>
      </c>
      <c r="L90" s="19"/>
      <c r="M90" s="22" t="s">
        <v>40</v>
      </c>
      <c r="N90" s="20"/>
      <c r="O90" s="18">
        <v>8.6300000000000002E-2</v>
      </c>
      <c r="P90" s="19"/>
      <c r="Q90" s="8">
        <f t="shared" si="3"/>
        <v>-156.99999999999991</v>
      </c>
      <c r="R90" s="9"/>
      <c r="S90" s="20"/>
      <c r="T90" s="23" t="s">
        <v>46</v>
      </c>
      <c r="U90" s="20"/>
      <c r="V90" s="17">
        <v>6.4799999999999996E-2</v>
      </c>
      <c r="W90" s="19"/>
      <c r="X90" s="17">
        <v>0.5</v>
      </c>
      <c r="Y90" s="20"/>
      <c r="Z90" s="17">
        <f t="shared" si="5"/>
        <v>4.3150000000000001E-2</v>
      </c>
      <c r="AA90" s="11"/>
      <c r="AB90" s="11"/>
    </row>
    <row r="91" spans="1:28" x14ac:dyDescent="0.25">
      <c r="A91" s="19" t="s">
        <v>125</v>
      </c>
      <c r="B91" s="20"/>
      <c r="C91" s="19" t="s">
        <v>126</v>
      </c>
      <c r="D91" s="19"/>
      <c r="E91" s="19" t="s">
        <v>127</v>
      </c>
      <c r="F91" s="19"/>
      <c r="G91" s="19" t="s">
        <v>291</v>
      </c>
      <c r="H91" s="20"/>
      <c r="I91" s="18">
        <v>9.7500000000000003E-2</v>
      </c>
      <c r="J91" s="19"/>
      <c r="K91" s="21">
        <v>45163</v>
      </c>
      <c r="L91" s="19"/>
      <c r="M91" s="22" t="s">
        <v>32</v>
      </c>
      <c r="N91" s="20"/>
      <c r="O91" s="18">
        <v>9.5500000000000002E-2</v>
      </c>
      <c r="P91" s="19"/>
      <c r="Q91" s="8">
        <f t="shared" si="3"/>
        <v>-20.000000000000018</v>
      </c>
      <c r="R91" s="9"/>
      <c r="S91" s="20"/>
      <c r="T91" s="23" t="s">
        <v>146</v>
      </c>
      <c r="U91" s="20"/>
      <c r="V91" s="17">
        <v>6.93E-2</v>
      </c>
      <c r="W91" s="19"/>
      <c r="X91" s="17">
        <v>0.54320000000000002</v>
      </c>
      <c r="Y91" s="20"/>
      <c r="Z91" s="17">
        <f t="shared" si="5"/>
        <v>5.1875600000000001E-2</v>
      </c>
      <c r="AA91" s="11"/>
      <c r="AB91" s="11"/>
    </row>
    <row r="92" spans="1:28" x14ac:dyDescent="0.25">
      <c r="A92" s="19" t="s">
        <v>61</v>
      </c>
      <c r="B92" s="20"/>
      <c r="C92" s="19" t="s">
        <v>62</v>
      </c>
      <c r="D92" s="19"/>
      <c r="E92" s="19" t="s">
        <v>156</v>
      </c>
      <c r="F92" s="19"/>
      <c r="G92" s="19" t="s">
        <v>292</v>
      </c>
      <c r="H92" s="20"/>
      <c r="I92" s="18">
        <v>9.5799999999999996E-2</v>
      </c>
      <c r="J92" s="19"/>
      <c r="K92" s="21">
        <v>45161</v>
      </c>
      <c r="L92" s="19"/>
      <c r="M92" s="22" t="s">
        <v>32</v>
      </c>
      <c r="N92" s="20"/>
      <c r="O92" s="18">
        <v>9.5799999999999996E-2</v>
      </c>
      <c r="P92" s="19"/>
      <c r="Q92" s="8">
        <f t="shared" si="3"/>
        <v>0</v>
      </c>
      <c r="R92" s="9"/>
      <c r="S92" s="20"/>
      <c r="T92" s="23" t="s">
        <v>46</v>
      </c>
      <c r="U92" s="20"/>
      <c r="V92" s="17">
        <v>6.88E-2</v>
      </c>
      <c r="W92" s="19"/>
      <c r="X92" s="17">
        <v>0.49880000000000002</v>
      </c>
      <c r="Y92" s="20"/>
      <c r="Z92" s="17">
        <f t="shared" si="5"/>
        <v>4.7785040000000001E-2</v>
      </c>
      <c r="AA92" s="11"/>
      <c r="AB92" s="11"/>
    </row>
    <row r="93" spans="1:28" x14ac:dyDescent="0.25">
      <c r="A93" s="19" t="s">
        <v>73</v>
      </c>
      <c r="B93" s="20"/>
      <c r="C93" s="19" t="s">
        <v>74</v>
      </c>
      <c r="D93" s="19"/>
      <c r="E93" s="19" t="s">
        <v>75</v>
      </c>
      <c r="F93" s="19"/>
      <c r="G93" s="19" t="s">
        <v>293</v>
      </c>
      <c r="H93" s="20"/>
      <c r="I93" s="18">
        <v>0.10249999999999999</v>
      </c>
      <c r="J93" s="19"/>
      <c r="K93" s="21">
        <v>45169</v>
      </c>
      <c r="L93" s="19"/>
      <c r="M93" s="22" t="s">
        <v>32</v>
      </c>
      <c r="N93" s="20"/>
      <c r="O93" s="18">
        <v>9.4E-2</v>
      </c>
      <c r="P93" s="19"/>
      <c r="Q93" s="8">
        <f t="shared" si="3"/>
        <v>-84.999999999999943</v>
      </c>
      <c r="R93" s="9"/>
      <c r="S93" s="20"/>
      <c r="T93" s="23" t="s">
        <v>33</v>
      </c>
      <c r="U93" s="20"/>
      <c r="V93" s="17">
        <v>7.1900000000000006E-2</v>
      </c>
      <c r="W93" s="19"/>
      <c r="X93" s="17">
        <v>0.5</v>
      </c>
      <c r="Y93" s="20"/>
      <c r="Z93" s="17">
        <f t="shared" si="5"/>
        <v>4.7E-2</v>
      </c>
      <c r="AA93" s="11"/>
      <c r="AB93" s="11"/>
    </row>
    <row r="94" spans="1:28" x14ac:dyDescent="0.25">
      <c r="A94" s="19" t="s">
        <v>294</v>
      </c>
      <c r="B94" s="20"/>
      <c r="C94" s="19" t="s">
        <v>295</v>
      </c>
      <c r="D94" s="19"/>
      <c r="E94" s="19" t="s">
        <v>75</v>
      </c>
      <c r="F94" s="19"/>
      <c r="G94" s="19" t="s">
        <v>296</v>
      </c>
      <c r="H94" s="20"/>
      <c r="I94" s="18">
        <v>0.13449999999999998</v>
      </c>
      <c r="J94" s="19"/>
      <c r="K94" s="21">
        <v>45169</v>
      </c>
      <c r="L94" s="19"/>
      <c r="M94" s="22" t="s">
        <v>32</v>
      </c>
      <c r="N94" s="20"/>
      <c r="O94" s="18">
        <v>0.11449999999999999</v>
      </c>
      <c r="P94" s="19"/>
      <c r="Q94" s="8">
        <f t="shared" si="3"/>
        <v>-199.99999999999989</v>
      </c>
      <c r="R94" s="9"/>
      <c r="S94" s="20"/>
      <c r="T94" s="23" t="s">
        <v>46</v>
      </c>
      <c r="U94" s="20"/>
      <c r="V94" s="17">
        <v>8.7899999999999992E-2</v>
      </c>
      <c r="W94" s="19"/>
      <c r="X94" s="17">
        <v>0.60699999999999998</v>
      </c>
      <c r="Y94" s="20"/>
      <c r="Z94" s="17">
        <f t="shared" si="5"/>
        <v>6.9501499999999994E-2</v>
      </c>
      <c r="AA94" s="11"/>
      <c r="AB94" s="11"/>
    </row>
    <row r="95" spans="1:28" x14ac:dyDescent="0.25">
      <c r="A95" s="19" t="s">
        <v>101</v>
      </c>
      <c r="B95" s="19"/>
      <c r="C95" s="19" t="s">
        <v>194</v>
      </c>
      <c r="D95" s="19"/>
      <c r="E95" s="19" t="s">
        <v>64</v>
      </c>
      <c r="F95" s="19"/>
      <c r="G95" s="19" t="s">
        <v>297</v>
      </c>
      <c r="H95" s="19"/>
      <c r="I95" s="18">
        <v>0.10249999999999999</v>
      </c>
      <c r="J95" s="19"/>
      <c r="K95" s="21">
        <v>45175</v>
      </c>
      <c r="L95" s="19"/>
      <c r="M95" s="22" t="s">
        <v>32</v>
      </c>
      <c r="N95" s="19"/>
      <c r="O95" s="18">
        <v>9.3000000000000013E-2</v>
      </c>
      <c r="P95" s="19"/>
      <c r="Q95" s="8">
        <f t="shared" si="3"/>
        <v>-94.999999999999801</v>
      </c>
      <c r="R95" s="53"/>
      <c r="S95" s="19"/>
      <c r="T95" s="54" t="s">
        <v>33</v>
      </c>
      <c r="U95" s="19"/>
      <c r="V95" s="24">
        <v>6.9500000000000006E-2</v>
      </c>
      <c r="W95" s="19"/>
      <c r="X95" s="24">
        <v>0.55689999999999995</v>
      </c>
      <c r="Y95" s="19"/>
      <c r="Z95" s="24">
        <f t="shared" si="5"/>
        <v>5.1791700000000003E-2</v>
      </c>
      <c r="AA95" s="11"/>
      <c r="AB95" s="11"/>
    </row>
    <row r="96" spans="1:28" x14ac:dyDescent="0.25">
      <c r="A96" s="19" t="s">
        <v>66</v>
      </c>
      <c r="B96" s="19"/>
      <c r="C96" s="19" t="s">
        <v>280</v>
      </c>
      <c r="D96" s="19"/>
      <c r="E96" s="19" t="s">
        <v>281</v>
      </c>
      <c r="F96" s="19"/>
      <c r="G96" s="19" t="s">
        <v>298</v>
      </c>
      <c r="H96" s="19"/>
      <c r="I96" s="18">
        <v>0.105</v>
      </c>
      <c r="J96" s="19"/>
      <c r="K96" s="21">
        <v>45190</v>
      </c>
      <c r="L96" s="19"/>
      <c r="M96" s="22" t="s">
        <v>32</v>
      </c>
      <c r="N96" s="19"/>
      <c r="O96" s="18">
        <v>9.6500000000000002E-2</v>
      </c>
      <c r="P96" s="19"/>
      <c r="Q96" s="8">
        <f t="shared" si="3"/>
        <v>-84.999999999999943</v>
      </c>
      <c r="R96" s="53"/>
      <c r="S96" s="19"/>
      <c r="T96" s="54" t="s">
        <v>33</v>
      </c>
      <c r="U96" s="19"/>
      <c r="V96" s="24">
        <v>7.5300000000000006E-2</v>
      </c>
      <c r="W96" s="19"/>
      <c r="X96" s="24">
        <v>0.503</v>
      </c>
      <c r="Y96" s="19"/>
      <c r="Z96" s="24">
        <f t="shared" si="5"/>
        <v>4.8539499999999999E-2</v>
      </c>
      <c r="AA96" s="11"/>
      <c r="AB96" s="11"/>
    </row>
    <row r="97" spans="1:28" x14ac:dyDescent="0.25">
      <c r="A97" s="19" t="s">
        <v>47</v>
      </c>
      <c r="B97" s="19"/>
      <c r="C97" s="19" t="s">
        <v>110</v>
      </c>
      <c r="D97" s="19"/>
      <c r="E97" s="19" t="s">
        <v>56</v>
      </c>
      <c r="F97" s="19"/>
      <c r="G97" s="19" t="s">
        <v>299</v>
      </c>
      <c r="H97" s="19"/>
      <c r="I97" s="18">
        <v>0.10349999999999999</v>
      </c>
      <c r="J97" s="19"/>
      <c r="K97" s="21">
        <v>45211</v>
      </c>
      <c r="L97" s="19"/>
      <c r="M97" s="22" t="s">
        <v>32</v>
      </c>
      <c r="N97" s="19"/>
      <c r="O97" s="18">
        <v>9.7500000000000003E-2</v>
      </c>
      <c r="P97" s="19"/>
      <c r="Q97" s="8">
        <f t="shared" si="3"/>
        <v>-59.999999999999915</v>
      </c>
      <c r="R97" s="53"/>
      <c r="S97" s="19"/>
      <c r="T97" s="54" t="s">
        <v>46</v>
      </c>
      <c r="U97" s="19"/>
      <c r="V97" s="24" t="s">
        <v>146</v>
      </c>
      <c r="W97" s="19"/>
      <c r="X97" s="24">
        <v>0.52149999999999996</v>
      </c>
      <c r="Y97" s="19"/>
      <c r="Z97" s="24">
        <f t="shared" si="5"/>
        <v>5.0846249999999996E-2</v>
      </c>
      <c r="AA97" s="11"/>
      <c r="AB97" s="11"/>
    </row>
    <row r="98" spans="1:28" x14ac:dyDescent="0.25">
      <c r="A98" s="19" t="s">
        <v>41</v>
      </c>
      <c r="B98" s="19"/>
      <c r="C98" s="19" t="s">
        <v>300</v>
      </c>
      <c r="D98" s="19"/>
      <c r="E98" s="19" t="s">
        <v>105</v>
      </c>
      <c r="F98" s="19"/>
      <c r="G98" s="19" t="s">
        <v>301</v>
      </c>
      <c r="H98" s="19"/>
      <c r="I98" s="18">
        <v>0.10199999999999999</v>
      </c>
      <c r="J98" s="19"/>
      <c r="K98" s="21">
        <v>45211</v>
      </c>
      <c r="L98" s="19"/>
      <c r="M98" s="22" t="s">
        <v>40</v>
      </c>
      <c r="N98" s="19"/>
      <c r="O98" s="18">
        <v>9.1999999999999998E-2</v>
      </c>
      <c r="P98" s="19"/>
      <c r="Q98" s="8">
        <f t="shared" ref="Q98:Q128" si="6">(O98-I98)*10000</f>
        <v>-99.999999999999943</v>
      </c>
      <c r="R98" s="53"/>
      <c r="S98" s="19"/>
      <c r="T98" s="54" t="s">
        <v>33</v>
      </c>
      <c r="U98" s="19"/>
      <c r="V98" s="24">
        <v>6.4000000000000001E-2</v>
      </c>
      <c r="W98" s="19"/>
      <c r="X98" s="24">
        <v>0.48</v>
      </c>
      <c r="Y98" s="19"/>
      <c r="Z98" s="24">
        <f t="shared" si="5"/>
        <v>4.4159999999999998E-2</v>
      </c>
      <c r="AA98" s="11"/>
      <c r="AB98" s="11"/>
    </row>
    <row r="99" spans="1:28" x14ac:dyDescent="0.25">
      <c r="A99" s="19" t="s">
        <v>41</v>
      </c>
      <c r="B99" s="19"/>
      <c r="C99" s="19" t="s">
        <v>302</v>
      </c>
      <c r="D99" s="19"/>
      <c r="E99" s="19" t="s">
        <v>105</v>
      </c>
      <c r="F99" s="19"/>
      <c r="G99" s="19" t="s">
        <v>303</v>
      </c>
      <c r="H99" s="19"/>
      <c r="I99" s="18">
        <v>0.10199999999999999</v>
      </c>
      <c r="J99" s="19"/>
      <c r="K99" s="21">
        <v>45211</v>
      </c>
      <c r="L99" s="19"/>
      <c r="M99" s="22" t="s">
        <v>40</v>
      </c>
      <c r="N99" s="19"/>
      <c r="O99" s="18">
        <v>9.1999999999999998E-2</v>
      </c>
      <c r="P99" s="19"/>
      <c r="Q99" s="8">
        <f t="shared" si="6"/>
        <v>-99.999999999999943</v>
      </c>
      <c r="R99" s="53"/>
      <c r="S99" s="19"/>
      <c r="T99" s="54" t="s">
        <v>33</v>
      </c>
      <c r="U99" s="19"/>
      <c r="V99" s="24">
        <v>6.6699999999999995E-2</v>
      </c>
      <c r="W99" s="19"/>
      <c r="X99" s="24">
        <v>0.48</v>
      </c>
      <c r="Y99" s="19"/>
      <c r="Z99" s="24">
        <f t="shared" si="5"/>
        <v>4.4159999999999998E-2</v>
      </c>
      <c r="AA99" s="11"/>
      <c r="AB99" s="11"/>
    </row>
    <row r="100" spans="1:28" x14ac:dyDescent="0.25">
      <c r="A100" s="19" t="s">
        <v>44</v>
      </c>
      <c r="B100" s="19"/>
      <c r="C100" s="19" t="s">
        <v>304</v>
      </c>
      <c r="D100" s="19"/>
      <c r="E100" s="19" t="s">
        <v>45</v>
      </c>
      <c r="F100" s="19"/>
      <c r="G100" s="19" t="s">
        <v>305</v>
      </c>
      <c r="H100" s="19"/>
      <c r="I100" s="18">
        <v>0.106</v>
      </c>
      <c r="J100" s="19"/>
      <c r="K100" s="21">
        <v>45217</v>
      </c>
      <c r="L100" s="19"/>
      <c r="M100" s="22" t="s">
        <v>40</v>
      </c>
      <c r="N100" s="19"/>
      <c r="O100" s="18">
        <v>9.5000000000000001E-2</v>
      </c>
      <c r="P100" s="19"/>
      <c r="Q100" s="8">
        <f t="shared" si="6"/>
        <v>-109.99999999999996</v>
      </c>
      <c r="R100" s="53"/>
      <c r="S100" s="19"/>
      <c r="T100" s="54" t="s">
        <v>46</v>
      </c>
      <c r="U100" s="19"/>
      <c r="V100" s="24">
        <v>6.9199999999999998E-2</v>
      </c>
      <c r="W100" s="19"/>
      <c r="X100" s="24">
        <v>0.53</v>
      </c>
      <c r="Y100" s="19"/>
      <c r="Z100" s="24">
        <f t="shared" si="5"/>
        <v>5.0350000000000006E-2</v>
      </c>
      <c r="AA100" s="11"/>
      <c r="AB100" s="11"/>
    </row>
    <row r="101" spans="1:28" x14ac:dyDescent="0.25">
      <c r="A101" s="19" t="s">
        <v>111</v>
      </c>
      <c r="B101" s="19"/>
      <c r="C101" s="19" t="s">
        <v>306</v>
      </c>
      <c r="D101" s="19"/>
      <c r="E101" s="19" t="s">
        <v>64</v>
      </c>
      <c r="F101" s="19"/>
      <c r="G101" s="19" t="s">
        <v>307</v>
      </c>
      <c r="H101" s="19"/>
      <c r="I101" s="18">
        <v>0.1075</v>
      </c>
      <c r="J101" s="19"/>
      <c r="K101" s="21">
        <v>45218</v>
      </c>
      <c r="L101" s="19"/>
      <c r="M101" s="22" t="s">
        <v>32</v>
      </c>
      <c r="N101" s="19"/>
      <c r="O101" s="18">
        <v>9.5000000000000001E-2</v>
      </c>
      <c r="P101" s="19"/>
      <c r="Q101" s="8">
        <f t="shared" si="6"/>
        <v>-124.99999999999997</v>
      </c>
      <c r="R101" s="53"/>
      <c r="S101" s="19"/>
      <c r="T101" s="54" t="s">
        <v>33</v>
      </c>
      <c r="U101" s="19"/>
      <c r="V101" s="24">
        <v>7.17E-2</v>
      </c>
      <c r="W101" s="19"/>
      <c r="X101" s="24">
        <v>0.54700000000000004</v>
      </c>
      <c r="Y101" s="19"/>
      <c r="Z101" s="24">
        <f t="shared" si="5"/>
        <v>5.1965000000000004E-2</v>
      </c>
      <c r="AA101" s="11"/>
      <c r="AB101" s="11"/>
    </row>
    <row r="102" spans="1:28" x14ac:dyDescent="0.25">
      <c r="A102" s="19" t="s">
        <v>66</v>
      </c>
      <c r="B102" s="19"/>
      <c r="C102" s="19" t="s">
        <v>308</v>
      </c>
      <c r="D102" s="19"/>
      <c r="E102" s="19" t="s">
        <v>67</v>
      </c>
      <c r="F102" s="19"/>
      <c r="G102" s="19" t="s">
        <v>309</v>
      </c>
      <c r="H102" s="19"/>
      <c r="I102" s="18">
        <v>0.10539999999999999</v>
      </c>
      <c r="J102" s="19"/>
      <c r="K102" s="21">
        <v>45224</v>
      </c>
      <c r="L102" s="19"/>
      <c r="M102" s="22" t="s">
        <v>32</v>
      </c>
      <c r="N102" s="19"/>
      <c r="O102" s="18">
        <v>9.6500000000000002E-2</v>
      </c>
      <c r="P102" s="19"/>
      <c r="Q102" s="8">
        <f t="shared" si="6"/>
        <v>-88.999999999999915</v>
      </c>
      <c r="R102" s="53"/>
      <c r="S102" s="19"/>
      <c r="T102" s="54" t="s">
        <v>33</v>
      </c>
      <c r="U102" s="19"/>
      <c r="V102" s="24">
        <v>6.7199999999999996E-2</v>
      </c>
      <c r="W102" s="19"/>
      <c r="X102" s="24">
        <v>0.48020000000000002</v>
      </c>
      <c r="Y102" s="19"/>
      <c r="Z102" s="24">
        <f t="shared" si="5"/>
        <v>4.63393E-2</v>
      </c>
      <c r="AA102" s="11"/>
      <c r="AB102" s="11"/>
    </row>
    <row r="103" spans="1:28" x14ac:dyDescent="0.25">
      <c r="A103" s="19" t="s">
        <v>43</v>
      </c>
      <c r="B103" s="19"/>
      <c r="C103" s="19" t="s">
        <v>189</v>
      </c>
      <c r="D103" s="19"/>
      <c r="E103" s="19" t="s">
        <v>36</v>
      </c>
      <c r="F103" s="19"/>
      <c r="G103" s="19" t="s">
        <v>310</v>
      </c>
      <c r="H103" s="19"/>
      <c r="I103" s="18">
        <v>0.10400000000000001</v>
      </c>
      <c r="J103" s="19"/>
      <c r="K103" s="21">
        <v>45233</v>
      </c>
      <c r="L103" s="19"/>
      <c r="M103" s="22" t="s">
        <v>32</v>
      </c>
      <c r="N103" s="19"/>
      <c r="O103" s="18">
        <v>9.3000000000000013E-2</v>
      </c>
      <c r="P103" s="19"/>
      <c r="Q103" s="8">
        <f t="shared" si="6"/>
        <v>-109.99999999999996</v>
      </c>
      <c r="R103" s="53"/>
      <c r="S103" s="19"/>
      <c r="T103" s="54" t="s">
        <v>146</v>
      </c>
      <c r="U103" s="19"/>
      <c r="V103" s="24">
        <v>6.6900000000000001E-2</v>
      </c>
      <c r="W103" s="19"/>
      <c r="X103" s="24">
        <v>0.52</v>
      </c>
      <c r="Y103" s="19"/>
      <c r="Z103" s="24">
        <f t="shared" si="5"/>
        <v>4.8360000000000007E-2</v>
      </c>
      <c r="AA103" s="11"/>
      <c r="AB103" s="11"/>
    </row>
    <row r="104" spans="1:28" x14ac:dyDescent="0.25">
      <c r="A104" s="19" t="s">
        <v>63</v>
      </c>
      <c r="B104" s="19"/>
      <c r="C104" s="19" t="s">
        <v>120</v>
      </c>
      <c r="D104" s="19"/>
      <c r="E104" s="19" t="s">
        <v>121</v>
      </c>
      <c r="F104" s="19"/>
      <c r="G104" s="19" t="s">
        <v>311</v>
      </c>
      <c r="H104" s="19"/>
      <c r="I104" s="18">
        <v>9.8000000000000004E-2</v>
      </c>
      <c r="J104" s="19"/>
      <c r="K104" s="21">
        <v>45233</v>
      </c>
      <c r="L104" s="19"/>
      <c r="M104" s="22" t="s">
        <v>32</v>
      </c>
      <c r="N104" s="19"/>
      <c r="O104" s="18">
        <v>9.6999999999999989E-2</v>
      </c>
      <c r="P104" s="19"/>
      <c r="Q104" s="8">
        <f t="shared" si="6"/>
        <v>-10.000000000000147</v>
      </c>
      <c r="R104" s="53"/>
      <c r="S104" s="19"/>
      <c r="T104" s="54" t="s">
        <v>46</v>
      </c>
      <c r="U104" s="19"/>
      <c r="V104" s="24" t="s">
        <v>146</v>
      </c>
      <c r="W104" s="19"/>
      <c r="X104" s="24">
        <v>0.55000000000000004</v>
      </c>
      <c r="Y104" s="19"/>
      <c r="Z104" s="24">
        <f t="shared" si="5"/>
        <v>5.3350000000000002E-2</v>
      </c>
      <c r="AA104" s="11"/>
      <c r="AB104" s="11"/>
    </row>
    <row r="105" spans="1:28" x14ac:dyDescent="0.25">
      <c r="A105" s="19" t="s">
        <v>63</v>
      </c>
      <c r="B105" s="19"/>
      <c r="C105" s="19" t="s">
        <v>154</v>
      </c>
      <c r="D105" s="19"/>
      <c r="E105" s="19" t="s">
        <v>64</v>
      </c>
      <c r="F105" s="19"/>
      <c r="G105" s="19" t="s">
        <v>312</v>
      </c>
      <c r="H105" s="19"/>
      <c r="I105" s="18">
        <v>0.10249999999999999</v>
      </c>
      <c r="J105" s="19"/>
      <c r="K105" s="21">
        <v>45239</v>
      </c>
      <c r="L105" s="19"/>
      <c r="M105" s="22" t="s">
        <v>32</v>
      </c>
      <c r="N105" s="19"/>
      <c r="O105" s="18">
        <v>9.8000000000000004E-2</v>
      </c>
      <c r="P105" s="19"/>
      <c r="Q105" s="8">
        <f t="shared" si="6"/>
        <v>-44.999999999999901</v>
      </c>
      <c r="R105" s="53"/>
      <c r="S105" s="19"/>
      <c r="T105" s="54" t="s">
        <v>46</v>
      </c>
      <c r="U105" s="19"/>
      <c r="V105" s="24" t="s">
        <v>146</v>
      </c>
      <c r="W105" s="19"/>
      <c r="X105" s="24">
        <v>0.52500000000000002</v>
      </c>
      <c r="Y105" s="19"/>
      <c r="Z105" s="24">
        <f t="shared" si="5"/>
        <v>5.1450000000000003E-2</v>
      </c>
      <c r="AA105" s="11"/>
      <c r="AB105" s="11"/>
    </row>
    <row r="106" spans="1:28" x14ac:dyDescent="0.25">
      <c r="A106" s="19" t="s">
        <v>63</v>
      </c>
      <c r="B106" s="19"/>
      <c r="C106" s="19" t="s">
        <v>128</v>
      </c>
      <c r="D106" s="19"/>
      <c r="E106" s="19" t="s">
        <v>96</v>
      </c>
      <c r="F106" s="19"/>
      <c r="G106" s="19" t="s">
        <v>313</v>
      </c>
      <c r="H106" s="19"/>
      <c r="I106" s="18">
        <v>0.1</v>
      </c>
      <c r="J106" s="19"/>
      <c r="K106" s="21">
        <v>45239</v>
      </c>
      <c r="L106" s="19"/>
      <c r="M106" s="22" t="s">
        <v>32</v>
      </c>
      <c r="N106" s="19"/>
      <c r="O106" s="18">
        <v>9.8000000000000004E-2</v>
      </c>
      <c r="P106" s="19"/>
      <c r="Q106" s="8">
        <f t="shared" si="6"/>
        <v>-20.000000000000018</v>
      </c>
      <c r="R106" s="53"/>
      <c r="S106" s="19"/>
      <c r="T106" s="54" t="s">
        <v>46</v>
      </c>
      <c r="U106" s="19"/>
      <c r="V106" s="24" t="s">
        <v>146</v>
      </c>
      <c r="W106" s="19"/>
      <c r="X106" s="24">
        <v>0.54</v>
      </c>
      <c r="Y106" s="19"/>
      <c r="Z106" s="24">
        <f t="shared" si="5"/>
        <v>5.2920000000000009E-2</v>
      </c>
      <c r="AA106" s="11"/>
      <c r="AB106" s="11"/>
    </row>
    <row r="107" spans="1:28" x14ac:dyDescent="0.25">
      <c r="A107" s="19" t="s">
        <v>37</v>
      </c>
      <c r="B107" s="19"/>
      <c r="C107" s="19" t="s">
        <v>38</v>
      </c>
      <c r="D107" s="19"/>
      <c r="E107" s="19" t="s">
        <v>39</v>
      </c>
      <c r="F107" s="19"/>
      <c r="G107" s="19" t="s">
        <v>314</v>
      </c>
      <c r="H107" s="19"/>
      <c r="I107" s="18">
        <v>0.105</v>
      </c>
      <c r="J107" s="19"/>
      <c r="K107" s="21">
        <v>45247</v>
      </c>
      <c r="L107" s="19"/>
      <c r="M107" s="22" t="s">
        <v>40</v>
      </c>
      <c r="N107" s="19"/>
      <c r="O107" s="18">
        <v>9.6000000000000002E-2</v>
      </c>
      <c r="P107" s="19"/>
      <c r="Q107" s="8">
        <f t="shared" si="6"/>
        <v>-89.999999999999943</v>
      </c>
      <c r="R107" s="53"/>
      <c r="S107" s="19"/>
      <c r="T107" s="54" t="s">
        <v>33</v>
      </c>
      <c r="U107" s="19"/>
      <c r="V107" s="24">
        <v>6.5799999999999997E-2</v>
      </c>
      <c r="W107" s="19"/>
      <c r="X107" s="24">
        <v>0.502</v>
      </c>
      <c r="Y107" s="19"/>
      <c r="Z107" s="24">
        <f t="shared" si="5"/>
        <v>4.8191999999999999E-2</v>
      </c>
      <c r="AA107" s="11"/>
      <c r="AB107" s="11"/>
    </row>
    <row r="108" spans="1:28" x14ac:dyDescent="0.25">
      <c r="A108" s="19" t="s">
        <v>137</v>
      </c>
      <c r="B108" s="1"/>
      <c r="C108" s="19" t="s">
        <v>100</v>
      </c>
      <c r="D108" s="1"/>
      <c r="E108" s="19" t="s">
        <v>95</v>
      </c>
      <c r="F108" s="1"/>
      <c r="G108" s="19" t="s">
        <v>315</v>
      </c>
      <c r="H108" s="1"/>
      <c r="I108" s="18">
        <v>0.1</v>
      </c>
      <c r="K108" s="39">
        <v>45258</v>
      </c>
      <c r="L108" s="1"/>
      <c r="M108" s="22" t="s">
        <v>32</v>
      </c>
      <c r="N108" s="1"/>
      <c r="O108" s="18">
        <v>9.35E-2</v>
      </c>
      <c r="Q108" s="8">
        <f t="shared" si="6"/>
        <v>-65.000000000000057</v>
      </c>
      <c r="R108" s="1"/>
      <c r="S108" s="1"/>
      <c r="T108" s="54" t="s">
        <v>46</v>
      </c>
      <c r="U108" s="1"/>
      <c r="V108" s="55">
        <v>7.1300000000000002E-2</v>
      </c>
      <c r="W108" s="1"/>
      <c r="X108" s="24">
        <v>0.4899</v>
      </c>
      <c r="Y108" s="1"/>
      <c r="Z108" s="24">
        <f t="shared" si="5"/>
        <v>4.5805650000000003E-2</v>
      </c>
      <c r="AA108" s="11"/>
      <c r="AB108" s="11"/>
    </row>
    <row r="109" spans="1:28" x14ac:dyDescent="0.25">
      <c r="A109" s="19" t="s">
        <v>29</v>
      </c>
      <c r="B109" s="1"/>
      <c r="C109" s="19" t="s">
        <v>53</v>
      </c>
      <c r="D109" s="1"/>
      <c r="E109" s="19" t="s">
        <v>54</v>
      </c>
      <c r="F109" s="1"/>
      <c r="G109" s="19" t="s">
        <v>316</v>
      </c>
      <c r="H109" s="1"/>
      <c r="I109" s="18">
        <v>0.10249999999999999</v>
      </c>
      <c r="K109" s="39">
        <v>45261</v>
      </c>
      <c r="L109" s="1"/>
      <c r="M109" s="22" t="s">
        <v>32</v>
      </c>
      <c r="N109" s="1"/>
      <c r="O109" s="18">
        <v>9.9000000000000005E-2</v>
      </c>
      <c r="Q109" s="8">
        <f t="shared" si="6"/>
        <v>-34.999999999999893</v>
      </c>
      <c r="R109" s="1"/>
      <c r="S109" s="1"/>
      <c r="T109" s="54" t="s">
        <v>46</v>
      </c>
      <c r="U109" s="1"/>
      <c r="V109" s="55">
        <v>5.5599999999999997E-2</v>
      </c>
      <c r="W109" s="1"/>
      <c r="X109" s="24" t="s">
        <v>146</v>
      </c>
      <c r="Y109" s="1"/>
      <c r="Z109" s="24" t="s">
        <v>146</v>
      </c>
      <c r="AA109" s="11"/>
      <c r="AB109" s="11"/>
    </row>
    <row r="110" spans="1:28" x14ac:dyDescent="0.25">
      <c r="A110" s="19" t="s">
        <v>86</v>
      </c>
      <c r="B110" s="1"/>
      <c r="C110" s="19" t="s">
        <v>100</v>
      </c>
      <c r="D110" s="1"/>
      <c r="E110" s="19" t="s">
        <v>95</v>
      </c>
      <c r="F110" s="1"/>
      <c r="G110" s="19" t="s">
        <v>317</v>
      </c>
      <c r="H110" s="1"/>
      <c r="I110" s="18">
        <v>0.105</v>
      </c>
      <c r="K110" s="39">
        <v>45274</v>
      </c>
      <c r="L110" s="1"/>
      <c r="M110" s="22" t="s">
        <v>32</v>
      </c>
      <c r="N110" s="1"/>
      <c r="O110" s="18">
        <v>0.1</v>
      </c>
      <c r="Q110" s="8">
        <f t="shared" si="6"/>
        <v>-49.999999999999908</v>
      </c>
      <c r="R110" s="1"/>
      <c r="S110" s="1"/>
      <c r="T110" s="54" t="s">
        <v>46</v>
      </c>
      <c r="U110" s="1"/>
      <c r="V110" s="55">
        <v>7.3400000000000007E-2</v>
      </c>
      <c r="W110" s="1"/>
      <c r="X110" s="24">
        <v>0.52249999999999996</v>
      </c>
      <c r="Y110" s="1"/>
      <c r="Z110" s="24">
        <f t="shared" ref="Z110:Z116" si="7">X110*O110</f>
        <v>5.2249999999999998E-2</v>
      </c>
      <c r="AA110" s="11"/>
      <c r="AB110" s="11"/>
    </row>
    <row r="111" spans="1:28" x14ac:dyDescent="0.25">
      <c r="A111" s="19" t="s">
        <v>76</v>
      </c>
      <c r="B111" s="1"/>
      <c r="C111" s="19" t="s">
        <v>80</v>
      </c>
      <c r="D111" s="1"/>
      <c r="E111" s="19" t="s">
        <v>81</v>
      </c>
      <c r="F111" s="1"/>
      <c r="G111" s="19" t="s">
        <v>318</v>
      </c>
      <c r="H111" s="1"/>
      <c r="I111" s="18">
        <v>0.105</v>
      </c>
      <c r="K111" s="39">
        <v>45274</v>
      </c>
      <c r="L111" s="1"/>
      <c r="M111" s="22" t="s">
        <v>40</v>
      </c>
      <c r="N111" s="1"/>
      <c r="O111" s="18">
        <v>8.72E-2</v>
      </c>
      <c r="Q111" s="8">
        <f t="shared" si="6"/>
        <v>-177.99999999999997</v>
      </c>
      <c r="R111" s="1"/>
      <c r="S111" s="1"/>
      <c r="T111" s="54" t="s">
        <v>46</v>
      </c>
      <c r="U111" s="1"/>
      <c r="V111" s="55">
        <v>6.59E-2</v>
      </c>
      <c r="W111" s="1"/>
      <c r="X111" s="24">
        <v>0.5</v>
      </c>
      <c r="Y111" s="1"/>
      <c r="Z111" s="24">
        <f t="shared" si="7"/>
        <v>4.36E-2</v>
      </c>
      <c r="AA111" s="11"/>
      <c r="AB111" s="11"/>
    </row>
    <row r="112" spans="1:28" x14ac:dyDescent="0.25">
      <c r="A112" s="19" t="s">
        <v>76</v>
      </c>
      <c r="B112" s="1"/>
      <c r="C112" s="19" t="s">
        <v>77</v>
      </c>
      <c r="D112" s="1"/>
      <c r="E112" s="19" t="s">
        <v>39</v>
      </c>
      <c r="F112" s="1"/>
      <c r="G112" s="19" t="s">
        <v>319</v>
      </c>
      <c r="H112" s="1"/>
      <c r="I112" s="18">
        <v>0.1065</v>
      </c>
      <c r="K112" s="39">
        <v>45274</v>
      </c>
      <c r="L112" s="1"/>
      <c r="M112" s="22" t="s">
        <v>40</v>
      </c>
      <c r="N112" s="1"/>
      <c r="O112" s="18">
        <v>8.9099999999999999E-2</v>
      </c>
      <c r="Q112" s="8">
        <f t="shared" si="6"/>
        <v>-174</v>
      </c>
      <c r="R112" s="1"/>
      <c r="S112" s="1"/>
      <c r="T112" s="54" t="s">
        <v>46</v>
      </c>
      <c r="U112" s="1"/>
      <c r="V112" s="55">
        <v>6.7000000000000004E-2</v>
      </c>
      <c r="W112" s="1"/>
      <c r="X112" s="24">
        <v>0.5</v>
      </c>
      <c r="Y112" s="1"/>
      <c r="Z112" s="24">
        <f t="shared" si="7"/>
        <v>4.4549999999999999E-2</v>
      </c>
      <c r="AA112" s="11"/>
      <c r="AB112" s="11"/>
    </row>
    <row r="113" spans="1:28" x14ac:dyDescent="0.25">
      <c r="A113" s="19" t="s">
        <v>44</v>
      </c>
      <c r="B113" s="1"/>
      <c r="C113" s="19" t="s">
        <v>85</v>
      </c>
      <c r="D113" s="1"/>
      <c r="E113" s="19" t="s">
        <v>39</v>
      </c>
      <c r="F113" s="1"/>
      <c r="G113" s="19" t="s">
        <v>320</v>
      </c>
      <c r="H113" s="1"/>
      <c r="I113" s="18">
        <v>0.104</v>
      </c>
      <c r="K113" s="39">
        <v>45274</v>
      </c>
      <c r="L113" s="1"/>
      <c r="M113" s="22" t="s">
        <v>40</v>
      </c>
      <c r="N113" s="1"/>
      <c r="O113" s="18">
        <v>9.5000000000000001E-2</v>
      </c>
      <c r="Q113" s="8">
        <f t="shared" si="6"/>
        <v>-89.999999999999943</v>
      </c>
      <c r="R113" s="1"/>
      <c r="S113" s="1"/>
      <c r="T113" s="54" t="s">
        <v>46</v>
      </c>
      <c r="U113" s="1"/>
      <c r="V113" s="55">
        <v>6.7699999999999996E-2</v>
      </c>
      <c r="W113" s="1"/>
      <c r="X113" s="24">
        <v>0.52</v>
      </c>
      <c r="Y113" s="1"/>
      <c r="Z113" s="24">
        <f t="shared" si="7"/>
        <v>4.9399999999999999E-2</v>
      </c>
      <c r="AA113" s="11"/>
      <c r="AB113" s="11"/>
    </row>
    <row r="114" spans="1:28" x14ac:dyDescent="0.25">
      <c r="A114" s="19" t="s">
        <v>106</v>
      </c>
      <c r="B114" s="1"/>
      <c r="C114" s="19" t="s">
        <v>52</v>
      </c>
      <c r="D114" s="1"/>
      <c r="E114" s="19" t="s">
        <v>56</v>
      </c>
      <c r="F114" s="1"/>
      <c r="G114" s="19" t="s">
        <v>321</v>
      </c>
      <c r="H114" s="1"/>
      <c r="I114" s="18">
        <v>0.104</v>
      </c>
      <c r="K114" s="39">
        <v>45275</v>
      </c>
      <c r="L114" s="1"/>
      <c r="M114" s="22" t="s">
        <v>32</v>
      </c>
      <c r="N114" s="1"/>
      <c r="O114" s="18">
        <v>0.10100000000000001</v>
      </c>
      <c r="Q114" s="8">
        <f t="shared" si="6"/>
        <v>-29.999999999999886</v>
      </c>
      <c r="R114" s="1"/>
      <c r="S114" s="1"/>
      <c r="T114" s="54" t="s">
        <v>46</v>
      </c>
      <c r="U114" s="1"/>
      <c r="V114" s="55">
        <v>7.4999999999999997E-2</v>
      </c>
      <c r="W114" s="1"/>
      <c r="X114" s="24">
        <v>0.53</v>
      </c>
      <c r="Y114" s="1"/>
      <c r="Z114" s="24">
        <f t="shared" si="7"/>
        <v>5.3530000000000008E-2</v>
      </c>
      <c r="AA114" s="11"/>
      <c r="AB114" s="11"/>
    </row>
    <row r="115" spans="1:28" x14ac:dyDescent="0.25">
      <c r="A115" s="19" t="s">
        <v>124</v>
      </c>
      <c r="B115" s="1"/>
      <c r="C115" s="19" t="s">
        <v>211</v>
      </c>
      <c r="D115" s="1"/>
      <c r="E115" s="19" t="s">
        <v>212</v>
      </c>
      <c r="F115" s="1"/>
      <c r="G115" s="19" t="s">
        <v>322</v>
      </c>
      <c r="H115" s="1"/>
      <c r="I115" s="18">
        <v>9.8000000000000004E-2</v>
      </c>
      <c r="K115" s="39">
        <v>45278</v>
      </c>
      <c r="L115" s="1"/>
      <c r="M115" s="22" t="s">
        <v>32</v>
      </c>
      <c r="N115" s="1"/>
      <c r="O115" s="18">
        <v>9.5000000000000001E-2</v>
      </c>
      <c r="Q115" s="8">
        <f t="shared" si="6"/>
        <v>-30.000000000000028</v>
      </c>
      <c r="R115" s="1"/>
      <c r="S115" s="1"/>
      <c r="T115" s="54" t="s">
        <v>33</v>
      </c>
      <c r="U115" s="1"/>
      <c r="V115" s="55">
        <v>6.9900000000000004E-2</v>
      </c>
      <c r="W115" s="1"/>
      <c r="X115" s="24">
        <v>0.5</v>
      </c>
      <c r="Y115" s="1"/>
      <c r="Z115" s="24">
        <f t="shared" si="7"/>
        <v>4.7500000000000001E-2</v>
      </c>
      <c r="AA115" s="11"/>
      <c r="AB115" s="11"/>
    </row>
    <row r="116" spans="1:28" x14ac:dyDescent="0.25">
      <c r="A116" s="19" t="s">
        <v>93</v>
      </c>
      <c r="B116" s="1"/>
      <c r="C116" s="19" t="s">
        <v>122</v>
      </c>
      <c r="D116" s="1"/>
      <c r="E116" s="19" t="s">
        <v>95</v>
      </c>
      <c r="F116" s="1"/>
      <c r="G116" s="19" t="s">
        <v>323</v>
      </c>
      <c r="H116" s="1"/>
      <c r="I116" s="18">
        <v>0.1026</v>
      </c>
      <c r="K116" s="39">
        <v>45286</v>
      </c>
      <c r="L116" s="1"/>
      <c r="M116" s="22" t="s">
        <v>32</v>
      </c>
      <c r="N116" s="1"/>
      <c r="O116" s="18">
        <v>9.5200000000000007E-2</v>
      </c>
      <c r="Q116" s="8">
        <f t="shared" si="6"/>
        <v>-73.999999999999901</v>
      </c>
      <c r="R116" s="1"/>
      <c r="S116" s="1"/>
      <c r="T116" s="54" t="s">
        <v>46</v>
      </c>
      <c r="U116" s="1"/>
      <c r="V116" s="55">
        <v>7.4399999999999994E-2</v>
      </c>
      <c r="W116" s="1"/>
      <c r="X116" s="24">
        <v>0.5272</v>
      </c>
      <c r="Y116" s="1"/>
      <c r="Z116" s="24">
        <f t="shared" si="7"/>
        <v>5.0189440000000002E-2</v>
      </c>
      <c r="AA116" s="11"/>
      <c r="AB116" s="11"/>
    </row>
    <row r="117" spans="1:28" x14ac:dyDescent="0.25">
      <c r="A117" s="19" t="s">
        <v>73</v>
      </c>
      <c r="B117" s="1"/>
      <c r="C117" s="19" t="s">
        <v>324</v>
      </c>
      <c r="D117" s="1"/>
      <c r="E117" s="19" t="s">
        <v>325</v>
      </c>
      <c r="F117" s="1"/>
      <c r="G117" s="19" t="s">
        <v>326</v>
      </c>
      <c r="H117" s="1"/>
      <c r="I117" s="18">
        <v>0.104</v>
      </c>
      <c r="K117" s="39">
        <v>45288</v>
      </c>
      <c r="L117" s="1"/>
      <c r="M117" s="22" t="s">
        <v>32</v>
      </c>
      <c r="N117" s="1"/>
      <c r="O117" s="18">
        <v>9.6000000000000002E-2</v>
      </c>
      <c r="Q117" s="8">
        <f t="shared" si="6"/>
        <v>-79.999999999999929</v>
      </c>
      <c r="R117" s="1"/>
      <c r="S117" s="1"/>
      <c r="T117" s="54" t="s">
        <v>33</v>
      </c>
      <c r="U117" s="1"/>
      <c r="V117" s="55">
        <v>7.2499999999999995E-2</v>
      </c>
      <c r="W117" s="1"/>
      <c r="X117" s="24" t="s">
        <v>146</v>
      </c>
      <c r="Y117" s="1"/>
      <c r="Z117" s="24" t="s">
        <v>146</v>
      </c>
      <c r="AA117" s="11"/>
      <c r="AB117" s="11"/>
    </row>
    <row r="118" spans="1:28" x14ac:dyDescent="0.25">
      <c r="A118" s="19" t="s">
        <v>111</v>
      </c>
      <c r="B118" s="1"/>
      <c r="C118" s="19" t="s">
        <v>327</v>
      </c>
      <c r="D118" s="1"/>
      <c r="E118" s="19" t="s">
        <v>328</v>
      </c>
      <c r="F118" s="1"/>
      <c r="G118" s="19" t="s">
        <v>329</v>
      </c>
      <c r="H118" s="1"/>
      <c r="I118" s="18">
        <v>0.10249999999999999</v>
      </c>
      <c r="K118" s="39">
        <v>45294</v>
      </c>
      <c r="L118" s="1"/>
      <c r="M118" s="22" t="s">
        <v>32</v>
      </c>
      <c r="N118" s="1"/>
      <c r="O118" s="18">
        <v>9.2499999999999999E-2</v>
      </c>
      <c r="Q118" s="8">
        <f t="shared" si="6"/>
        <v>-99.999999999999943</v>
      </c>
      <c r="R118" s="1"/>
      <c r="S118" s="1"/>
      <c r="T118" s="54" t="s">
        <v>46</v>
      </c>
      <c r="U118" s="1"/>
      <c r="V118" s="55">
        <v>6.4699999999999994E-2</v>
      </c>
      <c r="W118" s="1"/>
      <c r="X118" s="24">
        <v>0.49609999999999999</v>
      </c>
      <c r="Y118" s="1"/>
      <c r="Z118" s="24">
        <f>X118*O118</f>
        <v>4.5889249999999999E-2</v>
      </c>
      <c r="AA118" s="11"/>
      <c r="AB118" s="11"/>
    </row>
    <row r="119" spans="1:28" x14ac:dyDescent="0.25">
      <c r="A119" s="19" t="s">
        <v>47</v>
      </c>
      <c r="B119" s="1"/>
      <c r="C119" s="19" t="s">
        <v>221</v>
      </c>
      <c r="D119" s="1"/>
      <c r="E119" s="19" t="s">
        <v>36</v>
      </c>
      <c r="F119" s="1"/>
      <c r="G119" s="19" t="s">
        <v>330</v>
      </c>
      <c r="H119" s="1"/>
      <c r="I119" s="18">
        <v>9.9000000000000005E-2</v>
      </c>
      <c r="K119" s="39">
        <v>45310</v>
      </c>
      <c r="L119" s="1"/>
      <c r="M119" s="22" t="s">
        <v>32</v>
      </c>
      <c r="N119" s="1"/>
      <c r="O119" s="18">
        <v>9.7500000000000003E-2</v>
      </c>
      <c r="Q119" s="8">
        <f t="shared" si="6"/>
        <v>-15.000000000000014</v>
      </c>
      <c r="R119" s="1"/>
      <c r="S119" s="1"/>
      <c r="T119" s="54" t="s">
        <v>33</v>
      </c>
      <c r="U119" s="1"/>
      <c r="V119" s="56" t="s">
        <v>146</v>
      </c>
      <c r="W119" s="1"/>
      <c r="X119" s="24">
        <v>0.41249999999999998</v>
      </c>
      <c r="Y119" s="1"/>
      <c r="Z119" s="24">
        <f>X119*O119</f>
        <v>4.0218749999999998E-2</v>
      </c>
      <c r="AA119" s="11"/>
      <c r="AB119" s="11"/>
    </row>
    <row r="120" spans="1:28" x14ac:dyDescent="0.25">
      <c r="A120" s="19" t="s">
        <v>125</v>
      </c>
      <c r="B120" s="1"/>
      <c r="C120" s="19" t="s">
        <v>331</v>
      </c>
      <c r="D120" s="1"/>
      <c r="E120" s="19" t="s">
        <v>127</v>
      </c>
      <c r="F120" s="1"/>
      <c r="G120" s="19" t="s">
        <v>332</v>
      </c>
      <c r="H120" s="1"/>
      <c r="I120" s="18">
        <v>9.9500000000000005E-2</v>
      </c>
      <c r="K120" s="39">
        <v>45322</v>
      </c>
      <c r="L120" s="1"/>
      <c r="M120" s="22" t="s">
        <v>32</v>
      </c>
      <c r="N120" s="1"/>
      <c r="O120" s="18">
        <v>9.7500000000000003E-2</v>
      </c>
      <c r="Q120" s="8">
        <f t="shared" si="6"/>
        <v>-20.000000000000018</v>
      </c>
      <c r="R120" s="1"/>
      <c r="S120" s="1"/>
      <c r="T120" s="54" t="s">
        <v>46</v>
      </c>
      <c r="U120" s="1"/>
      <c r="V120" s="56">
        <v>7.1800000000000003E-2</v>
      </c>
      <c r="W120" s="1"/>
      <c r="X120" s="24">
        <v>0.53720000000000001</v>
      </c>
      <c r="Y120" s="1"/>
      <c r="Z120" s="24">
        <f>X120*O120</f>
        <v>5.2377E-2</v>
      </c>
      <c r="AA120" s="11"/>
      <c r="AB120" s="11"/>
    </row>
    <row r="121" spans="1:28" x14ac:dyDescent="0.25">
      <c r="A121" s="19" t="s">
        <v>37</v>
      </c>
      <c r="B121" s="1"/>
      <c r="C121" s="19" t="s">
        <v>118</v>
      </c>
      <c r="D121" s="1"/>
      <c r="E121" s="19" t="s">
        <v>45</v>
      </c>
      <c r="F121" s="1"/>
      <c r="G121" s="19" t="s">
        <v>333</v>
      </c>
      <c r="H121" s="1"/>
      <c r="I121" s="18">
        <v>0.104</v>
      </c>
      <c r="K121" s="39">
        <v>45336</v>
      </c>
      <c r="L121" s="1"/>
      <c r="M121" s="22" t="s">
        <v>40</v>
      </c>
      <c r="N121" s="1"/>
      <c r="O121" s="18">
        <v>9.6000000000000002E-2</v>
      </c>
      <c r="Q121" s="8">
        <f t="shared" si="6"/>
        <v>-79.999999999999929</v>
      </c>
      <c r="R121" s="1"/>
      <c r="S121" s="1"/>
      <c r="T121" s="54" t="s">
        <v>33</v>
      </c>
      <c r="U121" s="1"/>
      <c r="V121" s="56">
        <v>7.1800000000000003E-2</v>
      </c>
      <c r="W121" s="1"/>
      <c r="X121" s="24">
        <v>0.51900000000000002</v>
      </c>
      <c r="Y121" s="1"/>
      <c r="Z121" s="24">
        <f>X121*O121</f>
        <v>4.9824E-2</v>
      </c>
      <c r="AA121" s="11"/>
      <c r="AB121" s="11"/>
    </row>
    <row r="122" spans="1:28" x14ac:dyDescent="0.25">
      <c r="A122" s="19" t="s">
        <v>119</v>
      </c>
      <c r="B122" s="1"/>
      <c r="C122" s="19" t="s">
        <v>107</v>
      </c>
      <c r="D122" s="1"/>
      <c r="E122" s="19" t="s">
        <v>40</v>
      </c>
      <c r="F122" s="1"/>
      <c r="G122" s="19" t="s">
        <v>334</v>
      </c>
      <c r="H122" s="1"/>
      <c r="I122" s="18">
        <v>9.7000000000000003E-2</v>
      </c>
      <c r="K122" s="39">
        <v>45350</v>
      </c>
      <c r="L122" s="1"/>
      <c r="M122" s="22" t="s">
        <v>32</v>
      </c>
      <c r="N122" s="1"/>
      <c r="O122" s="18">
        <v>9.7000000000000003E-2</v>
      </c>
      <c r="Q122" s="8">
        <f t="shared" si="6"/>
        <v>0</v>
      </c>
      <c r="R122" s="1"/>
      <c r="S122" s="1"/>
      <c r="T122" s="54" t="s">
        <v>33</v>
      </c>
      <c r="U122" s="1"/>
      <c r="V122" s="56">
        <v>7.0499999999999993E-2</v>
      </c>
      <c r="W122" s="1"/>
      <c r="X122" s="24" t="s">
        <v>146</v>
      </c>
      <c r="Y122" s="1"/>
      <c r="Z122" s="24" t="s">
        <v>146</v>
      </c>
      <c r="AA122" s="11"/>
      <c r="AB122" s="11"/>
    </row>
    <row r="123" spans="1:28" x14ac:dyDescent="0.25">
      <c r="A123" s="19" t="s">
        <v>29</v>
      </c>
      <c r="B123" s="1"/>
      <c r="C123" s="19" t="s">
        <v>30</v>
      </c>
      <c r="D123" s="1"/>
      <c r="E123" s="19" t="s">
        <v>31</v>
      </c>
      <c r="F123" s="1"/>
      <c r="G123" s="19" t="s">
        <v>335</v>
      </c>
      <c r="H123" s="1"/>
      <c r="I123" s="18">
        <v>0.10249999999999999</v>
      </c>
      <c r="K123" s="39">
        <v>45352</v>
      </c>
      <c r="L123" s="1"/>
      <c r="M123" s="22" t="s">
        <v>32</v>
      </c>
      <c r="N123" s="1"/>
      <c r="O123" s="18">
        <v>9.9000000000000005E-2</v>
      </c>
      <c r="Q123" s="8">
        <f t="shared" si="6"/>
        <v>-34.999999999999893</v>
      </c>
      <c r="R123" s="1"/>
      <c r="S123" s="1"/>
      <c r="T123" s="54" t="s">
        <v>46</v>
      </c>
      <c r="U123" s="1"/>
      <c r="V123" s="56">
        <v>5.8599999999999999E-2</v>
      </c>
      <c r="W123" s="1"/>
      <c r="X123" s="24">
        <v>0.4113</v>
      </c>
      <c r="Y123" s="1"/>
      <c r="Z123" s="24">
        <f>X123*O123</f>
        <v>4.0718700000000004E-2</v>
      </c>
      <c r="AA123" s="11"/>
      <c r="AB123" s="11"/>
    </row>
    <row r="124" spans="1:28" x14ac:dyDescent="0.25">
      <c r="A124" s="19" t="s">
        <v>125</v>
      </c>
      <c r="B124" s="1"/>
      <c r="C124" s="19" t="s">
        <v>168</v>
      </c>
      <c r="D124" s="1"/>
      <c r="E124" s="19" t="s">
        <v>169</v>
      </c>
      <c r="F124" s="1"/>
      <c r="G124" s="19" t="s">
        <v>336</v>
      </c>
      <c r="H124" s="1"/>
      <c r="I124" s="18">
        <v>0.10249999999999999</v>
      </c>
      <c r="K124" s="39">
        <v>45356</v>
      </c>
      <c r="L124" s="1"/>
      <c r="M124" s="22" t="s">
        <v>32</v>
      </c>
      <c r="N124" s="1"/>
      <c r="O124" s="18">
        <v>9.5500000000000002E-2</v>
      </c>
      <c r="Q124" s="8">
        <f t="shared" si="6"/>
        <v>-69.999999999999929</v>
      </c>
      <c r="R124" s="1"/>
      <c r="S124" s="1"/>
      <c r="T124" s="54" t="s">
        <v>46</v>
      </c>
      <c r="U124" s="1"/>
      <c r="V124" s="56">
        <v>6.8099999999999994E-2</v>
      </c>
      <c r="W124" s="1"/>
      <c r="X124" s="24">
        <v>0.51929999999999998</v>
      </c>
      <c r="Y124" s="1"/>
      <c r="Z124" s="24">
        <f>X124*O124</f>
        <v>4.9593150000000003E-2</v>
      </c>
      <c r="AA124" s="11"/>
      <c r="AB124" s="11"/>
    </row>
    <row r="125" spans="1:28" x14ac:dyDescent="0.25">
      <c r="A125" s="19" t="s">
        <v>35</v>
      </c>
      <c r="B125" s="1"/>
      <c r="C125" s="19" t="s">
        <v>337</v>
      </c>
      <c r="D125" s="1"/>
      <c r="E125" s="19" t="s">
        <v>45</v>
      </c>
      <c r="F125" s="1"/>
      <c r="G125" s="19" t="s">
        <v>338</v>
      </c>
      <c r="H125" s="1"/>
      <c r="I125" s="18">
        <v>0.1085</v>
      </c>
      <c r="K125" s="39">
        <v>45377</v>
      </c>
      <c r="L125" s="1"/>
      <c r="M125" s="22" t="s">
        <v>32</v>
      </c>
      <c r="N125" s="1"/>
      <c r="O125" s="18">
        <v>9.8000000000000004E-2</v>
      </c>
      <c r="Q125" s="8">
        <f t="shared" si="6"/>
        <v>-104.99999999999996</v>
      </c>
      <c r="R125" s="1"/>
      <c r="S125" s="1"/>
      <c r="T125" s="54" t="s">
        <v>33</v>
      </c>
      <c r="U125" s="1"/>
      <c r="V125" s="56" t="s">
        <v>146</v>
      </c>
      <c r="W125" s="1"/>
      <c r="X125" s="24" t="s">
        <v>146</v>
      </c>
      <c r="Y125" s="1"/>
      <c r="Z125" s="24" t="s">
        <v>146</v>
      </c>
      <c r="AA125" s="11"/>
      <c r="AB125" s="11"/>
    </row>
    <row r="126" spans="1:28" x14ac:dyDescent="0.25">
      <c r="A126" s="19" t="s">
        <v>78</v>
      </c>
      <c r="B126" s="1"/>
      <c r="C126" s="19" t="s">
        <v>341</v>
      </c>
      <c r="D126" s="1"/>
      <c r="E126" s="19" t="s">
        <v>247</v>
      </c>
      <c r="F126" s="1"/>
      <c r="G126" s="58">
        <v>45911</v>
      </c>
      <c r="H126" s="1"/>
      <c r="I126" s="18">
        <v>0.106</v>
      </c>
      <c r="K126" s="39">
        <v>45399</v>
      </c>
      <c r="L126" s="1"/>
      <c r="M126" s="22" t="s">
        <v>32</v>
      </c>
      <c r="N126" s="1"/>
      <c r="O126" s="18">
        <v>9.9000000000000005E-2</v>
      </c>
      <c r="Q126" s="8">
        <f t="shared" si="6"/>
        <v>-69.999999999999929</v>
      </c>
      <c r="R126" s="1"/>
      <c r="S126" s="1"/>
      <c r="T126" s="54" t="s">
        <v>33</v>
      </c>
      <c r="U126" s="1"/>
      <c r="V126" s="56">
        <v>6.5799999999999997E-2</v>
      </c>
      <c r="W126" s="1"/>
      <c r="X126" s="24">
        <v>0.44359999999999999</v>
      </c>
      <c r="Y126" s="1"/>
      <c r="Z126" s="24">
        <f>X126*O126</f>
        <v>4.3916400000000001E-2</v>
      </c>
      <c r="AA126" s="11"/>
      <c r="AB126" s="11"/>
    </row>
    <row r="127" spans="1:28" x14ac:dyDescent="0.25">
      <c r="A127" s="19" t="s">
        <v>151</v>
      </c>
      <c r="B127" s="1"/>
      <c r="C127" s="19" t="s">
        <v>117</v>
      </c>
      <c r="D127" s="1"/>
      <c r="E127" s="19" t="s">
        <v>39</v>
      </c>
      <c r="F127" s="1"/>
      <c r="G127" s="19" t="s">
        <v>342</v>
      </c>
      <c r="H127" s="1"/>
      <c r="I127" s="18">
        <v>0.105</v>
      </c>
      <c r="K127" s="39">
        <v>45400</v>
      </c>
      <c r="L127" s="1"/>
      <c r="M127" s="22" t="s">
        <v>40</v>
      </c>
      <c r="N127" s="1"/>
      <c r="O127" s="18">
        <v>9.6000000000000002E-2</v>
      </c>
      <c r="Q127" s="8">
        <f t="shared" si="6"/>
        <v>-89.999999999999943</v>
      </c>
      <c r="R127" s="1"/>
      <c r="S127" s="1"/>
      <c r="T127" s="54" t="s">
        <v>33</v>
      </c>
      <c r="U127" s="1"/>
      <c r="V127" s="56">
        <v>6.9699999999999998E-2</v>
      </c>
      <c r="W127" s="1"/>
      <c r="X127" s="24">
        <v>0.505</v>
      </c>
      <c r="Y127" s="1"/>
      <c r="Z127" s="24">
        <f>X127*O127</f>
        <v>4.8480000000000002E-2</v>
      </c>
      <c r="AA127" s="11"/>
      <c r="AB127" s="11"/>
    </row>
    <row r="128" spans="1:28" x14ac:dyDescent="0.25">
      <c r="A128" s="19" t="s">
        <v>78</v>
      </c>
      <c r="B128" s="1"/>
      <c r="C128" s="19" t="s">
        <v>99</v>
      </c>
      <c r="D128" s="1"/>
      <c r="E128" s="19" t="s">
        <v>36</v>
      </c>
      <c r="F128" s="1"/>
      <c r="G128" s="58">
        <v>45933</v>
      </c>
      <c r="H128" s="1"/>
      <c r="I128" s="18">
        <v>0.105</v>
      </c>
      <c r="K128" s="39">
        <v>45420</v>
      </c>
      <c r="L128" s="1"/>
      <c r="M128" s="22" t="s">
        <v>32</v>
      </c>
      <c r="N128" s="1"/>
      <c r="O128" s="18">
        <v>9.8500000000000004E-2</v>
      </c>
      <c r="Q128" s="8">
        <f t="shared" si="6"/>
        <v>-64.999999999999915</v>
      </c>
      <c r="R128" s="1"/>
      <c r="S128" s="1"/>
      <c r="T128" s="54" t="s">
        <v>33</v>
      </c>
      <c r="U128" s="1"/>
      <c r="V128" s="56" t="s">
        <v>146</v>
      </c>
      <c r="W128" s="1"/>
      <c r="X128" s="24" t="s">
        <v>146</v>
      </c>
      <c r="Y128" s="1"/>
      <c r="Z128" s="24" t="s">
        <v>146</v>
      </c>
      <c r="AA128" s="11"/>
      <c r="AB128" s="11"/>
    </row>
    <row r="129" spans="1:28" x14ac:dyDescent="0.25">
      <c r="A129" s="19"/>
      <c r="B129" s="19"/>
      <c r="C129" s="19"/>
      <c r="D129" s="19"/>
      <c r="E129" s="19"/>
      <c r="F129" s="19"/>
      <c r="G129" s="19"/>
      <c r="H129" s="19"/>
      <c r="I129" s="18"/>
      <c r="J129" s="19"/>
      <c r="K129" s="21"/>
      <c r="L129" s="19"/>
      <c r="M129" s="22"/>
      <c r="N129" s="19"/>
      <c r="O129" s="18"/>
      <c r="P129" s="19"/>
      <c r="Q129" s="8"/>
      <c r="R129" s="53"/>
      <c r="S129" s="19"/>
      <c r="T129" s="54"/>
      <c r="U129" s="19"/>
      <c r="V129" s="24"/>
      <c r="W129" s="19"/>
      <c r="X129" s="24"/>
      <c r="Y129" s="19"/>
      <c r="Z129" s="24"/>
      <c r="AA129" s="11"/>
      <c r="AB129" s="11"/>
    </row>
    <row r="130" spans="1:28" x14ac:dyDescent="0.25">
      <c r="A130" s="25" t="s">
        <v>197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8" x14ac:dyDescent="0.25">
      <c r="A131" s="26" t="s">
        <v>198</v>
      </c>
      <c r="B131" s="27"/>
      <c r="C131" s="27"/>
      <c r="D131" s="27"/>
      <c r="E131" s="27"/>
      <c r="F131" s="27"/>
      <c r="G131" s="27">
        <f>COUNT(K11:K129)</f>
        <v>118</v>
      </c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8" x14ac:dyDescent="0.25">
      <c r="A132" s="27" t="s">
        <v>199</v>
      </c>
      <c r="B132" s="27"/>
      <c r="C132" s="27" t="s">
        <v>200</v>
      </c>
      <c r="D132" s="27"/>
      <c r="E132" s="27"/>
      <c r="F132" s="27"/>
      <c r="G132" s="27"/>
      <c r="H132" s="27"/>
      <c r="I132" s="28">
        <f>AVERAGE(I11:I129)</f>
        <v>0.10127288135593218</v>
      </c>
      <c r="J132" s="27"/>
      <c r="K132" s="27"/>
      <c r="L132" s="27"/>
      <c r="M132" s="27"/>
      <c r="N132" s="27"/>
      <c r="O132" s="28">
        <f>AVERAGE(O11:O129)</f>
        <v>9.5026271186440733E-2</v>
      </c>
      <c r="P132" s="27"/>
      <c r="Q132" s="29">
        <f>(O132-I132)*10000</f>
        <v>-62.466101694914485</v>
      </c>
      <c r="R132" s="27"/>
      <c r="S132" s="27"/>
      <c r="T132" s="27"/>
      <c r="U132" s="27"/>
      <c r="V132" s="28">
        <f>AVERAGE(V11:W129)</f>
        <v>6.8071276595744704E-2</v>
      </c>
      <c r="W132" s="27"/>
      <c r="X132" s="28">
        <f>AVERAGE(X11:X129)</f>
        <v>0.50497572815533964</v>
      </c>
      <c r="Y132" s="27"/>
      <c r="Z132" s="28">
        <f>AVERAGE(Z11:Z97)</f>
        <v>4.7731114473684222E-2</v>
      </c>
    </row>
    <row r="133" spans="1:28" x14ac:dyDescent="0.25">
      <c r="A133" s="27" t="s">
        <v>199</v>
      </c>
      <c r="B133" s="27"/>
      <c r="C133" s="27" t="s">
        <v>201</v>
      </c>
      <c r="D133" s="27"/>
      <c r="E133" s="27"/>
      <c r="F133" s="27"/>
      <c r="G133" s="27"/>
      <c r="H133" s="27"/>
      <c r="I133" s="30">
        <f>AVERAGEIF($M$11:$M$129,"D",I11:I129)</f>
        <v>9.8233333333333325E-2</v>
      </c>
      <c r="J133" s="27"/>
      <c r="K133" s="27"/>
      <c r="L133" s="27"/>
      <c r="M133" s="27"/>
      <c r="N133" s="27"/>
      <c r="O133" s="30">
        <f>AVERAGEIF($M$11:$M$107,"D",O11:O107)</f>
        <v>9.1296428571428598E-2</v>
      </c>
      <c r="P133" s="27"/>
      <c r="Q133" s="29">
        <f>(O133-I133)*10000</f>
        <v>-69.369047619047279</v>
      </c>
      <c r="R133" s="27"/>
      <c r="S133" s="27"/>
      <c r="T133" s="27"/>
      <c r="U133" s="27"/>
      <c r="V133" s="31">
        <f>AVERAGEIF($M$11:$M$129,"D",V11:V129)</f>
        <v>6.6712500000000008E-2</v>
      </c>
      <c r="W133" s="27"/>
      <c r="X133" s="31">
        <f ca="1">AVERAGEIF($M$11:$N$129,"D",X11:X129)</f>
        <v>0.49605312500000009</v>
      </c>
      <c r="Y133" s="27"/>
      <c r="Z133" s="31">
        <f>AVERAGEIF($M$11:$M$107,"D",Z11:Z107)</f>
        <v>4.4981984814814809E-2</v>
      </c>
    </row>
    <row r="134" spans="1:28" x14ac:dyDescent="0.25">
      <c r="A134" s="27" t="s">
        <v>199</v>
      </c>
      <c r="B134" s="27"/>
      <c r="C134" s="27" t="s">
        <v>202</v>
      </c>
      <c r="D134" s="27"/>
      <c r="E134" s="27"/>
      <c r="F134" s="27"/>
      <c r="G134" s="27"/>
      <c r="H134" s="27"/>
      <c r="I134" s="30">
        <f>AVERAGEIF($M$11:$M$129,"V",I11:I129)</f>
        <v>0.10245294117647058</v>
      </c>
      <c r="J134" s="27"/>
      <c r="K134" s="27"/>
      <c r="L134" s="27"/>
      <c r="M134" s="27"/>
      <c r="N134" s="27"/>
      <c r="O134" s="30">
        <f>AVERAGEIF($M$11:$M$107,"V",O11:O107)</f>
        <v>9.6221739130434789E-2</v>
      </c>
      <c r="P134" s="27"/>
      <c r="Q134" s="29">
        <f>(O134-I134)*10000</f>
        <v>-62.312020460357914</v>
      </c>
      <c r="R134" s="27"/>
      <c r="S134" s="27"/>
      <c r="T134" s="27"/>
      <c r="U134" s="27"/>
      <c r="V134" s="31">
        <f>AVERAGEIF($M$11:$M$129,"V",V11:V129)</f>
        <v>6.8772580645161299E-2</v>
      </c>
      <c r="W134" s="27"/>
      <c r="X134" s="31">
        <f>AVERAGEIF($M$11:$M$129,"V",X11:X129)</f>
        <v>0.50899718309859143</v>
      </c>
      <c r="Y134" s="27"/>
      <c r="Z134" s="31">
        <f>AVERAGEIF($M$11:$M$107,"V",Z11:Z107)</f>
        <v>4.9225379830508481E-2</v>
      </c>
    </row>
    <row r="135" spans="1:28" x14ac:dyDescent="0.25">
      <c r="A135" s="27" t="s">
        <v>203</v>
      </c>
      <c r="B135" s="27"/>
      <c r="C135" s="27" t="s">
        <v>200</v>
      </c>
      <c r="D135" s="27"/>
      <c r="E135" s="27"/>
      <c r="F135" s="27"/>
      <c r="G135" s="27"/>
      <c r="H135" s="27"/>
      <c r="I135" s="28">
        <f>MEDIAN(I11:I129)</f>
        <v>0.10249999999999999</v>
      </c>
      <c r="J135" s="27"/>
      <c r="K135" s="27"/>
      <c r="L135" s="27"/>
      <c r="M135" s="27"/>
      <c r="N135" s="27"/>
      <c r="O135" s="28">
        <f>MEDIAN(O11:O107)</f>
        <v>9.5000000000000001E-2</v>
      </c>
      <c r="P135" s="27"/>
      <c r="Q135" s="27"/>
      <c r="R135" s="27"/>
      <c r="S135" s="27"/>
      <c r="T135" s="27"/>
      <c r="U135" s="27"/>
      <c r="V135" s="28">
        <f>MEDIAN(V11:W129)</f>
        <v>6.9199999999999998E-2</v>
      </c>
      <c r="W135" s="28"/>
      <c r="X135" s="28">
        <f>MEDIAN(X11:Y129)</f>
        <v>0.5081</v>
      </c>
      <c r="Y135" s="27"/>
      <c r="Z135" s="28">
        <f>MEDIAN(Z11:Z107)</f>
        <v>4.8293750000000003E-2</v>
      </c>
    </row>
    <row r="136" spans="1:28" x14ac:dyDescent="0.25">
      <c r="A136" s="27" t="s">
        <v>204</v>
      </c>
      <c r="B136" s="27"/>
      <c r="C136" s="27" t="s">
        <v>200</v>
      </c>
      <c r="D136" s="27"/>
      <c r="E136" s="27"/>
      <c r="F136" s="27"/>
      <c r="G136" s="27"/>
      <c r="H136" s="27"/>
      <c r="I136" s="28">
        <f>MAX(I11:I129)</f>
        <v>0.13449999999999998</v>
      </c>
      <c r="J136" s="27"/>
      <c r="K136" s="27"/>
      <c r="L136" s="27"/>
      <c r="M136" s="27"/>
      <c r="N136" s="28"/>
      <c r="O136" s="28">
        <f>MAX(O11:O107)</f>
        <v>0.11449999999999999</v>
      </c>
      <c r="P136" s="27"/>
      <c r="Q136" s="27"/>
      <c r="R136" s="27"/>
      <c r="S136" s="27"/>
      <c r="T136" s="27"/>
      <c r="U136" s="27"/>
      <c r="V136" s="28">
        <f>MAX(V11:V129)</f>
        <v>8.7899999999999992E-2</v>
      </c>
      <c r="W136" s="27"/>
      <c r="X136" s="28">
        <f>MAX(X11:X129)</f>
        <v>0.60699999999999998</v>
      </c>
      <c r="Y136" s="27"/>
      <c r="Z136" s="28">
        <f>MAX(Z11:Z107)</f>
        <v>6.9501499999999994E-2</v>
      </c>
    </row>
    <row r="137" spans="1:28" x14ac:dyDescent="0.25">
      <c r="A137" s="27" t="s">
        <v>205</v>
      </c>
      <c r="B137" s="27"/>
      <c r="C137" s="27" t="s">
        <v>200</v>
      </c>
      <c r="D137" s="27"/>
      <c r="E137" s="27"/>
      <c r="F137" s="27"/>
      <c r="G137" s="27"/>
      <c r="H137" s="27"/>
      <c r="I137" s="28">
        <f>MIN(I11:I129)</f>
        <v>7.3599999999999999E-2</v>
      </c>
      <c r="J137" s="27"/>
      <c r="K137" s="27"/>
      <c r="L137" s="27"/>
      <c r="M137" s="27"/>
      <c r="N137" s="27"/>
      <c r="O137" s="28">
        <f>MIN(O11:O107)</f>
        <v>7.3599999999999999E-2</v>
      </c>
      <c r="P137" s="27"/>
      <c r="Q137" s="27"/>
      <c r="R137" s="27"/>
      <c r="S137" s="27"/>
      <c r="T137" s="27"/>
      <c r="U137" s="27"/>
      <c r="V137" s="28">
        <f>MIN(V11:V129)</f>
        <v>4.7399999999999998E-2</v>
      </c>
      <c r="W137" s="27"/>
      <c r="X137" s="28">
        <f>MIN(X11:X129)</f>
        <v>0.3962</v>
      </c>
      <c r="Y137" s="27"/>
      <c r="Z137" s="28">
        <f>MIN(Z11:Z107)</f>
        <v>3.5843199999999999E-2</v>
      </c>
    </row>
    <row r="138" spans="1:28" x14ac:dyDescent="0.25">
      <c r="A138" s="27" t="s">
        <v>108</v>
      </c>
      <c r="B138" s="27"/>
      <c r="C138" s="27"/>
      <c r="D138" s="27"/>
      <c r="E138" s="27"/>
      <c r="F138" s="27"/>
      <c r="G138" s="27">
        <f>COUNTIF(A11:A129,A138)</f>
        <v>2</v>
      </c>
      <c r="H138" s="27"/>
      <c r="I138" s="30">
        <f>AVERAGEIF($A$11:$A$129,$A138,I11:I129)</f>
        <v>9.9000000000000005E-2</v>
      </c>
      <c r="J138" s="27"/>
      <c r="K138" s="27"/>
      <c r="L138" s="27"/>
      <c r="M138" s="27"/>
      <c r="N138" s="27"/>
      <c r="O138" s="30">
        <f>AVERAGEIF($A$11:$A$107,$A138,O11:O107)</f>
        <v>9.4E-2</v>
      </c>
      <c r="P138" s="27"/>
      <c r="Q138" s="29">
        <f>(O138-I138)*10000</f>
        <v>-50.000000000000043</v>
      </c>
      <c r="R138" s="27"/>
      <c r="S138" s="27"/>
      <c r="T138" s="27"/>
      <c r="U138" s="27"/>
      <c r="V138" s="30">
        <f>AVERAGEIF($A$11:$A$129,$A138,V11:V129)</f>
        <v>7.1399999999999991E-2</v>
      </c>
      <c r="W138" s="27"/>
      <c r="X138" s="30">
        <f>IFERROR(AVERAGEIF($A$11:$A$129,$A138,X11:X129),0)</f>
        <v>0.48749999999999999</v>
      </c>
      <c r="Y138" s="27"/>
      <c r="Z138" s="30">
        <f>IFERROR(AVERAGEIF($A$11:$A$107,$A138,Z11:Z107),0)</f>
        <v>4.5824999999999998E-2</v>
      </c>
    </row>
    <row r="139" spans="1:28" x14ac:dyDescent="0.25">
      <c r="A139" s="27" t="s">
        <v>33</v>
      </c>
      <c r="B139" s="27"/>
      <c r="C139" s="27"/>
      <c r="D139" s="27"/>
      <c r="E139" s="27"/>
      <c r="F139" s="27"/>
      <c r="G139" s="27"/>
      <c r="H139" s="27"/>
      <c r="I139" s="30">
        <f>AVERAGEIF($T$11:$T$129,$A139,I11:I129)</f>
        <v>0.10211969696969704</v>
      </c>
      <c r="J139" s="31"/>
      <c r="K139" s="31"/>
      <c r="L139" s="31"/>
      <c r="M139" s="31"/>
      <c r="N139" s="31"/>
      <c r="O139" s="30">
        <f>AVERAGEIF($T$11:$T$107,$A139,O11:O107)</f>
        <v>9.5522807017543857E-2</v>
      </c>
      <c r="P139" s="27"/>
      <c r="Q139" s="29">
        <f>(O139-I139)*10000</f>
        <v>-65.968899521531839</v>
      </c>
      <c r="R139" s="27"/>
      <c r="S139" s="27"/>
      <c r="T139" s="27"/>
      <c r="U139" s="27"/>
      <c r="V139" s="31">
        <f>AVERAGEIF($T$11:$T$129,$A139,V11:V129)</f>
        <v>6.8885999999999989E-2</v>
      </c>
      <c r="W139" s="31"/>
      <c r="X139" s="31">
        <f>AVERAGEIF($T$11:$T$129,$A139,X11:X129)</f>
        <v>0.50420943396226414</v>
      </c>
      <c r="Y139" s="31"/>
      <c r="Z139" s="31">
        <f>AVERAGEIF($T$11:$T$107,$A139,Z11:Z107)</f>
        <v>4.8221827021276614E-2</v>
      </c>
    </row>
    <row r="140" spans="1:28" x14ac:dyDescent="0.25">
      <c r="A140" s="27" t="s">
        <v>46</v>
      </c>
      <c r="B140" s="1"/>
      <c r="C140" s="1"/>
      <c r="D140" s="1"/>
      <c r="E140" s="1"/>
      <c r="F140" s="1"/>
      <c r="G140" s="1"/>
      <c r="H140" s="1"/>
      <c r="I140" s="30">
        <f>AVERAGEIF($T$11:$T$129,$A140,I11:I129)</f>
        <v>0.10024042553191491</v>
      </c>
      <c r="K140" s="1"/>
      <c r="L140" s="1"/>
      <c r="M140" s="1"/>
      <c r="N140" s="1"/>
      <c r="O140" s="30">
        <f>AVERAGEIF($T$11:$T$107,$A140,O11:O107)</f>
        <v>9.3794285714285719E-2</v>
      </c>
      <c r="Q140" s="29">
        <f>(O140-I140)*10000</f>
        <v>-64.461398176291894</v>
      </c>
      <c r="R140" s="1"/>
      <c r="S140" s="1"/>
      <c r="T140" s="1"/>
      <c r="U140" s="1"/>
      <c r="V140" s="31">
        <f ca="1">AVERAGEIF($T$11:$U$129,$A140,V11:V129)</f>
        <v>6.7134146341463419E-2</v>
      </c>
      <c r="W140" s="1"/>
      <c r="X140" s="31">
        <f ca="1">AVERAGEIF($T$11:$U$129,$A140,X11:X129)</f>
        <v>0.50469333333333322</v>
      </c>
      <c r="Y140" s="1"/>
      <c r="Z140" s="31">
        <f>AVERAGEIF($T$11:$T$107,$A140,Z11:Z107)</f>
        <v>4.7383000882352963E-2</v>
      </c>
    </row>
    <row r="141" spans="1:28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1"/>
      <c r="N141" s="1"/>
      <c r="O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8" x14ac:dyDescent="0.25">
      <c r="A142" s="1"/>
      <c r="B142" s="1"/>
      <c r="C142" s="1"/>
      <c r="D142" s="1"/>
      <c r="E142" s="1"/>
      <c r="F142" s="1"/>
      <c r="G142" s="1"/>
      <c r="H142" s="1"/>
      <c r="I142" s="28"/>
      <c r="J142" s="28"/>
      <c r="K142" s="28"/>
      <c r="L142" s="28"/>
      <c r="M142" s="28"/>
      <c r="N142" s="28"/>
      <c r="O142" s="28"/>
      <c r="Q142" s="1"/>
      <c r="R142" s="1"/>
      <c r="S142" s="1"/>
      <c r="T142" s="1"/>
      <c r="U142" s="1"/>
      <c r="V142" s="28"/>
      <c r="W142" s="28"/>
      <c r="X142" s="28"/>
      <c r="Y142" s="28"/>
      <c r="Z142" s="28"/>
    </row>
    <row r="143" spans="1:28" x14ac:dyDescent="0.25">
      <c r="A143" s="32">
        <v>2021</v>
      </c>
      <c r="B143" s="10"/>
      <c r="C143" s="10"/>
      <c r="D143" s="10"/>
      <c r="E143" s="10"/>
      <c r="F143" s="10"/>
      <c r="G143" s="10"/>
      <c r="H143" s="10"/>
      <c r="I143" s="33"/>
      <c r="J143" s="33"/>
      <c r="K143" s="33"/>
      <c r="L143" s="33"/>
      <c r="M143" s="33"/>
      <c r="N143" s="33"/>
      <c r="O143" s="33"/>
      <c r="P143" s="10"/>
      <c r="Q143" s="10"/>
      <c r="R143" s="10"/>
      <c r="S143" s="10"/>
      <c r="T143" s="10"/>
      <c r="U143" s="10"/>
      <c r="V143" s="33"/>
      <c r="W143" s="33"/>
      <c r="X143" s="33"/>
      <c r="Y143" s="33"/>
      <c r="Z143" s="33"/>
    </row>
    <row r="144" spans="1:28" x14ac:dyDescent="0.25">
      <c r="A144" s="27" t="s">
        <v>198</v>
      </c>
      <c r="B144" s="1"/>
      <c r="C144" s="1"/>
      <c r="D144" s="1"/>
      <c r="E144" s="1"/>
      <c r="F144" s="1"/>
      <c r="G144" s="27" cm="1">
        <f t="array" ref="G144">SUMPRODUCT(--(YEAR($K$11:$K$129)=A143))</f>
        <v>34</v>
      </c>
      <c r="H144" s="1"/>
      <c r="I144" s="28"/>
      <c r="J144" s="28"/>
      <c r="K144" s="28"/>
      <c r="L144" s="28"/>
      <c r="M144" s="28"/>
      <c r="N144" s="28"/>
      <c r="O144" s="28"/>
      <c r="Q144" s="1"/>
      <c r="R144" s="1"/>
      <c r="S144" s="1"/>
      <c r="T144" s="1"/>
      <c r="U144" s="1"/>
      <c r="V144" s="28"/>
      <c r="W144" s="28"/>
      <c r="X144" s="28"/>
      <c r="Y144" s="28"/>
      <c r="Z144" s="28"/>
    </row>
    <row r="145" spans="1:30" x14ac:dyDescent="0.25">
      <c r="A145" s="27" t="s">
        <v>199</v>
      </c>
      <c r="B145" s="1"/>
      <c r="C145" s="27" t="s">
        <v>200</v>
      </c>
      <c r="D145" s="1"/>
      <c r="E145" s="1"/>
      <c r="F145" s="1"/>
      <c r="G145" s="1"/>
      <c r="H145" s="1"/>
      <c r="I145" s="28">
        <f>AVERAGEIFS($I$11:$I$129,$K$11:$K$129,"&gt;="&amp;DATE(2021,1,1),$K$11:$K$129,"&lt;="&amp;DATE(2021,12,31))</f>
        <v>9.9261764705882355E-2</v>
      </c>
      <c r="J145" s="28"/>
      <c r="K145" s="28"/>
      <c r="L145" s="28"/>
      <c r="M145" s="28"/>
      <c r="N145" s="28"/>
      <c r="O145" s="28">
        <f>AVERAGEIFS($O$11:$O$129,$K$11:$K$129,"&gt;="&amp;DATE(2021,1,1),$K$11:$K$129,"&lt;="&amp;DATE(2021,12,31))</f>
        <v>9.37970588235294E-2</v>
      </c>
      <c r="Q145" s="29">
        <f t="shared" ref="Q145" si="8">(O145-I145)*10000</f>
        <v>-54.647058823529548</v>
      </c>
      <c r="R145" s="1"/>
      <c r="S145" s="1"/>
      <c r="T145" s="1"/>
      <c r="U145" s="1"/>
      <c r="V145" s="28">
        <f>AVERAGEIFS($V$11:$V$129,$K$11:$K$129,"&gt;="&amp;DATE(2021,1,1),$K$11:$K$129,"&lt;="&amp;DATE(2021,12,31))</f>
        <v>6.8139285714285708E-2</v>
      </c>
      <c r="W145" s="28"/>
      <c r="X145" s="28">
        <f>AVERAGEIFS($X$11:$X$129,$K$11:$K$129,"&gt;="&amp;DATE(2021,1,1),$K$11:$K$129,"&lt;="&amp;DATE(2021,12,31))</f>
        <v>0.49925000000000008</v>
      </c>
      <c r="Y145" s="28"/>
      <c r="Z145" s="28">
        <f>AVERAGEIFS($Z$11:$Z$129,$K$11:$K$129,"&gt;="&amp;DATE(2021,1,1),$K$11:$K$129,"&lt;="&amp;DATE(2021,12,31))</f>
        <v>4.6449217142857151E-2</v>
      </c>
      <c r="AB145" s="34"/>
      <c r="AD145" s="35"/>
    </row>
    <row r="146" spans="1:30" x14ac:dyDescent="0.25">
      <c r="A146" s="27" t="s">
        <v>199</v>
      </c>
      <c r="B146" s="1"/>
      <c r="C146" s="27" t="s">
        <v>201</v>
      </c>
      <c r="D146" s="1"/>
      <c r="E146" s="1"/>
      <c r="F146" s="1"/>
      <c r="G146" s="1"/>
      <c r="H146" s="1"/>
      <c r="I146" s="36">
        <f>IFERROR((AVERAGEIFS($I$11:$I$129,$K$11:$K$129,"&gt;="&amp;DATE(2021,1,1),$K$11:$K$129,"&lt;="&amp;DATE(2021,12,31),$M$11:$M$129,"D")),"None")</f>
        <v>9.391999999999999E-2</v>
      </c>
      <c r="J146" s="28"/>
      <c r="K146" s="28"/>
      <c r="L146" s="28"/>
      <c r="M146" s="28"/>
      <c r="N146" s="28"/>
      <c r="O146" s="36">
        <f>IFERROR(AVERAGEIFS($O$11:$O$129,$K$11:$K$129,"&gt;="&amp;DATE(2021,1,1),$K$11:$K$129,"&lt;="&amp;DATE(2021,12,31),$M$11:$M$129,"D"),"None")</f>
        <v>8.9849999999999999E-2</v>
      </c>
      <c r="Q146" s="29">
        <f>IFERROR(((O146-I146)*10000),0)</f>
        <v>-40.699999999999903</v>
      </c>
      <c r="R146" s="1"/>
      <c r="S146" s="1"/>
      <c r="T146" s="1"/>
      <c r="U146" s="1"/>
      <c r="V146" s="36">
        <f>IFERROR((AVERAGEIFS($V$11:$V$129,$K$11:$K$129,"&gt;="&amp;DATE(2021,1,1),$K$11:$K$129,"&lt;="&amp;DATE(2021,12,31),$M$11:$M$129,"D")),"None")</f>
        <v>6.7049999999999998E-2</v>
      </c>
      <c r="W146" s="28"/>
      <c r="X146" s="36">
        <f>IFERROR(AVERAGEIFS($X$11:$X$129,$K$11:$K$129,"&gt;="&amp;DATE(2021,1,1),$K$11:$K$129,"&lt;="&amp;DATE(2021,12,31),$M$11:$M$129,"D"),"None")</f>
        <v>0.4897111111111111</v>
      </c>
      <c r="Y146" s="28"/>
      <c r="Z146" s="36">
        <f>IFERROR(AVERAGEIFS($Z$11:$Z$129,$K$11:$K$129,"&gt;="&amp;DATE(2021,1,1),$K$11:$K$129,"&lt;="&amp;DATE(2021,12,31),$M$11:$M$129,"D"),"None")</f>
        <v>4.3601393333333335E-2</v>
      </c>
    </row>
    <row r="147" spans="1:30" x14ac:dyDescent="0.25">
      <c r="A147" s="27" t="s">
        <v>199</v>
      </c>
      <c r="B147" s="1"/>
      <c r="C147" s="27" t="s">
        <v>206</v>
      </c>
      <c r="D147" s="1"/>
      <c r="E147" s="1"/>
      <c r="F147" s="1"/>
      <c r="G147" s="1"/>
      <c r="H147" s="1"/>
      <c r="I147" s="36">
        <f>IFERROR(AVERAGEIFS($I$11:$I$129,$K$11:$K$129,"&gt;="&amp;DATE(2021,1,1),$K$11:$K$129,"&lt;="&amp;DATE(2021,12,31),$M$11:$M$129,"D",$A$11:$A$129,"&lt;&gt;"&amp;"Illinois"),"None")</f>
        <v>9.8999999999999991E-2</v>
      </c>
      <c r="J147" s="28"/>
      <c r="K147" s="28"/>
      <c r="L147" s="28"/>
      <c r="M147" s="28"/>
      <c r="N147" s="28"/>
      <c r="O147" s="36">
        <f>IFERROR(AVERAGEIFS($O$11:$O$129,$K$11:$K$129,"&gt;="&amp;DATE(2021,1,1),$K$11:$K$129,"&lt;="&amp;DATE(2021,12,31),$M$11:$M$129,"D",$A$11:$A$129,"&lt;&gt;"&amp;"Illinois"),"None")</f>
        <v>9.3912499999999996E-2</v>
      </c>
      <c r="Q147" s="29">
        <f>IFERROR(((O147-I147)*10000),0)</f>
        <v>-50.87499999999995</v>
      </c>
      <c r="R147" s="1"/>
      <c r="S147" s="1"/>
      <c r="T147" s="1"/>
      <c r="U147" s="1"/>
      <c r="V147" s="36">
        <f>IFERROR(AVERAGEIFS($V$11:$V$129,$K$11:$K$129,"&gt;="&amp;DATE(2021,1,1),$K$11:$K$129,"&lt;="&amp;DATE(2021,12,31),$M$11:$M$129,"D",$A$11:$A$129,"&lt;&gt;"&amp;"Illinois"),"None")</f>
        <v>6.9437499999999999E-2</v>
      </c>
      <c r="W147" s="28"/>
      <c r="X147" s="36">
        <f>IFERROR(AVERAGEIFS($X$11:$X$129,$K$11:$K$129,"&gt;="&amp;DATE(2021,1,1),$K$11:$K$129,"&lt;="&amp;DATE(2021,12,31),$M$11:$M$129,"D",$A$11:$A$129,"&lt;&gt;"&amp;"Illinois"),"None")</f>
        <v>0.48720000000000002</v>
      </c>
      <c r="Y147" s="28"/>
      <c r="Z147" s="36">
        <f>IFERROR(AVERAGEIFS($Z$11:$Z$129,$K$11:$K$129,"&gt;="&amp;DATE(2021,1,1),$K$11:$K$129,"&lt;="&amp;DATE(2021,12,31),$M$11:$M$129,"D",$A$11:$A$129,"&lt;&gt;"&amp;"Illinois"),"None")</f>
        <v>4.557619142857143E-2</v>
      </c>
    </row>
    <row r="148" spans="1:30" x14ac:dyDescent="0.25">
      <c r="A148" s="27" t="s">
        <v>199</v>
      </c>
      <c r="B148" s="1"/>
      <c r="C148" s="27" t="s">
        <v>202</v>
      </c>
      <c r="D148" s="1"/>
      <c r="E148" s="1"/>
      <c r="F148" s="1"/>
      <c r="G148" s="1"/>
      <c r="H148" s="1"/>
      <c r="I148" s="36">
        <f>IFERROR(AVERAGEIFS($I$11:$I$129,$K$11:$K$129,"&gt;="&amp;DATE(2021,1,1),$K$11:$K$129,"&lt;="&amp;DATE(2021,12,31),$M$11:$M$129,"V"),"None")</f>
        <v>0.10148750000000001</v>
      </c>
      <c r="J148" s="28"/>
      <c r="K148" s="28"/>
      <c r="L148" s="28"/>
      <c r="M148" s="28"/>
      <c r="N148" s="28"/>
      <c r="O148" s="36">
        <f>IFERROR(AVERAGEIFS($O$11:$O$129,$K$11:$K$129,"&gt;="&amp;DATE(2021,1,1),$K$11:$K$129,"&lt;="&amp;DATE(2021,12,31),$M$11:$M$129,"V"),"None")</f>
        <v>9.5441666666666689E-2</v>
      </c>
      <c r="Q148" s="29">
        <f>IFERROR(((O148-I148)*10000),0)</f>
        <v>-60.458333333333201</v>
      </c>
      <c r="R148" s="1"/>
      <c r="S148" s="1"/>
      <c r="T148" s="1"/>
      <c r="U148" s="1"/>
      <c r="V148" s="36">
        <f>IFERROR(AVERAGEIFS($V$11:$V$129,$K$11:$K$129,"&gt;="&amp;DATE(2021,1,1),$K$11:$K$129,"&lt;="&amp;DATE(2021,12,31),$M$11:$M$129,"V"),"N/A")</f>
        <v>6.8744444444444441E-2</v>
      </c>
      <c r="W148" s="28"/>
      <c r="X148" s="36">
        <f>IFERROR(AVERAGEIFS($X$11:$X$129,$K$11:$K$129,"&gt;="&amp;DATE(2021,1,1),$K$11:$K$129,"&lt;="&amp;DATE(2021,12,31),$M$11:$M$129,"V"),"N/A")</f>
        <v>0.50376842105263164</v>
      </c>
      <c r="Y148" s="28"/>
      <c r="Z148" s="36">
        <f>IFERROR(AVERAGEIFS($Z$11:$Z$129,$K$11:$K$129,"&gt;="&amp;DATE(2021,1,1),$K$11:$K$129,"&lt;="&amp;DATE(2021,12,31),$M$11:$M$129,"V"),"N/A")</f>
        <v>4.779818631578947E-2</v>
      </c>
    </row>
    <row r="149" spans="1:30" x14ac:dyDescent="0.25">
      <c r="A149" s="1"/>
      <c r="B149" s="1"/>
      <c r="C149" s="1"/>
      <c r="D149" s="1"/>
      <c r="E149" s="1"/>
      <c r="F149" s="1"/>
      <c r="G149" s="1"/>
      <c r="H149" s="1"/>
      <c r="I149" s="28"/>
      <c r="J149" s="28"/>
      <c r="K149" s="28"/>
      <c r="L149" s="28"/>
      <c r="M149" s="28"/>
      <c r="N149" s="28"/>
      <c r="O149" s="28"/>
      <c r="Q149" s="1"/>
      <c r="R149" s="1"/>
      <c r="S149" s="1"/>
      <c r="T149" s="1"/>
      <c r="U149" s="1"/>
      <c r="V149" s="28"/>
      <c r="W149" s="28"/>
      <c r="X149" s="28"/>
      <c r="Y149" s="28"/>
      <c r="Z149" s="28"/>
    </row>
    <row r="150" spans="1:30" x14ac:dyDescent="0.25">
      <c r="A150" s="32">
        <v>2022</v>
      </c>
      <c r="B150" s="10"/>
      <c r="C150" s="10"/>
      <c r="D150" s="10"/>
      <c r="E150" s="10"/>
      <c r="F150" s="10"/>
      <c r="G150" s="10"/>
      <c r="H150" s="10"/>
      <c r="I150" s="33"/>
      <c r="J150" s="33"/>
      <c r="K150" s="33"/>
      <c r="L150" s="33"/>
      <c r="M150" s="33"/>
      <c r="N150" s="33"/>
      <c r="O150" s="33"/>
      <c r="P150" s="10"/>
      <c r="Q150" s="10"/>
      <c r="R150" s="10"/>
      <c r="S150" s="10"/>
      <c r="T150" s="10"/>
      <c r="U150" s="10"/>
      <c r="V150" s="33"/>
      <c r="W150" s="33"/>
      <c r="X150" s="33"/>
      <c r="Y150" s="33"/>
      <c r="Z150" s="33"/>
    </row>
    <row r="151" spans="1:30" x14ac:dyDescent="0.25">
      <c r="A151" s="27" t="s">
        <v>198</v>
      </c>
      <c r="B151" s="1"/>
      <c r="C151" s="1"/>
      <c r="D151" s="1"/>
      <c r="E151" s="1"/>
      <c r="F151" s="1"/>
      <c r="G151" s="27" cm="1">
        <f t="array" ref="G151">SUMPRODUCT(--(YEAR($K$11:$K$129)=A150))</f>
        <v>29</v>
      </c>
      <c r="H151" s="1"/>
      <c r="I151" s="28"/>
      <c r="J151" s="28"/>
      <c r="K151" s="28"/>
      <c r="L151" s="28"/>
      <c r="M151" s="28"/>
      <c r="N151" s="28"/>
      <c r="O151" s="28"/>
      <c r="Q151" s="1"/>
      <c r="R151" s="1"/>
      <c r="S151" s="1"/>
      <c r="T151" s="1"/>
      <c r="U151" s="1"/>
      <c r="V151" s="28"/>
      <c r="W151" s="28"/>
      <c r="X151" s="28"/>
      <c r="Y151" s="28"/>
      <c r="Z151" s="28"/>
    </row>
    <row r="152" spans="1:30" x14ac:dyDescent="0.25">
      <c r="A152" s="27" t="s">
        <v>199</v>
      </c>
      <c r="B152" s="1"/>
      <c r="C152" s="27" t="s">
        <v>200</v>
      </c>
      <c r="D152" s="1"/>
      <c r="E152" s="1"/>
      <c r="F152" s="1"/>
      <c r="G152" s="1"/>
      <c r="H152" s="1"/>
      <c r="I152" s="28">
        <f>AVERAGEIFS($I$11:$I$129,$K$11:$K$129,"&gt;="&amp;DATE(2022,1,1),$K$11:$K$129,"&lt;="&amp;DATE(2022,12,31))</f>
        <v>9.960344827586208E-2</v>
      </c>
      <c r="J152" s="28"/>
      <c r="K152" s="28"/>
      <c r="L152" s="28"/>
      <c r="M152" s="28"/>
      <c r="N152" s="28"/>
      <c r="O152" s="28">
        <f>AVERAGEIFS($O$11:$O$129,$K$11:$K$129,"&gt;="&amp;DATE(2022,1,1),$K$11:$K$129,"&lt;="&amp;DATE(2022,12,31))</f>
        <v>9.4472413793103449E-2</v>
      </c>
      <c r="Q152" s="29">
        <f t="shared" ref="Q152" si="9">(O152-I152)*10000</f>
        <v>-51.310344827586313</v>
      </c>
      <c r="R152" s="1"/>
      <c r="S152" s="1"/>
      <c r="T152" s="1"/>
      <c r="U152" s="1"/>
      <c r="V152" s="28">
        <f>AVERAGEIFS($V$11:$V$129,$K$11:$K$129,"&gt;="&amp;DATE(2022,1,1),$K$11:$K$129,"&lt;="&amp;DATE(2022,12,31))</f>
        <v>6.6533333333333347E-2</v>
      </c>
      <c r="W152" s="28"/>
      <c r="X152" s="28">
        <f>AVERAGEIFS($X$11:$X$129,$K$11:$K$129,"&gt;="&amp;DATE(2022,1,1),$K$11:$K$129,"&lt;="&amp;DATE(2022,12,31))</f>
        <v>0.50480357142857135</v>
      </c>
      <c r="Y152" s="28"/>
      <c r="Z152" s="28">
        <f>AVERAGEIFS($Z$11:$Z$129,$K$11:$K$129,"&gt;="&amp;DATE(2022,1,1),$K$11:$K$129,"&lt;="&amp;DATE(2022,12,31))</f>
        <v>4.7748718214285724E-2</v>
      </c>
      <c r="AB152" s="34"/>
      <c r="AD152" s="35"/>
    </row>
    <row r="153" spans="1:30" x14ac:dyDescent="0.25">
      <c r="A153" s="27" t="s">
        <v>199</v>
      </c>
      <c r="B153" s="1"/>
      <c r="C153" s="27" t="s">
        <v>201</v>
      </c>
      <c r="D153" s="1"/>
      <c r="E153" s="1"/>
      <c r="F153" s="1"/>
      <c r="G153" s="1"/>
      <c r="H153" s="1"/>
      <c r="I153" s="36">
        <f>IFERROR((AVERAGEIFS($I$11:$I$129,$K$11:$K$129,"&gt;="&amp;DATE(2022,1,1),$K$11:$K$129,"&lt;="&amp;DATE(2022,12,31),$M$11:$M$129,"D")),"None")</f>
        <v>9.583333333333334E-2</v>
      </c>
      <c r="J153" s="28"/>
      <c r="K153" s="28"/>
      <c r="L153" s="28"/>
      <c r="M153" s="28"/>
      <c r="N153" s="28"/>
      <c r="O153" s="36">
        <f>IFERROR(AVERAGEIFS($O$11:$O$129,$K$11:$K$129,"&gt;="&amp;DATE(2022,1,1),$K$11:$K$129,"&lt;="&amp;DATE(2022,12,31),$M$11:$M$129,"D"),"None")</f>
        <v>9.1111111111111101E-2</v>
      </c>
      <c r="Q153" s="29">
        <f>IFERROR(((O153-I153)*10000),0)</f>
        <v>-47.222222222222385</v>
      </c>
      <c r="R153" s="1"/>
      <c r="S153" s="1"/>
      <c r="T153" s="1"/>
      <c r="U153" s="1"/>
      <c r="V153" s="36">
        <f>IFERROR((AVERAGEIFS($V$11:$V$129,$K$11:$K$129,"&gt;="&amp;DATE(2022,1,1),$K$11:$K$129,"&lt;="&amp;DATE(2022,12,31),$M$11:$M$129,"D")),"None")</f>
        <v>6.6755555555555554E-2</v>
      </c>
      <c r="W153" s="28"/>
      <c r="X153" s="36">
        <f>IFERROR(AVERAGEIFS($X$11:$X$129,$K$11:$K$129,"&gt;="&amp;DATE(2022,1,1),$K$11:$K$129,"&lt;="&amp;DATE(2022,12,31),$M$11:$M$129,"D"),"None")</f>
        <v>0.50392222222222216</v>
      </c>
      <c r="Y153" s="28"/>
      <c r="Z153" s="36">
        <f>IFERROR(AVERAGEIFS($Z$11:$Z$129,$K$11:$K$129,"&gt;="&amp;DATE(2022,1,1),$K$11:$K$129,"&lt;="&amp;DATE(2022,12,31),$M$11:$M$129,"D"),"None")</f>
        <v>4.5988783333333338E-2</v>
      </c>
    </row>
    <row r="154" spans="1:30" x14ac:dyDescent="0.25">
      <c r="A154" s="27" t="s">
        <v>199</v>
      </c>
      <c r="B154" s="1"/>
      <c r="C154" s="27" t="s">
        <v>206</v>
      </c>
      <c r="D154" s="1"/>
      <c r="E154" s="1"/>
      <c r="F154" s="1"/>
      <c r="G154" s="1"/>
      <c r="H154" s="1"/>
      <c r="I154" s="36">
        <f>IFERROR(AVERAGEIFS($I$11:$I$129,$K$11:$K$129,"&gt;="&amp;DATE(2022,1,1),$K$11:$K$129,"&lt;="&amp;DATE(2022,12,31),$M$11:$M$129,"D",$A$11:$A$129,"&lt;&gt;"&amp;"Illinois"),"None")</f>
        <v>0.10078571428571428</v>
      </c>
      <c r="J154" s="28"/>
      <c r="K154" s="28"/>
      <c r="L154" s="28"/>
      <c r="M154" s="28"/>
      <c r="N154" s="28"/>
      <c r="O154" s="36">
        <f>IFERROR(AVERAGEIFS($O$11:$O$129,$K$11:$K$129,"&gt;="&amp;DATE(2022,1,1),$K$11:$K$129,"&lt;="&amp;DATE(2022,12,31),$M$11:$M$129,"D",$A$11:$A$129,"&lt;&gt;"&amp;"Illinois"),"None")</f>
        <v>9.4714285714285709E-2</v>
      </c>
      <c r="Q154" s="29">
        <f>IFERROR(((O154-I154)*10000),0)</f>
        <v>-60.714285714285751</v>
      </c>
      <c r="R154" s="1"/>
      <c r="S154" s="1"/>
      <c r="T154" s="1"/>
      <c r="U154" s="1"/>
      <c r="V154" s="36">
        <f>IFERROR(AVERAGEIFS($V$11:$V$129,$K$11:$K$129,"&gt;="&amp;DATE(2022,1,1),$K$11:$K$129,"&lt;="&amp;DATE(2022,12,31),$M$11:$M$129,"D",$A$11:$A$129,"&lt;&gt;"&amp;"Illinois"),"None")</f>
        <v>6.8914285714285706E-2</v>
      </c>
      <c r="W154" s="28"/>
      <c r="X154" s="36">
        <f>IFERROR(AVERAGEIFS($X$11:$X$129,$K$11:$K$129,"&gt;="&amp;DATE(2022,1,1),$K$11:$K$129,"&lt;="&amp;DATE(2022,12,31),$M$11:$M$129,"D",$A$11:$A$129,"&lt;&gt;"&amp;"Illinois"),"None")</f>
        <v>0.50582857142857141</v>
      </c>
      <c r="Y154" s="28"/>
      <c r="Z154" s="36">
        <f>IFERROR(AVERAGEIFS($Z$11:$Z$129,$K$11:$K$129,"&gt;="&amp;DATE(2022,1,1),$K$11:$K$129,"&lt;="&amp;DATE(2022,12,31),$M$11:$M$129,"D",$A$11:$A$129,"&lt;&gt;"&amp;"Illinois"),"None")</f>
        <v>4.7975828571428569E-2</v>
      </c>
    </row>
    <row r="155" spans="1:30" x14ac:dyDescent="0.25">
      <c r="A155" s="27" t="s">
        <v>199</v>
      </c>
      <c r="B155" s="1"/>
      <c r="C155" s="27" t="s">
        <v>202</v>
      </c>
      <c r="D155" s="1"/>
      <c r="E155" s="1"/>
      <c r="F155" s="1"/>
      <c r="G155" s="1"/>
      <c r="H155" s="1"/>
      <c r="I155" s="36">
        <f>IFERROR(AVERAGEIFS($I$11:$I$129,$K$11:$K$129,"&gt;="&amp;DATE(2022,1,1),$K$11:$K$129,"&lt;="&amp;DATE(2022,12,31),$M$11:$M$129,"V"),"None")</f>
        <v>0.10130000000000002</v>
      </c>
      <c r="J155" s="28"/>
      <c r="K155" s="28"/>
      <c r="L155" s="28"/>
      <c r="M155" s="28"/>
      <c r="N155" s="28"/>
      <c r="O155" s="36">
        <f>IFERROR(AVERAGEIFS($O$11:$O$129,$K$11:$K$129,"&gt;="&amp;DATE(2022,1,1),$K$11:$K$129,"&lt;="&amp;DATE(2022,12,31),$M$11:$M$129,"V"),"None")</f>
        <v>9.5985000000000001E-2</v>
      </c>
      <c r="Q155" s="29">
        <f>IFERROR(((O155-I155)*10000),0)</f>
        <v>-53.150000000000141</v>
      </c>
      <c r="R155" s="1"/>
      <c r="S155" s="1"/>
      <c r="T155" s="1"/>
      <c r="U155" s="1"/>
      <c r="V155" s="36">
        <f>IFERROR(AVERAGEIFS($V$11:$V$129,$K$11:$K$129,"&gt;="&amp;DATE(2022,1,1),$K$11:$K$129,"&lt;="&amp;DATE(2022,12,31),$M$11:$M$129,"V"),"N/A")</f>
        <v>6.6400000000000001E-2</v>
      </c>
      <c r="W155" s="28"/>
      <c r="X155" s="36">
        <f>IFERROR(AVERAGEIFS($X$11:$X$129,$K$11:$K$129,"&gt;="&amp;DATE(2022,1,1),$K$11:$K$129,"&lt;="&amp;DATE(2022,12,31),$M$11:$M$129,"V"),"N/A")</f>
        <v>0.50522105263157879</v>
      </c>
      <c r="Y155" s="28"/>
      <c r="Z155" s="36">
        <f>IFERROR(AVERAGEIFS($Z$11:$Z$129,$K$11:$K$129,"&gt;="&amp;DATE(2022,1,1),$K$11:$K$129,"&lt;="&amp;DATE(2022,12,31),$M$11:$M$129,"V"),"N/A")</f>
        <v>4.8582371578947368E-2</v>
      </c>
    </row>
    <row r="156" spans="1:30" x14ac:dyDescent="0.25">
      <c r="A156" s="27"/>
      <c r="B156" s="1"/>
      <c r="C156" s="27"/>
      <c r="D156" s="1"/>
      <c r="E156" s="1"/>
      <c r="F156" s="1"/>
      <c r="G156" s="1"/>
      <c r="H156" s="1"/>
      <c r="I156" s="36"/>
      <c r="J156" s="28"/>
      <c r="K156" s="28"/>
      <c r="L156" s="28"/>
      <c r="M156" s="28"/>
      <c r="N156" s="28"/>
      <c r="O156" s="36"/>
      <c r="Q156" s="29"/>
      <c r="R156" s="1"/>
      <c r="S156" s="1"/>
      <c r="T156" s="1"/>
      <c r="U156" s="1"/>
      <c r="V156" s="36"/>
      <c r="W156" s="28"/>
      <c r="X156" s="36"/>
      <c r="Y156" s="28"/>
      <c r="Z156" s="36"/>
    </row>
    <row r="157" spans="1:30" x14ac:dyDescent="0.25">
      <c r="A157" s="32">
        <v>2023</v>
      </c>
      <c r="B157" s="10"/>
      <c r="C157" s="10"/>
      <c r="D157" s="10"/>
      <c r="E157" s="10"/>
      <c r="F157" s="10"/>
      <c r="G157" s="10"/>
      <c r="H157" s="10"/>
      <c r="I157" s="33"/>
      <c r="J157" s="33"/>
      <c r="K157" s="33"/>
      <c r="L157" s="33"/>
      <c r="M157" s="33"/>
      <c r="N157" s="33"/>
      <c r="O157" s="33"/>
      <c r="P157" s="10"/>
      <c r="Q157" s="10"/>
      <c r="R157" s="10"/>
      <c r="S157" s="10"/>
      <c r="T157" s="10"/>
      <c r="U157" s="10"/>
      <c r="V157" s="33"/>
      <c r="W157" s="33"/>
      <c r="X157" s="33"/>
      <c r="Y157" s="33"/>
      <c r="Z157" s="33"/>
    </row>
    <row r="158" spans="1:30" x14ac:dyDescent="0.25">
      <c r="A158" s="27" t="s">
        <v>198</v>
      </c>
      <c r="B158" s="1"/>
      <c r="C158" s="1"/>
      <c r="D158" s="1"/>
      <c r="E158" s="1"/>
      <c r="F158" s="1"/>
      <c r="G158" s="27" cm="1">
        <f t="array" ref="G158">SUMPRODUCT(--(YEAR($K$11:$K$129)=A157))</f>
        <v>44</v>
      </c>
      <c r="H158" s="1"/>
      <c r="I158" s="28"/>
      <c r="J158" s="28"/>
      <c r="K158" s="28"/>
      <c r="L158" s="28"/>
      <c r="M158" s="28"/>
      <c r="N158" s="28"/>
      <c r="O158" s="28"/>
      <c r="Q158" s="1"/>
      <c r="R158" s="1"/>
      <c r="S158" s="1"/>
      <c r="T158" s="1"/>
      <c r="U158" s="1"/>
      <c r="V158" s="28"/>
      <c r="W158" s="28"/>
      <c r="X158" s="28"/>
      <c r="Y158" s="28"/>
      <c r="Z158" s="28"/>
    </row>
    <row r="159" spans="1:30" x14ac:dyDescent="0.25">
      <c r="A159" s="27" t="s">
        <v>199</v>
      </c>
      <c r="B159" s="1"/>
      <c r="C159" s="27" t="s">
        <v>200</v>
      </c>
      <c r="D159" s="1"/>
      <c r="E159" s="1"/>
      <c r="F159" s="1"/>
      <c r="G159" s="1"/>
      <c r="H159" s="1"/>
      <c r="I159" s="28">
        <f>AVERAGEIFS($I$11:$I$129,$K$11:$K$129,"&gt;="&amp;DATE(2023,1,1),$K$11:$K$129,"&lt;="&amp;DATE(2023,12,31))</f>
        <v>0.10352954545454546</v>
      </c>
      <c r="J159" s="28"/>
      <c r="K159" s="28"/>
      <c r="L159" s="28"/>
      <c r="M159" s="28"/>
      <c r="N159" s="28"/>
      <c r="O159" s="28">
        <f>AVERAGEIFS($O$11:$O$129,$K$11:$K$129,"&gt;="&amp;DATE(2023,1,1),$K$11:$K$129,"&lt;="&amp;DATE(2023,12,31))</f>
        <v>9.5859090909090935E-2</v>
      </c>
      <c r="Q159" s="29">
        <f t="shared" ref="Q159" si="10">(O159-I159)*10000</f>
        <v>-76.704545454545226</v>
      </c>
      <c r="R159" s="1"/>
      <c r="S159" s="1"/>
      <c r="T159" s="1"/>
      <c r="U159" s="1"/>
      <c r="V159" s="28">
        <f>AVERAGEIFS($V$11:$V$129,$K$11:$K$129,"&gt;="&amp;DATE(2023,1,1),$K$11:$K$129,"&lt;="&amp;DATE(2023,12,31))</f>
        <v>6.9205882352941173E-2</v>
      </c>
      <c r="W159" s="28"/>
      <c r="X159" s="28">
        <f>AVERAGEIFS($X$11:$X$129,$K$11:$K$129,"&gt;="&amp;DATE(2023,1,1),$K$11:$K$129,"&lt;="&amp;DATE(2023,12,31))</f>
        <v>0.51423076923076927</v>
      </c>
      <c r="Y159" s="28"/>
      <c r="Z159" s="28">
        <f>AVERAGEIFS($Z$11:$Z$129,$K$11:$K$129,"&gt;="&amp;DATE(2023,1,1),$K$11:$K$129,"&lt;="&amp;DATE(2023,12,31))</f>
        <v>4.9160365789473692E-2</v>
      </c>
      <c r="AB159" s="34"/>
      <c r="AD159" s="35"/>
    </row>
    <row r="160" spans="1:30" x14ac:dyDescent="0.25">
      <c r="A160" s="27" t="s">
        <v>199</v>
      </c>
      <c r="B160" s="1"/>
      <c r="C160" s="27" t="s">
        <v>201</v>
      </c>
      <c r="D160" s="1"/>
      <c r="E160" s="1"/>
      <c r="F160" s="1"/>
      <c r="G160" s="1"/>
      <c r="H160" s="1"/>
      <c r="I160" s="36">
        <f>IFERROR((AVERAGEIFS($I$11:$I$129,$K$11:$K$129,"&gt;="&amp;DATE(2023,1,1),$K$11:$K$129,"&lt;="&amp;DATE(2023,12,31),$M$11:$M$129,"D")),"None")</f>
        <v>0.10258333333333335</v>
      </c>
      <c r="J160" s="28"/>
      <c r="K160" s="28"/>
      <c r="L160" s="28"/>
      <c r="M160" s="28"/>
      <c r="N160" s="28"/>
      <c r="O160" s="36">
        <f>IFERROR(AVERAGEIFS($O$11:$O$129,$K$11:$K$129,"&gt;="&amp;DATE(2023,1,1),$K$11:$K$129,"&lt;="&amp;DATE(2023,12,31),$M$11:$M$129,"D"),"None")</f>
        <v>9.2424999999999993E-2</v>
      </c>
      <c r="Q160" s="29">
        <f>IFERROR(((O160-I160)*10000),0)</f>
        <v>-101.58333333333353</v>
      </c>
      <c r="R160" s="1"/>
      <c r="S160" s="1"/>
      <c r="T160" s="1"/>
      <c r="U160" s="1"/>
      <c r="V160" s="36">
        <f>IFERROR((AVERAGEIFS($V$11:$V$129,$K$11:$K$129,"&gt;="&amp;DATE(2023,1,1),$K$11:$K$129,"&lt;="&amp;DATE(2023,12,31),$M$11:$M$129,"D")),"None")</f>
        <v>6.5636363636363618E-2</v>
      </c>
      <c r="W160" s="28"/>
      <c r="X160" s="36">
        <f>IFERROR(AVERAGEIFS($X$11:$X$129,$K$11:$K$129,"&gt;="&amp;DATE(2023,1,1),$K$11:$K$129,"&lt;="&amp;DATE(2023,12,31),$M$11:$M$129,"D"),"None")</f>
        <v>0.49225000000000002</v>
      </c>
      <c r="Y160" s="28"/>
      <c r="Z160" s="36">
        <f>IFERROR(AVERAGEIFS($Z$11:$Z$129,$K$11:$K$129,"&gt;="&amp;DATE(2023,1,1),$K$11:$K$129,"&lt;="&amp;DATE(2023,12,31),$M$11:$M$129,"D"),"None")</f>
        <v>4.5479333333333323E-2</v>
      </c>
    </row>
    <row r="161" spans="1:30" x14ac:dyDescent="0.25">
      <c r="A161" s="27" t="s">
        <v>199</v>
      </c>
      <c r="B161" s="1"/>
      <c r="C161" s="27" t="s">
        <v>206</v>
      </c>
      <c r="D161" s="1"/>
      <c r="E161" s="1"/>
      <c r="F161" s="1"/>
      <c r="G161" s="1"/>
      <c r="H161" s="1"/>
      <c r="I161" s="36">
        <f>IFERROR(AVERAGEIFS($I$11:$I$129,$K$11:$K$129,"&gt;="&amp;DATE(2023,1,1),$K$11:$K$129,"&lt;="&amp;DATE(2023,12,31),$M$11:$M$129,"D",$A$11:$A$129,"&lt;&gt;"&amp;"Illinois"),"None")</f>
        <v>0.10194999999999999</v>
      </c>
      <c r="J161" s="28"/>
      <c r="K161" s="28"/>
      <c r="L161" s="28"/>
      <c r="M161" s="28"/>
      <c r="N161" s="28"/>
      <c r="O161" s="36">
        <f>IFERROR(AVERAGEIFS($O$11:$O$129,$K$11:$K$129,"&gt;="&amp;DATE(2023,1,1),$K$11:$K$129,"&lt;="&amp;DATE(2023,12,31),$M$11:$M$129,"D",$A$11:$A$129,"&lt;&gt;"&amp;"Illinois"),"None")</f>
        <v>9.3280000000000002E-2</v>
      </c>
      <c r="Q161" s="29">
        <f>IFERROR(((O161-I161)*10000),0)</f>
        <v>-86.699999999999832</v>
      </c>
      <c r="R161" s="1"/>
      <c r="S161" s="1"/>
      <c r="T161" s="1"/>
      <c r="U161" s="1"/>
      <c r="V161" s="36">
        <f>IFERROR(AVERAGEIFS($V$11:$V$129,$K$11:$K$129,"&gt;="&amp;DATE(2023,1,1),$K$11:$K$129,"&lt;="&amp;DATE(2023,12,31),$M$11:$M$129,"D",$A$11:$A$129,"&lt;&gt;"&amp;"Illinois"),"None")</f>
        <v>6.5455555555555545E-2</v>
      </c>
      <c r="W161" s="28"/>
      <c r="X161" s="36">
        <f>IFERROR(AVERAGEIFS($X$11:$X$129,$K$11:$K$129,"&gt;="&amp;DATE(2023,1,1),$K$11:$K$129,"&lt;="&amp;DATE(2023,12,31),$M$11:$M$129,"D",$A$11:$A$129,"&lt;&gt;"&amp;"Illinois"),"None")</f>
        <v>0.49070000000000003</v>
      </c>
      <c r="Y161" s="28"/>
      <c r="Z161" s="36">
        <f>IFERROR(AVERAGEIFS($Z$11:$Z$129,$K$11:$K$129,"&gt;="&amp;DATE(2023,1,1),$K$11:$K$129,"&lt;="&amp;DATE(2023,12,31),$M$11:$M$129,"D",$A$11:$A$129,"&lt;&gt;"&amp;"Illinois"),"None")</f>
        <v>4.5760199999999994E-2</v>
      </c>
    </row>
    <row r="162" spans="1:30" x14ac:dyDescent="0.25">
      <c r="A162" s="27" t="s">
        <v>199</v>
      </c>
      <c r="B162" s="1"/>
      <c r="C162" s="27" t="s">
        <v>202</v>
      </c>
      <c r="D162" s="1"/>
      <c r="E162" s="1"/>
      <c r="F162" s="1"/>
      <c r="G162" s="1"/>
      <c r="H162" s="1"/>
      <c r="I162" s="36">
        <f>IFERROR(AVERAGEIFS($I$11:$I$129,$K$11:$K$129,"&gt;="&amp;DATE(2023,1,1),$K$11:$K$129,"&lt;="&amp;DATE(2023,12,31),$M$11:$M$129,"V"),"None")</f>
        <v>0.103884375</v>
      </c>
      <c r="J162" s="28"/>
      <c r="K162" s="28"/>
      <c r="L162" s="28"/>
      <c r="M162" s="28"/>
      <c r="N162" s="28"/>
      <c r="O162" s="36">
        <f>IFERROR(AVERAGEIFS($O$11:$O$129,$K$11:$K$129,"&gt;="&amp;DATE(2023,1,1),$K$11:$K$129,"&lt;="&amp;DATE(2023,12,31),$M$11:$M$129,"V"),"None")</f>
        <v>9.7146875000000008E-2</v>
      </c>
      <c r="Q162" s="29">
        <f>IFERROR(((O162-I162)*10000),0)</f>
        <v>-67.374999999999929</v>
      </c>
      <c r="R162" s="1"/>
      <c r="S162" s="1"/>
      <c r="T162" s="1"/>
      <c r="U162" s="1"/>
      <c r="V162" s="36">
        <f>IFERROR(AVERAGEIFS($V$11:$V$129,$K$11:$K$129,"&gt;="&amp;DATE(2023,1,1),$K$11:$K$129,"&lt;="&amp;DATE(2023,12,31),$M$11:$M$129,"V"),"N/A")</f>
        <v>7.0913043478260857E-2</v>
      </c>
      <c r="W162" s="28"/>
      <c r="X162" s="36">
        <f>IFERROR(AVERAGEIFS($X$11:$X$129,$K$11:$K$129,"&gt;="&amp;DATE(2023,1,1),$K$11:$K$129,"&lt;="&amp;DATE(2023,12,31),$M$11:$M$129,"V"),"N/A")</f>
        <v>0.52400000000000002</v>
      </c>
      <c r="Y162" s="28"/>
      <c r="Z162" s="36">
        <f>IFERROR(AVERAGEIFS($Z$11:$Z$129,$K$11:$K$129,"&gt;="&amp;DATE(2023,1,1),$K$11:$K$129,"&lt;="&amp;DATE(2023,12,31),$M$11:$M$129,"V"),"N/A")</f>
        <v>5.085930384615385E-2</v>
      </c>
    </row>
    <row r="163" spans="1:30" x14ac:dyDescent="0.25">
      <c r="A163" s="27"/>
      <c r="B163" s="1"/>
      <c r="C163" s="27"/>
      <c r="D163" s="1"/>
      <c r="E163" s="1"/>
      <c r="F163" s="1"/>
      <c r="G163" s="1"/>
      <c r="H163" s="1"/>
      <c r="I163" s="36"/>
      <c r="J163" s="28"/>
      <c r="K163" s="28"/>
      <c r="L163" s="28"/>
      <c r="M163" s="28"/>
      <c r="N163" s="28"/>
      <c r="O163" s="36"/>
      <c r="Q163" s="29"/>
      <c r="R163" s="1"/>
      <c r="S163" s="1"/>
      <c r="T163" s="1"/>
      <c r="U163" s="1"/>
      <c r="V163" s="36"/>
      <c r="W163" s="28"/>
      <c r="X163" s="36"/>
      <c r="Y163" s="28"/>
      <c r="Z163" s="36"/>
    </row>
    <row r="164" spans="1:30" x14ac:dyDescent="0.25">
      <c r="A164" s="32">
        <v>2024</v>
      </c>
      <c r="B164" s="10"/>
      <c r="C164" s="10"/>
      <c r="D164" s="10"/>
      <c r="E164" s="10"/>
      <c r="F164" s="10"/>
      <c r="G164" s="10"/>
      <c r="H164" s="10"/>
      <c r="I164" s="33"/>
      <c r="J164" s="33"/>
      <c r="K164" s="33"/>
      <c r="L164" s="33"/>
      <c r="M164" s="33"/>
      <c r="N164" s="33"/>
      <c r="O164" s="33"/>
      <c r="P164" s="10"/>
      <c r="Q164" s="10"/>
      <c r="R164" s="10"/>
      <c r="S164" s="10"/>
      <c r="T164" s="10"/>
      <c r="U164" s="10"/>
      <c r="V164" s="33"/>
      <c r="W164" s="33"/>
      <c r="X164" s="33"/>
      <c r="Y164" s="33"/>
      <c r="Z164" s="33"/>
    </row>
    <row r="165" spans="1:30" x14ac:dyDescent="0.25">
      <c r="A165" s="27" t="s">
        <v>198</v>
      </c>
      <c r="B165" s="1"/>
      <c r="C165" s="1"/>
      <c r="D165" s="1"/>
      <c r="E165" s="1"/>
      <c r="F165" s="1"/>
      <c r="G165" s="27" cm="1">
        <f t="array" ref="G165">SUMPRODUCT(--(YEAR($K$11:$K$129)=A164))</f>
        <v>11</v>
      </c>
      <c r="H165" s="1"/>
      <c r="I165" s="28"/>
      <c r="J165" s="28"/>
      <c r="K165" s="28"/>
      <c r="L165" s="28"/>
      <c r="M165" s="28"/>
      <c r="N165" s="28"/>
      <c r="O165" s="28"/>
      <c r="Q165" s="1"/>
      <c r="R165" s="1"/>
      <c r="S165" s="1"/>
      <c r="T165" s="1"/>
      <c r="U165" s="1"/>
      <c r="V165" s="28"/>
      <c r="W165" s="28"/>
      <c r="X165" s="28"/>
      <c r="Y165" s="28"/>
      <c r="Z165" s="28"/>
    </row>
    <row r="166" spans="1:30" x14ac:dyDescent="0.25">
      <c r="A166" s="27" t="s">
        <v>199</v>
      </c>
      <c r="B166" s="1"/>
      <c r="C166" s="27" t="s">
        <v>200</v>
      </c>
      <c r="D166" s="1"/>
      <c r="E166" s="1"/>
      <c r="F166" s="1"/>
      <c r="G166" s="1"/>
      <c r="H166" s="1"/>
      <c r="I166" s="28">
        <f>AVERAGEIFS($I$11:$I$129,$K$11:$K$129,"&gt;="&amp;DATE(2024,1,1),$K$11:$K$129,"&lt;="&amp;DATE(2024,12,31))</f>
        <v>0.10286363636363638</v>
      </c>
      <c r="J166" s="28"/>
      <c r="K166" s="28"/>
      <c r="L166" s="28"/>
      <c r="M166" s="28"/>
      <c r="N166" s="28"/>
      <c r="O166" s="28">
        <f>AVERAGEIFS($O$11:$O$129,$K$11:$K$129,"&gt;="&amp;DATE(2024,1,1),$K$11:$K$129,"&lt;="&amp;DATE(2024,12,31))</f>
        <v>9.6954545454545432E-2</v>
      </c>
      <c r="Q166" s="29">
        <f t="shared" ref="Q166" si="11">(O166-I166)*10000</f>
        <v>-59.09090909090947</v>
      </c>
      <c r="R166" s="1"/>
      <c r="S166" s="1"/>
      <c r="T166" s="1"/>
      <c r="U166" s="1"/>
      <c r="V166" s="28">
        <f>AVERAGEIFS($V$11:$V$129,$K$11:$K$129,"&gt;="&amp;DATE(2024,1,1),$K$11:$K$129,"&lt;="&amp;DATE(2024,12,31))</f>
        <v>6.7624999999999991E-2</v>
      </c>
      <c r="W166" s="28"/>
      <c r="X166" s="28">
        <f>AVERAGEIFS($X$11:$X$129,$K$11:$K$129,"&gt;="&amp;DATE(2024,1,1),$K$11:$K$129,"&lt;="&amp;DATE(2024,12,31))</f>
        <v>0.48049999999999998</v>
      </c>
      <c r="Y166" s="28"/>
      <c r="Z166" s="28">
        <f>AVERAGEIFS($Z$11:$Z$129,$K$11:$K$129,"&gt;="&amp;DATE(2024,1,1),$K$11:$K$129,"&lt;="&amp;DATE(2024,12,31))</f>
        <v>4.637715625000001E-2</v>
      </c>
      <c r="AB166" s="34"/>
      <c r="AD166" s="35"/>
    </row>
    <row r="167" spans="1:30" x14ac:dyDescent="0.25">
      <c r="A167" s="27" t="s">
        <v>199</v>
      </c>
      <c r="B167" s="1"/>
      <c r="C167" s="27" t="s">
        <v>201</v>
      </c>
      <c r="D167" s="1"/>
      <c r="E167" s="1"/>
      <c r="F167" s="1"/>
      <c r="G167" s="1"/>
      <c r="H167" s="1"/>
      <c r="I167" s="36">
        <f>IFERROR((AVERAGEIFS($I$11:$I$129,$K$11:$K$129,"&gt;="&amp;DATE(2024,1,1),$K$11:$K$129,"&lt;="&amp;DATE(2024,12,31),$M$11:$M$129,"D")),"None")</f>
        <v>0.1045</v>
      </c>
      <c r="J167" s="28"/>
      <c r="K167" s="28"/>
      <c r="L167" s="28"/>
      <c r="M167" s="28"/>
      <c r="N167" s="28"/>
      <c r="O167" s="36">
        <f>IFERROR(AVERAGEIFS($O$11:$O$129,$K$11:$K$129,"&gt;="&amp;DATE(2024,1,1),$K$11:$K$129,"&lt;="&amp;DATE(2024,12,31),$M$11:$M$129,"D"),"None")</f>
        <v>9.6000000000000002E-2</v>
      </c>
      <c r="Q167" s="29">
        <f>IFERROR(((O167-I167)*10000),0)</f>
        <v>-84.999999999999943</v>
      </c>
      <c r="R167" s="1"/>
      <c r="S167" s="1"/>
      <c r="T167" s="1"/>
      <c r="U167" s="1"/>
      <c r="V167" s="36">
        <f>IFERROR((AVERAGEIFS($V$11:$V$129,$K$11:$K$129,"&gt;="&amp;DATE(2024,1,1),$K$11:$K$129,"&lt;="&amp;DATE(2024,12,31),$M$11:$M$129,"D")),"None")</f>
        <v>7.0750000000000007E-2</v>
      </c>
      <c r="W167" s="28"/>
      <c r="X167" s="36">
        <f>IFERROR(AVERAGEIFS($X$11:$X$129,$K$11:$K$129,"&gt;="&amp;DATE(2024,1,1),$K$11:$K$129,"&lt;="&amp;DATE(2024,12,31),$M$11:$M$129,"D"),"None")</f>
        <v>0.51200000000000001</v>
      </c>
      <c r="Y167" s="28"/>
      <c r="Z167" s="36">
        <f>IFERROR(AVERAGEIFS($Z$11:$Z$129,$K$11:$K$129,"&gt;="&amp;DATE(2024,1,1),$K$11:$K$129,"&lt;="&amp;DATE(2024,12,31),$M$11:$M$129,"D"),"None")</f>
        <v>4.9152000000000001E-2</v>
      </c>
    </row>
    <row r="168" spans="1:30" x14ac:dyDescent="0.25">
      <c r="A168" s="27" t="s">
        <v>199</v>
      </c>
      <c r="B168" s="1"/>
      <c r="C168" s="27" t="s">
        <v>206</v>
      </c>
      <c r="D168" s="1"/>
      <c r="E168" s="1"/>
      <c r="F168" s="1"/>
      <c r="G168" s="1"/>
      <c r="H168" s="1"/>
      <c r="I168" s="36">
        <f>IFERROR(AVERAGEIFS($I$11:$I$129,$K$11:$K$129,"&gt;="&amp;DATE(2024,1,1),$K$11:$K$129,"&lt;="&amp;DATE(2024,12,31),$M$11:$M$129,"D",$A$11:$A$129,"&lt;&gt;"&amp;"Illinois"),"None")</f>
        <v>0.1045</v>
      </c>
      <c r="J168" s="28"/>
      <c r="K168" s="28"/>
      <c r="L168" s="28"/>
      <c r="M168" s="28"/>
      <c r="N168" s="28"/>
      <c r="O168" s="36">
        <f>IFERROR(AVERAGEIFS($O$11:$O$129,$K$11:$K$129,"&gt;="&amp;DATE(2024,1,1),$K$11:$K$129,"&lt;="&amp;DATE(2024,12,31),$M$11:$M$129,"D",$A$11:$A$129,"&lt;&gt;"&amp;"Illinois"),"None")</f>
        <v>9.6000000000000002E-2</v>
      </c>
      <c r="Q168" s="29">
        <f>IFERROR(((O168-I168)*10000),0)</f>
        <v>-84.999999999999943</v>
      </c>
      <c r="R168" s="1"/>
      <c r="S168" s="1"/>
      <c r="T168" s="1"/>
      <c r="U168" s="1"/>
      <c r="V168" s="36">
        <f>IFERROR(AVERAGEIFS($V$11:$V$129,$K$11:$K$129,"&gt;="&amp;DATE(2024,1,1),$K$11:$K$129,"&lt;="&amp;DATE(2024,12,31),$M$11:$M$129,"D",$A$11:$A$129,"&lt;&gt;"&amp;"Illinois"),"None")</f>
        <v>7.0750000000000007E-2</v>
      </c>
      <c r="W168" s="28"/>
      <c r="X168" s="36">
        <f>IFERROR(AVERAGEIFS($X$11:$X$129,$K$11:$K$129,"&gt;="&amp;DATE(2024,1,1),$K$11:$K$129,"&lt;="&amp;DATE(2024,12,31),$M$11:$M$129,"D",$A$11:$A$129,"&lt;&gt;"&amp;"Illinois"),"None")</f>
        <v>0.51200000000000001</v>
      </c>
      <c r="Y168" s="28"/>
      <c r="Z168" s="36">
        <f>IFERROR(AVERAGEIFS($Z$11:$Z$129,$K$11:$K$129,"&gt;="&amp;DATE(2024,1,1),$K$11:$K$129,"&lt;="&amp;DATE(2024,12,31),$M$11:$M$129,"D",$A$11:$A$129,"&lt;&gt;"&amp;"Illinois"),"None")</f>
        <v>4.9152000000000001E-2</v>
      </c>
    </row>
    <row r="169" spans="1:30" x14ac:dyDescent="0.25">
      <c r="A169" s="27" t="s">
        <v>199</v>
      </c>
      <c r="B169" s="1"/>
      <c r="C169" s="27" t="s">
        <v>202</v>
      </c>
      <c r="D169" s="1"/>
      <c r="E169" s="1"/>
      <c r="F169" s="1"/>
      <c r="G169" s="1"/>
      <c r="H169" s="1"/>
      <c r="I169" s="36">
        <f>IFERROR(AVERAGEIFS($I$11:$I$129,$K$11:$K$129,"&gt;="&amp;DATE(2024,1,1),$K$11:$K$129,"&lt;="&amp;DATE(2024,12,31),$M$11:$M$129,"V"),"None")</f>
        <v>0.10250000000000001</v>
      </c>
      <c r="J169" s="28"/>
      <c r="K169" s="28"/>
      <c r="L169" s="28"/>
      <c r="M169" s="28"/>
      <c r="N169" s="28"/>
      <c r="O169" s="36">
        <f>IFERROR(AVERAGEIFS($O$11:$O$129,$K$11:$K$129,"&gt;="&amp;DATE(2024,1,1),$K$11:$K$129,"&lt;="&amp;DATE(2024,12,31),$M$11:$M$129,"V"),"None")</f>
        <v>9.7166666666666665E-2</v>
      </c>
      <c r="Q169" s="29">
        <f>IFERROR(((O169-I169)*10000),0)</f>
        <v>-53.333333333333428</v>
      </c>
      <c r="R169" s="1"/>
      <c r="S169" s="1"/>
      <c r="T169" s="1"/>
      <c r="U169" s="1"/>
      <c r="V169" s="36">
        <f>IFERROR(AVERAGEIFS($V$11:$V$129,$K$11:$K$129,"&gt;="&amp;DATE(2024,1,1),$K$11:$K$129,"&lt;="&amp;DATE(2024,12,31),$M$11:$M$129,"V"),"N/A")</f>
        <v>6.6583333333333328E-2</v>
      </c>
      <c r="W169" s="28"/>
      <c r="X169" s="36">
        <f>IFERROR(AVERAGEIFS($X$11:$X$129,$K$11:$K$129,"&gt;="&amp;DATE(2024,1,1),$K$11:$K$129,"&lt;="&amp;DATE(2024,12,31),$M$11:$M$129,"V"),"N/A")</f>
        <v>0.47</v>
      </c>
      <c r="Y169" s="28"/>
      <c r="Z169" s="36">
        <f>IFERROR(AVERAGEIFS($Z$11:$Z$129,$K$11:$K$129,"&gt;="&amp;DATE(2024,1,1),$K$11:$K$129,"&lt;="&amp;DATE(2024,12,31),$M$11:$M$129,"V"),"N/A")</f>
        <v>4.5452208333333334E-2</v>
      </c>
    </row>
    <row r="170" spans="1:30" x14ac:dyDescent="0.25">
      <c r="A170" s="1"/>
      <c r="B170" s="1"/>
      <c r="C170" s="1"/>
      <c r="D170" s="1"/>
      <c r="E170" s="1"/>
      <c r="F170" s="1"/>
      <c r="G170" s="1"/>
      <c r="H170" s="1"/>
      <c r="I170" s="28"/>
      <c r="J170" s="28"/>
      <c r="K170" s="28"/>
      <c r="L170" s="28"/>
      <c r="M170" s="28"/>
      <c r="N170" s="28"/>
      <c r="O170" s="28"/>
      <c r="Q170" s="1"/>
      <c r="R170" s="1"/>
      <c r="S170" s="1"/>
      <c r="T170" s="1"/>
      <c r="U170" s="1"/>
      <c r="V170" s="28"/>
      <c r="W170" s="28"/>
      <c r="X170" s="28"/>
      <c r="Y170" s="28"/>
      <c r="Z170" s="28"/>
    </row>
    <row r="171" spans="1:30" x14ac:dyDescent="0.25">
      <c r="A171" s="26" t="s">
        <v>207</v>
      </c>
      <c r="B171" s="26"/>
      <c r="C171" s="26"/>
      <c r="D171" s="1"/>
      <c r="E171" s="1"/>
      <c r="F171" s="1"/>
      <c r="G171" s="1"/>
      <c r="H171" s="1"/>
      <c r="I171" s="28"/>
      <c r="J171" s="28"/>
      <c r="K171" s="28"/>
      <c r="L171" s="28"/>
      <c r="M171" s="28"/>
      <c r="N171" s="28"/>
      <c r="O171" s="28"/>
      <c r="Q171" s="1"/>
      <c r="R171" s="1"/>
      <c r="S171" s="1"/>
      <c r="T171" s="1"/>
      <c r="U171" s="1"/>
      <c r="V171" s="28"/>
      <c r="W171" s="28"/>
      <c r="X171" s="28"/>
      <c r="Y171" s="28"/>
      <c r="Z171" s="28"/>
    </row>
    <row r="172" spans="1:30" x14ac:dyDescent="0.25">
      <c r="A172" s="26" t="s">
        <v>208</v>
      </c>
      <c r="B172" s="26"/>
      <c r="C172" s="37" t="s">
        <v>343</v>
      </c>
      <c r="D172" s="1"/>
      <c r="E172" s="1"/>
      <c r="F172" s="1"/>
      <c r="G172" s="1"/>
      <c r="H172" s="1"/>
      <c r="I172" s="28"/>
      <c r="J172" s="28"/>
      <c r="K172" s="28"/>
      <c r="L172" s="28"/>
      <c r="M172" s="28"/>
      <c r="N172" s="28"/>
      <c r="O172" s="28"/>
      <c r="Q172" s="1"/>
      <c r="R172" s="1"/>
      <c r="S172" s="1"/>
      <c r="T172" s="1"/>
      <c r="U172" s="1"/>
      <c r="V172" s="28"/>
      <c r="W172" s="28"/>
      <c r="X172" s="28"/>
      <c r="Y172" s="28"/>
      <c r="Z172" s="28"/>
    </row>
    <row r="173" spans="1:30" x14ac:dyDescent="0.25">
      <c r="A173" s="27" t="s">
        <v>339</v>
      </c>
      <c r="B173" s="1"/>
      <c r="C173" s="1"/>
      <c r="D173" s="1"/>
      <c r="E173" s="1"/>
      <c r="F173" s="1"/>
      <c r="G173" s="1"/>
      <c r="H173" s="1"/>
      <c r="I173" s="28"/>
      <c r="J173" s="28"/>
      <c r="K173" s="28"/>
      <c r="L173" s="28"/>
      <c r="M173" s="28"/>
      <c r="N173" s="28"/>
      <c r="O173" s="2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30" x14ac:dyDescent="0.25">
      <c r="A174" s="38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30" x14ac:dyDescent="0.25"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30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1"/>
      <c r="N177" s="1"/>
      <c r="O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1"/>
      <c r="N178" s="1"/>
      <c r="O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1"/>
      <c r="N179" s="1"/>
      <c r="O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1"/>
      <c r="N180" s="1"/>
      <c r="O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1"/>
      <c r="N181" s="1"/>
      <c r="O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1"/>
      <c r="N182" s="1"/>
      <c r="O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O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O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O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1"/>
      <c r="N186" s="1"/>
      <c r="O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1"/>
      <c r="N187" s="1"/>
      <c r="O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1"/>
      <c r="N188" s="1"/>
      <c r="O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1"/>
      <c r="N189" s="1"/>
      <c r="O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1"/>
      <c r="N190" s="1"/>
      <c r="O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1"/>
      <c r="N191" s="1"/>
      <c r="O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1"/>
      <c r="N192" s="1"/>
      <c r="O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1"/>
      <c r="N193" s="1"/>
      <c r="O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1"/>
      <c r="N194" s="1"/>
      <c r="O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1"/>
      <c r="N195" s="1"/>
      <c r="O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1"/>
      <c r="N196" s="1"/>
      <c r="O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1"/>
      <c r="N197" s="1"/>
      <c r="O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1"/>
      <c r="N198" s="1"/>
      <c r="O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1"/>
      <c r="N199" s="1"/>
      <c r="O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1"/>
      <c r="N200" s="1"/>
      <c r="O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1"/>
      <c r="N201" s="1"/>
      <c r="O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1"/>
      <c r="N202" s="1"/>
      <c r="O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1"/>
      <c r="N203" s="1"/>
      <c r="O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1"/>
      <c r="N204" s="1"/>
      <c r="O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1"/>
      <c r="N205" s="1"/>
      <c r="O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1"/>
      <c r="N206" s="1"/>
      <c r="O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1"/>
      <c r="N207" s="1"/>
      <c r="O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O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O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O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O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O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O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O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O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O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O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O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O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O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O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O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O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O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O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O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O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O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O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O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O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O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O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O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O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O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O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O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O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O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O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O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O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O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O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O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O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O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O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O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O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O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O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O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O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O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O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O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O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O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O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O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O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O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O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O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O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O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O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O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O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O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O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O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O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O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O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O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O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O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O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O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O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O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O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O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O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O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O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O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O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O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O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O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O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O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O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O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O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O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O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O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O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O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O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O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O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O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O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O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O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O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O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O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O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O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O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O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O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O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O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O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O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O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O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O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O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O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O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O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O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O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O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O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O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O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O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O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O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O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O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O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O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O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O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O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O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O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O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O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O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O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O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O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O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O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O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O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O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O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O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O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O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O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O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O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O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O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O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O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O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O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O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O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O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O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O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O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O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O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O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O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O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O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O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O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O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O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O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O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O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O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O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O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O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O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O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O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O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O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O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O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O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O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O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O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O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O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O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O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O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O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O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O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O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O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O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O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O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O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O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O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O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O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O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O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O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O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O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O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O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O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O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O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O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O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O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O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O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O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O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O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O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O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O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O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O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O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O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O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O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O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O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O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O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O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O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O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O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O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O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O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O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O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O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O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O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O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O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O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O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O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O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O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O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O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O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O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O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O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O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O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O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O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O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O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O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O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O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O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O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O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O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O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O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O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O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O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O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O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O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O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O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O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O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O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O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O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O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K521" s="1"/>
      <c r="L521" s="1"/>
      <c r="M521" s="1"/>
      <c r="N521" s="1"/>
      <c r="O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K522" s="1"/>
      <c r="L522" s="1"/>
      <c r="M522" s="1"/>
      <c r="N522" s="1"/>
      <c r="O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K523" s="1"/>
      <c r="L523" s="1"/>
      <c r="M523" s="1"/>
      <c r="N523" s="1"/>
      <c r="O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K524" s="1"/>
      <c r="L524" s="1"/>
      <c r="M524" s="1"/>
      <c r="N524" s="1"/>
      <c r="O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K525" s="1"/>
      <c r="L525" s="1"/>
      <c r="M525" s="1"/>
      <c r="N525" s="1"/>
      <c r="O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K526" s="1"/>
      <c r="L526" s="1"/>
      <c r="M526" s="1"/>
      <c r="N526" s="1"/>
      <c r="O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K527" s="1"/>
      <c r="L527" s="1"/>
      <c r="M527" s="1"/>
      <c r="N527" s="1"/>
      <c r="O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K528" s="1"/>
      <c r="L528" s="1"/>
      <c r="M528" s="1"/>
      <c r="N528" s="1"/>
      <c r="O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K529" s="1"/>
      <c r="L529" s="1"/>
      <c r="M529" s="1"/>
      <c r="N529" s="1"/>
      <c r="O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K530" s="1"/>
      <c r="L530" s="1"/>
      <c r="M530" s="1"/>
      <c r="N530" s="1"/>
      <c r="O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K531" s="1"/>
      <c r="L531" s="1"/>
      <c r="M531" s="1"/>
      <c r="N531" s="1"/>
      <c r="O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K532" s="1"/>
      <c r="L532" s="1"/>
      <c r="M532" s="1"/>
      <c r="N532" s="1"/>
      <c r="O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</sheetData>
  <mergeCells count="1">
    <mergeCell ref="A5:Z5"/>
  </mergeCells>
  <pageMargins left="0.7" right="0.7" top="0.75" bottom="0.75" header="0.3" footer="0.3"/>
  <pageSetup scale="66" firstPageNumber="2" fitToHeight="0" orientation="landscape" r:id="rId1"/>
  <headerFooter scaleWithDoc="0">
    <oddHeader xml:space="preserve">&amp;R&amp;10Walmart, Inc.
Exhibit LVP-3
Docket Nos. UE-240006/UG-240007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F203-0B25-4192-B0C3-A7908550554B}">
  <sheetPr>
    <pageSetUpPr fitToPage="1"/>
  </sheetPr>
  <dimension ref="A3:K28"/>
  <sheetViews>
    <sheetView view="pageLayout" zoomScaleNormal="70" workbookViewId="0">
      <selection activeCell="C24" sqref="C24:I24"/>
    </sheetView>
  </sheetViews>
  <sheetFormatPr defaultColWidth="9.140625" defaultRowHeight="12.75" x14ac:dyDescent="0.2"/>
  <cols>
    <col min="1" max="1" width="5.28515625" style="44" bestFit="1" customWidth="1"/>
    <col min="2" max="2" width="40.85546875" style="65" customWidth="1"/>
    <col min="3" max="3" width="25.85546875" style="47" customWidth="1"/>
    <col min="4" max="4" width="2.5703125" style="47" customWidth="1"/>
    <col min="5" max="5" width="2.42578125" style="47" customWidth="1"/>
    <col min="6" max="6" width="2.28515625" style="47" customWidth="1"/>
    <col min="7" max="7" width="3.5703125" style="47" customWidth="1"/>
    <col min="8" max="8" width="10.140625" style="47" customWidth="1"/>
    <col min="9" max="9" width="9" style="47" customWidth="1"/>
    <col min="10" max="10" width="18.28515625" style="63" bestFit="1" customWidth="1"/>
    <col min="11" max="11" width="14.7109375" style="49" customWidth="1"/>
    <col min="12" max="12" width="2" style="47" customWidth="1"/>
    <col min="13" max="13" width="9.85546875" style="47" bestFit="1" customWidth="1"/>
    <col min="14" max="16384" width="9.140625" style="47"/>
  </cols>
  <sheetData>
    <row r="3" spans="1:11" ht="34.5" customHeight="1" x14ac:dyDescent="0.25">
      <c r="A3" s="104" t="s">
        <v>349</v>
      </c>
      <c r="B3" s="104"/>
      <c r="C3" s="104"/>
      <c r="D3" s="104"/>
      <c r="E3" s="104"/>
      <c r="F3" s="104"/>
      <c r="G3" s="104"/>
      <c r="H3" s="104"/>
      <c r="I3" s="104"/>
      <c r="J3" s="104"/>
      <c r="K3" s="64"/>
    </row>
    <row r="5" spans="1:11" x14ac:dyDescent="0.2">
      <c r="A5" s="103" t="s">
        <v>345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1" s="67" customFormat="1" x14ac:dyDescent="0.2">
      <c r="A6" s="51"/>
      <c r="B6" s="50"/>
      <c r="C6" s="3" t="s">
        <v>233</v>
      </c>
      <c r="D6" s="3"/>
      <c r="E6" s="3"/>
      <c r="F6" s="3"/>
      <c r="G6" s="3"/>
      <c r="H6" s="3" t="s">
        <v>236</v>
      </c>
      <c r="I6" s="3" t="s">
        <v>232</v>
      </c>
      <c r="J6" s="3" t="s">
        <v>231</v>
      </c>
      <c r="K6" s="66"/>
    </row>
    <row r="7" spans="1:11" x14ac:dyDescent="0.2">
      <c r="A7" s="40" t="s">
        <v>13</v>
      </c>
      <c r="B7" s="42" t="s">
        <v>346</v>
      </c>
      <c r="C7" s="47" t="s">
        <v>347</v>
      </c>
      <c r="F7" s="46"/>
      <c r="H7" s="46">
        <v>0.51500000000000001</v>
      </c>
      <c r="I7" s="46">
        <v>4.99E-2</v>
      </c>
      <c r="J7" s="59">
        <f>H7*I7</f>
        <v>2.5698499999999999E-2</v>
      </c>
    </row>
    <row r="8" spans="1:11" x14ac:dyDescent="0.2">
      <c r="A8" s="40" t="s">
        <v>14</v>
      </c>
      <c r="B8" s="42" t="s">
        <v>346</v>
      </c>
      <c r="C8" s="47" t="s">
        <v>230</v>
      </c>
      <c r="F8" s="46"/>
      <c r="H8" s="48">
        <v>0.48499999999999999</v>
      </c>
      <c r="I8" s="46">
        <v>9.6199999999999994E-2</v>
      </c>
      <c r="J8" s="59">
        <f>H8*I8</f>
        <v>4.6656999999999997E-2</v>
      </c>
    </row>
    <row r="9" spans="1:11" x14ac:dyDescent="0.2">
      <c r="A9" s="40"/>
      <c r="B9" s="42"/>
      <c r="F9" s="46"/>
      <c r="H9" s="46">
        <f>H7+H8</f>
        <v>1</v>
      </c>
      <c r="I9" s="46"/>
      <c r="J9" s="59"/>
    </row>
    <row r="10" spans="1:11" x14ac:dyDescent="0.2">
      <c r="A10" s="40" t="s">
        <v>15</v>
      </c>
      <c r="B10" s="42" t="s">
        <v>235</v>
      </c>
      <c r="C10" s="105" t="s">
        <v>348</v>
      </c>
      <c r="D10" s="105"/>
      <c r="E10" s="105"/>
      <c r="F10" s="105"/>
      <c r="G10" s="105"/>
      <c r="H10" s="106"/>
      <c r="I10" s="106"/>
      <c r="J10" s="60">
        <f>SUM(J7:J8)</f>
        <v>7.2355499999999989E-2</v>
      </c>
      <c r="K10" s="68"/>
    </row>
    <row r="11" spans="1:11" x14ac:dyDescent="0.2">
      <c r="A11" s="40" t="s">
        <v>16</v>
      </c>
      <c r="B11" s="42" t="s">
        <v>354</v>
      </c>
      <c r="C11" s="107" t="s">
        <v>360</v>
      </c>
      <c r="D11" s="107"/>
      <c r="E11" s="107"/>
      <c r="F11" s="107"/>
      <c r="G11" s="107"/>
      <c r="H11" s="107"/>
      <c r="I11" s="107"/>
      <c r="J11" s="45">
        <v>2309817000</v>
      </c>
      <c r="K11" s="68"/>
    </row>
    <row r="12" spans="1:11" x14ac:dyDescent="0.2">
      <c r="A12" s="40" t="s">
        <v>17</v>
      </c>
      <c r="B12" s="42" t="s">
        <v>234</v>
      </c>
      <c r="C12" s="107" t="s">
        <v>352</v>
      </c>
      <c r="D12" s="107"/>
      <c r="E12" s="107"/>
      <c r="F12" s="107"/>
      <c r="G12" s="106"/>
      <c r="H12" s="106"/>
      <c r="I12" s="106"/>
      <c r="J12" s="61">
        <f>J10*J11</f>
        <v>167127963.94349998</v>
      </c>
      <c r="K12" s="68"/>
    </row>
    <row r="13" spans="1:11" x14ac:dyDescent="0.2">
      <c r="A13" s="103" t="s">
        <v>350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s="67" customFormat="1" x14ac:dyDescent="0.2">
      <c r="A14" s="51"/>
      <c r="B14" s="50"/>
      <c r="C14" s="3" t="s">
        <v>233</v>
      </c>
      <c r="D14" s="3"/>
      <c r="E14" s="3"/>
      <c r="F14" s="3"/>
      <c r="G14" s="3"/>
      <c r="H14" s="3" t="s">
        <v>236</v>
      </c>
      <c r="I14" s="3" t="s">
        <v>232</v>
      </c>
      <c r="J14" s="3" t="s">
        <v>231</v>
      </c>
      <c r="K14" s="66"/>
    </row>
    <row r="15" spans="1:11" x14ac:dyDescent="0.2">
      <c r="A15" s="40" t="s">
        <v>18</v>
      </c>
      <c r="B15" s="42" t="s">
        <v>346</v>
      </c>
      <c r="C15" s="47" t="s">
        <v>347</v>
      </c>
      <c r="F15" s="46"/>
      <c r="H15" s="46">
        <f>H7</f>
        <v>0.51500000000000001</v>
      </c>
      <c r="I15" s="46">
        <f>I7</f>
        <v>4.99E-2</v>
      </c>
      <c r="J15" s="59">
        <f>H15*I15</f>
        <v>2.5698499999999999E-2</v>
      </c>
    </row>
    <row r="16" spans="1:11" x14ac:dyDescent="0.2">
      <c r="A16" s="40" t="s">
        <v>19</v>
      </c>
      <c r="B16" s="42" t="s">
        <v>346</v>
      </c>
      <c r="C16" s="47" t="s">
        <v>230</v>
      </c>
      <c r="F16" s="46"/>
      <c r="H16" s="48">
        <f>H8</f>
        <v>0.48499999999999999</v>
      </c>
      <c r="I16" s="46">
        <v>0.104</v>
      </c>
      <c r="J16" s="59">
        <f>H16*I16</f>
        <v>5.0439999999999999E-2</v>
      </c>
    </row>
    <row r="17" spans="1:11" x14ac:dyDescent="0.2">
      <c r="A17" s="40"/>
      <c r="B17" s="42"/>
      <c r="F17" s="46"/>
      <c r="H17" s="46">
        <f>H15+H16</f>
        <v>1</v>
      </c>
      <c r="I17" s="46"/>
      <c r="J17" s="59"/>
    </row>
    <row r="18" spans="1:11" x14ac:dyDescent="0.2">
      <c r="A18" s="40" t="s">
        <v>20</v>
      </c>
      <c r="B18" s="42" t="s">
        <v>229</v>
      </c>
      <c r="C18" s="105" t="s">
        <v>364</v>
      </c>
      <c r="D18" s="105"/>
      <c r="E18" s="105"/>
      <c r="F18" s="105"/>
      <c r="G18" s="105"/>
      <c r="H18" s="106"/>
      <c r="I18" s="106"/>
      <c r="J18" s="60">
        <f>SUM(J15:J16)</f>
        <v>7.6138499999999998E-2</v>
      </c>
      <c r="K18" s="68"/>
    </row>
    <row r="19" spans="1:11" x14ac:dyDescent="0.2">
      <c r="A19" s="40" t="s">
        <v>21</v>
      </c>
      <c r="B19" s="42" t="s">
        <v>354</v>
      </c>
      <c r="C19" s="107" t="s">
        <v>360</v>
      </c>
      <c r="D19" s="107"/>
      <c r="E19" s="107"/>
      <c r="F19" s="107"/>
      <c r="G19" s="107"/>
      <c r="H19" s="107"/>
      <c r="I19" s="107"/>
      <c r="J19" s="45">
        <f>J11</f>
        <v>2309817000</v>
      </c>
      <c r="K19" s="68"/>
    </row>
    <row r="20" spans="1:11" x14ac:dyDescent="0.2">
      <c r="A20" s="40" t="s">
        <v>22</v>
      </c>
      <c r="B20" s="42" t="s">
        <v>228</v>
      </c>
      <c r="C20" s="107" t="s">
        <v>353</v>
      </c>
      <c r="D20" s="107"/>
      <c r="E20" s="107"/>
      <c r="F20" s="107"/>
      <c r="G20" s="106"/>
      <c r="H20" s="106"/>
      <c r="I20" s="106"/>
      <c r="J20" s="61">
        <f>J18*J19</f>
        <v>175866001.65450001</v>
      </c>
      <c r="K20" s="68"/>
    </row>
    <row r="21" spans="1:11" x14ac:dyDescent="0.2">
      <c r="A21" s="103" t="s">
        <v>351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1" x14ac:dyDescent="0.2">
      <c r="A22" s="40" t="s">
        <v>23</v>
      </c>
      <c r="B22" s="42" t="s">
        <v>227</v>
      </c>
      <c r="C22" s="107" t="s">
        <v>361</v>
      </c>
      <c r="D22" s="107"/>
      <c r="E22" s="107"/>
      <c r="F22" s="107"/>
      <c r="G22" s="107"/>
      <c r="H22" s="107"/>
      <c r="I22" s="107"/>
      <c r="J22" s="45">
        <f>J20-J12</f>
        <v>8738037.7110000253</v>
      </c>
      <c r="K22" s="69"/>
    </row>
    <row r="23" spans="1:11" x14ac:dyDescent="0.2">
      <c r="A23" s="44" t="s">
        <v>24</v>
      </c>
      <c r="B23" s="42" t="s">
        <v>355</v>
      </c>
      <c r="C23" s="107" t="s">
        <v>362</v>
      </c>
      <c r="D23" s="107"/>
      <c r="E23" s="107"/>
      <c r="F23" s="107"/>
      <c r="G23" s="107"/>
      <c r="H23" s="107"/>
      <c r="I23" s="107"/>
      <c r="J23" s="80">
        <v>0.75248000000000004</v>
      </c>
    </row>
    <row r="24" spans="1:11" x14ac:dyDescent="0.2">
      <c r="A24" s="40" t="s">
        <v>25</v>
      </c>
      <c r="B24" s="42" t="s">
        <v>356</v>
      </c>
      <c r="C24" s="105" t="s">
        <v>358</v>
      </c>
      <c r="D24" s="105"/>
      <c r="E24" s="105"/>
      <c r="F24" s="105"/>
      <c r="G24" s="105"/>
      <c r="H24" s="105"/>
      <c r="I24" s="105"/>
      <c r="J24" s="43">
        <f>J22/J23</f>
        <v>11612318.880236052</v>
      </c>
    </row>
    <row r="25" spans="1:11" x14ac:dyDescent="0.2">
      <c r="A25" s="40" t="s">
        <v>26</v>
      </c>
      <c r="B25" s="42" t="s">
        <v>357</v>
      </c>
      <c r="C25" s="107" t="s">
        <v>359</v>
      </c>
      <c r="D25" s="107"/>
      <c r="E25" s="107"/>
      <c r="F25" s="107"/>
      <c r="G25" s="107"/>
      <c r="H25" s="107"/>
      <c r="I25" s="107"/>
      <c r="J25" s="57">
        <v>77067000</v>
      </c>
    </row>
    <row r="26" spans="1:11" x14ac:dyDescent="0.2">
      <c r="A26" s="40" t="s">
        <v>226</v>
      </c>
      <c r="B26" s="42" t="s">
        <v>225</v>
      </c>
      <c r="C26" s="105" t="s">
        <v>363</v>
      </c>
      <c r="D26" s="105"/>
      <c r="E26" s="105"/>
      <c r="F26" s="105"/>
      <c r="G26" s="105"/>
      <c r="H26" s="105"/>
      <c r="I26" s="105"/>
      <c r="J26" s="41">
        <f>J24/J25</f>
        <v>0.15067822648132212</v>
      </c>
    </row>
    <row r="27" spans="1:11" x14ac:dyDescent="0.2">
      <c r="A27" s="40"/>
      <c r="B27" s="42"/>
      <c r="C27" s="62"/>
      <c r="D27" s="62"/>
      <c r="E27" s="62"/>
      <c r="F27" s="62"/>
      <c r="G27" s="62"/>
      <c r="H27" s="62"/>
      <c r="I27" s="62"/>
      <c r="J27" s="41"/>
    </row>
    <row r="28" spans="1:11" x14ac:dyDescent="0.2">
      <c r="A28" s="40"/>
      <c r="B28" s="42"/>
      <c r="C28" s="62"/>
      <c r="D28" s="62"/>
      <c r="E28" s="62"/>
      <c r="F28" s="62"/>
      <c r="G28" s="62"/>
      <c r="H28" s="62"/>
      <c r="I28" s="62"/>
      <c r="J28" s="41"/>
    </row>
  </sheetData>
  <mergeCells count="15">
    <mergeCell ref="C24:I24"/>
    <mergeCell ref="C25:I25"/>
    <mergeCell ref="C26:I26"/>
    <mergeCell ref="C18:I18"/>
    <mergeCell ref="C19:I19"/>
    <mergeCell ref="C20:I20"/>
    <mergeCell ref="A21:J21"/>
    <mergeCell ref="C22:I22"/>
    <mergeCell ref="C23:I23"/>
    <mergeCell ref="A13:J13"/>
    <mergeCell ref="A3:J3"/>
    <mergeCell ref="A5:J5"/>
    <mergeCell ref="C10:I10"/>
    <mergeCell ref="C11:I11"/>
    <mergeCell ref="C12:I12"/>
  </mergeCells>
  <pageMargins left="0.7" right="0.7" top="0.75" bottom="0.75" header="0.3" footer="0.3"/>
  <pageSetup orientation="landscape" r:id="rId1"/>
  <headerFooter>
    <oddHeader>&amp;L
&amp;R&amp;"-,Bold"&amp;10Walmart, Inc.
Exhibit LVP-4
Docket Nos. UE-240006/UG-240007</oddHeader>
  </headerFooter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6CAE-8728-441C-AAE6-7F9ABC9AE961}">
  <sheetPr>
    <pageSetUpPr fitToPage="1"/>
  </sheetPr>
  <dimension ref="A4:AD520"/>
  <sheetViews>
    <sheetView view="pageLayout" topLeftCell="A128" zoomScaleNormal="90" workbookViewId="0">
      <selection activeCell="C75" sqref="C75"/>
    </sheetView>
  </sheetViews>
  <sheetFormatPr defaultColWidth="9.140625" defaultRowHeight="15" x14ac:dyDescent="0.25"/>
  <cols>
    <col min="1" max="1" width="18.42578125" customWidth="1"/>
    <col min="2" max="2" width="0.42578125" customWidth="1"/>
    <col min="3" max="3" width="27.5703125" customWidth="1"/>
    <col min="4" max="4" width="0.42578125" customWidth="1"/>
    <col min="5" max="5" width="18.5703125" bestFit="1" customWidth="1"/>
    <col min="6" max="6" width="0.42578125" customWidth="1"/>
    <col min="7" max="7" width="19" customWidth="1"/>
    <col min="8" max="8" width="0.42578125" customWidth="1"/>
    <col min="9" max="9" width="9.42578125" customWidth="1"/>
    <col min="10" max="10" width="1.140625" style="1" customWidth="1"/>
    <col min="11" max="11" width="11.85546875" bestFit="1" customWidth="1"/>
    <col min="12" max="13" width="0.42578125" customWidth="1"/>
    <col min="14" max="14" width="12.7109375" bestFit="1" customWidth="1"/>
    <col min="15" max="15" width="1.85546875" style="1" customWidth="1"/>
    <col min="17" max="17" width="0.42578125" customWidth="1"/>
    <col min="18" max="18" width="9.7109375" hidden="1" customWidth="1"/>
    <col min="19" max="19" width="0.42578125" customWidth="1"/>
    <col min="20" max="20" width="13.28515625" bestFit="1" customWidth="1"/>
    <col min="21" max="21" width="0.42578125" customWidth="1"/>
    <col min="23" max="23" width="0.85546875" customWidth="1"/>
    <col min="25" max="25" width="0.85546875" customWidth="1"/>
    <col min="26" max="26" width="11" customWidth="1"/>
    <col min="27" max="27" width="0.42578125" customWidth="1"/>
    <col min="29" max="29" width="0.42578125" customWidth="1"/>
    <col min="30" max="30" width="9.7109375" customWidth="1"/>
  </cols>
  <sheetData>
    <row r="4" spans="1:28" ht="15.75" thickBot="1" x14ac:dyDescent="0.3"/>
    <row r="5" spans="1:28" ht="16.5" thickBot="1" x14ac:dyDescent="0.3">
      <c r="A5" s="100" t="s">
        <v>365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</row>
    <row r="7" spans="1:28" s="3" customFormat="1" ht="51" x14ac:dyDescent="0.2">
      <c r="A7" s="2" t="s">
        <v>0</v>
      </c>
      <c r="C7" s="2" t="s">
        <v>1</v>
      </c>
      <c r="E7" s="2" t="s">
        <v>2</v>
      </c>
      <c r="G7" s="2" t="s">
        <v>3</v>
      </c>
      <c r="I7" s="2" t="s">
        <v>4</v>
      </c>
      <c r="J7" s="4"/>
      <c r="K7" s="2" t="s">
        <v>5</v>
      </c>
      <c r="N7" s="2" t="s">
        <v>7</v>
      </c>
      <c r="O7" s="4"/>
      <c r="P7" s="2" t="s">
        <v>8</v>
      </c>
      <c r="R7" s="2" t="s">
        <v>366</v>
      </c>
      <c r="T7" s="2" t="s">
        <v>9</v>
      </c>
      <c r="V7" s="2" t="s">
        <v>10</v>
      </c>
      <c r="X7" s="2" t="s">
        <v>11</v>
      </c>
      <c r="Z7" s="2" t="s">
        <v>12</v>
      </c>
    </row>
    <row r="8" spans="1:28" s="5" customFormat="1" ht="12" x14ac:dyDescent="0.2">
      <c r="A8" s="5" t="s">
        <v>13</v>
      </c>
      <c r="C8" s="5" t="s">
        <v>14</v>
      </c>
      <c r="E8" s="5" t="s">
        <v>15</v>
      </c>
      <c r="G8" s="5" t="s">
        <v>16</v>
      </c>
      <c r="I8" s="5" t="s">
        <v>17</v>
      </c>
      <c r="J8" s="6"/>
      <c r="K8" s="5" t="s">
        <v>18</v>
      </c>
      <c r="N8" s="5" t="s">
        <v>19</v>
      </c>
      <c r="O8" s="6"/>
      <c r="P8" s="5" t="s">
        <v>20</v>
      </c>
      <c r="R8" s="5" t="s">
        <v>21</v>
      </c>
      <c r="T8" s="5" t="s">
        <v>22</v>
      </c>
      <c r="V8" s="5" t="s">
        <v>23</v>
      </c>
      <c r="X8" s="5" t="s">
        <v>24</v>
      </c>
      <c r="Z8" s="5" t="s">
        <v>25</v>
      </c>
    </row>
    <row r="9" spans="1:28" s="5" customFormat="1" ht="12" x14ac:dyDescent="0.2">
      <c r="J9" s="6"/>
      <c r="O9" s="6"/>
      <c r="P9" s="5" t="s">
        <v>367</v>
      </c>
      <c r="Z9" s="5" t="s">
        <v>368</v>
      </c>
    </row>
    <row r="11" spans="1:28" x14ac:dyDescent="0.25">
      <c r="A11" s="81" t="s">
        <v>151</v>
      </c>
      <c r="B11" s="81"/>
      <c r="C11" s="81" t="s">
        <v>117</v>
      </c>
      <c r="D11" s="81"/>
      <c r="E11" s="81" t="s">
        <v>39</v>
      </c>
      <c r="F11" s="52"/>
      <c r="G11" s="82" t="s">
        <v>369</v>
      </c>
      <c r="H11" s="82"/>
      <c r="I11" s="82">
        <v>0.10300000000000001</v>
      </c>
      <c r="J11" s="82"/>
      <c r="K11" s="83">
        <v>44202</v>
      </c>
      <c r="L11" s="52"/>
      <c r="N11" s="82">
        <v>9.6000000000000002E-2</v>
      </c>
      <c r="O11" s="84"/>
      <c r="P11" s="85">
        <f t="shared" ref="P11:P74" si="0">(N11-I11)*10000</f>
        <v>-70.000000000000057</v>
      </c>
      <c r="Q11" s="9"/>
      <c r="R11" s="9"/>
      <c r="T11" s="82" t="s">
        <v>33</v>
      </c>
      <c r="V11" s="82">
        <v>6.8000000000000005E-2</v>
      </c>
      <c r="W11" s="7"/>
      <c r="X11" s="82">
        <v>0.50369999999999993</v>
      </c>
      <c r="Y11" s="86"/>
      <c r="Z11" s="7">
        <f t="shared" ref="Z11:Z14" si="1">X11*N11</f>
        <v>4.8355199999999994E-2</v>
      </c>
      <c r="AA11" s="11"/>
      <c r="AB11" s="11"/>
    </row>
    <row r="12" spans="1:28" x14ac:dyDescent="0.25">
      <c r="A12" s="81" t="s">
        <v>124</v>
      </c>
      <c r="B12" s="81"/>
      <c r="C12" s="81" t="s">
        <v>370</v>
      </c>
      <c r="D12" s="81"/>
      <c r="E12" s="81" t="s">
        <v>281</v>
      </c>
      <c r="F12" s="15"/>
      <c r="G12" s="82" t="s">
        <v>371</v>
      </c>
      <c r="H12" s="82"/>
      <c r="I12" s="82">
        <v>9.4E-2</v>
      </c>
      <c r="J12" s="82"/>
      <c r="K12" s="83">
        <v>44202</v>
      </c>
      <c r="L12" s="15"/>
      <c r="M12" s="11"/>
      <c r="N12" s="82">
        <v>9.4E-2</v>
      </c>
      <c r="O12" s="84"/>
      <c r="P12" s="85">
        <f t="shared" si="0"/>
        <v>0</v>
      </c>
      <c r="Q12" s="9"/>
      <c r="R12" s="9"/>
      <c r="S12" s="11"/>
      <c r="T12" s="82" t="s">
        <v>33</v>
      </c>
      <c r="U12" s="11"/>
      <c r="V12" s="82">
        <v>7.0699999999999999E-2</v>
      </c>
      <c r="W12" s="7"/>
      <c r="X12" s="82">
        <v>0.5</v>
      </c>
      <c r="Y12" s="86"/>
      <c r="Z12" s="7">
        <f t="shared" si="1"/>
        <v>4.7E-2</v>
      </c>
      <c r="AA12" s="11"/>
      <c r="AB12" s="11"/>
    </row>
    <row r="13" spans="1:28" x14ac:dyDescent="0.25">
      <c r="A13" s="81" t="s">
        <v>76</v>
      </c>
      <c r="B13" s="81"/>
      <c r="C13" s="81" t="s">
        <v>80</v>
      </c>
      <c r="D13" s="81"/>
      <c r="E13" s="81" t="s">
        <v>81</v>
      </c>
      <c r="F13" s="52"/>
      <c r="G13" s="82" t="s">
        <v>372</v>
      </c>
      <c r="H13" s="82"/>
      <c r="I13" s="82">
        <v>0.105</v>
      </c>
      <c r="J13" s="82"/>
      <c r="K13" s="83">
        <v>44209</v>
      </c>
      <c r="L13" s="52"/>
      <c r="N13" s="82">
        <v>9.6699999999999994E-2</v>
      </c>
      <c r="O13" s="84"/>
      <c r="P13" s="85">
        <f t="shared" si="0"/>
        <v>-83.000000000000014</v>
      </c>
      <c r="Q13" s="9"/>
      <c r="R13" s="9"/>
      <c r="T13" s="82" t="s">
        <v>46</v>
      </c>
      <c r="V13" s="82">
        <v>7.1399999999999991E-2</v>
      </c>
      <c r="W13" s="7"/>
      <c r="X13" s="82">
        <v>0.52</v>
      </c>
      <c r="Y13" s="86"/>
      <c r="Z13" s="7">
        <f t="shared" si="1"/>
        <v>5.0283999999999995E-2</v>
      </c>
      <c r="AA13" s="11"/>
      <c r="AB13" s="11"/>
    </row>
    <row r="14" spans="1:28" x14ac:dyDescent="0.25">
      <c r="A14" s="81" t="s">
        <v>373</v>
      </c>
      <c r="B14" s="81"/>
      <c r="C14" s="81" t="s">
        <v>374</v>
      </c>
      <c r="D14" s="81"/>
      <c r="E14" s="81" t="s">
        <v>267</v>
      </c>
      <c r="F14" s="1"/>
      <c r="G14" s="82" t="s">
        <v>375</v>
      </c>
      <c r="H14" s="82"/>
      <c r="I14" s="82">
        <v>0.1</v>
      </c>
      <c r="J14" s="82"/>
      <c r="K14" s="83">
        <v>44222</v>
      </c>
      <c r="L14" s="1"/>
      <c r="N14" s="82">
        <v>9.5000000000000001E-2</v>
      </c>
      <c r="O14" s="84"/>
      <c r="P14" s="85">
        <f t="shared" si="0"/>
        <v>-50.000000000000043</v>
      </c>
      <c r="Q14" s="9"/>
      <c r="R14" s="9"/>
      <c r="T14" s="82" t="s">
        <v>33</v>
      </c>
      <c r="V14" s="82">
        <v>6.7099999999999993E-2</v>
      </c>
      <c r="W14" s="7"/>
      <c r="X14" s="82">
        <v>0.5</v>
      </c>
      <c r="Y14" s="86"/>
      <c r="Z14" s="7">
        <f t="shared" si="1"/>
        <v>4.7500000000000001E-2</v>
      </c>
      <c r="AA14" s="11"/>
      <c r="AB14" s="11"/>
    </row>
    <row r="15" spans="1:28" x14ac:dyDescent="0.25">
      <c r="A15" s="81" t="s">
        <v>220</v>
      </c>
      <c r="B15" s="81"/>
      <c r="C15" s="81" t="s">
        <v>376</v>
      </c>
      <c r="D15" s="81"/>
      <c r="E15" s="81" t="s">
        <v>56</v>
      </c>
      <c r="F15" s="19"/>
      <c r="G15" s="82" t="s">
        <v>377</v>
      </c>
      <c r="H15" s="82"/>
      <c r="I15" s="82">
        <v>0.10300000000000001</v>
      </c>
      <c r="J15" s="82"/>
      <c r="K15" s="83">
        <v>44243</v>
      </c>
      <c r="L15" s="19"/>
      <c r="M15" s="20"/>
      <c r="N15" s="82">
        <v>9.8000000000000004E-2</v>
      </c>
      <c r="O15" s="84"/>
      <c r="P15" s="85">
        <f t="shared" si="0"/>
        <v>-50.000000000000043</v>
      </c>
      <c r="Q15" s="9"/>
      <c r="R15" s="9"/>
      <c r="S15" s="20"/>
      <c r="T15" s="82" t="s">
        <v>33</v>
      </c>
      <c r="U15" s="20"/>
      <c r="V15" s="82">
        <v>6.8499999999999991E-2</v>
      </c>
      <c r="W15" s="7"/>
      <c r="X15" s="82">
        <v>0.505</v>
      </c>
      <c r="Y15" s="86"/>
      <c r="Z15" s="24" t="s">
        <v>34</v>
      </c>
      <c r="AA15" s="11"/>
      <c r="AB15" s="11"/>
    </row>
    <row r="16" spans="1:28" x14ac:dyDescent="0.25">
      <c r="A16" s="81" t="s">
        <v>378</v>
      </c>
      <c r="B16" s="81"/>
      <c r="C16" s="81" t="s">
        <v>379</v>
      </c>
      <c r="D16" s="81"/>
      <c r="E16" s="81" t="s">
        <v>79</v>
      </c>
      <c r="F16" s="15"/>
      <c r="G16" s="82" t="s">
        <v>380</v>
      </c>
      <c r="H16" s="82"/>
      <c r="I16" s="82">
        <v>0.10949999999999999</v>
      </c>
      <c r="J16" s="82"/>
      <c r="K16" s="83">
        <v>44246</v>
      </c>
      <c r="L16" s="15"/>
      <c r="M16" s="11"/>
      <c r="N16" s="82">
        <v>9.8599999999999993E-2</v>
      </c>
      <c r="O16" s="84"/>
      <c r="P16" s="85">
        <f t="shared" si="0"/>
        <v>-108.99999999999993</v>
      </c>
      <c r="Q16" s="9"/>
      <c r="R16" s="9"/>
      <c r="S16" s="11"/>
      <c r="T16" s="82" t="s">
        <v>46</v>
      </c>
      <c r="U16" s="11"/>
      <c r="V16" s="82">
        <v>7.4099999999999999E-2</v>
      </c>
      <c r="W16" s="7"/>
      <c r="X16" s="82">
        <v>0.54189999999999994</v>
      </c>
      <c r="Y16" s="86"/>
      <c r="Z16" s="7">
        <f t="shared" ref="Z16:Z25" si="2">X16*N16</f>
        <v>5.3431339999999987E-2</v>
      </c>
      <c r="AA16" s="11"/>
      <c r="AB16" s="11"/>
    </row>
    <row r="17" spans="1:28" x14ac:dyDescent="0.25">
      <c r="A17" s="81" t="s">
        <v>139</v>
      </c>
      <c r="B17" s="81"/>
      <c r="C17" s="81" t="s">
        <v>381</v>
      </c>
      <c r="D17" s="81"/>
      <c r="E17" s="81" t="s">
        <v>382</v>
      </c>
      <c r="F17" s="52"/>
      <c r="G17" s="82" t="s">
        <v>383</v>
      </c>
      <c r="H17" s="82"/>
      <c r="I17" s="82">
        <v>0.10400000000000001</v>
      </c>
      <c r="J17" s="82"/>
      <c r="K17" s="83">
        <v>44251</v>
      </c>
      <c r="L17" s="52"/>
      <c r="N17" s="82">
        <v>9.2499999999999999E-2</v>
      </c>
      <c r="O17" s="84"/>
      <c r="P17" s="85">
        <f t="shared" si="0"/>
        <v>-115.0000000000001</v>
      </c>
      <c r="Q17" s="9"/>
      <c r="R17" s="9"/>
      <c r="T17" s="82" t="s">
        <v>33</v>
      </c>
      <c r="V17" s="82">
        <v>7.0499999999999993E-2</v>
      </c>
      <c r="W17" s="7"/>
      <c r="X17" s="82">
        <v>0.52100000000000002</v>
      </c>
      <c r="Y17" s="86"/>
      <c r="Z17" s="7">
        <f t="shared" si="2"/>
        <v>4.8192499999999999E-2</v>
      </c>
      <c r="AA17" s="11"/>
      <c r="AB17" s="11"/>
    </row>
    <row r="18" spans="1:28" x14ac:dyDescent="0.25">
      <c r="A18" s="81" t="s">
        <v>86</v>
      </c>
      <c r="B18" s="81"/>
      <c r="C18" s="81" t="s">
        <v>384</v>
      </c>
      <c r="D18" s="81"/>
      <c r="E18" s="81" t="s">
        <v>385</v>
      </c>
      <c r="F18" s="52"/>
      <c r="G18" s="82" t="s">
        <v>386</v>
      </c>
      <c r="H18" s="82"/>
      <c r="I18" s="82">
        <v>0.105</v>
      </c>
      <c r="J18" s="82"/>
      <c r="K18" s="83">
        <v>44280</v>
      </c>
      <c r="L18" s="52"/>
      <c r="N18" s="82">
        <v>0.1</v>
      </c>
      <c r="O18" s="84"/>
      <c r="P18" s="85">
        <f t="shared" si="0"/>
        <v>-49.999999999999908</v>
      </c>
      <c r="Q18" s="9"/>
      <c r="R18" s="9"/>
      <c r="T18" s="82" t="s">
        <v>33</v>
      </c>
      <c r="V18" s="82">
        <v>7.1099999999999997E-2</v>
      </c>
      <c r="W18" s="7"/>
      <c r="X18" s="82">
        <v>0.52</v>
      </c>
      <c r="Y18" s="86"/>
      <c r="Z18" s="7">
        <f t="shared" si="2"/>
        <v>5.2000000000000005E-2</v>
      </c>
      <c r="AA18" s="11"/>
      <c r="AB18" s="11"/>
    </row>
    <row r="19" spans="1:28" x14ac:dyDescent="0.25">
      <c r="A19" s="81" t="s">
        <v>86</v>
      </c>
      <c r="B19" s="81"/>
      <c r="C19" s="81" t="s">
        <v>384</v>
      </c>
      <c r="D19" s="81"/>
      <c r="E19" s="81" t="s">
        <v>385</v>
      </c>
      <c r="F19" s="52"/>
      <c r="G19" s="82" t="s">
        <v>387</v>
      </c>
      <c r="H19" s="82"/>
      <c r="I19" s="82">
        <v>0.105</v>
      </c>
      <c r="J19" s="82"/>
      <c r="K19" s="83">
        <v>44280</v>
      </c>
      <c r="L19" s="52"/>
      <c r="N19" s="82">
        <v>0.1</v>
      </c>
      <c r="O19" s="84"/>
      <c r="P19" s="85">
        <f t="shared" si="0"/>
        <v>-49.999999999999908</v>
      </c>
      <c r="Q19" s="9"/>
      <c r="R19" s="9"/>
      <c r="T19" s="82" t="s">
        <v>33</v>
      </c>
      <c r="V19" s="82">
        <v>7.4400000000000008E-2</v>
      </c>
      <c r="W19" s="7"/>
      <c r="X19" s="82">
        <v>0.52</v>
      </c>
      <c r="Y19" s="86"/>
      <c r="Z19" s="7">
        <f t="shared" si="2"/>
        <v>5.2000000000000005E-2</v>
      </c>
      <c r="AA19" s="11"/>
      <c r="AB19" s="11"/>
    </row>
    <row r="20" spans="1:28" x14ac:dyDescent="0.25">
      <c r="A20" s="81" t="s">
        <v>86</v>
      </c>
      <c r="B20" s="81"/>
      <c r="C20" s="81" t="s">
        <v>384</v>
      </c>
      <c r="D20" s="81"/>
      <c r="E20" s="81" t="s">
        <v>385</v>
      </c>
      <c r="F20" s="52"/>
      <c r="G20" s="82" t="s">
        <v>388</v>
      </c>
      <c r="H20" s="82"/>
      <c r="I20" s="82">
        <v>0.105</v>
      </c>
      <c r="J20" s="82"/>
      <c r="K20" s="83">
        <v>44280</v>
      </c>
      <c r="L20" s="52"/>
      <c r="N20" s="82">
        <v>0.1</v>
      </c>
      <c r="O20" s="84"/>
      <c r="P20" s="85">
        <f t="shared" si="0"/>
        <v>-49.999999999999908</v>
      </c>
      <c r="Q20" s="9"/>
      <c r="R20" s="9"/>
      <c r="T20" s="82" t="s">
        <v>33</v>
      </c>
      <c r="V20" s="82">
        <v>7.4400000000000008E-2</v>
      </c>
      <c r="W20" s="7"/>
      <c r="X20" s="82">
        <v>0.52</v>
      </c>
      <c r="Y20" s="86"/>
      <c r="Z20" s="7">
        <f t="shared" si="2"/>
        <v>5.2000000000000005E-2</v>
      </c>
      <c r="AA20" s="11"/>
      <c r="AB20" s="11"/>
    </row>
    <row r="21" spans="1:28" x14ac:dyDescent="0.25">
      <c r="A21" s="81" t="s">
        <v>44</v>
      </c>
      <c r="B21" s="81"/>
      <c r="C21" s="81" t="s">
        <v>381</v>
      </c>
      <c r="D21" s="81"/>
      <c r="E21" s="81" t="s">
        <v>382</v>
      </c>
      <c r="F21" s="1"/>
      <c r="G21" s="82" t="s">
        <v>389</v>
      </c>
      <c r="H21" s="82"/>
      <c r="I21" s="82">
        <v>0.1045</v>
      </c>
      <c r="J21" s="82"/>
      <c r="K21" s="83">
        <v>44295</v>
      </c>
      <c r="L21" s="1"/>
      <c r="N21" s="82">
        <v>9.6999999999999989E-2</v>
      </c>
      <c r="O21" s="84"/>
      <c r="P21" s="85">
        <f t="shared" si="0"/>
        <v>-75.000000000000071</v>
      </c>
      <c r="Q21" s="9"/>
      <c r="R21" s="9"/>
      <c r="T21" s="82" t="s">
        <v>46</v>
      </c>
      <c r="V21" s="82">
        <v>7.0900000000000005E-2</v>
      </c>
      <c r="W21" s="7"/>
      <c r="X21" s="82">
        <v>0.52029999999999998</v>
      </c>
      <c r="Y21" s="86"/>
      <c r="Z21" s="7">
        <f t="shared" si="2"/>
        <v>5.0469099999999996E-2</v>
      </c>
      <c r="AA21" s="11"/>
      <c r="AB21" s="11"/>
    </row>
    <row r="22" spans="1:28" x14ac:dyDescent="0.25">
      <c r="A22" s="81" t="s">
        <v>153</v>
      </c>
      <c r="B22" s="81"/>
      <c r="C22" s="81" t="s">
        <v>280</v>
      </c>
      <c r="D22" s="81"/>
      <c r="E22" s="81" t="s">
        <v>281</v>
      </c>
      <c r="F22" s="1"/>
      <c r="G22" s="82" t="s">
        <v>390</v>
      </c>
      <c r="H22" s="82"/>
      <c r="I22" s="82">
        <v>9.8000000000000004E-2</v>
      </c>
      <c r="J22" s="82"/>
      <c r="K22" s="83">
        <v>44321</v>
      </c>
      <c r="L22" s="1"/>
      <c r="N22" s="82">
        <v>9.3000000000000013E-2</v>
      </c>
      <c r="O22" s="84"/>
      <c r="P22" s="85">
        <f t="shared" si="0"/>
        <v>-49.999999999999908</v>
      </c>
      <c r="Q22" s="9"/>
      <c r="R22" s="9"/>
      <c r="T22" s="82" t="s">
        <v>33</v>
      </c>
      <c r="V22" s="82">
        <v>6.8499999999999991E-2</v>
      </c>
      <c r="W22" s="7"/>
      <c r="X22" s="82">
        <v>0.50309999999999999</v>
      </c>
      <c r="Y22" s="86"/>
      <c r="Z22" s="7">
        <f t="shared" si="2"/>
        <v>4.6788300000000005E-2</v>
      </c>
      <c r="AA22" s="11"/>
      <c r="AB22" s="11"/>
    </row>
    <row r="23" spans="1:28" x14ac:dyDescent="0.25">
      <c r="A23" s="92" t="s">
        <v>108</v>
      </c>
      <c r="B23" s="92"/>
      <c r="C23" s="92" t="s">
        <v>370</v>
      </c>
      <c r="D23" s="92"/>
      <c r="E23" s="92" t="s">
        <v>281</v>
      </c>
      <c r="F23" s="70"/>
      <c r="G23" s="93" t="s">
        <v>391</v>
      </c>
      <c r="H23" s="93"/>
      <c r="I23" s="93">
        <v>9.8000000000000004E-2</v>
      </c>
      <c r="J23" s="93"/>
      <c r="K23" s="94">
        <v>44334</v>
      </c>
      <c r="L23" s="70"/>
      <c r="M23" s="71"/>
      <c r="N23" s="93">
        <v>9.4E-2</v>
      </c>
      <c r="O23" s="95"/>
      <c r="P23" s="96">
        <f t="shared" si="0"/>
        <v>-40.000000000000036</v>
      </c>
      <c r="Q23" s="76"/>
      <c r="R23" s="76"/>
      <c r="S23" s="71"/>
      <c r="T23" s="93" t="s">
        <v>46</v>
      </c>
      <c r="U23" s="71"/>
      <c r="V23" s="93">
        <v>6.9500000000000006E-2</v>
      </c>
      <c r="W23" s="79"/>
      <c r="X23" s="93">
        <v>0.49099999999999999</v>
      </c>
      <c r="Y23" s="97"/>
      <c r="Z23" s="79">
        <f t="shared" si="2"/>
        <v>4.6154000000000001E-2</v>
      </c>
      <c r="AA23" s="11"/>
      <c r="AB23" s="11"/>
    </row>
    <row r="24" spans="1:28" x14ac:dyDescent="0.25">
      <c r="A24" s="81" t="s">
        <v>41</v>
      </c>
      <c r="B24" s="81"/>
      <c r="C24" s="81" t="s">
        <v>392</v>
      </c>
      <c r="D24" s="81"/>
      <c r="E24" s="81" t="s">
        <v>393</v>
      </c>
      <c r="F24" s="15"/>
      <c r="G24" s="82" t="s">
        <v>394</v>
      </c>
      <c r="H24" s="82"/>
      <c r="I24" s="82">
        <v>0.10199999999999999</v>
      </c>
      <c r="J24" s="82"/>
      <c r="K24" s="83">
        <v>44335</v>
      </c>
      <c r="L24" s="15"/>
      <c r="M24" s="11"/>
      <c r="N24" s="82">
        <v>8.8000000000000009E-2</v>
      </c>
      <c r="O24" s="84"/>
      <c r="P24" s="85">
        <f t="shared" si="0"/>
        <v>-139.99999999999986</v>
      </c>
      <c r="Q24" s="9"/>
      <c r="R24" s="9"/>
      <c r="S24" s="11"/>
      <c r="T24" s="82" t="s">
        <v>46</v>
      </c>
      <c r="U24" s="11"/>
      <c r="V24" s="82">
        <v>6.2800000000000009E-2</v>
      </c>
      <c r="W24" s="7"/>
      <c r="X24" s="82">
        <v>0.48</v>
      </c>
      <c r="Y24" s="86"/>
      <c r="Z24" s="7">
        <f t="shared" si="2"/>
        <v>4.224E-2</v>
      </c>
      <c r="AA24" s="11"/>
      <c r="AB24" s="11"/>
    </row>
    <row r="25" spans="1:28" x14ac:dyDescent="0.25">
      <c r="A25" s="81" t="s">
        <v>378</v>
      </c>
      <c r="B25" s="81"/>
      <c r="C25" s="81" t="s">
        <v>395</v>
      </c>
      <c r="D25" s="81"/>
      <c r="E25" s="81" t="s">
        <v>39</v>
      </c>
      <c r="F25" s="15"/>
      <c r="G25" s="82" t="s">
        <v>396</v>
      </c>
      <c r="H25" s="82"/>
      <c r="I25" s="82">
        <v>0.10949999999999999</v>
      </c>
      <c r="J25" s="82"/>
      <c r="K25" s="83">
        <v>44364</v>
      </c>
      <c r="L25" s="15"/>
      <c r="M25" s="11"/>
      <c r="N25" s="82">
        <v>0.1024</v>
      </c>
      <c r="O25" s="84"/>
      <c r="P25" s="85">
        <f t="shared" si="0"/>
        <v>-70.999999999999815</v>
      </c>
      <c r="Q25" s="9"/>
      <c r="R25" s="9"/>
      <c r="S25" s="11"/>
      <c r="T25" s="82" t="s">
        <v>46</v>
      </c>
      <c r="U25" s="11"/>
      <c r="V25" s="82">
        <v>7.2599999999999998E-2</v>
      </c>
      <c r="W25" s="7"/>
      <c r="X25" s="82">
        <v>0.53380000000000005</v>
      </c>
      <c r="Y25" s="86"/>
      <c r="Z25" s="7">
        <f t="shared" si="2"/>
        <v>5.4661120000000007E-2</v>
      </c>
      <c r="AA25" s="11"/>
      <c r="AB25" s="11"/>
    </row>
    <row r="26" spans="1:28" x14ac:dyDescent="0.25">
      <c r="A26" s="81" t="s">
        <v>47</v>
      </c>
      <c r="B26" s="81"/>
      <c r="C26" s="81" t="s">
        <v>50</v>
      </c>
      <c r="D26" s="81"/>
      <c r="E26" s="81" t="s">
        <v>49</v>
      </c>
      <c r="F26" s="1"/>
      <c r="G26" s="82" t="s">
        <v>397</v>
      </c>
      <c r="H26" s="82"/>
      <c r="I26" s="82">
        <v>0.1</v>
      </c>
      <c r="J26" s="82"/>
      <c r="K26" s="83">
        <v>44377</v>
      </c>
      <c r="L26" s="1"/>
      <c r="N26" s="82">
        <v>9.4299999999999995E-2</v>
      </c>
      <c r="O26" s="84"/>
      <c r="P26" s="85">
        <f t="shared" si="0"/>
        <v>-57.000000000000107</v>
      </c>
      <c r="Q26" s="9"/>
      <c r="R26" s="9"/>
      <c r="T26" s="82" t="s">
        <v>33</v>
      </c>
      <c r="V26" s="82" t="s">
        <v>34</v>
      </c>
      <c r="W26" s="7"/>
      <c r="X26" s="82" t="s">
        <v>34</v>
      </c>
      <c r="Y26" s="86"/>
      <c r="Z26" s="7" t="str">
        <f>IFERROR(X26*N26,"NA")</f>
        <v>NA</v>
      </c>
      <c r="AA26" s="11"/>
      <c r="AB26" s="11"/>
    </row>
    <row r="27" spans="1:28" x14ac:dyDescent="0.25">
      <c r="A27" s="81" t="s">
        <v>35</v>
      </c>
      <c r="B27" s="81"/>
      <c r="C27" s="81" t="s">
        <v>398</v>
      </c>
      <c r="D27" s="81"/>
      <c r="E27" s="81" t="s">
        <v>40</v>
      </c>
      <c r="F27" s="19"/>
      <c r="G27" s="82" t="s">
        <v>399</v>
      </c>
      <c r="H27" s="82"/>
      <c r="I27" s="82">
        <v>0.10249999999999999</v>
      </c>
      <c r="J27" s="82"/>
      <c r="K27" s="83">
        <v>44404</v>
      </c>
      <c r="L27" s="19"/>
      <c r="M27" s="20"/>
      <c r="N27" s="82">
        <v>9.5399999999999985E-2</v>
      </c>
      <c r="O27" s="84"/>
      <c r="P27" s="85">
        <f t="shared" si="0"/>
        <v>-71.000000000000085</v>
      </c>
      <c r="Q27" s="9"/>
      <c r="R27" s="9"/>
      <c r="S27" s="20"/>
      <c r="T27" s="82" t="s">
        <v>46</v>
      </c>
      <c r="U27" s="20"/>
      <c r="V27" s="82">
        <v>5.9000000000000004E-2</v>
      </c>
      <c r="W27" s="7"/>
      <c r="X27" s="82">
        <v>0.46259999999999996</v>
      </c>
      <c r="Y27" s="86"/>
      <c r="Z27" s="7">
        <f>X27*N27</f>
        <v>4.413203999999999E-2</v>
      </c>
      <c r="AA27" s="11"/>
      <c r="AB27" s="11"/>
    </row>
    <row r="28" spans="1:28" x14ac:dyDescent="0.25">
      <c r="A28" s="81" t="s">
        <v>113</v>
      </c>
      <c r="B28" s="81"/>
      <c r="C28" s="81" t="s">
        <v>400</v>
      </c>
      <c r="D28" s="81"/>
      <c r="E28" s="81" t="s">
        <v>114</v>
      </c>
      <c r="F28" s="1"/>
      <c r="G28" s="82" t="s">
        <v>401</v>
      </c>
      <c r="H28" s="82"/>
      <c r="I28" s="82">
        <v>0.1051</v>
      </c>
      <c r="J28" s="82"/>
      <c r="K28" s="83">
        <v>44407</v>
      </c>
      <c r="L28" s="1"/>
      <c r="N28" s="82">
        <v>9.3000000000000013E-2</v>
      </c>
      <c r="O28" s="84"/>
      <c r="P28" s="85">
        <f t="shared" si="0"/>
        <v>-120.99999999999986</v>
      </c>
      <c r="Q28" s="9"/>
      <c r="R28" s="9"/>
      <c r="T28" s="82" t="s">
        <v>33</v>
      </c>
      <c r="V28" s="82">
        <v>6.9599999999999995E-2</v>
      </c>
      <c r="W28" s="7"/>
      <c r="X28" s="82">
        <v>0.52</v>
      </c>
      <c r="Y28" s="86"/>
      <c r="Z28" s="7">
        <f>X28*N28</f>
        <v>4.8360000000000007E-2</v>
      </c>
      <c r="AA28" s="11"/>
      <c r="AB28" s="11"/>
    </row>
    <row r="29" spans="1:28" x14ac:dyDescent="0.25">
      <c r="A29" s="81" t="s">
        <v>41</v>
      </c>
      <c r="B29" s="81"/>
      <c r="C29" s="81" t="s">
        <v>402</v>
      </c>
      <c r="D29" s="81"/>
      <c r="E29" s="81" t="s">
        <v>238</v>
      </c>
      <c r="F29" s="15"/>
      <c r="G29" s="82" t="s">
        <v>403</v>
      </c>
      <c r="H29" s="82"/>
      <c r="I29" s="82">
        <v>9.6500000000000002E-2</v>
      </c>
      <c r="J29" s="82"/>
      <c r="K29" s="83">
        <v>44420</v>
      </c>
      <c r="L29" s="15"/>
      <c r="M29" s="11"/>
      <c r="N29" s="82">
        <v>8.8000000000000009E-2</v>
      </c>
      <c r="O29" s="84"/>
      <c r="P29" s="85">
        <f t="shared" si="0"/>
        <v>-84.999999999999943</v>
      </c>
      <c r="Q29" s="9"/>
      <c r="R29" s="9"/>
      <c r="S29" s="11"/>
      <c r="T29" s="82" t="s">
        <v>33</v>
      </c>
      <c r="U29" s="11"/>
      <c r="V29" s="82">
        <v>6.3399999999999998E-2</v>
      </c>
      <c r="W29" s="7"/>
      <c r="X29" s="82">
        <v>0.48</v>
      </c>
      <c r="Y29" s="86"/>
      <c r="Z29" s="7">
        <f>X29*N29</f>
        <v>4.224E-2</v>
      </c>
      <c r="AA29" s="11"/>
      <c r="AB29" s="11"/>
    </row>
    <row r="30" spans="1:28" x14ac:dyDescent="0.25">
      <c r="A30" s="81" t="s">
        <v>41</v>
      </c>
      <c r="B30" s="81"/>
      <c r="C30" s="81" t="s">
        <v>404</v>
      </c>
      <c r="D30" s="81"/>
      <c r="E30" s="81" t="s">
        <v>238</v>
      </c>
      <c r="F30" s="15"/>
      <c r="G30" s="82" t="s">
        <v>405</v>
      </c>
      <c r="H30" s="82"/>
      <c r="I30" s="82">
        <v>9.6500000000000002E-2</v>
      </c>
      <c r="J30" s="82"/>
      <c r="K30" s="83">
        <v>44420</v>
      </c>
      <c r="L30" s="15"/>
      <c r="M30" s="11"/>
      <c r="N30" s="82">
        <v>8.8000000000000009E-2</v>
      </c>
      <c r="O30" s="84"/>
      <c r="P30" s="85">
        <f t="shared" si="0"/>
        <v>-84.999999999999943</v>
      </c>
      <c r="Q30" s="9"/>
      <c r="R30" s="9"/>
      <c r="S30" s="11"/>
      <c r="T30" s="82" t="s">
        <v>33</v>
      </c>
      <c r="U30" s="11"/>
      <c r="V30" s="82">
        <v>6.3200000000000006E-2</v>
      </c>
      <c r="W30" s="7"/>
      <c r="X30" s="82">
        <v>0.48</v>
      </c>
      <c r="Y30" s="86"/>
      <c r="Z30" s="17" t="s">
        <v>34</v>
      </c>
      <c r="AA30" s="11"/>
      <c r="AB30" s="11"/>
    </row>
    <row r="31" spans="1:28" x14ac:dyDescent="0.25">
      <c r="A31" s="81" t="s">
        <v>73</v>
      </c>
      <c r="B31" s="81"/>
      <c r="C31" s="81" t="s">
        <v>74</v>
      </c>
      <c r="D31" s="81"/>
      <c r="E31" s="81" t="s">
        <v>75</v>
      </c>
      <c r="F31" s="52"/>
      <c r="G31" s="82" t="s">
        <v>406</v>
      </c>
      <c r="H31" s="82"/>
      <c r="I31" s="82">
        <v>9.9000000000000005E-2</v>
      </c>
      <c r="J31" s="82"/>
      <c r="K31" s="83">
        <v>44440</v>
      </c>
      <c r="L31" s="52"/>
      <c r="N31" s="82">
        <v>9.4E-2</v>
      </c>
      <c r="O31" s="84"/>
      <c r="P31" s="85">
        <f t="shared" si="0"/>
        <v>-50.000000000000043</v>
      </c>
      <c r="Q31" s="9"/>
      <c r="R31" s="9"/>
      <c r="T31" s="82" t="s">
        <v>33</v>
      </c>
      <c r="V31" s="82">
        <v>7.0499999999999993E-2</v>
      </c>
      <c r="W31" s="7"/>
      <c r="X31" s="82">
        <v>0.5</v>
      </c>
      <c r="Y31" s="86"/>
      <c r="Z31" s="7">
        <f>X31*N31</f>
        <v>4.7E-2</v>
      </c>
      <c r="AA31" s="11"/>
      <c r="AB31" s="11"/>
    </row>
    <row r="32" spans="1:28" x14ac:dyDescent="0.25">
      <c r="A32" s="81" t="s">
        <v>76</v>
      </c>
      <c r="B32" s="81"/>
      <c r="C32" s="81" t="s">
        <v>407</v>
      </c>
      <c r="D32" s="81"/>
      <c r="E32" s="81" t="s">
        <v>69</v>
      </c>
      <c r="F32" s="52"/>
      <c r="G32" s="82" t="s">
        <v>408</v>
      </c>
      <c r="H32" s="82"/>
      <c r="I32" s="82">
        <v>0.1</v>
      </c>
      <c r="J32" s="82"/>
      <c r="K32" s="83">
        <v>44447</v>
      </c>
      <c r="L32" s="52"/>
      <c r="N32" s="82">
        <v>9.6699999999999994E-2</v>
      </c>
      <c r="O32" s="84"/>
      <c r="P32" s="85">
        <f t="shared" si="0"/>
        <v>-33.000000000000114</v>
      </c>
      <c r="Q32" s="9"/>
      <c r="R32" s="9"/>
      <c r="T32" s="82" t="s">
        <v>46</v>
      </c>
      <c r="V32" s="82">
        <v>6.6299999999999998E-2</v>
      </c>
      <c r="W32" s="7"/>
      <c r="X32" s="82">
        <v>0.51580000000000004</v>
      </c>
      <c r="Y32" s="86"/>
      <c r="Z32" s="7">
        <f>X32*N32</f>
        <v>4.9877860000000003E-2</v>
      </c>
      <c r="AA32" s="11"/>
      <c r="AB32" s="11"/>
    </row>
    <row r="33" spans="1:28" x14ac:dyDescent="0.25">
      <c r="A33" s="81" t="s">
        <v>29</v>
      </c>
      <c r="B33" s="81"/>
      <c r="C33" s="81" t="s">
        <v>409</v>
      </c>
      <c r="D33" s="81"/>
      <c r="E33" s="81" t="s">
        <v>69</v>
      </c>
      <c r="F33" s="1"/>
      <c r="G33" s="82" t="s">
        <v>410</v>
      </c>
      <c r="H33" s="82"/>
      <c r="I33" s="82">
        <v>0.10199999999999999</v>
      </c>
      <c r="J33" s="82"/>
      <c r="K33" s="83">
        <v>44448</v>
      </c>
      <c r="L33" s="1"/>
      <c r="N33" s="82">
        <v>9.849999999999999E-2</v>
      </c>
      <c r="O33" s="84"/>
      <c r="P33" s="85">
        <f t="shared" si="0"/>
        <v>-35.000000000000028</v>
      </c>
      <c r="Q33" s="9"/>
      <c r="R33" s="9"/>
      <c r="T33" s="82" t="s">
        <v>33</v>
      </c>
      <c r="V33" s="82" t="s">
        <v>34</v>
      </c>
      <c r="W33" s="7"/>
      <c r="X33" s="82" t="s">
        <v>34</v>
      </c>
      <c r="Y33" s="86"/>
      <c r="Z33" s="7" t="str">
        <f>IFERROR(X33*N33,"NA")</f>
        <v>NA</v>
      </c>
      <c r="AA33" s="11"/>
      <c r="AB33" s="11"/>
    </row>
    <row r="34" spans="1:28" x14ac:dyDescent="0.25">
      <c r="A34" s="81" t="s">
        <v>119</v>
      </c>
      <c r="B34" s="81"/>
      <c r="C34" s="81" t="s">
        <v>411</v>
      </c>
      <c r="D34" s="81"/>
      <c r="E34" s="81" t="s">
        <v>84</v>
      </c>
      <c r="F34" s="19"/>
      <c r="G34" s="82" t="s">
        <v>412</v>
      </c>
      <c r="H34" s="82"/>
      <c r="I34" s="82">
        <v>0.10349999999999999</v>
      </c>
      <c r="J34" s="82"/>
      <c r="K34" s="83">
        <v>44453</v>
      </c>
      <c r="L34" s="19"/>
      <c r="M34" s="20"/>
      <c r="N34" s="82">
        <v>9.5000000000000001E-2</v>
      </c>
      <c r="O34" s="84"/>
      <c r="P34" s="85">
        <f t="shared" si="0"/>
        <v>-84.999999999999943</v>
      </c>
      <c r="Q34" s="9"/>
      <c r="R34" s="9"/>
      <c r="S34" s="20"/>
      <c r="T34" s="82" t="s">
        <v>33</v>
      </c>
      <c r="U34" s="20"/>
      <c r="V34" s="82">
        <v>7.0499999999999993E-2</v>
      </c>
      <c r="W34" s="7"/>
      <c r="X34" s="82">
        <v>0.51890000000000003</v>
      </c>
      <c r="Y34" s="86"/>
      <c r="Z34" s="7">
        <f t="shared" ref="Z34:Z53" si="3">X34*N34</f>
        <v>4.9295500000000006E-2</v>
      </c>
      <c r="AA34" s="11"/>
      <c r="AB34" s="11"/>
    </row>
    <row r="35" spans="1:28" x14ac:dyDescent="0.25">
      <c r="A35" s="92" t="s">
        <v>108</v>
      </c>
      <c r="B35" s="92"/>
      <c r="C35" s="92" t="s">
        <v>74</v>
      </c>
      <c r="D35" s="92"/>
      <c r="E35" s="92" t="s">
        <v>75</v>
      </c>
      <c r="F35" s="70"/>
      <c r="G35" s="93" t="s">
        <v>413</v>
      </c>
      <c r="H35" s="93"/>
      <c r="I35" s="93">
        <v>9.9000000000000005E-2</v>
      </c>
      <c r="J35" s="93"/>
      <c r="K35" s="94">
        <v>44466</v>
      </c>
      <c r="L35" s="70"/>
      <c r="M35" s="71"/>
      <c r="N35" s="93">
        <v>9.4E-2</v>
      </c>
      <c r="O35" s="95"/>
      <c r="P35" s="96">
        <f t="shared" si="0"/>
        <v>-50.000000000000043</v>
      </c>
      <c r="Q35" s="76"/>
      <c r="R35" s="76"/>
      <c r="S35" s="71"/>
      <c r="T35" s="93" t="s">
        <v>33</v>
      </c>
      <c r="U35" s="71"/>
      <c r="V35" s="93">
        <v>7.1199999999999999E-2</v>
      </c>
      <c r="W35" s="79"/>
      <c r="X35" s="93">
        <v>0.48499999999999999</v>
      </c>
      <c r="Y35" s="97"/>
      <c r="Z35" s="79">
        <f t="shared" si="3"/>
        <v>4.5589999999999999E-2</v>
      </c>
      <c r="AA35" s="11"/>
      <c r="AB35" s="11"/>
    </row>
    <row r="36" spans="1:28" x14ac:dyDescent="0.25">
      <c r="A36" s="81" t="s">
        <v>51</v>
      </c>
      <c r="B36" s="81"/>
      <c r="C36" s="81" t="s">
        <v>376</v>
      </c>
      <c r="D36" s="81"/>
      <c r="E36" s="81" t="s">
        <v>56</v>
      </c>
      <c r="F36" s="15"/>
      <c r="G36" s="82" t="s">
        <v>414</v>
      </c>
      <c r="H36" s="82"/>
      <c r="I36" s="82">
        <v>0.126</v>
      </c>
      <c r="J36" s="82"/>
      <c r="K36" s="83">
        <v>44468</v>
      </c>
      <c r="L36" s="15"/>
      <c r="M36" s="11"/>
      <c r="N36" s="82">
        <v>9.8000000000000004E-2</v>
      </c>
      <c r="O36" s="84"/>
      <c r="P36" s="85">
        <f t="shared" si="0"/>
        <v>-279.99999999999994</v>
      </c>
      <c r="Q36" s="9"/>
      <c r="R36" s="9"/>
      <c r="S36" s="11"/>
      <c r="T36" s="82" t="s">
        <v>33</v>
      </c>
      <c r="U36" s="11"/>
      <c r="V36" s="82">
        <v>7.0699999999999999E-2</v>
      </c>
      <c r="W36" s="7"/>
      <c r="X36" s="82">
        <v>0.52200000000000002</v>
      </c>
      <c r="Y36" s="86"/>
      <c r="Z36" s="7">
        <f t="shared" si="3"/>
        <v>5.1156000000000007E-2</v>
      </c>
      <c r="AA36" s="11"/>
      <c r="AB36" s="11"/>
    </row>
    <row r="37" spans="1:28" x14ac:dyDescent="0.25">
      <c r="A37" s="81" t="s">
        <v>65</v>
      </c>
      <c r="B37" s="81"/>
      <c r="C37" s="81" t="s">
        <v>415</v>
      </c>
      <c r="D37" s="81"/>
      <c r="E37" s="81" t="s">
        <v>238</v>
      </c>
      <c r="F37" s="1"/>
      <c r="G37" s="82" t="s">
        <v>416</v>
      </c>
      <c r="H37" s="82"/>
      <c r="I37" s="82">
        <v>0.105</v>
      </c>
      <c r="J37" s="82"/>
      <c r="K37" s="83">
        <v>44469</v>
      </c>
      <c r="L37" s="1"/>
      <c r="N37" s="82">
        <v>9.6999999999999989E-2</v>
      </c>
      <c r="O37" s="84"/>
      <c r="P37" s="85">
        <f t="shared" si="0"/>
        <v>-80.000000000000071</v>
      </c>
      <c r="Q37" s="9"/>
      <c r="R37" s="9"/>
      <c r="T37" s="82" t="s">
        <v>46</v>
      </c>
      <c r="V37" s="82">
        <v>6.9800000000000001E-2</v>
      </c>
      <c r="W37" s="7"/>
      <c r="X37" s="82">
        <v>0.53439999999999999</v>
      </c>
      <c r="Y37" s="86"/>
      <c r="Z37" s="7">
        <f t="shared" si="3"/>
        <v>5.1836799999999995E-2</v>
      </c>
      <c r="AA37" s="11"/>
      <c r="AB37" s="11"/>
    </row>
    <row r="38" spans="1:28" x14ac:dyDescent="0.25">
      <c r="A38" s="81" t="s">
        <v>78</v>
      </c>
      <c r="B38" s="81"/>
      <c r="C38" s="81" t="s">
        <v>417</v>
      </c>
      <c r="D38" s="81"/>
      <c r="E38" s="81" t="s">
        <v>418</v>
      </c>
      <c r="F38" s="52"/>
      <c r="G38" s="82" t="s">
        <v>419</v>
      </c>
      <c r="H38" s="82"/>
      <c r="I38" s="82">
        <v>0.10150000000000001</v>
      </c>
      <c r="J38" s="82"/>
      <c r="K38" s="83">
        <v>44475</v>
      </c>
      <c r="L38" s="52"/>
      <c r="N38" s="82">
        <v>9.6999999999999989E-2</v>
      </c>
      <c r="O38" s="84"/>
      <c r="P38" s="85">
        <f t="shared" si="0"/>
        <v>-45.000000000000178</v>
      </c>
      <c r="Q38" s="9"/>
      <c r="R38" s="9"/>
      <c r="T38" s="82" t="s">
        <v>33</v>
      </c>
      <c r="V38" s="82">
        <v>5.7800000000000004E-2</v>
      </c>
      <c r="W38" s="7"/>
      <c r="X38" s="82">
        <v>0.45740000000000003</v>
      </c>
      <c r="Y38" s="86"/>
      <c r="Z38" s="7">
        <f t="shared" si="3"/>
        <v>4.4367799999999999E-2</v>
      </c>
      <c r="AA38" s="11"/>
      <c r="AB38" s="11"/>
    </row>
    <row r="39" spans="1:28" x14ac:dyDescent="0.25">
      <c r="A39" s="81" t="s">
        <v>420</v>
      </c>
      <c r="B39" s="81"/>
      <c r="C39" s="81" t="s">
        <v>421</v>
      </c>
      <c r="D39" s="81"/>
      <c r="E39" s="81" t="s">
        <v>422</v>
      </c>
      <c r="F39" s="1"/>
      <c r="G39" s="82" t="s">
        <v>423</v>
      </c>
      <c r="H39" s="82"/>
      <c r="I39" s="82">
        <v>9.9499999999999991E-2</v>
      </c>
      <c r="J39" s="82"/>
      <c r="K39" s="83">
        <v>44496</v>
      </c>
      <c r="L39" s="1"/>
      <c r="N39" s="82">
        <v>9.3699999999999992E-2</v>
      </c>
      <c r="O39" s="84"/>
      <c r="P39" s="85">
        <f t="shared" si="0"/>
        <v>-57.999999999999993</v>
      </c>
      <c r="Q39" s="9"/>
      <c r="R39" s="9"/>
      <c r="T39" s="82" t="s">
        <v>46</v>
      </c>
      <c r="V39" s="82">
        <v>6.3700000000000007E-2</v>
      </c>
      <c r="W39" s="7"/>
      <c r="X39" s="82">
        <v>0.49859999999999999</v>
      </c>
      <c r="Y39" s="86"/>
      <c r="Z39" s="7">
        <f t="shared" si="3"/>
        <v>4.6718819999999994E-2</v>
      </c>
      <c r="AA39" s="11"/>
      <c r="AB39" s="11"/>
    </row>
    <row r="40" spans="1:28" x14ac:dyDescent="0.25">
      <c r="A40" s="81" t="s">
        <v>78</v>
      </c>
      <c r="B40" s="81"/>
      <c r="C40" s="81" t="s">
        <v>424</v>
      </c>
      <c r="D40" s="81"/>
      <c r="E40" s="81" t="s">
        <v>418</v>
      </c>
      <c r="F40" s="52"/>
      <c r="G40" s="82" t="s">
        <v>425</v>
      </c>
      <c r="H40" s="82"/>
      <c r="I40" s="82">
        <v>0.10150000000000001</v>
      </c>
      <c r="J40" s="82"/>
      <c r="K40" s="83">
        <v>44517</v>
      </c>
      <c r="L40" s="52"/>
      <c r="N40" s="82">
        <v>9.8000000000000004E-2</v>
      </c>
      <c r="O40" s="84"/>
      <c r="P40" s="85">
        <f t="shared" si="0"/>
        <v>-35.000000000000028</v>
      </c>
      <c r="Q40" s="9"/>
      <c r="R40" s="9"/>
      <c r="T40" s="82" t="s">
        <v>33</v>
      </c>
      <c r="V40" s="82">
        <v>6.1600000000000002E-2</v>
      </c>
      <c r="W40" s="7"/>
      <c r="X40" s="82">
        <v>0.46210000000000001</v>
      </c>
      <c r="Y40" s="86"/>
      <c r="Z40" s="7">
        <f t="shared" si="3"/>
        <v>4.5285800000000001E-2</v>
      </c>
      <c r="AA40" s="11"/>
      <c r="AB40" s="11"/>
    </row>
    <row r="41" spans="1:28" x14ac:dyDescent="0.25">
      <c r="A41" s="81" t="s">
        <v>37</v>
      </c>
      <c r="B41" s="81"/>
      <c r="C41" s="81" t="s">
        <v>426</v>
      </c>
      <c r="D41" s="81"/>
      <c r="E41" s="81" t="s">
        <v>427</v>
      </c>
      <c r="F41" s="1"/>
      <c r="G41" s="82" t="s">
        <v>428</v>
      </c>
      <c r="H41" s="82"/>
      <c r="I41" s="82">
        <v>0.105</v>
      </c>
      <c r="J41" s="82"/>
      <c r="K41" s="83">
        <v>44517</v>
      </c>
      <c r="L41" s="1"/>
      <c r="N41" s="82">
        <v>9.6000000000000002E-2</v>
      </c>
      <c r="O41" s="84"/>
      <c r="P41" s="85">
        <f t="shared" si="0"/>
        <v>-89.999999999999943</v>
      </c>
      <c r="Q41" s="9"/>
      <c r="R41" s="9"/>
      <c r="T41" s="82" t="s">
        <v>33</v>
      </c>
      <c r="V41" s="82">
        <v>6.8400000000000002E-2</v>
      </c>
      <c r="W41" s="7"/>
      <c r="X41" s="82">
        <v>0.54</v>
      </c>
      <c r="Y41" s="86"/>
      <c r="Z41" s="7">
        <f t="shared" si="3"/>
        <v>5.1840000000000004E-2</v>
      </c>
      <c r="AA41" s="11"/>
      <c r="AB41" s="11"/>
    </row>
    <row r="42" spans="1:28" x14ac:dyDescent="0.25">
      <c r="A42" s="81" t="s">
        <v>76</v>
      </c>
      <c r="B42" s="81"/>
      <c r="C42" s="81" t="s">
        <v>429</v>
      </c>
      <c r="D42" s="81"/>
      <c r="E42" s="81" t="s">
        <v>84</v>
      </c>
      <c r="F42" s="52"/>
      <c r="G42" s="82" t="s">
        <v>430</v>
      </c>
      <c r="H42" s="82"/>
      <c r="I42" s="82">
        <v>0.10349999999999999</v>
      </c>
      <c r="J42" s="82"/>
      <c r="K42" s="83">
        <v>44518</v>
      </c>
      <c r="L42" s="52"/>
      <c r="N42" s="82">
        <v>9.7500000000000003E-2</v>
      </c>
      <c r="O42" s="84"/>
      <c r="P42" s="85">
        <f t="shared" si="0"/>
        <v>-59.999999999999915</v>
      </c>
      <c r="Q42" s="9"/>
      <c r="R42" s="9"/>
      <c r="T42" s="82" t="s">
        <v>46</v>
      </c>
      <c r="V42" s="82">
        <v>6.9599999999999995E-2</v>
      </c>
      <c r="W42" s="7"/>
      <c r="X42" s="82">
        <v>0.54459999999999997</v>
      </c>
      <c r="Y42" s="86"/>
      <c r="Z42" s="7">
        <f t="shared" si="3"/>
        <v>5.30985E-2</v>
      </c>
      <c r="AA42" s="11"/>
      <c r="AB42" s="11"/>
    </row>
    <row r="43" spans="1:28" x14ac:dyDescent="0.25">
      <c r="A43" s="81" t="s">
        <v>41</v>
      </c>
      <c r="B43" s="81" t="s">
        <v>431</v>
      </c>
      <c r="C43" s="81" t="s">
        <v>177</v>
      </c>
      <c r="D43" s="81" t="s">
        <v>431</v>
      </c>
      <c r="E43" s="81" t="s">
        <v>127</v>
      </c>
      <c r="F43" s="15" t="s">
        <v>431</v>
      </c>
      <c r="G43" s="82" t="s">
        <v>432</v>
      </c>
      <c r="H43" s="82" t="s">
        <v>431</v>
      </c>
      <c r="I43" s="82">
        <v>9.0999999999999998E-2</v>
      </c>
      <c r="J43" s="82"/>
      <c r="K43" s="83">
        <v>44518</v>
      </c>
      <c r="L43" s="15" t="s">
        <v>431</v>
      </c>
      <c r="M43" s="11" t="s">
        <v>431</v>
      </c>
      <c r="N43" s="82">
        <v>0.09</v>
      </c>
      <c r="O43" s="84"/>
      <c r="P43" s="85">
        <f t="shared" si="0"/>
        <v>-10.000000000000009</v>
      </c>
      <c r="Q43" s="9"/>
      <c r="R43" s="9"/>
      <c r="S43" s="11" t="s">
        <v>431</v>
      </c>
      <c r="T43" s="82" t="s">
        <v>33</v>
      </c>
      <c r="U43" s="11" t="s">
        <v>431</v>
      </c>
      <c r="V43" s="82">
        <v>6.480000000000001E-2</v>
      </c>
      <c r="W43" s="7"/>
      <c r="X43" s="82">
        <v>0.5</v>
      </c>
      <c r="Y43" s="86"/>
      <c r="Z43" s="7">
        <f t="shared" si="3"/>
        <v>4.4999999999999998E-2</v>
      </c>
      <c r="AA43" s="11"/>
      <c r="AB43" s="11"/>
    </row>
    <row r="44" spans="1:28" x14ac:dyDescent="0.25">
      <c r="A44" s="81" t="s">
        <v>63</v>
      </c>
      <c r="B44" s="81"/>
      <c r="C44" s="81" t="s">
        <v>154</v>
      </c>
      <c r="D44" s="81"/>
      <c r="E44" s="81" t="s">
        <v>64</v>
      </c>
      <c r="F44" s="19"/>
      <c r="G44" s="82" t="s">
        <v>433</v>
      </c>
      <c r="H44" s="82"/>
      <c r="I44" s="82">
        <v>0.1</v>
      </c>
      <c r="J44" s="82"/>
      <c r="K44" s="83">
        <v>44518</v>
      </c>
      <c r="L44" s="19"/>
      <c r="M44" s="20"/>
      <c r="N44" s="82">
        <v>0.1</v>
      </c>
      <c r="O44" s="84"/>
      <c r="P44" s="85">
        <f t="shared" si="0"/>
        <v>0</v>
      </c>
      <c r="Q44" s="9"/>
      <c r="R44" s="9"/>
      <c r="S44" s="20"/>
      <c r="T44" s="82" t="s">
        <v>33</v>
      </c>
      <c r="U44" s="20"/>
      <c r="V44" s="82">
        <v>7.3099999999999998E-2</v>
      </c>
      <c r="W44" s="7"/>
      <c r="X44" s="82">
        <v>0.52500000000000002</v>
      </c>
      <c r="Y44" s="86"/>
      <c r="Z44" s="7">
        <f t="shared" si="3"/>
        <v>5.2500000000000005E-2</v>
      </c>
      <c r="AA44" s="11"/>
      <c r="AB44" s="11"/>
    </row>
    <row r="45" spans="1:28" x14ac:dyDescent="0.25">
      <c r="A45" s="81" t="s">
        <v>63</v>
      </c>
      <c r="B45" s="81"/>
      <c r="C45" s="81" t="s">
        <v>128</v>
      </c>
      <c r="D45" s="81"/>
      <c r="E45" s="81" t="s">
        <v>96</v>
      </c>
      <c r="F45" s="19"/>
      <c r="G45" s="82" t="s">
        <v>434</v>
      </c>
      <c r="H45" s="82"/>
      <c r="I45" s="82">
        <v>0.1</v>
      </c>
      <c r="J45" s="82"/>
      <c r="K45" s="83">
        <v>44518</v>
      </c>
      <c r="L45" s="19"/>
      <c r="M45" s="20"/>
      <c r="N45" s="82">
        <v>0.1</v>
      </c>
      <c r="O45" s="84"/>
      <c r="P45" s="85">
        <f t="shared" si="0"/>
        <v>0</v>
      </c>
      <c r="Q45" s="9"/>
      <c r="R45" s="9"/>
      <c r="S45" s="20"/>
      <c r="T45" s="82" t="s">
        <v>33</v>
      </c>
      <c r="U45" s="20"/>
      <c r="V45" s="82">
        <v>7.4400000000000008E-2</v>
      </c>
      <c r="W45" s="7"/>
      <c r="X45" s="82">
        <v>0.52500000000000002</v>
      </c>
      <c r="Y45" s="86"/>
      <c r="Z45" s="7">
        <f t="shared" si="3"/>
        <v>5.2500000000000005E-2</v>
      </c>
      <c r="AA45" s="11"/>
      <c r="AB45" s="11"/>
    </row>
    <row r="46" spans="1:28" x14ac:dyDescent="0.25">
      <c r="A46" s="81" t="s">
        <v>63</v>
      </c>
      <c r="B46" s="81"/>
      <c r="C46" s="81" t="s">
        <v>120</v>
      </c>
      <c r="D46" s="81"/>
      <c r="E46" s="81" t="s">
        <v>121</v>
      </c>
      <c r="F46" s="19"/>
      <c r="G46" s="82" t="s">
        <v>435</v>
      </c>
      <c r="H46" s="82"/>
      <c r="I46" s="82">
        <v>9.8000000000000004E-2</v>
      </c>
      <c r="J46" s="82"/>
      <c r="K46" s="83">
        <v>44523</v>
      </c>
      <c r="L46" s="19"/>
      <c r="M46" s="20"/>
      <c r="N46" s="82">
        <v>9.8000000000000004E-2</v>
      </c>
      <c r="O46" s="84"/>
      <c r="P46" s="85">
        <f t="shared" si="0"/>
        <v>0</v>
      </c>
      <c r="Q46" s="9"/>
      <c r="R46" s="9"/>
      <c r="S46" s="20"/>
      <c r="T46" s="82" t="s">
        <v>33</v>
      </c>
      <c r="U46" s="20"/>
      <c r="V46" s="82" t="s">
        <v>34</v>
      </c>
      <c r="W46" s="7"/>
      <c r="X46" s="82">
        <v>0.55000000000000004</v>
      </c>
      <c r="Y46" s="86"/>
      <c r="Z46" s="7">
        <f t="shared" si="3"/>
        <v>5.3900000000000003E-2</v>
      </c>
      <c r="AA46" s="11"/>
      <c r="AB46" s="11"/>
    </row>
    <row r="47" spans="1:28" x14ac:dyDescent="0.25">
      <c r="A47" s="81" t="s">
        <v>43</v>
      </c>
      <c r="B47" s="81"/>
      <c r="C47" s="81" t="s">
        <v>436</v>
      </c>
      <c r="D47" s="81"/>
      <c r="E47" s="81" t="s">
        <v>437</v>
      </c>
      <c r="F47" s="15"/>
      <c r="G47" s="82" t="s">
        <v>438</v>
      </c>
      <c r="H47" s="82"/>
      <c r="I47" s="82">
        <v>9.9499999999999991E-2</v>
      </c>
      <c r="J47" s="82"/>
      <c r="K47" s="83">
        <v>44530</v>
      </c>
      <c r="L47" s="15"/>
      <c r="M47" s="11"/>
      <c r="N47" s="82">
        <v>9.4E-2</v>
      </c>
      <c r="O47" s="84"/>
      <c r="P47" s="85">
        <f t="shared" si="0"/>
        <v>-54.999999999999908</v>
      </c>
      <c r="Q47" s="9"/>
      <c r="R47" s="9"/>
      <c r="S47" s="11"/>
      <c r="T47" s="82" t="s">
        <v>33</v>
      </c>
      <c r="U47" s="11"/>
      <c r="V47" s="82">
        <v>7.2000000000000008E-2</v>
      </c>
      <c r="W47" s="7"/>
      <c r="X47" s="82">
        <v>0.58550000000000002</v>
      </c>
      <c r="Y47" s="86"/>
      <c r="Z47" s="7">
        <f t="shared" si="3"/>
        <v>5.5037000000000003E-2</v>
      </c>
      <c r="AA47" s="11"/>
      <c r="AB47" s="11"/>
    </row>
    <row r="48" spans="1:28" x14ac:dyDescent="0.25">
      <c r="A48" s="81" t="s">
        <v>44</v>
      </c>
      <c r="B48" s="81"/>
      <c r="C48" s="81" t="s">
        <v>439</v>
      </c>
      <c r="D48" s="81"/>
      <c r="E48" s="81" t="s">
        <v>79</v>
      </c>
      <c r="F48" s="1"/>
      <c r="G48" s="82" t="s">
        <v>440</v>
      </c>
      <c r="H48" s="82"/>
      <c r="I48" s="82">
        <v>0.1085</v>
      </c>
      <c r="J48" s="82"/>
      <c r="K48" s="83">
        <v>44533</v>
      </c>
      <c r="L48" s="1"/>
      <c r="N48" s="82">
        <v>9.6500000000000002E-2</v>
      </c>
      <c r="O48" s="84"/>
      <c r="P48" s="85">
        <f t="shared" si="0"/>
        <v>-119.99999999999997</v>
      </c>
      <c r="Q48" s="9"/>
      <c r="R48" s="9"/>
      <c r="T48" s="82" t="s">
        <v>46</v>
      </c>
      <c r="V48" s="82">
        <v>7.0599999999999996E-2</v>
      </c>
      <c r="W48" s="7"/>
      <c r="X48" s="82">
        <v>0.52950000000000008</v>
      </c>
      <c r="Y48" s="86"/>
      <c r="Z48" s="7">
        <f t="shared" si="3"/>
        <v>5.109675000000001E-2</v>
      </c>
      <c r="AA48" s="11"/>
      <c r="AB48" s="11"/>
    </row>
    <row r="49" spans="1:28" x14ac:dyDescent="0.25">
      <c r="A49" s="81" t="s">
        <v>29</v>
      </c>
      <c r="B49" s="81"/>
      <c r="C49" s="81" t="s">
        <v>441</v>
      </c>
      <c r="D49" s="81"/>
      <c r="E49" s="81" t="s">
        <v>54</v>
      </c>
      <c r="F49" s="1"/>
      <c r="G49" s="82" t="s">
        <v>442</v>
      </c>
      <c r="H49" s="82"/>
      <c r="I49" s="82">
        <v>0.10249999999999999</v>
      </c>
      <c r="J49" s="82"/>
      <c r="K49" s="83">
        <v>44539</v>
      </c>
      <c r="L49" s="1"/>
      <c r="N49" s="82">
        <v>9.9000000000000005E-2</v>
      </c>
      <c r="O49" s="84"/>
      <c r="P49" s="87">
        <f t="shared" si="0"/>
        <v>-34.999999999999893</v>
      </c>
      <c r="Q49" s="9"/>
      <c r="R49" s="9"/>
      <c r="T49" s="82" t="s">
        <v>46</v>
      </c>
      <c r="V49" s="82">
        <v>5.4100000000000002E-2</v>
      </c>
      <c r="W49" s="7"/>
      <c r="X49" s="82">
        <v>0.39229999999999998</v>
      </c>
      <c r="Y49" s="86"/>
      <c r="Z49" s="7">
        <f t="shared" si="3"/>
        <v>3.8837700000000003E-2</v>
      </c>
      <c r="AA49" s="11"/>
      <c r="AB49" s="11"/>
    </row>
    <row r="50" spans="1:28" x14ac:dyDescent="0.25">
      <c r="A50" s="81" t="s">
        <v>101</v>
      </c>
      <c r="B50" s="81"/>
      <c r="C50" s="81" t="s">
        <v>443</v>
      </c>
      <c r="D50" s="81"/>
      <c r="E50" s="81" t="s">
        <v>267</v>
      </c>
      <c r="F50" s="52"/>
      <c r="G50" s="82" t="s">
        <v>444</v>
      </c>
      <c r="H50" s="82"/>
      <c r="I50" s="82">
        <v>9.9499999999999991E-2</v>
      </c>
      <c r="J50" s="82"/>
      <c r="K50" s="83">
        <v>44543</v>
      </c>
      <c r="L50" s="52"/>
      <c r="N50" s="82">
        <v>9.1999999999999998E-2</v>
      </c>
      <c r="O50" s="84"/>
      <c r="P50" s="85">
        <f t="shared" si="0"/>
        <v>-74.999999999999929</v>
      </c>
      <c r="Q50" s="9"/>
      <c r="R50" s="9" t="str">
        <f t="shared" ref="R50:R51" si="4">IF(OR(E50="ATO",E50="NJR",E50="NI",E50="NWN",E50="OGS",E50="SR"),"Y","")</f>
        <v/>
      </c>
      <c r="T50" s="82" t="s">
        <v>33</v>
      </c>
      <c r="V50" s="82">
        <v>6.5599999999999992E-2</v>
      </c>
      <c r="W50" s="7"/>
      <c r="X50" s="82">
        <v>0.50259999999999994</v>
      </c>
      <c r="Y50" s="86"/>
      <c r="Z50" s="7">
        <f t="shared" si="3"/>
        <v>4.6239199999999994E-2</v>
      </c>
      <c r="AA50" s="11"/>
      <c r="AB50" s="11"/>
    </row>
    <row r="51" spans="1:28" x14ac:dyDescent="0.25">
      <c r="A51" s="81" t="s">
        <v>445</v>
      </c>
      <c r="B51" s="81"/>
      <c r="C51" s="81" t="s">
        <v>446</v>
      </c>
      <c r="D51" s="81"/>
      <c r="E51" s="81" t="s">
        <v>267</v>
      </c>
      <c r="F51" s="52"/>
      <c r="G51" s="82" t="s">
        <v>447</v>
      </c>
      <c r="H51" s="82"/>
      <c r="I51" s="82">
        <v>0.10150000000000001</v>
      </c>
      <c r="J51" s="82"/>
      <c r="K51" s="83">
        <v>44558</v>
      </c>
      <c r="L51" s="52"/>
      <c r="N51" s="82">
        <v>9.6000000000000002E-2</v>
      </c>
      <c r="O51" s="84"/>
      <c r="P51" s="85">
        <f t="shared" si="0"/>
        <v>-55.00000000000005</v>
      </c>
      <c r="Q51" s="9"/>
      <c r="R51" s="9" t="str">
        <f t="shared" si="4"/>
        <v/>
      </c>
      <c r="T51" s="82" t="s">
        <v>33</v>
      </c>
      <c r="V51" s="82">
        <v>6.7500000000000004E-2</v>
      </c>
      <c r="W51" s="7"/>
      <c r="X51" s="82">
        <v>0.50009999999999999</v>
      </c>
      <c r="Y51" s="86"/>
      <c r="Z51" s="7">
        <f t="shared" si="3"/>
        <v>4.8009599999999999E-2</v>
      </c>
      <c r="AA51" s="11"/>
      <c r="AB51" s="11"/>
    </row>
    <row r="52" spans="1:28" x14ac:dyDescent="0.25">
      <c r="A52" s="81" t="s">
        <v>47</v>
      </c>
      <c r="B52" s="81"/>
      <c r="C52" s="81" t="s">
        <v>448</v>
      </c>
      <c r="D52" s="81"/>
      <c r="E52" s="81" t="s">
        <v>79</v>
      </c>
      <c r="F52" s="1"/>
      <c r="G52" s="82" t="s">
        <v>449</v>
      </c>
      <c r="H52" s="82"/>
      <c r="I52" s="82">
        <v>0.10300000000000001</v>
      </c>
      <c r="J52" s="82"/>
      <c r="K52" s="83">
        <v>44558</v>
      </c>
      <c r="L52" s="1"/>
      <c r="N52" s="82">
        <v>9.35E-2</v>
      </c>
      <c r="O52" s="84"/>
      <c r="P52" s="85">
        <f t="shared" si="0"/>
        <v>-95.000000000000085</v>
      </c>
      <c r="Q52" s="9"/>
      <c r="R52" s="9"/>
      <c r="T52" s="82" t="s">
        <v>33</v>
      </c>
      <c r="V52" s="82">
        <v>6.8900000000000003E-2</v>
      </c>
      <c r="W52" s="7"/>
      <c r="X52" s="82">
        <v>0.52639999999999998</v>
      </c>
      <c r="Y52" s="86"/>
      <c r="Z52" s="7">
        <f t="shared" si="3"/>
        <v>4.9218399999999995E-2</v>
      </c>
      <c r="AA52" s="11"/>
      <c r="AB52" s="11"/>
    </row>
    <row r="53" spans="1:28" x14ac:dyDescent="0.25">
      <c r="A53" s="81" t="s">
        <v>47</v>
      </c>
      <c r="B53" s="81"/>
      <c r="C53" s="81" t="s">
        <v>110</v>
      </c>
      <c r="D53" s="81"/>
      <c r="E53" s="81" t="s">
        <v>56</v>
      </c>
      <c r="F53" s="1"/>
      <c r="G53" s="82" t="s">
        <v>450</v>
      </c>
      <c r="H53" s="82"/>
      <c r="I53" s="82">
        <v>0.10300000000000001</v>
      </c>
      <c r="J53" s="82"/>
      <c r="K53" s="83">
        <v>44558</v>
      </c>
      <c r="L53" s="1"/>
      <c r="N53" s="82">
        <v>9.3800000000000008E-2</v>
      </c>
      <c r="O53" s="84"/>
      <c r="P53" s="85">
        <f t="shared" si="0"/>
        <v>-92</v>
      </c>
      <c r="Q53" s="9"/>
      <c r="R53" s="9"/>
      <c r="T53" s="82" t="s">
        <v>33</v>
      </c>
      <c r="V53" s="82">
        <v>6.54E-2</v>
      </c>
      <c r="W53" s="7"/>
      <c r="X53" s="82">
        <v>0.51340000000000008</v>
      </c>
      <c r="Y53" s="86"/>
      <c r="Z53" s="7">
        <f t="shared" si="3"/>
        <v>4.8156920000000013E-2</v>
      </c>
      <c r="AA53" s="11"/>
      <c r="AB53" s="11"/>
    </row>
    <row r="54" spans="1:28" x14ac:dyDescent="0.25">
      <c r="A54" s="81" t="s">
        <v>47</v>
      </c>
      <c r="B54" s="81"/>
      <c r="C54" s="81" t="s">
        <v>451</v>
      </c>
      <c r="D54" s="81"/>
      <c r="E54" s="81" t="s">
        <v>452</v>
      </c>
      <c r="F54" s="1"/>
      <c r="G54" s="82" t="s">
        <v>453</v>
      </c>
      <c r="H54" s="82"/>
      <c r="I54" s="82">
        <v>0.10949999999999999</v>
      </c>
      <c r="J54" s="82"/>
      <c r="K54" s="83">
        <v>44564</v>
      </c>
      <c r="L54" s="1"/>
      <c r="N54" s="82">
        <v>9.2499999999999999E-2</v>
      </c>
      <c r="O54" s="84"/>
      <c r="P54" s="85">
        <f t="shared" si="0"/>
        <v>-169.99999999999989</v>
      </c>
      <c r="Q54" s="9"/>
      <c r="R54" s="9"/>
      <c r="T54" s="82" t="s">
        <v>33</v>
      </c>
      <c r="V54" s="82" t="s">
        <v>34</v>
      </c>
      <c r="W54" s="7"/>
      <c r="X54" s="82" t="s">
        <v>34</v>
      </c>
      <c r="Y54" s="86"/>
      <c r="Z54" s="7" t="str">
        <f>IFERROR(X54*N54,"NA")</f>
        <v>NA</v>
      </c>
      <c r="AA54" s="11"/>
      <c r="AB54" s="11"/>
    </row>
    <row r="55" spans="1:28" x14ac:dyDescent="0.25">
      <c r="A55" s="81" t="s">
        <v>106</v>
      </c>
      <c r="B55" s="81"/>
      <c r="C55" s="81" t="s">
        <v>376</v>
      </c>
      <c r="D55" s="81"/>
      <c r="E55" s="81" t="s">
        <v>56</v>
      </c>
      <c r="F55" s="1"/>
      <c r="G55" s="82" t="s">
        <v>454</v>
      </c>
      <c r="H55" s="82"/>
      <c r="I55" s="82">
        <v>0.10249999999999999</v>
      </c>
      <c r="J55" s="82"/>
      <c r="K55" s="83">
        <v>44567</v>
      </c>
      <c r="L55" s="1"/>
      <c r="N55" s="82">
        <v>9.6000000000000002E-2</v>
      </c>
      <c r="O55" s="84"/>
      <c r="P55" s="85">
        <f t="shared" si="0"/>
        <v>-64.999999999999915</v>
      </c>
      <c r="Q55" s="9"/>
      <c r="R55" s="9"/>
      <c r="T55" s="82" t="s">
        <v>33</v>
      </c>
      <c r="V55" s="82">
        <v>6.9000000000000006E-2</v>
      </c>
      <c r="W55" s="7"/>
      <c r="X55" s="82">
        <v>0.51600000000000001</v>
      </c>
      <c r="Y55" s="86"/>
      <c r="Z55" s="7">
        <f t="shared" ref="Z55:Z62" si="5">X55*N55</f>
        <v>4.9536000000000004E-2</v>
      </c>
      <c r="AA55" s="11"/>
      <c r="AB55" s="11"/>
    </row>
    <row r="56" spans="1:28" x14ac:dyDescent="0.25">
      <c r="A56" s="81" t="s">
        <v>41</v>
      </c>
      <c r="B56" s="81"/>
      <c r="C56" s="81" t="s">
        <v>190</v>
      </c>
      <c r="D56" s="81"/>
      <c r="E56" s="81" t="s">
        <v>238</v>
      </c>
      <c r="F56" s="15"/>
      <c r="G56" s="82" t="s">
        <v>455</v>
      </c>
      <c r="H56" s="82"/>
      <c r="I56" s="82">
        <v>9.5000000000000001E-2</v>
      </c>
      <c r="J56" s="82"/>
      <c r="K56" s="83">
        <v>44581</v>
      </c>
      <c r="L56" s="15"/>
      <c r="M56" s="11"/>
      <c r="N56" s="82">
        <v>0.09</v>
      </c>
      <c r="O56" s="84"/>
      <c r="P56" s="85">
        <f t="shared" si="0"/>
        <v>-50.000000000000043</v>
      </c>
      <c r="Q56" s="9"/>
      <c r="R56" s="9"/>
      <c r="S56" s="11"/>
      <c r="T56" s="82" t="s">
        <v>33</v>
      </c>
      <c r="U56" s="11"/>
      <c r="V56" s="82">
        <v>6.08E-2</v>
      </c>
      <c r="W56" s="7"/>
      <c r="X56" s="82">
        <v>0.48</v>
      </c>
      <c r="Y56" s="86"/>
      <c r="Z56" s="7">
        <f t="shared" si="5"/>
        <v>4.3199999999999995E-2</v>
      </c>
      <c r="AA56" s="11"/>
      <c r="AB56" s="11"/>
    </row>
    <row r="57" spans="1:28" x14ac:dyDescent="0.25">
      <c r="A57" s="81" t="s">
        <v>106</v>
      </c>
      <c r="B57" s="81"/>
      <c r="C57" s="81" t="s">
        <v>456</v>
      </c>
      <c r="D57" s="81"/>
      <c r="E57" s="81" t="s">
        <v>40</v>
      </c>
      <c r="F57" s="1"/>
      <c r="G57" s="82" t="s">
        <v>457</v>
      </c>
      <c r="H57" s="82"/>
      <c r="I57" s="82">
        <v>0.10249999999999999</v>
      </c>
      <c r="J57" s="82"/>
      <c r="K57" s="83">
        <v>44582</v>
      </c>
      <c r="L57" s="1"/>
      <c r="N57" s="82">
        <v>9.6000000000000002E-2</v>
      </c>
      <c r="O57" s="84"/>
      <c r="P57" s="85">
        <f t="shared" si="0"/>
        <v>-64.999999999999915</v>
      </c>
      <c r="Q57" s="9"/>
      <c r="R57" s="9"/>
      <c r="T57" s="82" t="s">
        <v>33</v>
      </c>
      <c r="V57" s="82">
        <v>7.0699999999999999E-2</v>
      </c>
      <c r="W57" s="7"/>
      <c r="X57" s="82">
        <v>0.51600000000000001</v>
      </c>
      <c r="Y57" s="86"/>
      <c r="Z57" s="7">
        <f t="shared" si="5"/>
        <v>4.9536000000000004E-2</v>
      </c>
      <c r="AA57" s="11"/>
      <c r="AB57" s="11"/>
    </row>
    <row r="58" spans="1:28" x14ac:dyDescent="0.25">
      <c r="A58" s="81" t="s">
        <v>93</v>
      </c>
      <c r="B58" s="81"/>
      <c r="C58" s="81" t="s">
        <v>384</v>
      </c>
      <c r="D58" s="81"/>
      <c r="E58" s="81" t="s">
        <v>385</v>
      </c>
      <c r="F58" s="1"/>
      <c r="G58" s="82" t="s">
        <v>458</v>
      </c>
      <c r="H58" s="82"/>
      <c r="I58" s="82">
        <v>9.9000000000000005E-2</v>
      </c>
      <c r="J58" s="82"/>
      <c r="K58" s="83">
        <v>44642</v>
      </c>
      <c r="L58" s="88"/>
      <c r="N58" s="82">
        <v>9.4E-2</v>
      </c>
      <c r="O58" s="84"/>
      <c r="P58" s="85">
        <f t="shared" si="0"/>
        <v>-50.000000000000043</v>
      </c>
      <c r="Q58" s="9"/>
      <c r="R58" s="9"/>
      <c r="T58" s="82" t="s">
        <v>33</v>
      </c>
      <c r="V58" s="82" t="s">
        <v>34</v>
      </c>
      <c r="W58" s="7"/>
      <c r="X58" s="82">
        <v>0.5</v>
      </c>
      <c r="Y58" s="86"/>
      <c r="Z58" s="7">
        <f t="shared" si="5"/>
        <v>4.7E-2</v>
      </c>
      <c r="AA58" s="11"/>
      <c r="AB58" s="11"/>
    </row>
    <row r="59" spans="1:28" x14ac:dyDescent="0.25">
      <c r="A59" s="81" t="s">
        <v>93</v>
      </c>
      <c r="B59" s="81"/>
      <c r="C59" s="81" t="s">
        <v>384</v>
      </c>
      <c r="D59" s="81"/>
      <c r="E59" s="81" t="s">
        <v>385</v>
      </c>
      <c r="F59" s="15"/>
      <c r="G59" s="82" t="s">
        <v>459</v>
      </c>
      <c r="H59" s="82"/>
      <c r="I59" s="82">
        <v>9.9000000000000005E-2</v>
      </c>
      <c r="J59" s="82"/>
      <c r="K59" s="83">
        <v>44642</v>
      </c>
      <c r="L59" s="15">
        <v>44020</v>
      </c>
      <c r="M59" s="11"/>
      <c r="N59" s="82">
        <v>9.4E-2</v>
      </c>
      <c r="O59" s="84"/>
      <c r="P59" s="85">
        <f t="shared" si="0"/>
        <v>-50.000000000000043</v>
      </c>
      <c r="Q59" s="9"/>
      <c r="R59" s="9"/>
      <c r="S59" s="11"/>
      <c r="T59" s="82" t="s">
        <v>33</v>
      </c>
      <c r="U59" s="11"/>
      <c r="V59" s="82" t="s">
        <v>34</v>
      </c>
      <c r="W59" s="7"/>
      <c r="X59" s="82">
        <v>0.5</v>
      </c>
      <c r="Y59" s="86"/>
      <c r="Z59" s="7">
        <f t="shared" si="5"/>
        <v>4.7E-2</v>
      </c>
      <c r="AA59" s="11"/>
      <c r="AB59" s="11"/>
    </row>
    <row r="60" spans="1:28" x14ac:dyDescent="0.25">
      <c r="A60" s="81" t="s">
        <v>41</v>
      </c>
      <c r="B60" s="81"/>
      <c r="C60" s="81" t="s">
        <v>239</v>
      </c>
      <c r="D60" s="81"/>
      <c r="E60" s="81" t="s">
        <v>42</v>
      </c>
      <c r="F60" s="15"/>
      <c r="G60" s="82" t="s">
        <v>460</v>
      </c>
      <c r="H60" s="82"/>
      <c r="I60" s="82">
        <v>9.5000000000000001E-2</v>
      </c>
      <c r="J60" s="82"/>
      <c r="K60" s="83">
        <v>44665</v>
      </c>
      <c r="L60" s="15"/>
      <c r="M60" s="11"/>
      <c r="N60" s="82">
        <v>9.1999999999999998E-2</v>
      </c>
      <c r="O60" s="84"/>
      <c r="P60" s="85">
        <f t="shared" si="0"/>
        <v>-30.000000000000028</v>
      </c>
      <c r="Q60" s="9"/>
      <c r="R60" s="9"/>
      <c r="S60" s="11"/>
      <c r="T60" s="82" t="s">
        <v>33</v>
      </c>
      <c r="U60" s="11"/>
      <c r="V60" s="82">
        <v>6.7699999999999996E-2</v>
      </c>
      <c r="W60" s="7"/>
      <c r="X60" s="82">
        <v>0.48</v>
      </c>
      <c r="Y60" s="86"/>
      <c r="Z60" s="7">
        <f t="shared" si="5"/>
        <v>4.4159999999999998E-2</v>
      </c>
      <c r="AA60" s="11"/>
      <c r="AB60" s="11"/>
    </row>
    <row r="61" spans="1:28" x14ac:dyDescent="0.25">
      <c r="A61" s="81" t="s">
        <v>47</v>
      </c>
      <c r="B61" s="81"/>
      <c r="C61" s="81" t="s">
        <v>461</v>
      </c>
      <c r="D61" s="81"/>
      <c r="E61" s="81" t="s">
        <v>462</v>
      </c>
      <c r="F61" s="15"/>
      <c r="G61" s="82" t="s">
        <v>463</v>
      </c>
      <c r="H61" s="82"/>
      <c r="I61" s="82">
        <v>0.10349999999999999</v>
      </c>
      <c r="J61" s="82"/>
      <c r="K61" s="83">
        <v>44700</v>
      </c>
      <c r="L61" s="15"/>
      <c r="M61" s="11"/>
      <c r="N61" s="82">
        <v>9.2299999999999993E-2</v>
      </c>
      <c r="O61" s="84"/>
      <c r="P61" s="85">
        <f t="shared" si="0"/>
        <v>-112.00000000000001</v>
      </c>
      <c r="Q61" s="9"/>
      <c r="R61" s="9"/>
      <c r="S61" s="11"/>
      <c r="T61" s="82" t="s">
        <v>46</v>
      </c>
      <c r="U61" s="11"/>
      <c r="V61" s="82">
        <v>6.8199999999999997E-2</v>
      </c>
      <c r="W61" s="7"/>
      <c r="X61" s="82">
        <v>0.54500000000000004</v>
      </c>
      <c r="Y61" s="86"/>
      <c r="Z61" s="7">
        <f t="shared" si="5"/>
        <v>5.0303500000000001E-2</v>
      </c>
      <c r="AA61" s="11"/>
      <c r="AB61" s="11"/>
    </row>
    <row r="62" spans="1:28" x14ac:dyDescent="0.25">
      <c r="A62" s="81" t="s">
        <v>41</v>
      </c>
      <c r="B62" s="81"/>
      <c r="C62" s="81" t="s">
        <v>392</v>
      </c>
      <c r="D62" s="81"/>
      <c r="E62" s="81" t="s">
        <v>156</v>
      </c>
      <c r="F62" s="15"/>
      <c r="G62" s="82" t="s">
        <v>464</v>
      </c>
      <c r="H62" s="82"/>
      <c r="I62" s="82">
        <v>0.10199999999999999</v>
      </c>
      <c r="J62" s="82"/>
      <c r="K62" s="83">
        <v>44728</v>
      </c>
      <c r="L62" s="15"/>
      <c r="M62" s="11"/>
      <c r="N62" s="82">
        <v>9.2499999999999999E-2</v>
      </c>
      <c r="O62" s="84"/>
      <c r="P62" s="85">
        <f t="shared" si="0"/>
        <v>-94.999999999999943</v>
      </c>
      <c r="Q62" s="9"/>
      <c r="R62" s="9"/>
      <c r="S62" s="11"/>
      <c r="T62" s="82" t="s">
        <v>33</v>
      </c>
      <c r="U62" s="11"/>
      <c r="V62" s="82">
        <v>6.5299999999999997E-2</v>
      </c>
      <c r="W62" s="7"/>
      <c r="X62" s="82">
        <v>0.48</v>
      </c>
      <c r="Y62" s="86"/>
      <c r="Z62" s="7">
        <f t="shared" si="5"/>
        <v>4.4399999999999995E-2</v>
      </c>
      <c r="AA62" s="11"/>
      <c r="AB62" s="11"/>
    </row>
    <row r="63" spans="1:28" x14ac:dyDescent="0.25">
      <c r="A63" s="81" t="s">
        <v>29</v>
      </c>
      <c r="B63" s="81"/>
      <c r="C63" s="81" t="s">
        <v>30</v>
      </c>
      <c r="D63" s="81"/>
      <c r="E63" s="81" t="s">
        <v>31</v>
      </c>
      <c r="F63" s="15"/>
      <c r="G63" s="82" t="s">
        <v>465</v>
      </c>
      <c r="H63" s="82"/>
      <c r="I63" s="82">
        <v>0.10249999999999999</v>
      </c>
      <c r="J63" s="82"/>
      <c r="K63" s="83">
        <v>44749</v>
      </c>
      <c r="L63" s="15"/>
      <c r="M63" s="11"/>
      <c r="N63" s="82">
        <v>9.9000000000000005E-2</v>
      </c>
      <c r="O63" s="84"/>
      <c r="P63" s="85">
        <f t="shared" si="0"/>
        <v>-34.999999999999893</v>
      </c>
      <c r="Q63" s="9"/>
      <c r="R63" s="9"/>
      <c r="S63" s="11"/>
      <c r="T63" s="82" t="s">
        <v>33</v>
      </c>
      <c r="U63" s="11"/>
      <c r="V63" s="82" t="s">
        <v>146</v>
      </c>
      <c r="W63" s="7"/>
      <c r="X63" s="82" t="s">
        <v>146</v>
      </c>
      <c r="Y63" s="86"/>
      <c r="Z63" s="7" t="str">
        <f>IFERROR(X63*N63,"NA")</f>
        <v>NA</v>
      </c>
      <c r="AA63" s="11"/>
      <c r="AB63" s="11"/>
    </row>
    <row r="64" spans="1:28" x14ac:dyDescent="0.25">
      <c r="A64" s="81" t="s">
        <v>113</v>
      </c>
      <c r="B64" s="81"/>
      <c r="C64" s="81" t="s">
        <v>466</v>
      </c>
      <c r="D64" s="81"/>
      <c r="E64" s="81" t="s">
        <v>109</v>
      </c>
      <c r="F64" s="15"/>
      <c r="G64" s="82" t="s">
        <v>467</v>
      </c>
      <c r="H64" s="82"/>
      <c r="I64" s="82">
        <v>0.10299999999999999</v>
      </c>
      <c r="J64" s="82"/>
      <c r="K64" s="83">
        <v>44762</v>
      </c>
      <c r="L64" s="15"/>
      <c r="M64" s="11"/>
      <c r="N64" s="82">
        <v>9.2999999999999999E-2</v>
      </c>
      <c r="O64" s="84"/>
      <c r="P64" s="85">
        <f t="shared" si="0"/>
        <v>-99.999999999999943</v>
      </c>
      <c r="Q64" s="9"/>
      <c r="R64" s="9"/>
      <c r="S64" s="11"/>
      <c r="T64" s="82" t="s">
        <v>33</v>
      </c>
      <c r="U64" s="11"/>
      <c r="V64" s="82">
        <v>7.1999999999999995E-2</v>
      </c>
      <c r="W64" s="7"/>
      <c r="X64" s="82">
        <v>0.52</v>
      </c>
      <c r="Y64" s="86"/>
      <c r="Z64" s="7">
        <f t="shared" ref="Z64:Z108" si="6">X64*N64</f>
        <v>4.836E-2</v>
      </c>
      <c r="AA64" s="11"/>
      <c r="AB64" s="11"/>
    </row>
    <row r="65" spans="1:28" x14ac:dyDescent="0.25">
      <c r="A65" s="81" t="s">
        <v>78</v>
      </c>
      <c r="B65" s="81"/>
      <c r="C65" s="81" t="s">
        <v>468</v>
      </c>
      <c r="D65" s="81"/>
      <c r="E65" s="81" t="s">
        <v>79</v>
      </c>
      <c r="F65" s="15"/>
      <c r="G65" s="82" t="s">
        <v>469</v>
      </c>
      <c r="H65" s="82"/>
      <c r="I65" s="82">
        <v>0.105</v>
      </c>
      <c r="J65" s="82"/>
      <c r="K65" s="83">
        <v>44769</v>
      </c>
      <c r="L65" s="15"/>
      <c r="M65" s="11"/>
      <c r="N65" s="82">
        <v>9.8500000000000004E-2</v>
      </c>
      <c r="O65" s="84"/>
      <c r="P65" s="85">
        <f t="shared" si="0"/>
        <v>-64.999999999999915</v>
      </c>
      <c r="Q65" s="9"/>
      <c r="R65" s="9"/>
      <c r="S65" s="11"/>
      <c r="T65" s="82" t="s">
        <v>33</v>
      </c>
      <c r="U65" s="11"/>
      <c r="V65" s="82">
        <v>6.5500000000000003E-2</v>
      </c>
      <c r="W65" s="7"/>
      <c r="X65" s="82">
        <v>0.49469999999999997</v>
      </c>
      <c r="Y65" s="86"/>
      <c r="Z65" s="7">
        <f t="shared" si="6"/>
        <v>4.8727949999999999E-2</v>
      </c>
      <c r="AA65" s="11"/>
      <c r="AB65" s="11"/>
    </row>
    <row r="66" spans="1:28" x14ac:dyDescent="0.25">
      <c r="A66" s="81" t="s">
        <v>124</v>
      </c>
      <c r="B66" s="81"/>
      <c r="C66" s="81" t="s">
        <v>74</v>
      </c>
      <c r="D66" s="81"/>
      <c r="E66" s="81" t="s">
        <v>75</v>
      </c>
      <c r="F66" s="15"/>
      <c r="G66" s="82" t="s">
        <v>470</v>
      </c>
      <c r="H66" s="82"/>
      <c r="I66" s="82">
        <v>9.9000000000000005E-2</v>
      </c>
      <c r="J66" s="82"/>
      <c r="K66" s="83">
        <v>44775</v>
      </c>
      <c r="L66" s="15"/>
      <c r="M66" s="11"/>
      <c r="N66" s="82">
        <v>9.4E-2</v>
      </c>
      <c r="O66" s="84"/>
      <c r="P66" s="85">
        <f t="shared" si="0"/>
        <v>-50.000000000000043</v>
      </c>
      <c r="Q66" s="9"/>
      <c r="R66" s="9"/>
      <c r="S66" s="11"/>
      <c r="T66" s="82" t="s">
        <v>33</v>
      </c>
      <c r="U66" s="11"/>
      <c r="V66" s="82">
        <v>7.0499999999999993E-2</v>
      </c>
      <c r="W66" s="7"/>
      <c r="X66" s="82">
        <v>0.5</v>
      </c>
      <c r="Y66" s="86"/>
      <c r="Z66" s="7">
        <f t="shared" si="6"/>
        <v>4.7E-2</v>
      </c>
      <c r="AA66" s="11"/>
      <c r="AB66" s="11"/>
    </row>
    <row r="67" spans="1:28" x14ac:dyDescent="0.25">
      <c r="A67" s="81" t="s">
        <v>37</v>
      </c>
      <c r="B67" s="81"/>
      <c r="C67" s="81" t="s">
        <v>471</v>
      </c>
      <c r="D67" s="81"/>
      <c r="E67" s="81" t="s">
        <v>472</v>
      </c>
      <c r="F67" s="15"/>
      <c r="G67" s="82" t="s">
        <v>473</v>
      </c>
      <c r="H67" s="82"/>
      <c r="I67" s="82">
        <v>0.1075</v>
      </c>
      <c r="J67" s="82"/>
      <c r="K67" s="83">
        <v>44790</v>
      </c>
      <c r="L67" s="15"/>
      <c r="M67" s="11"/>
      <c r="N67" s="82">
        <v>9.6000000000000002E-2</v>
      </c>
      <c r="O67" s="84"/>
      <c r="P67" s="85">
        <f t="shared" si="0"/>
        <v>-114.99999999999996</v>
      </c>
      <c r="Q67" s="9"/>
      <c r="R67" s="9"/>
      <c r="S67" s="11"/>
      <c r="T67" s="82" t="s">
        <v>33</v>
      </c>
      <c r="U67" s="11"/>
      <c r="V67" s="82">
        <v>6.8500000000000005E-2</v>
      </c>
      <c r="W67" s="7"/>
      <c r="X67" s="82">
        <v>0.52</v>
      </c>
      <c r="Y67" s="86"/>
      <c r="Z67" s="7">
        <f t="shared" si="6"/>
        <v>4.9920000000000006E-2</v>
      </c>
      <c r="AA67" s="11"/>
      <c r="AB67" s="11"/>
    </row>
    <row r="68" spans="1:28" x14ac:dyDescent="0.25">
      <c r="A68" s="81" t="s">
        <v>262</v>
      </c>
      <c r="B68" s="81"/>
      <c r="C68" s="81" t="s">
        <v>474</v>
      </c>
      <c r="D68" s="81"/>
      <c r="E68" s="81" t="s">
        <v>418</v>
      </c>
      <c r="F68" s="15"/>
      <c r="G68" s="82" t="s">
        <v>475</v>
      </c>
      <c r="H68" s="82"/>
      <c r="I68" s="82">
        <v>0.10199999999999999</v>
      </c>
      <c r="J68" s="82"/>
      <c r="K68" s="83">
        <v>44791</v>
      </c>
      <c r="L68" s="15"/>
      <c r="M68" s="11"/>
      <c r="N68" s="82">
        <v>9.3899999999999997E-2</v>
      </c>
      <c r="O68" s="84"/>
      <c r="P68" s="85">
        <f t="shared" si="0"/>
        <v>-80.999999999999957</v>
      </c>
      <c r="Q68" s="9"/>
      <c r="R68" s="9"/>
      <c r="S68" s="11"/>
      <c r="T68" s="82" t="s">
        <v>33</v>
      </c>
      <c r="U68" s="11"/>
      <c r="V68" s="82">
        <v>6.6500000000000004E-2</v>
      </c>
      <c r="W68" s="7"/>
      <c r="X68" s="82">
        <v>0.51</v>
      </c>
      <c r="Y68" s="86"/>
      <c r="Z68" s="7">
        <f t="shared" si="6"/>
        <v>4.7889000000000001E-2</v>
      </c>
      <c r="AA68" s="11"/>
      <c r="AB68" s="11"/>
    </row>
    <row r="69" spans="1:28" x14ac:dyDescent="0.25">
      <c r="A69" s="92" t="s">
        <v>108</v>
      </c>
      <c r="B69" s="92"/>
      <c r="C69" s="92" t="s">
        <v>370</v>
      </c>
      <c r="D69" s="92"/>
      <c r="E69" s="92" t="s">
        <v>281</v>
      </c>
      <c r="F69" s="98"/>
      <c r="G69" s="93" t="s">
        <v>476</v>
      </c>
      <c r="H69" s="93"/>
      <c r="I69" s="93">
        <v>9.4E-2</v>
      </c>
      <c r="J69" s="93"/>
      <c r="K69" s="94">
        <v>44796</v>
      </c>
      <c r="L69" s="98"/>
      <c r="M69" s="99"/>
      <c r="N69" s="93">
        <v>9.4E-2</v>
      </c>
      <c r="O69" s="95"/>
      <c r="P69" s="96">
        <f t="shared" si="0"/>
        <v>0</v>
      </c>
      <c r="Q69" s="76"/>
      <c r="R69" s="76"/>
      <c r="S69" s="99"/>
      <c r="T69" s="93" t="s">
        <v>33</v>
      </c>
      <c r="U69" s="99"/>
      <c r="V69" s="93">
        <v>6.8500000000000005E-2</v>
      </c>
      <c r="W69" s="79"/>
      <c r="X69" s="93">
        <v>0.47</v>
      </c>
      <c r="Y69" s="97"/>
      <c r="Z69" s="79">
        <f t="shared" si="6"/>
        <v>4.4179999999999997E-2</v>
      </c>
      <c r="AA69" s="11"/>
      <c r="AB69" s="11"/>
    </row>
    <row r="70" spans="1:28" x14ac:dyDescent="0.25">
      <c r="A70" s="81" t="s">
        <v>51</v>
      </c>
      <c r="B70" s="81"/>
      <c r="C70" s="81" t="s">
        <v>376</v>
      </c>
      <c r="D70" s="81"/>
      <c r="E70" s="81" t="s">
        <v>56</v>
      </c>
      <c r="F70" s="15"/>
      <c r="G70" s="82" t="s">
        <v>477</v>
      </c>
      <c r="H70" s="82"/>
      <c r="I70" s="82">
        <v>9.9000000000000005E-2</v>
      </c>
      <c r="J70" s="82"/>
      <c r="K70" s="83">
        <v>44819</v>
      </c>
      <c r="L70" s="15"/>
      <c r="M70" s="11"/>
      <c r="N70" s="82">
        <v>9.3000000000000013E-2</v>
      </c>
      <c r="O70" s="84"/>
      <c r="P70" s="85">
        <f t="shared" si="0"/>
        <v>-59.999999999999915</v>
      </c>
      <c r="Q70" s="9"/>
      <c r="R70" s="9"/>
      <c r="S70" s="11"/>
      <c r="T70" s="82" t="s">
        <v>33</v>
      </c>
      <c r="U70" s="11"/>
      <c r="V70" s="82">
        <v>6.8000000000000005E-2</v>
      </c>
      <c r="W70" s="7"/>
      <c r="X70" s="82">
        <v>0.52200000000000002</v>
      </c>
      <c r="Y70" s="86"/>
      <c r="Z70" s="7">
        <f t="shared" si="6"/>
        <v>4.8546000000000006E-2</v>
      </c>
      <c r="AA70" s="11"/>
      <c r="AB70" s="11"/>
    </row>
    <row r="71" spans="1:28" x14ac:dyDescent="0.25">
      <c r="A71" s="81" t="s">
        <v>92</v>
      </c>
      <c r="B71" s="81"/>
      <c r="C71" s="81" t="s">
        <v>478</v>
      </c>
      <c r="D71" s="81"/>
      <c r="E71" s="81" t="s">
        <v>267</v>
      </c>
      <c r="F71" s="15"/>
      <c r="G71" s="82" t="s">
        <v>479</v>
      </c>
      <c r="H71" s="82"/>
      <c r="I71" s="82">
        <v>0.10199999999999999</v>
      </c>
      <c r="J71" s="82"/>
      <c r="K71" s="83">
        <v>44844</v>
      </c>
      <c r="L71" s="15"/>
      <c r="M71" s="11"/>
      <c r="N71" s="82">
        <v>9.6000000000000002E-2</v>
      </c>
      <c r="O71" s="84"/>
      <c r="P71" s="85">
        <f t="shared" si="0"/>
        <v>-59.999999999999915</v>
      </c>
      <c r="Q71" s="9"/>
      <c r="R71" s="9"/>
      <c r="S71" s="11"/>
      <c r="T71" s="82" t="s">
        <v>46</v>
      </c>
      <c r="U71" s="11"/>
      <c r="V71" s="82">
        <v>5.3200000000000004E-2</v>
      </c>
      <c r="W71" s="7"/>
      <c r="X71" s="82">
        <v>0.45</v>
      </c>
      <c r="Y71" s="86"/>
      <c r="Z71" s="7">
        <f t="shared" si="6"/>
        <v>4.3200000000000002E-2</v>
      </c>
      <c r="AA71" s="11"/>
      <c r="AB71" s="11"/>
    </row>
    <row r="72" spans="1:28" x14ac:dyDescent="0.25">
      <c r="A72" s="81" t="s">
        <v>151</v>
      </c>
      <c r="B72" s="81"/>
      <c r="C72" s="81" t="s">
        <v>117</v>
      </c>
      <c r="D72" s="81"/>
      <c r="E72" s="81" t="s">
        <v>39</v>
      </c>
      <c r="F72" s="15"/>
      <c r="G72" s="82" t="s">
        <v>480</v>
      </c>
      <c r="H72" s="82"/>
      <c r="I72" s="82">
        <v>0.10300000000000001</v>
      </c>
      <c r="J72" s="82"/>
      <c r="K72" s="83">
        <v>44846</v>
      </c>
      <c r="L72" s="15"/>
      <c r="M72" s="11"/>
      <c r="N72" s="82">
        <v>9.6000000000000002E-2</v>
      </c>
      <c r="O72" s="84"/>
      <c r="P72" s="85">
        <f t="shared" si="0"/>
        <v>-70.000000000000057</v>
      </c>
      <c r="Q72" s="9"/>
      <c r="R72" s="9"/>
      <c r="S72" s="11"/>
      <c r="T72" s="82" t="s">
        <v>33</v>
      </c>
      <c r="U72" s="11"/>
      <c r="V72" s="82">
        <v>6.5700000000000008E-2</v>
      </c>
      <c r="W72" s="7"/>
      <c r="X72" s="82">
        <v>0.49939999999999996</v>
      </c>
      <c r="Y72" s="86"/>
      <c r="Z72" s="7">
        <f t="shared" si="6"/>
        <v>4.7942399999999996E-2</v>
      </c>
      <c r="AA72" s="11"/>
      <c r="AB72" s="11"/>
    </row>
    <row r="73" spans="1:28" x14ac:dyDescent="0.25">
      <c r="A73" s="81" t="s">
        <v>124</v>
      </c>
      <c r="B73" s="81"/>
      <c r="C73" s="81" t="s">
        <v>481</v>
      </c>
      <c r="D73" s="81"/>
      <c r="E73" s="81" t="s">
        <v>482</v>
      </c>
      <c r="F73" s="15"/>
      <c r="G73" s="82" t="s">
        <v>483</v>
      </c>
      <c r="H73" s="82"/>
      <c r="I73" s="82">
        <v>9.5000000000000001E-2</v>
      </c>
      <c r="J73" s="82"/>
      <c r="K73" s="83">
        <v>44858</v>
      </c>
      <c r="L73" s="15"/>
      <c r="M73" s="11"/>
      <c r="N73" s="82">
        <v>9.4E-2</v>
      </c>
      <c r="O73" s="84"/>
      <c r="P73" s="85">
        <f t="shared" si="0"/>
        <v>-10.000000000000009</v>
      </c>
      <c r="Q73" s="9"/>
      <c r="R73" s="9"/>
      <c r="S73" s="11"/>
      <c r="T73" s="82" t="s">
        <v>33</v>
      </c>
      <c r="U73" s="11"/>
      <c r="V73" s="82">
        <v>6.8400000000000002E-2</v>
      </c>
      <c r="W73" s="7"/>
      <c r="X73" s="82">
        <v>0.5</v>
      </c>
      <c r="Y73" s="86"/>
      <c r="Z73" s="7">
        <f t="shared" si="6"/>
        <v>4.7E-2</v>
      </c>
      <c r="AA73" s="11"/>
      <c r="AB73" s="11"/>
    </row>
    <row r="74" spans="1:28" x14ac:dyDescent="0.25">
      <c r="A74" s="81" t="s">
        <v>101</v>
      </c>
      <c r="B74" s="81"/>
      <c r="C74" s="81" t="s">
        <v>194</v>
      </c>
      <c r="D74" s="81"/>
      <c r="E74" s="81" t="s">
        <v>64</v>
      </c>
      <c r="F74" s="15"/>
      <c r="G74" s="82" t="s">
        <v>484</v>
      </c>
      <c r="H74" s="82"/>
      <c r="I74" s="82">
        <v>0.10249999999999999</v>
      </c>
      <c r="J74" s="82"/>
      <c r="K74" s="83">
        <v>44859</v>
      </c>
      <c r="L74" s="15"/>
      <c r="M74" s="11"/>
      <c r="N74" s="82">
        <v>9.1999999999999998E-2</v>
      </c>
      <c r="O74" s="84"/>
      <c r="P74" s="85">
        <f t="shared" si="0"/>
        <v>-104.99999999999996</v>
      </c>
      <c r="Q74" s="9"/>
      <c r="R74" s="9"/>
      <c r="S74" s="11"/>
      <c r="T74" s="82" t="s">
        <v>46</v>
      </c>
      <c r="U74" s="11"/>
      <c r="V74" s="82">
        <v>6.7000000000000004E-2</v>
      </c>
      <c r="W74" s="7"/>
      <c r="X74" s="82">
        <v>0.53780000000000006</v>
      </c>
      <c r="Y74" s="86"/>
      <c r="Z74" s="7">
        <f t="shared" si="6"/>
        <v>4.9477600000000004E-2</v>
      </c>
      <c r="AA74" s="11"/>
      <c r="AB74" s="11"/>
    </row>
    <row r="75" spans="1:28" x14ac:dyDescent="0.25">
      <c r="A75" s="81" t="s">
        <v>153</v>
      </c>
      <c r="B75" s="81"/>
      <c r="C75" s="81" t="s">
        <v>154</v>
      </c>
      <c r="D75" s="81"/>
      <c r="E75" s="81" t="s">
        <v>64</v>
      </c>
      <c r="F75" s="15"/>
      <c r="G75" s="82" t="s">
        <v>485</v>
      </c>
      <c r="H75" s="82"/>
      <c r="I75" s="82">
        <v>0.105</v>
      </c>
      <c r="J75" s="82"/>
      <c r="K75" s="83">
        <v>44861</v>
      </c>
      <c r="L75" s="15"/>
      <c r="M75" s="11"/>
      <c r="N75" s="82">
        <v>9.8000000000000004E-2</v>
      </c>
      <c r="O75" s="84"/>
      <c r="P75" s="85">
        <f t="shared" ref="P75:P128" si="7">(N75-I75)*10000</f>
        <v>-69.999999999999929</v>
      </c>
      <c r="Q75" s="9"/>
      <c r="R75" s="9" t="str">
        <f t="shared" ref="R75:R91" si="8">IF(OR(E75="ATO",E75="NJR",E75="NI",E75="NWN",E75="OGS",E75="SR"),"Y","")</f>
        <v/>
      </c>
      <c r="S75" s="11"/>
      <c r="T75" s="82" t="s">
        <v>33</v>
      </c>
      <c r="U75" s="11"/>
      <c r="V75" s="82" t="s">
        <v>34</v>
      </c>
      <c r="W75" s="7"/>
      <c r="X75" s="82">
        <v>0.52539999999999998</v>
      </c>
      <c r="Y75" s="86"/>
      <c r="Z75" s="7">
        <f t="shared" si="6"/>
        <v>5.1489199999999999E-2</v>
      </c>
      <c r="AA75" s="11"/>
      <c r="AB75" s="11"/>
    </row>
    <row r="76" spans="1:28" x14ac:dyDescent="0.25">
      <c r="A76" s="81" t="s">
        <v>65</v>
      </c>
      <c r="B76" s="81"/>
      <c r="C76" s="81" t="s">
        <v>486</v>
      </c>
      <c r="D76" s="81"/>
      <c r="E76" s="81" t="s">
        <v>105</v>
      </c>
      <c r="F76" s="15"/>
      <c r="G76" s="82" t="s">
        <v>487</v>
      </c>
      <c r="H76" s="82"/>
      <c r="I76" s="82">
        <v>0.105</v>
      </c>
      <c r="J76" s="82"/>
      <c r="K76" s="83">
        <v>44861</v>
      </c>
      <c r="L76" s="15"/>
      <c r="M76" s="11"/>
      <c r="N76" s="82">
        <v>9.6999999999999989E-2</v>
      </c>
      <c r="O76" s="84"/>
      <c r="P76" s="85">
        <f t="shared" si="7"/>
        <v>-80.000000000000071</v>
      </c>
      <c r="Q76" s="9"/>
      <c r="R76" s="9" t="str">
        <f t="shared" si="8"/>
        <v/>
      </c>
      <c r="S76" s="11"/>
      <c r="T76" s="82" t="s">
        <v>33</v>
      </c>
      <c r="U76" s="11"/>
      <c r="V76" s="82">
        <v>7.2000000000000008E-2</v>
      </c>
      <c r="W76" s="7"/>
      <c r="X76" s="82">
        <v>0.54</v>
      </c>
      <c r="Y76" s="86"/>
      <c r="Z76" s="7">
        <f t="shared" si="6"/>
        <v>5.2379999999999996E-2</v>
      </c>
      <c r="AA76" s="11"/>
      <c r="AB76" s="11"/>
    </row>
    <row r="77" spans="1:28" x14ac:dyDescent="0.25">
      <c r="A77" s="81" t="s">
        <v>86</v>
      </c>
      <c r="B77" s="81"/>
      <c r="C77" s="81" t="s">
        <v>88</v>
      </c>
      <c r="D77" s="81"/>
      <c r="E77" s="81" t="s">
        <v>89</v>
      </c>
      <c r="F77" s="15"/>
      <c r="G77" s="82" t="s">
        <v>488</v>
      </c>
      <c r="H77" s="82"/>
      <c r="I77" s="82">
        <v>0.10550000000000001</v>
      </c>
      <c r="J77" s="82"/>
      <c r="K77" s="83">
        <v>44868</v>
      </c>
      <c r="L77" s="15"/>
      <c r="M77" s="11"/>
      <c r="N77" s="82">
        <v>0.10199999999999999</v>
      </c>
      <c r="O77" s="84"/>
      <c r="P77" s="85">
        <f t="shared" si="7"/>
        <v>-35.000000000000171</v>
      </c>
      <c r="Q77" s="9"/>
      <c r="R77" s="9" t="str">
        <f t="shared" si="8"/>
        <v/>
      </c>
      <c r="S77" s="11"/>
      <c r="T77" s="82" t="s">
        <v>46</v>
      </c>
      <c r="U77" s="11"/>
      <c r="V77" s="82">
        <v>7.5499999999999998E-2</v>
      </c>
      <c r="W77" s="7"/>
      <c r="X77" s="82">
        <v>0.52</v>
      </c>
      <c r="Y77" s="86"/>
      <c r="Z77" s="7">
        <f t="shared" si="6"/>
        <v>5.3039999999999997E-2</v>
      </c>
      <c r="AA77" s="11"/>
      <c r="AB77" s="11"/>
    </row>
    <row r="78" spans="1:28" x14ac:dyDescent="0.25">
      <c r="A78" s="81" t="s">
        <v>44</v>
      </c>
      <c r="B78" s="81"/>
      <c r="C78" s="81" t="s">
        <v>439</v>
      </c>
      <c r="D78" s="81"/>
      <c r="E78" s="81" t="s">
        <v>79</v>
      </c>
      <c r="F78" s="15"/>
      <c r="G78" s="82" t="s">
        <v>489</v>
      </c>
      <c r="H78" s="82"/>
      <c r="I78" s="82">
        <v>0.10949999999999999</v>
      </c>
      <c r="J78" s="82"/>
      <c r="K78" s="83">
        <v>44882</v>
      </c>
      <c r="L78" s="15"/>
      <c r="M78" s="11"/>
      <c r="N78" s="82">
        <v>9.6500000000000002E-2</v>
      </c>
      <c r="O78" s="84"/>
      <c r="P78" s="85">
        <f t="shared" si="7"/>
        <v>-129.99999999999983</v>
      </c>
      <c r="Q78" s="9"/>
      <c r="R78" s="9"/>
      <c r="S78" s="11"/>
      <c r="T78" s="82" t="s">
        <v>33</v>
      </c>
      <c r="U78" s="11"/>
      <c r="V78" s="82">
        <v>7.1099999999999997E-2</v>
      </c>
      <c r="W78" s="7"/>
      <c r="X78" s="82">
        <v>0.52969999999999995</v>
      </c>
      <c r="Y78" s="86"/>
      <c r="Z78" s="7">
        <f t="shared" si="6"/>
        <v>5.1116049999999996E-2</v>
      </c>
      <c r="AA78" s="11"/>
      <c r="AB78" s="11"/>
    </row>
    <row r="79" spans="1:28" x14ac:dyDescent="0.25">
      <c r="A79" s="81" t="s">
        <v>111</v>
      </c>
      <c r="B79" s="81"/>
      <c r="C79" s="81" t="s">
        <v>490</v>
      </c>
      <c r="D79" s="81"/>
      <c r="E79" s="81" t="s">
        <v>161</v>
      </c>
      <c r="F79" s="15"/>
      <c r="G79" s="82" t="s">
        <v>491</v>
      </c>
      <c r="H79" s="82"/>
      <c r="I79" s="82">
        <v>0.10099999999999999</v>
      </c>
      <c r="J79" s="82"/>
      <c r="K79" s="83">
        <v>44895</v>
      </c>
      <c r="L79" s="15"/>
      <c r="M79" s="11"/>
      <c r="N79" s="82">
        <v>9.3800000000000008E-2</v>
      </c>
      <c r="O79" s="84"/>
      <c r="P79" s="85">
        <f t="shared" si="7"/>
        <v>-71.999999999999844</v>
      </c>
      <c r="Q79" s="9"/>
      <c r="R79" s="9"/>
      <c r="S79" s="11"/>
      <c r="T79" s="82" t="s">
        <v>33</v>
      </c>
      <c r="U79" s="11"/>
      <c r="V79" s="82">
        <v>6.4399999999999999E-2</v>
      </c>
      <c r="W79" s="7"/>
      <c r="X79" s="82">
        <v>0.52</v>
      </c>
      <c r="Y79" s="86"/>
      <c r="Z79" s="7">
        <f t="shared" si="6"/>
        <v>4.8776000000000007E-2</v>
      </c>
      <c r="AA79" s="11"/>
      <c r="AB79" s="11"/>
    </row>
    <row r="80" spans="1:28" x14ac:dyDescent="0.25">
      <c r="A80" s="81" t="s">
        <v>86</v>
      </c>
      <c r="B80" s="81"/>
      <c r="C80" s="81" t="s">
        <v>492</v>
      </c>
      <c r="D80" s="81"/>
      <c r="E80" s="81" t="s">
        <v>89</v>
      </c>
      <c r="F80" s="15"/>
      <c r="G80" s="82" t="s">
        <v>493</v>
      </c>
      <c r="H80" s="82"/>
      <c r="I80" s="82">
        <v>0.1075</v>
      </c>
      <c r="J80" s="82"/>
      <c r="K80" s="83">
        <v>44910</v>
      </c>
      <c r="L80" s="15"/>
      <c r="M80" s="11"/>
      <c r="N80" s="82">
        <v>9.8000000000000004E-2</v>
      </c>
      <c r="O80" s="84"/>
      <c r="P80" s="85">
        <f>(N80-I80)*10000</f>
        <v>-94.999999999999943</v>
      </c>
      <c r="Q80" s="9"/>
      <c r="R80" s="9"/>
      <c r="S80" s="11"/>
      <c r="T80" s="82" t="s">
        <v>46</v>
      </c>
      <c r="U80" s="11"/>
      <c r="V80" s="82">
        <v>7.0999999999999994E-2</v>
      </c>
      <c r="W80" s="7"/>
      <c r="X80" s="82">
        <v>0.52</v>
      </c>
      <c r="Y80" s="86"/>
      <c r="Z80" s="7">
        <f>X80*N80</f>
        <v>5.0960000000000005E-2</v>
      </c>
      <c r="AA80" s="11"/>
      <c r="AB80" s="11"/>
    </row>
    <row r="81" spans="1:28" x14ac:dyDescent="0.25">
      <c r="A81" s="81" t="s">
        <v>37</v>
      </c>
      <c r="B81" s="81"/>
      <c r="C81" s="81" t="s">
        <v>494</v>
      </c>
      <c r="D81" s="81"/>
      <c r="E81" s="81" t="s">
        <v>495</v>
      </c>
      <c r="F81" s="15"/>
      <c r="G81" s="82" t="s">
        <v>496</v>
      </c>
      <c r="H81" s="82"/>
      <c r="I81" s="82">
        <v>0.1075</v>
      </c>
      <c r="J81" s="82"/>
      <c r="K81" s="83">
        <v>44916</v>
      </c>
      <c r="L81" s="15"/>
      <c r="M81" s="11"/>
      <c r="N81" s="82">
        <v>9.6000000000000002E-2</v>
      </c>
      <c r="O81" s="84"/>
      <c r="P81" s="85">
        <f>(N81-I81)*10000</f>
        <v>-114.99999999999996</v>
      </c>
      <c r="Q81" s="9"/>
      <c r="R81" s="9"/>
      <c r="S81" s="11"/>
      <c r="T81" s="82" t="s">
        <v>33</v>
      </c>
      <c r="U81" s="11"/>
      <c r="V81" s="82">
        <v>6.93E-2</v>
      </c>
      <c r="W81" s="7"/>
      <c r="X81" s="82">
        <v>0.54</v>
      </c>
      <c r="Y81" s="86"/>
      <c r="Z81" s="7">
        <f>X81*N81</f>
        <v>5.1840000000000004E-2</v>
      </c>
      <c r="AA81" s="11"/>
      <c r="AB81" s="11"/>
    </row>
    <row r="82" spans="1:28" x14ac:dyDescent="0.25">
      <c r="A82" s="92" t="s">
        <v>108</v>
      </c>
      <c r="B82" s="92"/>
      <c r="C82" s="92" t="s">
        <v>116</v>
      </c>
      <c r="D82" s="92"/>
      <c r="E82" s="92" t="s">
        <v>156</v>
      </c>
      <c r="F82" s="98"/>
      <c r="G82" s="93" t="s">
        <v>497</v>
      </c>
      <c r="H82" s="93"/>
      <c r="I82" s="93">
        <v>9.9000000000000005E-2</v>
      </c>
      <c r="J82" s="93"/>
      <c r="K82" s="94">
        <v>44917</v>
      </c>
      <c r="L82" s="98"/>
      <c r="M82" s="99"/>
      <c r="N82" s="93">
        <v>9.4E-2</v>
      </c>
      <c r="O82" s="95"/>
      <c r="P82" s="96">
        <f>(N82-I82)*10000</f>
        <v>-50.000000000000043</v>
      </c>
      <c r="Q82" s="76"/>
      <c r="R82" s="76"/>
      <c r="S82" s="99"/>
      <c r="T82" s="93" t="s">
        <v>33</v>
      </c>
      <c r="U82" s="99"/>
      <c r="V82" s="93">
        <v>7.1599999999999997E-2</v>
      </c>
      <c r="W82" s="79"/>
      <c r="X82" s="93">
        <v>0.49</v>
      </c>
      <c r="Y82" s="97"/>
      <c r="Z82" s="79">
        <f>X82*N82</f>
        <v>4.6059999999999997E-2</v>
      </c>
      <c r="AA82" s="11"/>
      <c r="AB82" s="11"/>
    </row>
    <row r="83" spans="1:28" x14ac:dyDescent="0.25">
      <c r="A83" s="81" t="s">
        <v>498</v>
      </c>
      <c r="B83" s="81"/>
      <c r="C83" s="81" t="s">
        <v>499</v>
      </c>
      <c r="D83" s="81"/>
      <c r="E83" s="81" t="s">
        <v>40</v>
      </c>
      <c r="F83" s="15"/>
      <c r="G83" s="82" t="s">
        <v>500</v>
      </c>
      <c r="H83" s="82"/>
      <c r="I83" s="82">
        <v>0.10300000000000001</v>
      </c>
      <c r="J83" s="82"/>
      <c r="K83" s="83">
        <v>44918</v>
      </c>
      <c r="L83" s="15"/>
      <c r="M83" s="11"/>
      <c r="N83" s="82">
        <v>9.6000000000000002E-2</v>
      </c>
      <c r="O83" s="84"/>
      <c r="P83" s="85">
        <f>(N83-I83)*10000</f>
        <v>-70.000000000000057</v>
      </c>
      <c r="Q83" s="9"/>
      <c r="R83" s="9"/>
      <c r="S83" s="11"/>
      <c r="T83" s="82" t="s">
        <v>46</v>
      </c>
      <c r="U83" s="11"/>
      <c r="V83" s="82">
        <v>6.8600000000000008E-2</v>
      </c>
      <c r="W83" s="7"/>
      <c r="X83" s="82">
        <v>0.51</v>
      </c>
      <c r="Y83" s="86"/>
      <c r="Z83" s="7">
        <f>X83*N83</f>
        <v>4.8960000000000004E-2</v>
      </c>
      <c r="AA83" s="11"/>
      <c r="AB83" s="11"/>
    </row>
    <row r="84" spans="1:28" x14ac:dyDescent="0.25">
      <c r="A84" s="81" t="s">
        <v>63</v>
      </c>
      <c r="B84" s="81"/>
      <c r="C84" s="81" t="s">
        <v>68</v>
      </c>
      <c r="D84" s="81"/>
      <c r="E84" s="81" t="s">
        <v>69</v>
      </c>
      <c r="F84" s="15"/>
      <c r="G84" s="82" t="s">
        <v>501</v>
      </c>
      <c r="H84" s="82"/>
      <c r="I84" s="82">
        <v>0.1</v>
      </c>
      <c r="J84" s="82"/>
      <c r="K84" s="83">
        <v>44924</v>
      </c>
      <c r="L84" s="15"/>
      <c r="M84" s="11"/>
      <c r="N84" s="82">
        <v>9.8000000000000004E-2</v>
      </c>
      <c r="O84" s="84"/>
      <c r="P84" s="85">
        <f t="shared" si="7"/>
        <v>-20.000000000000018</v>
      </c>
      <c r="Q84" s="9"/>
      <c r="R84" s="9"/>
      <c r="S84" s="11"/>
      <c r="T84" s="82" t="s">
        <v>46</v>
      </c>
      <c r="U84" s="11"/>
      <c r="V84" s="82" t="s">
        <v>34</v>
      </c>
      <c r="W84" s="7"/>
      <c r="X84" s="82">
        <v>0.53</v>
      </c>
      <c r="Y84" s="86"/>
      <c r="Z84" s="7">
        <f t="shared" si="6"/>
        <v>5.1940000000000007E-2</v>
      </c>
      <c r="AA84" s="11"/>
      <c r="AB84" s="11"/>
    </row>
    <row r="85" spans="1:28" x14ac:dyDescent="0.25">
      <c r="A85" s="81" t="s">
        <v>63</v>
      </c>
      <c r="B85" s="81"/>
      <c r="C85" s="81" t="s">
        <v>502</v>
      </c>
      <c r="D85" s="81"/>
      <c r="E85" s="81" t="s">
        <v>69</v>
      </c>
      <c r="F85" s="15"/>
      <c r="G85" s="82" t="s">
        <v>503</v>
      </c>
      <c r="H85" s="82"/>
      <c r="I85" s="82">
        <v>0.10199999999999999</v>
      </c>
      <c r="J85" s="82"/>
      <c r="K85" s="83">
        <v>44924</v>
      </c>
      <c r="L85" s="15"/>
      <c r="M85" s="11"/>
      <c r="N85" s="82">
        <v>9.8000000000000004E-2</v>
      </c>
      <c r="O85" s="84"/>
      <c r="P85" s="85">
        <f t="shared" si="7"/>
        <v>-39.999999999999893</v>
      </c>
      <c r="Q85" s="9"/>
      <c r="R85" s="9"/>
      <c r="S85" s="11"/>
      <c r="T85" s="82" t="s">
        <v>46</v>
      </c>
      <c r="U85" s="11"/>
      <c r="V85" s="82" t="s">
        <v>34</v>
      </c>
      <c r="W85" s="7"/>
      <c r="X85" s="82">
        <v>0.53</v>
      </c>
      <c r="Y85" s="86"/>
      <c r="Z85" s="7">
        <f t="shared" si="6"/>
        <v>5.1940000000000007E-2</v>
      </c>
      <c r="AA85" s="11"/>
      <c r="AB85" s="11"/>
    </row>
    <row r="86" spans="1:28" x14ac:dyDescent="0.25">
      <c r="A86" s="81" t="s">
        <v>63</v>
      </c>
      <c r="B86" s="81"/>
      <c r="C86" s="81" t="s">
        <v>70</v>
      </c>
      <c r="D86" s="81"/>
      <c r="E86" s="81" t="s">
        <v>69</v>
      </c>
      <c r="F86" s="15"/>
      <c r="G86" s="82" t="s">
        <v>504</v>
      </c>
      <c r="H86" s="82"/>
      <c r="I86" s="82">
        <v>0.1</v>
      </c>
      <c r="J86" s="82"/>
      <c r="K86" s="83">
        <v>44917</v>
      </c>
      <c r="L86" s="15"/>
      <c r="M86" s="11"/>
      <c r="N86" s="82">
        <v>9.8000000000000004E-2</v>
      </c>
      <c r="O86" s="84"/>
      <c r="P86" s="85">
        <f t="shared" si="7"/>
        <v>-20.000000000000018</v>
      </c>
      <c r="Q86" s="9"/>
      <c r="R86" s="9"/>
      <c r="S86" s="11"/>
      <c r="T86" s="82" t="s">
        <v>46</v>
      </c>
      <c r="U86" s="11"/>
      <c r="V86" s="82" t="s">
        <v>34</v>
      </c>
      <c r="W86" s="7"/>
      <c r="X86" s="82">
        <v>0.53</v>
      </c>
      <c r="Y86" s="86"/>
      <c r="Z86" s="7">
        <f t="shared" si="6"/>
        <v>5.1940000000000007E-2</v>
      </c>
      <c r="AA86" s="11"/>
      <c r="AB86" s="11"/>
    </row>
    <row r="87" spans="1:28" x14ac:dyDescent="0.25">
      <c r="A87" s="81" t="s">
        <v>102</v>
      </c>
      <c r="B87" s="81"/>
      <c r="C87" s="81" t="s">
        <v>505</v>
      </c>
      <c r="D87" s="81"/>
      <c r="E87" s="81" t="s">
        <v>437</v>
      </c>
      <c r="F87" s="15"/>
      <c r="G87" s="82" t="s">
        <v>506</v>
      </c>
      <c r="H87" s="82"/>
      <c r="I87" s="82">
        <v>0.10249999999999999</v>
      </c>
      <c r="J87" s="82"/>
      <c r="K87" s="83">
        <v>44945</v>
      </c>
      <c r="L87" s="15"/>
      <c r="M87" s="11"/>
      <c r="N87" s="82">
        <v>9.6000000000000002E-2</v>
      </c>
      <c r="O87" s="84"/>
      <c r="P87" s="85">
        <f t="shared" si="7"/>
        <v>-64.999999999999915</v>
      </c>
      <c r="Q87" s="9"/>
      <c r="R87" s="9"/>
      <c r="S87" s="11"/>
      <c r="T87" s="82" t="s">
        <v>46</v>
      </c>
      <c r="U87" s="11"/>
      <c r="V87" s="82">
        <v>7.3800000000000004E-2</v>
      </c>
      <c r="W87" s="7"/>
      <c r="X87" s="82">
        <v>0.59740000000000004</v>
      </c>
      <c r="Y87" s="86"/>
      <c r="Z87" s="7">
        <f t="shared" si="6"/>
        <v>5.7350400000000003E-2</v>
      </c>
      <c r="AA87" s="11"/>
      <c r="AB87" s="11"/>
    </row>
    <row r="88" spans="1:28" x14ac:dyDescent="0.25">
      <c r="A88" s="81" t="s">
        <v>125</v>
      </c>
      <c r="B88" s="81"/>
      <c r="C88" s="81" t="s">
        <v>384</v>
      </c>
      <c r="D88" s="81"/>
      <c r="E88" s="81" t="s">
        <v>385</v>
      </c>
      <c r="F88" s="15"/>
      <c r="G88" s="82" t="s">
        <v>507</v>
      </c>
      <c r="H88" s="82"/>
      <c r="I88" s="82">
        <v>9.9000000000000005E-2</v>
      </c>
      <c r="J88" s="82"/>
      <c r="K88" s="83">
        <v>44949</v>
      </c>
      <c r="L88" s="15"/>
      <c r="M88" s="11"/>
      <c r="N88" s="82">
        <v>9.3000000000000013E-2</v>
      </c>
      <c r="O88" s="84"/>
      <c r="P88" s="85">
        <f t="shared" si="7"/>
        <v>-59.999999999999915</v>
      </c>
      <c r="Q88" s="9"/>
      <c r="R88" s="9"/>
      <c r="S88" s="11"/>
      <c r="T88" s="82" t="s">
        <v>33</v>
      </c>
      <c r="U88" s="11"/>
      <c r="V88" s="82">
        <v>6.7299999999999999E-2</v>
      </c>
      <c r="W88" s="7"/>
      <c r="X88" s="82">
        <v>0.5</v>
      </c>
      <c r="Y88" s="86"/>
      <c r="Z88" s="7">
        <f t="shared" si="6"/>
        <v>4.6500000000000007E-2</v>
      </c>
      <c r="AA88" s="11"/>
      <c r="AB88" s="11"/>
    </row>
    <row r="89" spans="1:28" x14ac:dyDescent="0.25">
      <c r="A89" s="81" t="s">
        <v>134</v>
      </c>
      <c r="B89" s="81"/>
      <c r="C89" s="81" t="s">
        <v>508</v>
      </c>
      <c r="D89" s="81"/>
      <c r="E89" s="81" t="s">
        <v>509</v>
      </c>
      <c r="F89" s="15"/>
      <c r="G89" s="82" t="s">
        <v>510</v>
      </c>
      <c r="H89" s="82"/>
      <c r="I89" s="82">
        <v>0.1125</v>
      </c>
      <c r="J89" s="82"/>
      <c r="K89" s="83">
        <v>44950</v>
      </c>
      <c r="L89" s="15"/>
      <c r="M89" s="11"/>
      <c r="N89" s="82">
        <v>0.10249999999999999</v>
      </c>
      <c r="O89" s="84"/>
      <c r="P89" s="85">
        <f t="shared" si="7"/>
        <v>-100.00000000000009</v>
      </c>
      <c r="Q89" s="9"/>
      <c r="R89" s="9"/>
      <c r="S89" s="11"/>
      <c r="T89" s="82" t="s">
        <v>46</v>
      </c>
      <c r="U89" s="11"/>
      <c r="V89" s="82">
        <v>5.9699999999999996E-2</v>
      </c>
      <c r="W89" s="7"/>
      <c r="X89" s="82">
        <v>0.45159999999999995</v>
      </c>
      <c r="Y89" s="86"/>
      <c r="Z89" s="7">
        <f t="shared" si="6"/>
        <v>4.628899999999999E-2</v>
      </c>
      <c r="AA89" s="11"/>
      <c r="AB89" s="11"/>
    </row>
    <row r="90" spans="1:28" x14ac:dyDescent="0.25">
      <c r="A90" s="81" t="s">
        <v>174</v>
      </c>
      <c r="B90" s="81"/>
      <c r="C90" s="81" t="s">
        <v>511</v>
      </c>
      <c r="D90" s="81"/>
      <c r="E90" s="81" t="s">
        <v>79</v>
      </c>
      <c r="F90" s="15"/>
      <c r="G90" s="82" t="s">
        <v>512</v>
      </c>
      <c r="H90" s="82"/>
      <c r="I90" s="82">
        <v>0.10949999999999999</v>
      </c>
      <c r="J90" s="82"/>
      <c r="K90" s="83">
        <v>44952</v>
      </c>
      <c r="L90" s="15"/>
      <c r="M90" s="11"/>
      <c r="N90" s="82">
        <v>9.6000000000000002E-2</v>
      </c>
      <c r="O90" s="84"/>
      <c r="P90" s="85">
        <f t="shared" si="7"/>
        <v>-134.99999999999983</v>
      </c>
      <c r="Q90" s="9"/>
      <c r="R90" s="9"/>
      <c r="S90" s="11"/>
      <c r="T90" s="82" t="s">
        <v>33</v>
      </c>
      <c r="U90" s="11"/>
      <c r="V90" s="82">
        <v>7.0800000000000002E-2</v>
      </c>
      <c r="W90" s="7"/>
      <c r="X90" s="82">
        <v>0.50600000000000001</v>
      </c>
      <c r="Y90" s="86"/>
      <c r="Z90" s="7">
        <f t="shared" si="6"/>
        <v>4.8576000000000001E-2</v>
      </c>
      <c r="AA90" s="11"/>
      <c r="AB90" s="11"/>
    </row>
    <row r="91" spans="1:28" x14ac:dyDescent="0.25">
      <c r="A91" s="81" t="s">
        <v>262</v>
      </c>
      <c r="B91" s="81"/>
      <c r="C91" s="81" t="s">
        <v>154</v>
      </c>
      <c r="D91" s="81"/>
      <c r="E91" s="81" t="s">
        <v>64</v>
      </c>
      <c r="F91" s="15"/>
      <c r="G91" s="82" t="s">
        <v>513</v>
      </c>
      <c r="H91" s="82"/>
      <c r="I91" s="82">
        <v>0.105</v>
      </c>
      <c r="J91" s="82"/>
      <c r="K91" s="83">
        <v>45008</v>
      </c>
      <c r="L91" s="15"/>
      <c r="M91" s="11"/>
      <c r="N91" s="82">
        <v>9.5700000000000007E-2</v>
      </c>
      <c r="O91" s="84"/>
      <c r="P91" s="85">
        <f t="shared" si="7"/>
        <v>-92.999999999999886</v>
      </c>
      <c r="Q91" s="9"/>
      <c r="R91" s="9" t="str">
        <f t="shared" si="8"/>
        <v/>
      </c>
      <c r="S91" s="11"/>
      <c r="T91" s="82" t="s">
        <v>33</v>
      </c>
      <c r="U91" s="11"/>
      <c r="V91" s="82">
        <v>6.9699999999999998E-2</v>
      </c>
      <c r="W91" s="7"/>
      <c r="X91" s="82">
        <v>0.52500000000000002</v>
      </c>
      <c r="Y91" s="86"/>
      <c r="Z91" s="7">
        <f t="shared" si="6"/>
        <v>5.0242500000000009E-2</v>
      </c>
      <c r="AA91" s="11"/>
      <c r="AB91" s="11"/>
    </row>
    <row r="92" spans="1:28" x14ac:dyDescent="0.25">
      <c r="A92" s="81" t="s">
        <v>134</v>
      </c>
      <c r="B92" s="81"/>
      <c r="C92" s="81" t="s">
        <v>514</v>
      </c>
      <c r="D92" s="81"/>
      <c r="E92" s="81" t="s">
        <v>164</v>
      </c>
      <c r="F92" s="15"/>
      <c r="G92" s="82" t="s">
        <v>515</v>
      </c>
      <c r="H92" s="82"/>
      <c r="I92" s="82">
        <v>0.1075</v>
      </c>
      <c r="J92" s="82"/>
      <c r="K92" s="83">
        <v>45013</v>
      </c>
      <c r="L92" s="15"/>
      <c r="M92" s="11"/>
      <c r="N92" s="82">
        <v>9.5000000000000001E-2</v>
      </c>
      <c r="O92" s="84"/>
      <c r="P92" s="85">
        <f t="shared" si="7"/>
        <v>-124.99999999999997</v>
      </c>
      <c r="Q92" s="9"/>
      <c r="R92" s="9" t="str">
        <f>IF(OR(E92="ATO",E92="NJR",E92="NI",E92="NWN",E92="OGS",E92="SR"),"Y","")</f>
        <v/>
      </c>
      <c r="S92" s="11"/>
      <c r="T92" s="82" t="s">
        <v>46</v>
      </c>
      <c r="U92" s="11"/>
      <c r="V92" s="82">
        <v>6.4399999999999999E-2</v>
      </c>
      <c r="W92" s="7"/>
      <c r="X92" s="82">
        <v>0.59599999999999997</v>
      </c>
      <c r="Y92" s="86"/>
      <c r="Z92" s="7">
        <f t="shared" si="6"/>
        <v>5.6619999999999997E-2</v>
      </c>
      <c r="AA92" s="11"/>
      <c r="AB92" s="11"/>
    </row>
    <row r="93" spans="1:28" x14ac:dyDescent="0.25">
      <c r="A93" s="81" t="s">
        <v>101</v>
      </c>
      <c r="B93" s="81"/>
      <c r="C93" s="81" t="s">
        <v>461</v>
      </c>
      <c r="D93" s="81"/>
      <c r="E93" s="81" t="s">
        <v>462</v>
      </c>
      <c r="F93" s="15"/>
      <c r="G93" s="82" t="s">
        <v>516</v>
      </c>
      <c r="H93" s="82"/>
      <c r="I93" s="82">
        <v>0.1095</v>
      </c>
      <c r="J93" s="82"/>
      <c r="K93" s="83">
        <v>45050</v>
      </c>
      <c r="L93" s="15"/>
      <c r="M93" s="11"/>
      <c r="N93" s="82">
        <v>9.2999999999999999E-2</v>
      </c>
      <c r="O93" s="84"/>
      <c r="P93" s="85">
        <f t="shared" si="7"/>
        <v>-165</v>
      </c>
      <c r="Q93" s="9"/>
      <c r="R93" s="9" t="str">
        <f>IF(OR(E93="ATO",E93="NJR",E93="NI",E93="NWN",E93="OGS",E93="SR"),"Y","")</f>
        <v>Y</v>
      </c>
      <c r="S93" s="11"/>
      <c r="T93" s="82" t="s">
        <v>33</v>
      </c>
      <c r="U93" s="11"/>
      <c r="V93" s="82">
        <v>7.0000000000000007E-2</v>
      </c>
      <c r="W93" s="7"/>
      <c r="X93" s="82">
        <v>0.57999999999999996</v>
      </c>
      <c r="Y93" s="86"/>
      <c r="Z93" s="7">
        <f t="shared" si="6"/>
        <v>5.3939999999999995E-2</v>
      </c>
      <c r="AA93" s="11"/>
      <c r="AB93" s="11"/>
    </row>
    <row r="94" spans="1:28" x14ac:dyDescent="0.25">
      <c r="A94" s="81" t="s">
        <v>73</v>
      </c>
      <c r="B94" s="81"/>
      <c r="C94" s="81" t="s">
        <v>517</v>
      </c>
      <c r="D94" s="81"/>
      <c r="E94" s="81" t="s">
        <v>281</v>
      </c>
      <c r="F94" s="15"/>
      <c r="G94" s="82" t="s">
        <v>518</v>
      </c>
      <c r="H94" s="82"/>
      <c r="I94" s="82">
        <v>0.10299999999999999</v>
      </c>
      <c r="J94" s="82"/>
      <c r="K94" s="83">
        <v>45107</v>
      </c>
      <c r="L94" s="15"/>
      <c r="M94" s="11"/>
      <c r="N94" s="82">
        <v>9.5000000000000001E-2</v>
      </c>
      <c r="O94" s="84"/>
      <c r="P94" s="85">
        <f t="shared" si="7"/>
        <v>-79.999999999999929</v>
      </c>
      <c r="Q94" s="9"/>
      <c r="R94" s="9"/>
      <c r="S94" s="11"/>
      <c r="T94" s="82" t="s">
        <v>33</v>
      </c>
      <c r="U94" s="11"/>
      <c r="V94" s="82">
        <v>6.9699999999999998E-2</v>
      </c>
      <c r="W94" s="7"/>
      <c r="X94" s="82">
        <v>0.5</v>
      </c>
      <c r="Y94" s="86"/>
      <c r="Z94" s="7">
        <f t="shared" si="6"/>
        <v>4.7500000000000001E-2</v>
      </c>
      <c r="AA94" s="11"/>
      <c r="AB94" s="11"/>
    </row>
    <row r="95" spans="1:28" x14ac:dyDescent="0.25">
      <c r="A95" s="81" t="s">
        <v>41</v>
      </c>
      <c r="B95" s="81"/>
      <c r="C95" s="81" t="s">
        <v>519</v>
      </c>
      <c r="D95" s="81"/>
      <c r="E95" s="81" t="s">
        <v>42</v>
      </c>
      <c r="F95" s="15"/>
      <c r="G95" s="82" t="s">
        <v>520</v>
      </c>
      <c r="H95" s="82"/>
      <c r="I95" s="82">
        <v>0.1</v>
      </c>
      <c r="J95" s="82"/>
      <c r="K95" s="83">
        <v>45127</v>
      </c>
      <c r="L95" s="15"/>
      <c r="M95" s="11"/>
      <c r="N95" s="82">
        <v>9.2499999999999999E-2</v>
      </c>
      <c r="O95" s="84"/>
      <c r="P95" s="85">
        <f t="shared" si="7"/>
        <v>-75.000000000000071</v>
      </c>
      <c r="Q95" s="9"/>
      <c r="R95" s="9"/>
      <c r="S95" s="11"/>
      <c r="T95" s="82" t="s">
        <v>33</v>
      </c>
      <c r="U95" s="11"/>
      <c r="V95" s="82">
        <v>6.7500000000000004E-2</v>
      </c>
      <c r="W95" s="7"/>
      <c r="X95" s="82">
        <v>0.48</v>
      </c>
      <c r="Y95" s="86"/>
      <c r="Z95" s="7">
        <f t="shared" si="6"/>
        <v>4.4399999999999995E-2</v>
      </c>
      <c r="AA95" s="11"/>
      <c r="AB95" s="11"/>
    </row>
    <row r="96" spans="1:28" x14ac:dyDescent="0.25">
      <c r="A96" s="81" t="s">
        <v>73</v>
      </c>
      <c r="B96" s="81"/>
      <c r="C96" s="81" t="s">
        <v>74</v>
      </c>
      <c r="D96" s="81"/>
      <c r="E96" s="81" t="s">
        <v>75</v>
      </c>
      <c r="F96" s="15"/>
      <c r="G96" s="82" t="s">
        <v>521</v>
      </c>
      <c r="H96" s="82"/>
      <c r="I96" s="82">
        <v>0.10249999999999999</v>
      </c>
      <c r="J96" s="82"/>
      <c r="K96" s="83">
        <v>45169</v>
      </c>
      <c r="L96" s="15"/>
      <c r="M96" s="11"/>
      <c r="N96" s="82">
        <v>9.4E-2</v>
      </c>
      <c r="O96" s="84"/>
      <c r="P96" s="85">
        <f t="shared" si="7"/>
        <v>-84.999999999999943</v>
      </c>
      <c r="Q96" s="9"/>
      <c r="R96" s="9"/>
      <c r="S96" s="11"/>
      <c r="T96" s="82" t="s">
        <v>33</v>
      </c>
      <c r="U96" s="11"/>
      <c r="V96" s="82">
        <v>7.1900000000000006E-2</v>
      </c>
      <c r="W96" s="7"/>
      <c r="X96" s="82">
        <v>0.5</v>
      </c>
      <c r="Y96" s="86"/>
      <c r="Z96" s="7">
        <f t="shared" si="6"/>
        <v>4.7E-2</v>
      </c>
      <c r="AA96" s="11"/>
      <c r="AB96" s="11"/>
    </row>
    <row r="97" spans="1:28" x14ac:dyDescent="0.25">
      <c r="A97" s="81" t="s">
        <v>103</v>
      </c>
      <c r="B97" s="81"/>
      <c r="C97" s="81" t="s">
        <v>466</v>
      </c>
      <c r="D97" s="81"/>
      <c r="E97" s="81" t="s">
        <v>109</v>
      </c>
      <c r="F97" s="15"/>
      <c r="G97" s="82" t="s">
        <v>522</v>
      </c>
      <c r="H97" s="82"/>
      <c r="I97" s="82">
        <v>0.10349999999999999</v>
      </c>
      <c r="J97" s="82"/>
      <c r="K97" s="83">
        <v>45189</v>
      </c>
      <c r="L97" s="15"/>
      <c r="M97" s="11"/>
      <c r="N97" s="82">
        <v>9.35E-2</v>
      </c>
      <c r="O97" s="84"/>
      <c r="P97" s="85">
        <f t="shared" si="7"/>
        <v>-99.999999999999943</v>
      </c>
      <c r="Q97" s="9"/>
      <c r="R97" s="9"/>
      <c r="S97" s="11"/>
      <c r="T97" s="82" t="s">
        <v>33</v>
      </c>
      <c r="U97" s="11"/>
      <c r="V97" s="82">
        <v>7.22E-2</v>
      </c>
      <c r="W97" s="7"/>
      <c r="X97" s="82">
        <v>0.52010000000000001</v>
      </c>
      <c r="Y97" s="86"/>
      <c r="Z97" s="7">
        <f t="shared" si="6"/>
        <v>4.8629350000000002E-2</v>
      </c>
      <c r="AA97" s="11"/>
      <c r="AB97" s="11"/>
    </row>
    <row r="98" spans="1:28" x14ac:dyDescent="0.25">
      <c r="A98" s="81" t="s">
        <v>51</v>
      </c>
      <c r="B98" s="81"/>
      <c r="C98" s="81" t="s">
        <v>149</v>
      </c>
      <c r="D98" s="81"/>
      <c r="E98" s="81" t="s">
        <v>40</v>
      </c>
      <c r="F98" s="15"/>
      <c r="G98" s="82" t="s">
        <v>523</v>
      </c>
      <c r="H98" s="82"/>
      <c r="I98" s="82">
        <v>0.1038</v>
      </c>
      <c r="J98" s="82"/>
      <c r="K98" s="83">
        <v>45189</v>
      </c>
      <c r="L98" s="15"/>
      <c r="M98" s="11"/>
      <c r="N98" s="82">
        <v>9.4899999999999998E-2</v>
      </c>
      <c r="O98" s="84"/>
      <c r="P98" s="85">
        <f t="shared" si="7"/>
        <v>-89.000000000000057</v>
      </c>
      <c r="Q98" s="9"/>
      <c r="R98" s="9"/>
      <c r="S98" s="11"/>
      <c r="T98" s="82" t="s">
        <v>33</v>
      </c>
      <c r="U98" s="11"/>
      <c r="V98" s="82">
        <v>7.7399999999999997E-2</v>
      </c>
      <c r="W98" s="7"/>
      <c r="X98" s="82">
        <v>0.54779999999999995</v>
      </c>
      <c r="Y98" s="86"/>
      <c r="Z98" s="7">
        <f t="shared" si="6"/>
        <v>5.1986219999999993E-2</v>
      </c>
      <c r="AA98" s="11"/>
      <c r="AB98" s="11"/>
    </row>
    <row r="99" spans="1:28" x14ac:dyDescent="0.25">
      <c r="A99" s="81" t="s">
        <v>51</v>
      </c>
      <c r="B99" s="81"/>
      <c r="C99" s="81" t="s">
        <v>376</v>
      </c>
      <c r="D99" s="81"/>
      <c r="E99" s="81" t="s">
        <v>56</v>
      </c>
      <c r="F99" s="15"/>
      <c r="G99" s="82" t="s">
        <v>524</v>
      </c>
      <c r="H99" s="82"/>
      <c r="I99" s="82">
        <v>9.2999999999999999E-2</v>
      </c>
      <c r="J99" s="82"/>
      <c r="K99" s="83">
        <v>45204</v>
      </c>
      <c r="L99" s="15"/>
      <c r="M99" s="11"/>
      <c r="N99" s="82">
        <v>9.2999999999999999E-2</v>
      </c>
      <c r="O99" s="84"/>
      <c r="P99" s="85">
        <f t="shared" si="7"/>
        <v>0</v>
      </c>
      <c r="Q99" s="9"/>
      <c r="R99" s="9"/>
      <c r="S99" s="11"/>
      <c r="T99" s="82" t="s">
        <v>33</v>
      </c>
      <c r="U99" s="11"/>
      <c r="V99" s="82">
        <v>6.9000000000000006E-2</v>
      </c>
      <c r="W99" s="7"/>
      <c r="X99" s="82">
        <v>0.53129999999999999</v>
      </c>
      <c r="Y99" s="86"/>
      <c r="Z99" s="7">
        <f t="shared" si="6"/>
        <v>4.9410900000000001E-2</v>
      </c>
      <c r="AA99" s="11"/>
      <c r="AB99" s="11"/>
    </row>
    <row r="100" spans="1:28" x14ac:dyDescent="0.25">
      <c r="A100" s="81" t="s">
        <v>220</v>
      </c>
      <c r="B100" s="81"/>
      <c r="C100" s="81" t="s">
        <v>525</v>
      </c>
      <c r="D100" s="81"/>
      <c r="E100" s="81" t="s">
        <v>84</v>
      </c>
      <c r="F100" s="15"/>
      <c r="G100" s="82" t="s">
        <v>526</v>
      </c>
      <c r="H100" s="82"/>
      <c r="I100" s="82">
        <v>9.8000000000000004E-2</v>
      </c>
      <c r="J100" s="82"/>
      <c r="K100" s="83">
        <v>45205</v>
      </c>
      <c r="L100" s="15"/>
      <c r="M100" s="11"/>
      <c r="N100" s="82">
        <v>9.8000000000000004E-2</v>
      </c>
      <c r="O100" s="84"/>
      <c r="P100" s="85">
        <f t="shared" si="7"/>
        <v>0</v>
      </c>
      <c r="Q100" s="9"/>
      <c r="R100" s="9"/>
      <c r="S100" s="11"/>
      <c r="T100" s="82" t="s">
        <v>33</v>
      </c>
      <c r="U100" s="11"/>
      <c r="V100" s="82">
        <v>7.1199999999999999E-2</v>
      </c>
      <c r="W100" s="7"/>
      <c r="X100" s="82">
        <v>0.49230000000000002</v>
      </c>
      <c r="Y100" s="86"/>
      <c r="Z100" s="7">
        <f t="shared" si="6"/>
        <v>4.8245400000000001E-2</v>
      </c>
      <c r="AA100" s="11"/>
      <c r="AB100" s="11"/>
    </row>
    <row r="101" spans="1:28" x14ac:dyDescent="0.25">
      <c r="A101" s="81" t="s">
        <v>41</v>
      </c>
      <c r="B101" s="81"/>
      <c r="C101" s="81" t="s">
        <v>300</v>
      </c>
      <c r="D101" s="81"/>
      <c r="E101" s="81" t="s">
        <v>105</v>
      </c>
      <c r="F101" s="15"/>
      <c r="G101" s="82" t="s">
        <v>527</v>
      </c>
      <c r="H101" s="82"/>
      <c r="I101" s="82">
        <v>0.10199999999999999</v>
      </c>
      <c r="J101" s="82"/>
      <c r="K101" s="83">
        <v>45211</v>
      </c>
      <c r="L101" s="15"/>
      <c r="M101" s="11"/>
      <c r="N101" s="82">
        <v>9.1999999999999998E-2</v>
      </c>
      <c r="O101" s="84"/>
      <c r="P101" s="85">
        <f t="shared" si="7"/>
        <v>-99.999999999999943</v>
      </c>
      <c r="Q101" s="9"/>
      <c r="R101" s="9"/>
      <c r="S101" s="11"/>
      <c r="T101" s="82" t="s">
        <v>33</v>
      </c>
      <c r="U101" s="11"/>
      <c r="V101" s="82">
        <v>6.4000000000000001E-2</v>
      </c>
      <c r="W101" s="7"/>
      <c r="X101" s="82">
        <v>0.48</v>
      </c>
      <c r="Y101" s="86"/>
      <c r="Z101" s="7">
        <f t="shared" si="6"/>
        <v>4.4159999999999998E-2</v>
      </c>
      <c r="AA101" s="11"/>
      <c r="AB101" s="11"/>
    </row>
    <row r="102" spans="1:28" x14ac:dyDescent="0.25">
      <c r="A102" s="81" t="s">
        <v>41</v>
      </c>
      <c r="B102" s="81"/>
      <c r="C102" s="81" t="s">
        <v>302</v>
      </c>
      <c r="D102" s="81"/>
      <c r="E102" s="81" t="s">
        <v>105</v>
      </c>
      <c r="F102" s="15"/>
      <c r="G102" s="82" t="s">
        <v>528</v>
      </c>
      <c r="H102" s="82"/>
      <c r="I102" s="82">
        <v>0.10199999999999999</v>
      </c>
      <c r="J102" s="82"/>
      <c r="K102" s="83">
        <v>45211</v>
      </c>
      <c r="L102" s="15"/>
      <c r="M102" s="11"/>
      <c r="N102" s="82">
        <v>9.1999999999999998E-2</v>
      </c>
      <c r="O102" s="84"/>
      <c r="P102" s="85">
        <f t="shared" si="7"/>
        <v>-99.999999999999943</v>
      </c>
      <c r="Q102" s="9"/>
      <c r="R102" s="9"/>
      <c r="S102" s="11"/>
      <c r="T102" s="82" t="s">
        <v>33</v>
      </c>
      <c r="U102" s="11"/>
      <c r="V102" s="82">
        <v>6.6699999999999995E-2</v>
      </c>
      <c r="W102" s="7"/>
      <c r="X102" s="82">
        <v>0.48</v>
      </c>
      <c r="Y102" s="86"/>
      <c r="Z102" s="7">
        <f t="shared" si="6"/>
        <v>4.4159999999999998E-2</v>
      </c>
      <c r="AA102" s="11"/>
      <c r="AB102" s="11"/>
    </row>
    <row r="103" spans="1:28" x14ac:dyDescent="0.25">
      <c r="A103" s="81" t="s">
        <v>66</v>
      </c>
      <c r="B103" s="81"/>
      <c r="C103" s="81" t="s">
        <v>529</v>
      </c>
      <c r="D103" s="81"/>
      <c r="E103" s="81" t="s">
        <v>530</v>
      </c>
      <c r="F103" s="15"/>
      <c r="G103" s="82" t="s">
        <v>531</v>
      </c>
      <c r="H103" s="82"/>
      <c r="I103" s="82">
        <v>0.106</v>
      </c>
      <c r="J103" s="82"/>
      <c r="K103" s="83">
        <v>45224</v>
      </c>
      <c r="L103" s="15"/>
      <c r="M103" s="11"/>
      <c r="N103" s="82">
        <v>9.5500000000000002E-2</v>
      </c>
      <c r="O103" s="84"/>
      <c r="P103" s="85">
        <f t="shared" si="7"/>
        <v>-104.99999999999996</v>
      </c>
      <c r="Q103" s="9"/>
      <c r="R103" s="9"/>
      <c r="S103" s="11"/>
      <c r="T103" s="82" t="s">
        <v>33</v>
      </c>
      <c r="U103" s="11"/>
      <c r="V103" s="82">
        <v>6.6699999999999995E-2</v>
      </c>
      <c r="W103" s="7"/>
      <c r="X103" s="82">
        <v>0.48020000000000002</v>
      </c>
      <c r="Y103" s="86"/>
      <c r="Z103" s="7">
        <f t="shared" si="6"/>
        <v>4.58591E-2</v>
      </c>
      <c r="AA103" s="11"/>
      <c r="AB103" s="11"/>
    </row>
    <row r="104" spans="1:28" x14ac:dyDescent="0.25">
      <c r="A104" s="81" t="s">
        <v>262</v>
      </c>
      <c r="B104" s="81"/>
      <c r="C104" s="81" t="s">
        <v>532</v>
      </c>
      <c r="D104" s="81"/>
      <c r="E104" s="81" t="s">
        <v>69</v>
      </c>
      <c r="F104" s="15"/>
      <c r="G104" s="82" t="s">
        <v>533</v>
      </c>
      <c r="H104" s="82"/>
      <c r="I104" s="82">
        <v>0.10299999999999999</v>
      </c>
      <c r="J104" s="82"/>
      <c r="K104" s="83">
        <v>45225</v>
      </c>
      <c r="L104" s="15"/>
      <c r="M104" s="11"/>
      <c r="N104" s="82">
        <v>9.6500000000000002E-2</v>
      </c>
      <c r="O104" s="84"/>
      <c r="P104" s="85">
        <f t="shared" si="7"/>
        <v>-64.999999999999915</v>
      </c>
      <c r="Q104" s="9"/>
      <c r="R104" s="9"/>
      <c r="S104" s="11"/>
      <c r="T104" s="82" t="s">
        <v>33</v>
      </c>
      <c r="U104" s="11"/>
      <c r="V104" s="82">
        <v>6.7199999999999996E-2</v>
      </c>
      <c r="W104" s="7"/>
      <c r="X104" s="82">
        <v>9.6500000000000002E-2</v>
      </c>
      <c r="Y104" s="86"/>
      <c r="Z104" s="7">
        <f t="shared" si="6"/>
        <v>9.3122500000000011E-3</v>
      </c>
      <c r="AA104" s="11"/>
      <c r="AB104" s="11"/>
    </row>
    <row r="105" spans="1:28" x14ac:dyDescent="0.25">
      <c r="A105" s="81" t="s">
        <v>124</v>
      </c>
      <c r="B105" s="81"/>
      <c r="C105" s="81" t="s">
        <v>74</v>
      </c>
      <c r="D105" s="81"/>
      <c r="E105" s="81" t="s">
        <v>75</v>
      </c>
      <c r="F105" s="15"/>
      <c r="G105" s="82" t="s">
        <v>534</v>
      </c>
      <c r="H105" s="82"/>
      <c r="I105" s="82">
        <v>0.10249999999999999</v>
      </c>
      <c r="J105" s="82"/>
      <c r="K105" s="83">
        <v>45225</v>
      </c>
      <c r="L105" s="15"/>
      <c r="M105" s="11"/>
      <c r="N105" s="82">
        <v>9.5000000000000001E-2</v>
      </c>
      <c r="O105" s="84"/>
      <c r="P105" s="85">
        <f t="shared" si="7"/>
        <v>-74.999999999999929</v>
      </c>
      <c r="Q105" s="9"/>
      <c r="R105" s="9"/>
      <c r="S105" s="11"/>
      <c r="T105" s="82" t="s">
        <v>33</v>
      </c>
      <c r="U105" s="11"/>
      <c r="V105" s="82">
        <v>7.2400000000000006E-2</v>
      </c>
      <c r="W105" s="7"/>
      <c r="X105" s="82">
        <v>0.5</v>
      </c>
      <c r="Y105" s="86"/>
      <c r="Z105" s="7">
        <f t="shared" si="6"/>
        <v>4.7500000000000001E-2</v>
      </c>
      <c r="AA105" s="11"/>
      <c r="AB105" s="11"/>
    </row>
    <row r="106" spans="1:28" x14ac:dyDescent="0.25">
      <c r="A106" s="81" t="s">
        <v>174</v>
      </c>
      <c r="B106" s="81"/>
      <c r="C106" s="81" t="s">
        <v>244</v>
      </c>
      <c r="D106" s="81"/>
      <c r="E106" s="81" t="s">
        <v>56</v>
      </c>
      <c r="F106" s="15"/>
      <c r="G106" s="82" t="s">
        <v>535</v>
      </c>
      <c r="H106" s="82"/>
      <c r="I106" s="82">
        <v>0.10299999999999999</v>
      </c>
      <c r="J106" s="82"/>
      <c r="K106" s="83">
        <v>45231</v>
      </c>
      <c r="L106" s="15"/>
      <c r="M106" s="11"/>
      <c r="N106" s="82">
        <v>9.6000000000000002E-2</v>
      </c>
      <c r="O106" s="84"/>
      <c r="P106" s="85">
        <f t="shared" si="7"/>
        <v>-69.999999999999929</v>
      </c>
      <c r="Q106" s="9"/>
      <c r="R106" s="9"/>
      <c r="S106" s="11"/>
      <c r="T106" s="82" t="s">
        <v>33</v>
      </c>
      <c r="U106" s="11"/>
      <c r="V106" s="82">
        <v>6.9599999999999995E-2</v>
      </c>
      <c r="W106" s="7"/>
      <c r="X106" s="82">
        <v>0.5232</v>
      </c>
      <c r="Y106" s="86"/>
      <c r="Z106" s="7">
        <f t="shared" si="6"/>
        <v>5.02272E-2</v>
      </c>
      <c r="AA106" s="11"/>
      <c r="AB106" s="11"/>
    </row>
    <row r="107" spans="1:28" x14ac:dyDescent="0.25">
      <c r="A107" s="81" t="s">
        <v>63</v>
      </c>
      <c r="B107" s="81"/>
      <c r="C107" s="81" t="s">
        <v>120</v>
      </c>
      <c r="D107" s="81"/>
      <c r="E107" s="81" t="s">
        <v>121</v>
      </c>
      <c r="F107" s="15"/>
      <c r="G107" s="82" t="s">
        <v>536</v>
      </c>
      <c r="H107" s="82"/>
      <c r="I107" s="82">
        <v>9.8000000000000004E-2</v>
      </c>
      <c r="J107" s="82"/>
      <c r="K107" s="83">
        <v>45233</v>
      </c>
      <c r="L107" s="15"/>
      <c r="M107" s="11"/>
      <c r="N107" s="82">
        <v>9.7000000000000003E-2</v>
      </c>
      <c r="O107" s="84"/>
      <c r="P107" s="85">
        <f t="shared" si="7"/>
        <v>-10.000000000000009</v>
      </c>
      <c r="Q107" s="9"/>
      <c r="R107" s="9"/>
      <c r="S107" s="11"/>
      <c r="T107" s="82" t="s">
        <v>46</v>
      </c>
      <c r="U107" s="11"/>
      <c r="V107" s="82">
        <v>7.8E-2</v>
      </c>
      <c r="W107" s="7"/>
      <c r="X107" s="82">
        <v>0.56059999999999999</v>
      </c>
      <c r="Y107" s="86"/>
      <c r="Z107" s="7">
        <f t="shared" si="6"/>
        <v>5.4378200000000002E-2</v>
      </c>
      <c r="AA107" s="11"/>
      <c r="AB107" s="11"/>
    </row>
    <row r="108" spans="1:28" x14ac:dyDescent="0.25">
      <c r="A108" s="81" t="s">
        <v>137</v>
      </c>
      <c r="B108" s="81"/>
      <c r="C108" s="81" t="s">
        <v>537</v>
      </c>
      <c r="D108" s="81"/>
      <c r="E108" s="81"/>
      <c r="F108" s="15"/>
      <c r="G108" s="82" t="s">
        <v>538</v>
      </c>
      <c r="H108" s="82"/>
      <c r="I108" s="82">
        <v>0.10299999999999999</v>
      </c>
      <c r="J108" s="82"/>
      <c r="K108" s="83">
        <v>45237</v>
      </c>
      <c r="L108" s="15"/>
      <c r="M108" s="11"/>
      <c r="N108" s="82">
        <v>9.6500000000000002E-2</v>
      </c>
      <c r="O108" s="84"/>
      <c r="P108" s="85">
        <f t="shared" si="7"/>
        <v>-64.999999999999915</v>
      </c>
      <c r="Q108" s="9"/>
      <c r="R108" s="9"/>
      <c r="S108" s="11"/>
      <c r="T108" s="82" t="s">
        <v>33</v>
      </c>
      <c r="U108" s="11"/>
      <c r="V108" s="82">
        <v>6.9500000000000006E-2</v>
      </c>
      <c r="W108" s="7"/>
      <c r="X108" s="82">
        <v>0.51559999999999995</v>
      </c>
      <c r="Y108" s="86"/>
      <c r="Z108" s="7">
        <f t="shared" si="6"/>
        <v>4.9755399999999998E-2</v>
      </c>
      <c r="AA108" s="11"/>
      <c r="AB108" s="11"/>
    </row>
    <row r="109" spans="1:28" x14ac:dyDescent="0.25">
      <c r="A109" s="81" t="s">
        <v>134</v>
      </c>
      <c r="B109" s="81"/>
      <c r="C109" s="81" t="s">
        <v>539</v>
      </c>
      <c r="D109" s="81"/>
      <c r="E109" s="81" t="s">
        <v>161</v>
      </c>
      <c r="F109" s="15"/>
      <c r="G109" s="82" t="s">
        <v>540</v>
      </c>
      <c r="H109" s="82"/>
      <c r="I109" s="82">
        <v>0.11</v>
      </c>
      <c r="J109" s="82"/>
      <c r="K109" s="83">
        <v>45239</v>
      </c>
      <c r="L109" s="15"/>
      <c r="M109" s="11"/>
      <c r="N109" s="82">
        <v>0.10150000000000001</v>
      </c>
      <c r="O109" s="84"/>
      <c r="P109" s="85">
        <f t="shared" si="7"/>
        <v>-84.999999999999943</v>
      </c>
      <c r="Q109" s="9"/>
      <c r="R109" s="9"/>
      <c r="S109" s="11"/>
      <c r="T109" s="82" t="s">
        <v>46</v>
      </c>
      <c r="U109" s="11"/>
      <c r="V109" s="82">
        <v>7.0199999999999999E-2</v>
      </c>
      <c r="W109" s="7"/>
      <c r="X109" s="89" t="s">
        <v>146</v>
      </c>
      <c r="Y109" s="86"/>
      <c r="Z109" s="90" t="s">
        <v>146</v>
      </c>
      <c r="AA109" s="11"/>
      <c r="AB109" s="11"/>
    </row>
    <row r="110" spans="1:28" x14ac:dyDescent="0.25">
      <c r="A110" s="81" t="s">
        <v>63</v>
      </c>
      <c r="B110" s="81"/>
      <c r="C110" s="81" t="s">
        <v>154</v>
      </c>
      <c r="D110" s="81"/>
      <c r="E110" s="81" t="s">
        <v>64</v>
      </c>
      <c r="F110" s="15"/>
      <c r="G110" s="82" t="s">
        <v>541</v>
      </c>
      <c r="H110" s="82"/>
      <c r="I110" s="82">
        <v>0.10249999999999999</v>
      </c>
      <c r="J110" s="82"/>
      <c r="K110" s="83">
        <v>45239</v>
      </c>
      <c r="L110" s="15"/>
      <c r="M110" s="11"/>
      <c r="N110" s="82">
        <v>9.8000000000000004E-2</v>
      </c>
      <c r="O110" s="84"/>
      <c r="P110" s="85">
        <f t="shared" si="7"/>
        <v>-44.999999999999901</v>
      </c>
      <c r="Q110" s="9"/>
      <c r="R110" s="9"/>
      <c r="S110" s="11"/>
      <c r="T110" s="82" t="s">
        <v>46</v>
      </c>
      <c r="U110" s="11"/>
      <c r="V110" s="82">
        <v>7.5800000000000006E-2</v>
      </c>
      <c r="W110" s="7"/>
      <c r="X110" s="89">
        <v>0.52500000000000002</v>
      </c>
      <c r="Y110" s="86"/>
      <c r="Z110" s="7">
        <f t="shared" ref="Z110:Z119" si="9">X110*N110</f>
        <v>5.1450000000000003E-2</v>
      </c>
      <c r="AA110" s="11"/>
      <c r="AB110" s="11"/>
    </row>
    <row r="111" spans="1:28" x14ac:dyDescent="0.25">
      <c r="A111" s="81" t="s">
        <v>63</v>
      </c>
      <c r="B111" s="81"/>
      <c r="C111" s="81" t="s">
        <v>128</v>
      </c>
      <c r="D111" s="81"/>
      <c r="E111" s="81" t="s">
        <v>96</v>
      </c>
      <c r="F111" s="15"/>
      <c r="G111" s="82" t="s">
        <v>542</v>
      </c>
      <c r="H111" s="82"/>
      <c r="I111" s="82">
        <v>0.1</v>
      </c>
      <c r="J111" s="82"/>
      <c r="K111" s="83">
        <v>45239</v>
      </c>
      <c r="L111" s="15"/>
      <c r="M111" s="11"/>
      <c r="N111" s="82">
        <v>9.8000000000000004E-2</v>
      </c>
      <c r="O111" s="84"/>
      <c r="P111" s="85">
        <f t="shared" si="7"/>
        <v>-20.000000000000018</v>
      </c>
      <c r="Q111" s="9"/>
      <c r="R111" s="9"/>
      <c r="S111" s="11"/>
      <c r="T111" s="82" t="s">
        <v>46</v>
      </c>
      <c r="U111" s="11"/>
      <c r="V111" s="82">
        <v>7.4200000000000002E-2</v>
      </c>
      <c r="W111" s="7"/>
      <c r="X111" s="89">
        <v>0.53700000000000003</v>
      </c>
      <c r="Y111" s="86"/>
      <c r="Z111" s="7">
        <f t="shared" si="9"/>
        <v>5.2626000000000006E-2</v>
      </c>
      <c r="AA111" s="11"/>
      <c r="AB111" s="11"/>
    </row>
    <row r="112" spans="1:28" x14ac:dyDescent="0.25">
      <c r="A112" s="81" t="s">
        <v>76</v>
      </c>
      <c r="B112" s="81"/>
      <c r="C112" s="81" t="s">
        <v>80</v>
      </c>
      <c r="D112" s="81"/>
      <c r="E112" s="81" t="s">
        <v>81</v>
      </c>
      <c r="F112" s="15"/>
      <c r="G112" s="82" t="s">
        <v>543</v>
      </c>
      <c r="H112" s="82"/>
      <c r="I112" s="82">
        <v>0.10299999999999999</v>
      </c>
      <c r="J112" s="82"/>
      <c r="K112" s="83">
        <v>45246</v>
      </c>
      <c r="L112" s="15"/>
      <c r="M112" s="11"/>
      <c r="N112" s="82">
        <v>9.4399999999999998E-2</v>
      </c>
      <c r="O112" s="84"/>
      <c r="P112" s="85">
        <f t="shared" si="7"/>
        <v>-85.999999999999972</v>
      </c>
      <c r="Q112" s="9"/>
      <c r="R112" s="9"/>
      <c r="S112" s="11"/>
      <c r="T112" s="82" t="s">
        <v>46</v>
      </c>
      <c r="U112" s="11"/>
      <c r="V112" s="82">
        <v>6.8500000000000005E-2</v>
      </c>
      <c r="W112" s="7"/>
      <c r="X112" s="89">
        <v>0.5</v>
      </c>
      <c r="Y112" s="86"/>
      <c r="Z112" s="7">
        <f t="shared" si="9"/>
        <v>4.7199999999999999E-2</v>
      </c>
      <c r="AA112" s="11"/>
      <c r="AB112" s="11"/>
    </row>
    <row r="113" spans="1:28" x14ac:dyDescent="0.25">
      <c r="A113" s="81" t="s">
        <v>76</v>
      </c>
      <c r="B113" s="81"/>
      <c r="C113" s="81" t="s">
        <v>407</v>
      </c>
      <c r="D113" s="81"/>
      <c r="E113" s="81" t="s">
        <v>69</v>
      </c>
      <c r="F113" s="15"/>
      <c r="G113" s="82" t="s">
        <v>544</v>
      </c>
      <c r="H113" s="82"/>
      <c r="I113" s="82">
        <v>9.9000000000000005E-2</v>
      </c>
      <c r="J113" s="82"/>
      <c r="K113" s="83">
        <v>45246</v>
      </c>
      <c r="L113" s="15"/>
      <c r="M113" s="11"/>
      <c r="N113" s="82">
        <v>9.3799999999999994E-2</v>
      </c>
      <c r="O113" s="84"/>
      <c r="P113" s="85">
        <f t="shared" si="7"/>
        <v>-52.000000000000099</v>
      </c>
      <c r="Q113" s="9"/>
      <c r="R113" s="9"/>
      <c r="S113" s="11"/>
      <c r="T113" s="82" t="s">
        <v>46</v>
      </c>
      <c r="U113" s="11"/>
      <c r="V113" s="82">
        <v>6.9599999999999995E-2</v>
      </c>
      <c r="W113" s="7"/>
      <c r="X113" s="89">
        <v>0.52580000000000005</v>
      </c>
      <c r="Y113" s="86"/>
      <c r="Z113" s="7">
        <f t="shared" si="9"/>
        <v>4.9320040000000002E-2</v>
      </c>
      <c r="AA113" s="11"/>
      <c r="AB113" s="11"/>
    </row>
    <row r="114" spans="1:28" x14ac:dyDescent="0.25">
      <c r="A114" s="81" t="s">
        <v>76</v>
      </c>
      <c r="B114" s="81"/>
      <c r="C114" s="81" t="s">
        <v>429</v>
      </c>
      <c r="D114" s="81"/>
      <c r="E114" s="81" t="s">
        <v>84</v>
      </c>
      <c r="F114" s="15"/>
      <c r="G114" s="82" t="s">
        <v>545</v>
      </c>
      <c r="H114" s="82"/>
      <c r="I114" s="82">
        <v>0.10349999999999999</v>
      </c>
      <c r="J114" s="82"/>
      <c r="K114" s="83">
        <v>45246</v>
      </c>
      <c r="L114" s="15"/>
      <c r="M114" s="11"/>
      <c r="N114" s="82">
        <v>9.5100000000000004E-2</v>
      </c>
      <c r="O114" s="84"/>
      <c r="P114" s="85">
        <f t="shared" si="7"/>
        <v>-83.999999999999915</v>
      </c>
      <c r="Q114" s="9"/>
      <c r="R114" s="9"/>
      <c r="S114" s="11"/>
      <c r="T114" s="82" t="s">
        <v>46</v>
      </c>
      <c r="U114" s="11"/>
      <c r="V114" s="82">
        <v>6.6799999999999998E-2</v>
      </c>
      <c r="W114" s="7"/>
      <c r="X114" s="89">
        <v>0.5</v>
      </c>
      <c r="Y114" s="86"/>
      <c r="Z114" s="7">
        <f t="shared" si="9"/>
        <v>4.7550000000000002E-2</v>
      </c>
      <c r="AA114" s="11"/>
      <c r="AB114" s="11"/>
    </row>
    <row r="115" spans="1:28" x14ac:dyDescent="0.25">
      <c r="A115" s="81" t="s">
        <v>76</v>
      </c>
      <c r="B115" s="81"/>
      <c r="C115" s="81" t="s">
        <v>546</v>
      </c>
      <c r="D115" s="81"/>
      <c r="E115" s="81" t="s">
        <v>69</v>
      </c>
      <c r="F115" s="15"/>
      <c r="G115" s="82" t="s">
        <v>547</v>
      </c>
      <c r="H115" s="82"/>
      <c r="I115" s="82">
        <v>9.9000000000000005E-2</v>
      </c>
      <c r="J115" s="82"/>
      <c r="K115" s="83">
        <v>45246</v>
      </c>
      <c r="L115" s="15"/>
      <c r="M115" s="11"/>
      <c r="N115" s="82">
        <v>9.3799999999999994E-2</v>
      </c>
      <c r="O115" s="84"/>
      <c r="P115" s="85">
        <f t="shared" si="7"/>
        <v>-52.000000000000099</v>
      </c>
      <c r="Q115" s="9"/>
      <c r="R115" s="9"/>
      <c r="S115" s="11"/>
      <c r="T115" s="82" t="s">
        <v>46</v>
      </c>
      <c r="U115" s="11"/>
      <c r="V115" s="82">
        <v>6.6500000000000004E-2</v>
      </c>
      <c r="W115" s="7"/>
      <c r="X115" s="89">
        <v>0.50790000000000002</v>
      </c>
      <c r="Y115" s="86"/>
      <c r="Z115" s="7">
        <f t="shared" si="9"/>
        <v>4.7641019999999999E-2</v>
      </c>
      <c r="AA115" s="11"/>
      <c r="AB115" s="11"/>
    </row>
    <row r="116" spans="1:28" x14ac:dyDescent="0.25">
      <c r="A116" s="81" t="s">
        <v>220</v>
      </c>
      <c r="B116" s="81"/>
      <c r="C116" s="81" t="s">
        <v>376</v>
      </c>
      <c r="D116" s="81"/>
      <c r="E116" s="81" t="s">
        <v>56</v>
      </c>
      <c r="F116" s="15"/>
      <c r="G116" s="82" t="s">
        <v>548</v>
      </c>
      <c r="H116" s="82"/>
      <c r="I116" s="82">
        <v>9.8000000000000004E-2</v>
      </c>
      <c r="J116" s="82"/>
      <c r="K116" s="83">
        <v>45264</v>
      </c>
      <c r="L116" s="15"/>
      <c r="M116" s="11"/>
      <c r="N116" s="82">
        <v>9.8000000000000004E-2</v>
      </c>
      <c r="O116" s="84"/>
      <c r="P116" s="85">
        <f t="shared" si="7"/>
        <v>0</v>
      </c>
      <c r="Q116" s="9"/>
      <c r="R116" s="9"/>
      <c r="S116" s="11"/>
      <c r="T116" s="82" t="s">
        <v>33</v>
      </c>
      <c r="U116" s="11"/>
      <c r="V116" s="82">
        <v>6.9500000000000006E-2</v>
      </c>
      <c r="W116" s="7"/>
      <c r="X116" s="89">
        <v>0.50090000000000001</v>
      </c>
      <c r="Y116" s="86"/>
      <c r="Z116" s="7">
        <f t="shared" si="9"/>
        <v>4.9088200000000005E-2</v>
      </c>
      <c r="AA116" s="11"/>
      <c r="AB116" s="11"/>
    </row>
    <row r="117" spans="1:28" x14ac:dyDescent="0.25">
      <c r="A117" s="81" t="s">
        <v>44</v>
      </c>
      <c r="B117" s="81"/>
      <c r="C117" s="81" t="s">
        <v>85</v>
      </c>
      <c r="D117" s="81"/>
      <c r="E117" s="81" t="s">
        <v>39</v>
      </c>
      <c r="F117" s="15"/>
      <c r="G117" s="82" t="s">
        <v>549</v>
      </c>
      <c r="H117" s="82"/>
      <c r="I117" s="82">
        <v>0.104</v>
      </c>
      <c r="J117" s="82"/>
      <c r="K117" s="83">
        <v>45274</v>
      </c>
      <c r="L117" s="15"/>
      <c r="M117" s="11"/>
      <c r="N117" s="82">
        <v>9.4500000000000001E-2</v>
      </c>
      <c r="O117" s="84"/>
      <c r="P117" s="85">
        <f t="shared" si="7"/>
        <v>-94.999999999999943</v>
      </c>
      <c r="Q117" s="9"/>
      <c r="R117" s="9"/>
      <c r="S117" s="11"/>
      <c r="T117" s="82" t="s">
        <v>46</v>
      </c>
      <c r="U117" s="11"/>
      <c r="V117" s="82">
        <v>6.7400000000000002E-2</v>
      </c>
      <c r="W117" s="7"/>
      <c r="X117" s="89">
        <v>0.52</v>
      </c>
      <c r="Y117" s="86"/>
      <c r="Z117" s="7">
        <f t="shared" si="9"/>
        <v>4.9140000000000003E-2</v>
      </c>
      <c r="AA117" s="11"/>
      <c r="AB117" s="11"/>
    </row>
    <row r="118" spans="1:28" x14ac:dyDescent="0.25">
      <c r="A118" s="81" t="s">
        <v>44</v>
      </c>
      <c r="B118" s="81"/>
      <c r="C118" s="81" t="s">
        <v>381</v>
      </c>
      <c r="D118" s="81"/>
      <c r="E118" s="81" t="s">
        <v>382</v>
      </c>
      <c r="F118" s="15"/>
      <c r="G118" s="82" t="s">
        <v>550</v>
      </c>
      <c r="H118" s="82"/>
      <c r="I118" s="82">
        <v>0.1075</v>
      </c>
      <c r="J118" s="82"/>
      <c r="K118" s="83">
        <v>45274</v>
      </c>
      <c r="L118" s="15"/>
      <c r="M118" s="11"/>
      <c r="N118" s="82">
        <v>9.5000000000000001E-2</v>
      </c>
      <c r="O118" s="84"/>
      <c r="P118" s="85">
        <f t="shared" si="7"/>
        <v>-124.99999999999997</v>
      </c>
      <c r="Q118" s="9"/>
      <c r="R118" s="9"/>
      <c r="S118" s="11"/>
      <c r="T118" s="82" t="s">
        <v>46</v>
      </c>
      <c r="U118" s="11"/>
      <c r="V118" s="82">
        <v>7.0400000000000004E-2</v>
      </c>
      <c r="W118" s="7"/>
      <c r="X118" s="89">
        <v>0.52600000000000002</v>
      </c>
      <c r="Y118" s="86"/>
      <c r="Z118" s="7">
        <f t="shared" si="9"/>
        <v>4.9970000000000001E-2</v>
      </c>
      <c r="AA118" s="11"/>
      <c r="AB118" s="11"/>
    </row>
    <row r="119" spans="1:28" x14ac:dyDescent="0.25">
      <c r="A119" s="81" t="s">
        <v>139</v>
      </c>
      <c r="B119" s="81"/>
      <c r="C119" s="81" t="s">
        <v>381</v>
      </c>
      <c r="D119" s="81"/>
      <c r="E119" s="81" t="s">
        <v>382</v>
      </c>
      <c r="F119" s="15"/>
      <c r="G119" s="82" t="s">
        <v>551</v>
      </c>
      <c r="H119" s="82"/>
      <c r="I119" s="82">
        <v>0.104</v>
      </c>
      <c r="J119" s="82"/>
      <c r="K119" s="83">
        <v>45275</v>
      </c>
      <c r="L119" s="15"/>
      <c r="M119" s="11"/>
      <c r="N119" s="82">
        <v>9.6500000000000002E-2</v>
      </c>
      <c r="O119" s="84"/>
      <c r="P119" s="85">
        <f t="shared" si="7"/>
        <v>-74.999999999999929</v>
      </c>
      <c r="Q119" s="9"/>
      <c r="R119" s="9"/>
      <c r="S119" s="11"/>
      <c r="T119" s="82" t="s">
        <v>46</v>
      </c>
      <c r="U119" s="11"/>
      <c r="V119" s="82">
        <v>7.1099999999999997E-2</v>
      </c>
      <c r="W119" s="7"/>
      <c r="X119" s="89">
        <v>0.52</v>
      </c>
      <c r="Y119" s="86"/>
      <c r="Z119" s="7">
        <f t="shared" si="9"/>
        <v>5.0180000000000002E-2</v>
      </c>
      <c r="AA119" s="11"/>
      <c r="AB119" s="11"/>
    </row>
    <row r="120" spans="1:28" x14ac:dyDescent="0.25">
      <c r="A120" s="81" t="s">
        <v>35</v>
      </c>
      <c r="B120" s="81"/>
      <c r="C120" s="81" t="s">
        <v>552</v>
      </c>
      <c r="D120" s="81"/>
      <c r="E120" s="81" t="s">
        <v>553</v>
      </c>
      <c r="F120" s="15"/>
      <c r="G120" s="82" t="s">
        <v>554</v>
      </c>
      <c r="H120" s="82"/>
      <c r="I120" s="82">
        <v>0.109</v>
      </c>
      <c r="J120" s="82"/>
      <c r="K120" s="83">
        <v>45281</v>
      </c>
      <c r="L120" s="15"/>
      <c r="M120" s="11"/>
      <c r="N120" s="82">
        <v>9.7500000000000003E-2</v>
      </c>
      <c r="O120" s="84"/>
      <c r="P120" s="85">
        <f t="shared" si="7"/>
        <v>-114.99999999999996</v>
      </c>
      <c r="Q120" s="9"/>
      <c r="R120" s="9"/>
      <c r="S120" s="11"/>
      <c r="T120" s="82" t="s">
        <v>33</v>
      </c>
      <c r="U120" s="11"/>
      <c r="V120" s="82">
        <v>7.2400000000000006E-2</v>
      </c>
      <c r="W120" s="7"/>
      <c r="X120" s="89" t="s">
        <v>146</v>
      </c>
      <c r="Y120" s="86"/>
      <c r="Z120" s="90" t="s">
        <v>146</v>
      </c>
      <c r="AA120" s="11"/>
      <c r="AB120" s="11"/>
    </row>
    <row r="121" spans="1:28" x14ac:dyDescent="0.25">
      <c r="A121" s="81" t="s">
        <v>86</v>
      </c>
      <c r="B121" s="81"/>
      <c r="C121" s="81" t="s">
        <v>492</v>
      </c>
      <c r="D121" s="81"/>
      <c r="E121" s="81" t="s">
        <v>89</v>
      </c>
      <c r="F121" s="15"/>
      <c r="G121" s="82" t="s">
        <v>555</v>
      </c>
      <c r="H121" s="82"/>
      <c r="I121" s="82">
        <v>0.105</v>
      </c>
      <c r="J121" s="82"/>
      <c r="K121" s="83">
        <v>45282</v>
      </c>
      <c r="L121" s="15"/>
      <c r="M121" s="11"/>
      <c r="N121" s="82">
        <v>0.105</v>
      </c>
      <c r="O121" s="84"/>
      <c r="P121" s="85">
        <f t="shared" si="7"/>
        <v>0</v>
      </c>
      <c r="Q121" s="9"/>
      <c r="R121" s="9"/>
      <c r="S121" s="11"/>
      <c r="T121" s="82" t="s">
        <v>46</v>
      </c>
      <c r="U121" s="11"/>
      <c r="V121" s="82">
        <v>7.6700000000000004E-2</v>
      </c>
      <c r="W121" s="7"/>
      <c r="X121" s="89">
        <v>0.52</v>
      </c>
      <c r="Y121" s="86"/>
      <c r="Z121" s="7">
        <f t="shared" ref="Z121:Z128" si="10">X121*N121</f>
        <v>5.4600000000000003E-2</v>
      </c>
      <c r="AA121" s="11"/>
      <c r="AB121" s="11"/>
    </row>
    <row r="122" spans="1:28" x14ac:dyDescent="0.25">
      <c r="A122" s="81" t="s">
        <v>137</v>
      </c>
      <c r="B122" s="81"/>
      <c r="C122" s="81" t="s">
        <v>556</v>
      </c>
      <c r="D122" s="81"/>
      <c r="E122" s="81" t="s">
        <v>267</v>
      </c>
      <c r="F122" s="15"/>
      <c r="G122" s="82" t="s">
        <v>557</v>
      </c>
      <c r="H122" s="82"/>
      <c r="I122" s="82">
        <v>0.10489999999999999</v>
      </c>
      <c r="J122" s="82"/>
      <c r="K122" s="83">
        <v>45308</v>
      </c>
      <c r="L122" s="15"/>
      <c r="M122" s="11"/>
      <c r="N122" s="82">
        <v>9.8500000000000004E-2</v>
      </c>
      <c r="O122" s="84"/>
      <c r="P122" s="85">
        <f t="shared" si="7"/>
        <v>-63.999999999999893</v>
      </c>
      <c r="Q122" s="9"/>
      <c r="R122" s="9"/>
      <c r="S122" s="11"/>
      <c r="T122" s="82" t="s">
        <v>33</v>
      </c>
      <c r="U122" s="11"/>
      <c r="V122" s="82">
        <v>7.3300000000000004E-2</v>
      </c>
      <c r="W122" s="7"/>
      <c r="X122" s="89">
        <v>0.51</v>
      </c>
      <c r="Y122" s="86"/>
      <c r="Z122" s="7">
        <f t="shared" si="10"/>
        <v>5.0235000000000002E-2</v>
      </c>
      <c r="AA122" s="11"/>
      <c r="AB122" s="11"/>
    </row>
    <row r="123" spans="1:28" x14ac:dyDescent="0.25">
      <c r="A123" s="81" t="s">
        <v>102</v>
      </c>
      <c r="B123" s="81"/>
      <c r="C123" s="81" t="s">
        <v>505</v>
      </c>
      <c r="D123" s="81"/>
      <c r="E123" s="81" t="s">
        <v>437</v>
      </c>
      <c r="F123" s="15"/>
      <c r="G123" s="82" t="s">
        <v>558</v>
      </c>
      <c r="H123" s="82"/>
      <c r="I123" s="82">
        <v>0.10249999999999999</v>
      </c>
      <c r="J123" s="82"/>
      <c r="K123" s="83">
        <v>45322</v>
      </c>
      <c r="L123" s="15"/>
      <c r="M123" s="11"/>
      <c r="N123" s="82">
        <v>9.7000000000000003E-2</v>
      </c>
      <c r="O123" s="84"/>
      <c r="P123" s="85">
        <f t="shared" si="7"/>
        <v>-54.999999999999908</v>
      </c>
      <c r="Q123" s="9"/>
      <c r="R123" s="9"/>
      <c r="S123" s="11"/>
      <c r="T123" s="82" t="s">
        <v>33</v>
      </c>
      <c r="U123" s="11"/>
      <c r="V123" s="82">
        <v>7.4200000000000002E-2</v>
      </c>
      <c r="W123" s="7"/>
      <c r="X123" s="89">
        <v>0.5907</v>
      </c>
      <c r="Y123" s="86"/>
      <c r="Z123" s="7">
        <f t="shared" si="10"/>
        <v>5.7297899999999999E-2</v>
      </c>
      <c r="AA123" s="11"/>
      <c r="AB123" s="11"/>
    </row>
    <row r="124" spans="1:28" x14ac:dyDescent="0.25">
      <c r="A124" s="81" t="s">
        <v>101</v>
      </c>
      <c r="B124" s="81"/>
      <c r="C124" s="81" t="s">
        <v>443</v>
      </c>
      <c r="D124" s="81"/>
      <c r="E124" s="81" t="s">
        <v>267</v>
      </c>
      <c r="F124" s="15"/>
      <c r="G124" s="82" t="s">
        <v>559</v>
      </c>
      <c r="H124" s="82"/>
      <c r="I124" s="82">
        <v>0.10489999999999999</v>
      </c>
      <c r="J124" s="82"/>
      <c r="K124" s="83">
        <v>45375</v>
      </c>
      <c r="L124" s="15"/>
      <c r="M124" s="11"/>
      <c r="N124" s="82">
        <v>9.2999999999999999E-2</v>
      </c>
      <c r="O124" s="84"/>
      <c r="P124" s="85">
        <f t="shared" si="7"/>
        <v>-118.99999999999994</v>
      </c>
      <c r="Q124" s="9"/>
      <c r="R124" s="9"/>
      <c r="S124" s="11"/>
      <c r="T124" s="82" t="s">
        <v>33</v>
      </c>
      <c r="U124" s="11"/>
      <c r="V124" s="82">
        <v>6.9000000000000006E-2</v>
      </c>
      <c r="W124" s="7"/>
      <c r="X124" s="89">
        <v>0.50870000000000004</v>
      </c>
      <c r="Y124" s="86"/>
      <c r="Z124" s="7">
        <f t="shared" si="10"/>
        <v>4.7309100000000007E-2</v>
      </c>
      <c r="AA124" s="11"/>
      <c r="AB124" s="11"/>
    </row>
    <row r="125" spans="1:28" x14ac:dyDescent="0.25">
      <c r="A125" s="81" t="s">
        <v>294</v>
      </c>
      <c r="B125" s="81"/>
      <c r="C125" s="81" t="s">
        <v>560</v>
      </c>
      <c r="D125" s="81"/>
      <c r="E125" s="81"/>
      <c r="F125" s="15"/>
      <c r="G125" s="82" t="s">
        <v>561</v>
      </c>
      <c r="H125" s="82"/>
      <c r="I125" s="82">
        <v>0.1295</v>
      </c>
      <c r="J125" s="82"/>
      <c r="K125" s="83">
        <v>45390</v>
      </c>
      <c r="L125" s="15"/>
      <c r="M125" s="11"/>
      <c r="N125" s="82">
        <v>0.1188</v>
      </c>
      <c r="O125" s="84"/>
      <c r="P125" s="85">
        <f t="shared" si="7"/>
        <v>-107.00000000000001</v>
      </c>
      <c r="Q125" s="9"/>
      <c r="R125" s="9"/>
      <c r="S125" s="11"/>
      <c r="T125" s="82" t="s">
        <v>46</v>
      </c>
      <c r="U125" s="11"/>
      <c r="V125" s="82">
        <v>7.7399999999999997E-2</v>
      </c>
      <c r="W125" s="7"/>
      <c r="X125" s="89">
        <v>0.54110000000000003</v>
      </c>
      <c r="Y125" s="86"/>
      <c r="Z125" s="7">
        <f t="shared" si="10"/>
        <v>6.4282680000000009E-2</v>
      </c>
      <c r="AA125" s="11"/>
      <c r="AB125" s="11"/>
    </row>
    <row r="126" spans="1:28" x14ac:dyDescent="0.25">
      <c r="A126" s="81" t="s">
        <v>93</v>
      </c>
      <c r="B126" s="81"/>
      <c r="C126" s="81" t="s">
        <v>384</v>
      </c>
      <c r="D126" s="81"/>
      <c r="E126" s="81" t="s">
        <v>385</v>
      </c>
      <c r="F126" s="15"/>
      <c r="G126" s="82" t="s">
        <v>562</v>
      </c>
      <c r="H126" s="82"/>
      <c r="I126" s="82">
        <v>0.1</v>
      </c>
      <c r="J126" s="82"/>
      <c r="K126" s="83">
        <v>45390</v>
      </c>
      <c r="L126" s="15"/>
      <c r="M126" s="11"/>
      <c r="N126" s="82">
        <v>9.5000000000000001E-2</v>
      </c>
      <c r="O126" s="84"/>
      <c r="P126" s="85">
        <f t="shared" si="7"/>
        <v>-50.000000000000043</v>
      </c>
      <c r="Q126" s="9"/>
      <c r="R126" s="9"/>
      <c r="S126" s="11"/>
      <c r="T126" s="82" t="s">
        <v>33</v>
      </c>
      <c r="U126" s="11"/>
      <c r="V126" s="82">
        <v>7.0099999999999996E-2</v>
      </c>
      <c r="W126" s="7"/>
      <c r="X126" s="89">
        <v>0.5</v>
      </c>
      <c r="Y126" s="86"/>
      <c r="Z126" s="7">
        <f t="shared" si="10"/>
        <v>4.7500000000000001E-2</v>
      </c>
      <c r="AA126" s="11"/>
      <c r="AB126" s="11"/>
    </row>
    <row r="127" spans="1:28" x14ac:dyDescent="0.25">
      <c r="A127" s="81" t="s">
        <v>93</v>
      </c>
      <c r="B127" s="81"/>
      <c r="C127" s="81" t="s">
        <v>384</v>
      </c>
      <c r="D127" s="81"/>
      <c r="E127" s="81" t="s">
        <v>385</v>
      </c>
      <c r="F127" s="15"/>
      <c r="G127" s="82" t="s">
        <v>563</v>
      </c>
      <c r="H127" s="82"/>
      <c r="I127" s="82">
        <v>0.1</v>
      </c>
      <c r="J127" s="82"/>
      <c r="K127" s="83">
        <v>45390</v>
      </c>
      <c r="L127" s="15"/>
      <c r="M127" s="11"/>
      <c r="N127" s="82">
        <v>9.5000000000000001E-2</v>
      </c>
      <c r="O127" s="84"/>
      <c r="P127" s="85">
        <f t="shared" si="7"/>
        <v>-50.000000000000043</v>
      </c>
      <c r="Q127" s="9"/>
      <c r="R127" s="9"/>
      <c r="S127" s="11"/>
      <c r="T127" s="82" t="s">
        <v>33</v>
      </c>
      <c r="U127" s="11"/>
      <c r="V127" s="82">
        <v>7.0000000000000007E-2</v>
      </c>
      <c r="W127" s="7"/>
      <c r="X127" s="89">
        <v>0.5</v>
      </c>
      <c r="Y127" s="86"/>
      <c r="Z127" s="7">
        <f t="shared" si="10"/>
        <v>4.7500000000000001E-2</v>
      </c>
      <c r="AA127" s="11"/>
      <c r="AB127" s="11"/>
    </row>
    <row r="128" spans="1:28" x14ac:dyDescent="0.25">
      <c r="A128" s="81" t="s">
        <v>174</v>
      </c>
      <c r="B128" s="81"/>
      <c r="C128" s="81" t="s">
        <v>564</v>
      </c>
      <c r="D128" s="81"/>
      <c r="E128" s="81"/>
      <c r="F128" s="15"/>
      <c r="G128" s="82" t="s">
        <v>565</v>
      </c>
      <c r="H128" s="82"/>
      <c r="I128" s="82">
        <v>0.109</v>
      </c>
      <c r="J128" s="82"/>
      <c r="K128" s="83">
        <v>45399</v>
      </c>
      <c r="L128" s="15"/>
      <c r="M128" s="11"/>
      <c r="N128" s="82">
        <v>9.7500000000000003E-2</v>
      </c>
      <c r="O128" s="84"/>
      <c r="P128" s="85">
        <f t="shared" si="7"/>
        <v>-114.99999999999996</v>
      </c>
      <c r="Q128" s="9"/>
      <c r="R128" s="9"/>
      <c r="S128" s="11"/>
      <c r="T128" s="82" t="s">
        <v>33</v>
      </c>
      <c r="U128" s="11"/>
      <c r="V128" s="82">
        <v>7.6399999999999996E-2</v>
      </c>
      <c r="W128" s="7"/>
      <c r="X128" s="89">
        <v>0.51419999999999999</v>
      </c>
      <c r="Y128" s="86"/>
      <c r="Z128" s="7">
        <f t="shared" si="10"/>
        <v>5.0134499999999999E-2</v>
      </c>
      <c r="AA128" s="11"/>
      <c r="AB128" s="11"/>
    </row>
    <row r="129" spans="1:28" x14ac:dyDescent="0.25">
      <c r="A129" s="81"/>
      <c r="B129" s="81"/>
      <c r="C129" s="81"/>
      <c r="D129" s="81"/>
      <c r="E129" s="81"/>
      <c r="F129" s="15"/>
      <c r="G129" s="82"/>
      <c r="H129" s="82"/>
      <c r="I129" s="82"/>
      <c r="J129" s="82"/>
      <c r="K129" s="83"/>
      <c r="L129" s="15"/>
      <c r="M129" s="11"/>
      <c r="N129" s="82"/>
      <c r="O129" s="84"/>
      <c r="P129" s="85"/>
      <c r="Q129" s="9"/>
      <c r="R129" s="9"/>
      <c r="S129" s="11"/>
      <c r="T129" s="82"/>
      <c r="U129" s="11"/>
      <c r="V129" s="82"/>
      <c r="W129" s="7"/>
      <c r="X129" s="82"/>
      <c r="Y129" s="86"/>
      <c r="Z129" s="7"/>
      <c r="AA129" s="11"/>
      <c r="AB129" s="11"/>
    </row>
    <row r="131" spans="1:28" x14ac:dyDescent="0.25">
      <c r="A131" s="25" t="s">
        <v>197</v>
      </c>
      <c r="B131" s="91"/>
      <c r="C131" s="91"/>
      <c r="D131" s="91"/>
      <c r="E131" s="91"/>
      <c r="F131" s="91"/>
      <c r="G131" s="91"/>
      <c r="H131" s="91"/>
      <c r="I131" s="91"/>
      <c r="J131" s="10"/>
      <c r="K131" s="91"/>
      <c r="L131" s="91"/>
      <c r="M131" s="91"/>
      <c r="N131" s="91"/>
      <c r="O131" s="10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8" x14ac:dyDescent="0.25">
      <c r="A132" s="26" t="s">
        <v>198</v>
      </c>
      <c r="B132" s="27"/>
      <c r="C132" s="27"/>
      <c r="D132" s="27"/>
      <c r="E132" s="27"/>
      <c r="F132" s="27"/>
      <c r="G132" s="27">
        <f>COUNT(K11:K130)</f>
        <v>118</v>
      </c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8" x14ac:dyDescent="0.25">
      <c r="A133" s="27" t="s">
        <v>199</v>
      </c>
      <c r="B133" s="27"/>
      <c r="C133" s="27" t="s">
        <v>200</v>
      </c>
      <c r="D133" s="27"/>
      <c r="E133" s="27"/>
      <c r="F133" s="27"/>
      <c r="G133" s="27"/>
      <c r="H133" s="27"/>
      <c r="I133" s="28">
        <f>AVERAGE(I11:I130)</f>
        <v>0.10279406779661018</v>
      </c>
      <c r="J133" s="27"/>
      <c r="K133" s="27"/>
      <c r="L133" s="27"/>
      <c r="M133" s="27"/>
      <c r="N133" s="28">
        <f>AVERAGE(N11:N130)</f>
        <v>9.5801694915254323E-2</v>
      </c>
      <c r="O133" s="27"/>
      <c r="P133" s="29">
        <f>(N133-I133)*10000</f>
        <v>-69.923728813558597</v>
      </c>
      <c r="Q133" s="27"/>
      <c r="R133" s="27"/>
      <c r="S133" s="27"/>
      <c r="T133" s="27"/>
      <c r="U133" s="27"/>
      <c r="V133" s="28">
        <f>AVERAGE(V11:V130)</f>
        <v>6.9003738317757038E-2</v>
      </c>
      <c r="W133" s="27"/>
      <c r="X133" s="28">
        <f>AVERAGE(X11:X130)</f>
        <v>0.50882053571428576</v>
      </c>
      <c r="Y133" s="27"/>
      <c r="Z133" s="28">
        <f>AVERAGE(Z11:Z70)</f>
        <v>4.8372753703703725E-2</v>
      </c>
    </row>
    <row r="134" spans="1:28" x14ac:dyDescent="0.25">
      <c r="A134" s="27" t="s">
        <v>203</v>
      </c>
      <c r="B134" s="27"/>
      <c r="C134" s="27" t="s">
        <v>200</v>
      </c>
      <c r="D134" s="27"/>
      <c r="E134" s="27"/>
      <c r="F134" s="27"/>
      <c r="G134" s="27"/>
      <c r="H134" s="27"/>
      <c r="I134" s="28">
        <f>MEDIAN(I11:I130)</f>
        <v>0.10249999999999999</v>
      </c>
      <c r="J134" s="27"/>
      <c r="K134" s="27"/>
      <c r="L134" s="27"/>
      <c r="M134" s="27"/>
      <c r="N134" s="28">
        <f>MEDIAN(N11:N130)</f>
        <v>9.5850000000000005E-2</v>
      </c>
      <c r="O134" s="27"/>
      <c r="P134" s="27"/>
      <c r="Q134" s="27"/>
      <c r="R134" s="27"/>
      <c r="S134" s="27"/>
      <c r="T134" s="27"/>
      <c r="U134" s="27"/>
      <c r="V134" s="28">
        <f>MEDIAN(V11:V130)</f>
        <v>6.9599999999999995E-2</v>
      </c>
      <c r="W134" s="28"/>
      <c r="X134" s="28">
        <f>MEDIAN(X11:X130)</f>
        <v>0.51570000000000005</v>
      </c>
      <c r="Y134" s="27"/>
      <c r="Z134" s="28">
        <f>MEDIAN(Z11:Z93)</f>
        <v>4.8776000000000007E-2</v>
      </c>
    </row>
    <row r="135" spans="1:28" x14ac:dyDescent="0.25">
      <c r="A135" s="27" t="s">
        <v>204</v>
      </c>
      <c r="B135" s="27"/>
      <c r="C135" s="27" t="s">
        <v>200</v>
      </c>
      <c r="D135" s="27"/>
      <c r="E135" s="27"/>
      <c r="F135" s="27"/>
      <c r="G135" s="27"/>
      <c r="H135" s="27"/>
      <c r="I135" s="28">
        <f>MAX(I11:I130)</f>
        <v>0.1295</v>
      </c>
      <c r="J135" s="27"/>
      <c r="K135" s="27"/>
      <c r="L135" s="27"/>
      <c r="M135" s="28"/>
      <c r="N135" s="28">
        <f>MAX(N11:N130)</f>
        <v>0.1188</v>
      </c>
      <c r="O135" s="27"/>
      <c r="P135" s="27"/>
      <c r="Q135" s="27"/>
      <c r="R135" s="27"/>
      <c r="S135" s="27"/>
      <c r="T135" s="27"/>
      <c r="U135" s="27"/>
      <c r="V135" s="28">
        <f>MAX(V11:V130)</f>
        <v>7.8E-2</v>
      </c>
      <c r="W135" s="27"/>
      <c r="X135" s="28">
        <f>MAX(X11:X130)</f>
        <v>0.59740000000000004</v>
      </c>
      <c r="Y135" s="27"/>
      <c r="Z135" s="28">
        <f>MAX(Z11:Z93)</f>
        <v>5.7350400000000003E-2</v>
      </c>
    </row>
    <row r="136" spans="1:28" x14ac:dyDescent="0.25">
      <c r="A136" s="27" t="s">
        <v>205</v>
      </c>
      <c r="B136" s="27"/>
      <c r="C136" s="27" t="s">
        <v>200</v>
      </c>
      <c r="D136" s="27"/>
      <c r="E136" s="27"/>
      <c r="F136" s="27"/>
      <c r="G136" s="27"/>
      <c r="H136" s="27"/>
      <c r="I136" s="28">
        <f>MIN(I11:I130)</f>
        <v>9.0999999999999998E-2</v>
      </c>
      <c r="J136" s="27"/>
      <c r="K136" s="27"/>
      <c r="L136" s="27"/>
      <c r="M136" s="27"/>
      <c r="N136" s="28">
        <f>MIN(N11:N130)</f>
        <v>8.8000000000000009E-2</v>
      </c>
      <c r="O136" s="27"/>
      <c r="P136" s="27"/>
      <c r="Q136" s="27"/>
      <c r="R136" s="27"/>
      <c r="S136" s="27"/>
      <c r="T136" s="27"/>
      <c r="U136" s="27"/>
      <c r="V136" s="28">
        <f>MIN(V11:V130)</f>
        <v>5.3200000000000004E-2</v>
      </c>
      <c r="W136" s="27"/>
      <c r="X136" s="28">
        <f>MIN(X11:X130)</f>
        <v>9.6500000000000002E-2</v>
      </c>
      <c r="Y136" s="27"/>
      <c r="Z136" s="28">
        <f>MIN(Z11:Z93)</f>
        <v>3.8837700000000003E-2</v>
      </c>
    </row>
    <row r="137" spans="1:28" x14ac:dyDescent="0.25">
      <c r="A137" s="27" t="s">
        <v>108</v>
      </c>
      <c r="B137" s="27"/>
      <c r="C137" s="27"/>
      <c r="D137" s="27"/>
      <c r="E137" s="27"/>
      <c r="F137" s="27"/>
      <c r="G137" s="27">
        <f>COUNTIF(A11:A130,A137)</f>
        <v>4</v>
      </c>
      <c r="H137" s="27"/>
      <c r="I137" s="30">
        <f>AVERAGEIF($A$11:$A$130,$A137,I11:I130)</f>
        <v>9.7500000000000003E-2</v>
      </c>
      <c r="J137" s="27"/>
      <c r="K137" s="27"/>
      <c r="L137" s="27"/>
      <c r="M137" s="27"/>
      <c r="N137" s="30">
        <f>AVERAGEIF($A$11:$A$130,$A137,N11:N130)</f>
        <v>9.4E-2</v>
      </c>
      <c r="O137" s="30"/>
      <c r="P137" s="29">
        <f>(N137-I137)*10000</f>
        <v>-35.000000000000028</v>
      </c>
      <c r="R137" s="27"/>
      <c r="S137" s="27"/>
      <c r="T137" s="27"/>
      <c r="U137" s="27"/>
      <c r="V137" s="30">
        <f>AVERAGEIF($A$11:$A$130,$A137,V11:V130)</f>
        <v>7.0199999999999999E-2</v>
      </c>
      <c r="W137" s="27"/>
      <c r="X137" s="30">
        <f>AVERAGEIF($A$11:$A$130,$A137,X11:X130)</f>
        <v>0.48399999999999999</v>
      </c>
      <c r="Y137" s="27"/>
      <c r="Z137" s="30">
        <f>AVERAGEIF($A$11:$A$130,$A137,Z11:Z130)</f>
        <v>4.5495999999999995E-2</v>
      </c>
      <c r="AA137" s="30"/>
    </row>
    <row r="138" spans="1:28" hidden="1" x14ac:dyDescent="0.25">
      <c r="A138" s="27" t="s">
        <v>566</v>
      </c>
      <c r="B138" s="27"/>
      <c r="C138" s="27"/>
      <c r="D138" s="27"/>
      <c r="E138" s="27"/>
      <c r="F138" s="27"/>
      <c r="G138" s="27"/>
      <c r="H138" s="27"/>
      <c r="I138" s="30">
        <f>AVERAGEIF($R$11:$R$93,"Y",I11:I93)</f>
        <v>0.1095</v>
      </c>
      <c r="J138" s="30"/>
      <c r="K138" s="30"/>
      <c r="L138" s="30"/>
      <c r="M138" s="30"/>
      <c r="N138" s="30">
        <f>AVERAGEIF($R$11:$R$93,"Y",N11:N93)</f>
        <v>9.2999999999999999E-2</v>
      </c>
      <c r="O138" s="27"/>
      <c r="P138" s="29">
        <f>(N138-I138)*10000</f>
        <v>-165</v>
      </c>
      <c r="Q138" s="27"/>
      <c r="R138" s="27"/>
      <c r="S138" s="27"/>
      <c r="T138" s="27"/>
      <c r="U138" s="27"/>
      <c r="V138" s="30">
        <f>AVERAGEIF($R$11:$R$93,"Y",V11:V93)</f>
        <v>7.0000000000000007E-2</v>
      </c>
      <c r="W138" s="30"/>
      <c r="X138" s="30">
        <f>AVERAGEIF($R$11:$R$93,"Y",X11:X93)</f>
        <v>0.57999999999999996</v>
      </c>
      <c r="Y138" s="30"/>
      <c r="Z138" s="30">
        <f>AVERAGEIF($R$11:$R$93,"Y",Z11:Z93)</f>
        <v>5.3939999999999995E-2</v>
      </c>
    </row>
    <row r="139" spans="1:28" x14ac:dyDescent="0.25">
      <c r="A139" s="27" t="s">
        <v>33</v>
      </c>
      <c r="B139" s="27"/>
      <c r="C139" s="27"/>
      <c r="D139" s="27"/>
      <c r="E139" s="27"/>
      <c r="F139" s="27"/>
      <c r="G139" s="27"/>
      <c r="H139" s="27"/>
      <c r="I139" s="30">
        <f>AVERAGEIF($T$11:$T$130,$A139,I11:I130)</f>
        <v>0.10207750000000002</v>
      </c>
      <c r="J139" s="31"/>
      <c r="K139" s="31"/>
      <c r="L139" s="31"/>
      <c r="M139" s="31"/>
      <c r="N139" s="30">
        <f>AVERAGEIF($T$11:$T$130,$A139,N11:N130)</f>
        <v>9.5086249999999983E-2</v>
      </c>
      <c r="O139" s="27"/>
      <c r="P139" s="29">
        <f>(N139-I139)*10000</f>
        <v>-69.912500000000321</v>
      </c>
      <c r="Q139" s="27"/>
      <c r="R139" s="27"/>
      <c r="S139" s="27"/>
      <c r="T139" s="27"/>
      <c r="U139" s="27"/>
      <c r="V139" s="31">
        <f>AVERAGEIF($T$11:$T$130,$A139,V11:V130)</f>
        <v>6.9097222222222213E-2</v>
      </c>
      <c r="W139" s="31"/>
      <c r="X139" s="31">
        <f>AVERAGEIF($T$11:$T$130,$A139,X11:X130)</f>
        <v>0.50429199999999996</v>
      </c>
      <c r="Y139" s="31"/>
      <c r="Z139" s="31">
        <f>AVERAGEIF($T$11:$T$130,$A139,Z11:Z130)</f>
        <v>4.7973422465753417E-2</v>
      </c>
    </row>
    <row r="140" spans="1:28" x14ac:dyDescent="0.25">
      <c r="A140" s="27" t="s">
        <v>46</v>
      </c>
      <c r="B140" s="1"/>
      <c r="C140" s="1"/>
      <c r="D140" s="1"/>
      <c r="E140" s="1"/>
      <c r="F140" s="1"/>
      <c r="G140" s="1"/>
      <c r="H140" s="1"/>
      <c r="I140" s="30">
        <f>AVERAGEIF($T$11:$T$130,$A140,I11:I130)</f>
        <v>0.10430263157894737</v>
      </c>
      <c r="K140" s="1"/>
      <c r="L140" s="1"/>
      <c r="M140" s="1"/>
      <c r="N140" s="30">
        <f>AVERAGEIF($T$11:$T$130,$A140,N11:N130)</f>
        <v>9.7307894736842093E-2</v>
      </c>
      <c r="P140" s="29">
        <f>(N140-I140)*10000</f>
        <v>-69.947368421052758</v>
      </c>
      <c r="Q140" s="1"/>
      <c r="R140" s="1"/>
      <c r="S140" s="1"/>
      <c r="T140" s="1"/>
      <c r="U140" s="1"/>
      <c r="V140" s="31">
        <f>AVERAGEIF($T$11:$T$130,$A140,V11:V130)</f>
        <v>6.8811428571428565E-2</v>
      </c>
      <c r="W140" s="1"/>
      <c r="X140" s="31">
        <f>AVERAGEIF($T$11:$T$130,$A140,X11:X130)</f>
        <v>0.5179999999999999</v>
      </c>
      <c r="Y140" s="1"/>
      <c r="Z140" s="31">
        <f>AVERAGEIF($T$11:$T$130,$A140,Z11:Z130)</f>
        <v>5.0356661351351341E-2</v>
      </c>
    </row>
    <row r="141" spans="1:28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8" x14ac:dyDescent="0.25">
      <c r="A142" s="32">
        <v>2021</v>
      </c>
      <c r="B142" s="10"/>
      <c r="C142" s="10"/>
      <c r="D142" s="10"/>
      <c r="E142" s="10"/>
      <c r="F142" s="10"/>
      <c r="G142" s="10"/>
      <c r="H142" s="10"/>
      <c r="I142" s="33"/>
      <c r="J142" s="33"/>
      <c r="K142" s="33"/>
      <c r="L142" s="33"/>
      <c r="M142" s="33"/>
      <c r="N142" s="33"/>
      <c r="O142" s="10"/>
      <c r="P142" s="10"/>
      <c r="Q142" s="10"/>
      <c r="R142" s="10"/>
      <c r="S142" s="10"/>
      <c r="T142" s="10"/>
      <c r="U142" s="10"/>
      <c r="V142" s="33"/>
      <c r="W142" s="33"/>
      <c r="X142" s="33"/>
      <c r="Y142" s="33"/>
      <c r="Z142" s="33"/>
    </row>
    <row r="143" spans="1:28" x14ac:dyDescent="0.25">
      <c r="A143" s="27" t="s">
        <v>198</v>
      </c>
      <c r="B143" s="1"/>
      <c r="C143" s="1"/>
      <c r="D143" s="1"/>
      <c r="E143" s="1"/>
      <c r="F143" s="1"/>
      <c r="G143" s="27" cm="1">
        <f t="array" ref="G143">SUMPRODUCT(--(YEAR($K$11:$K$130)=A142))</f>
        <v>43</v>
      </c>
      <c r="H143" s="1"/>
      <c r="I143" s="28"/>
      <c r="J143" s="28"/>
      <c r="K143" s="28"/>
      <c r="L143" s="28"/>
      <c r="M143" s="28"/>
      <c r="N143" s="28"/>
      <c r="P143" s="1"/>
      <c r="Q143" s="1"/>
      <c r="R143" s="1"/>
      <c r="S143" s="1"/>
      <c r="T143" s="1"/>
      <c r="U143" s="1"/>
      <c r="V143" s="28"/>
      <c r="W143" s="28"/>
      <c r="X143" s="28"/>
      <c r="Y143" s="28"/>
      <c r="Z143" s="28"/>
    </row>
    <row r="144" spans="1:28" x14ac:dyDescent="0.25">
      <c r="A144" s="27" t="s">
        <v>199</v>
      </c>
      <c r="B144" s="1"/>
      <c r="C144" s="27" t="s">
        <v>200</v>
      </c>
      <c r="D144" s="1"/>
      <c r="E144" s="1"/>
      <c r="F144" s="1"/>
      <c r="G144" s="1"/>
      <c r="H144" s="1"/>
      <c r="I144" s="28">
        <f>AVERAGEIFS($I$11:$I$130,$K$11:$K$130,"&gt;="&amp;DATE(2021,1,1),$K$11:$K$130,"&lt;="&amp;DATE(2021,12,31))</f>
        <v>0.10228139534883722</v>
      </c>
      <c r="J144" s="28"/>
      <c r="K144" s="28"/>
      <c r="L144" s="28"/>
      <c r="M144" s="28"/>
      <c r="N144" s="28">
        <f>AVERAGEIFS($N$11:$N$130,$K$11:$K$130,"&gt;="&amp;DATE(2021,1,1),$K$11:$K$130,"&lt;="&amp;DATE(2021,12,31))</f>
        <v>9.563023255813953E-2</v>
      </c>
      <c r="P144" s="29">
        <f>(N144-I144)*10000</f>
        <v>-66.511627906976898</v>
      </c>
      <c r="Q144" s="1"/>
      <c r="R144" s="1"/>
      <c r="S144" s="1"/>
      <c r="T144" s="1"/>
      <c r="U144" s="1"/>
      <c r="V144" s="28">
        <f>AVERAGEIFS($V$11:$V$130,$K$11:$K$130,"&gt;="&amp;DATE(2021,1,1),$K$11:$K$130,"&lt;="&amp;DATE(2021,12,31))</f>
        <v>6.8154999999999993E-2</v>
      </c>
      <c r="W144" s="28"/>
      <c r="X144" s="28">
        <f>AVERAGEIFS($X$11:$X$130,$K$11:$K$130,"&gt;="&amp;DATE(2021,1,1),$K$11:$K$130,"&lt;="&amp;DATE(2021,12,31))</f>
        <v>0.50856097560975588</v>
      </c>
      <c r="Y144" s="28"/>
      <c r="Z144" s="28">
        <f>AVERAGEIFS($Z$11:$Z$130,$K$11:$K$130,"&gt;="&amp;DATE(2021,1,1),$K$11:$K$130,"&lt;="&amp;DATE(2021,12,31))</f>
        <v>4.8778724358974367E-2</v>
      </c>
    </row>
    <row r="145" spans="1:30" x14ac:dyDescent="0.25">
      <c r="A145" s="1"/>
      <c r="B145" s="1"/>
      <c r="C145" s="1"/>
      <c r="D145" s="1"/>
      <c r="E145" s="1"/>
      <c r="F145" s="1"/>
      <c r="G145" s="1"/>
      <c r="H145" s="1"/>
      <c r="I145" s="28"/>
      <c r="J145" s="28"/>
      <c r="K145" s="28"/>
      <c r="L145" s="28"/>
      <c r="M145" s="28"/>
      <c r="N145" s="28"/>
      <c r="P145" s="1"/>
      <c r="Q145" s="1"/>
      <c r="R145" s="1"/>
      <c r="S145" s="1"/>
      <c r="T145" s="1"/>
      <c r="U145" s="1"/>
      <c r="V145" s="28"/>
      <c r="W145" s="28"/>
      <c r="X145" s="28"/>
      <c r="Y145" s="28"/>
      <c r="Z145" s="28"/>
    </row>
    <row r="146" spans="1:30" x14ac:dyDescent="0.25">
      <c r="A146" s="32">
        <v>2022</v>
      </c>
      <c r="B146" s="10"/>
      <c r="C146" s="10"/>
      <c r="D146" s="10"/>
      <c r="E146" s="10"/>
      <c r="F146" s="10"/>
      <c r="G146" s="10"/>
      <c r="H146" s="10"/>
      <c r="I146" s="33"/>
      <c r="J146" s="33"/>
      <c r="K146" s="33"/>
      <c r="L146" s="33"/>
      <c r="M146" s="33"/>
      <c r="N146" s="33"/>
      <c r="O146" s="10"/>
      <c r="P146" s="10"/>
      <c r="Q146" s="10"/>
      <c r="R146" s="10"/>
      <c r="S146" s="10"/>
      <c r="T146" s="10"/>
      <c r="U146" s="10"/>
      <c r="V146" s="33"/>
      <c r="W146" s="33"/>
      <c r="X146" s="33"/>
      <c r="Y146" s="33"/>
      <c r="Z146" s="33"/>
    </row>
    <row r="147" spans="1:30" x14ac:dyDescent="0.25">
      <c r="A147" s="27" t="s">
        <v>198</v>
      </c>
      <c r="B147" s="1"/>
      <c r="C147" s="1"/>
      <c r="D147" s="1"/>
      <c r="E147" s="1"/>
      <c r="F147" s="1"/>
      <c r="G147" s="27" cm="1">
        <f t="array" ref="G147">SUMPRODUCT(--(YEAR($K$11:$K$130)=A146))</f>
        <v>33</v>
      </c>
      <c r="H147" s="1"/>
      <c r="I147" s="28"/>
      <c r="J147" s="28"/>
      <c r="K147" s="28"/>
      <c r="L147" s="28"/>
      <c r="M147" s="28"/>
      <c r="N147" s="28"/>
      <c r="P147" s="1"/>
      <c r="Q147" s="1"/>
      <c r="R147" s="1"/>
      <c r="S147" s="1"/>
      <c r="T147" s="1"/>
      <c r="U147" s="1"/>
      <c r="V147" s="28"/>
      <c r="W147" s="28"/>
      <c r="X147" s="28"/>
      <c r="Y147" s="28"/>
      <c r="Z147" s="28"/>
    </row>
    <row r="148" spans="1:30" x14ac:dyDescent="0.25">
      <c r="A148" s="27" t="s">
        <v>199</v>
      </c>
      <c r="B148" s="1"/>
      <c r="C148" s="27" t="s">
        <v>200</v>
      </c>
      <c r="D148" s="1"/>
      <c r="E148" s="1"/>
      <c r="F148" s="1"/>
      <c r="G148" s="1"/>
      <c r="H148" s="1"/>
      <c r="I148" s="28">
        <f>AVERAGEIFS($I$11:$I$130,$K$11:$K$130,"&gt;="&amp;DATE(2022,1,1),$K$11:$K$130,"&lt;="&amp;DATE(2022,12,31))</f>
        <v>0.10204545454545456</v>
      </c>
      <c r="J148" s="28"/>
      <c r="K148" s="28"/>
      <c r="L148" s="28"/>
      <c r="M148" s="28"/>
      <c r="N148" s="28">
        <f>AVERAGEIFS($N$11:$N$130,$K$11:$K$130,"&gt;="&amp;DATE(2022,1,1),$K$11:$K$130,"&lt;="&amp;DATE(2022,12,31))</f>
        <v>9.5272727272727259E-2</v>
      </c>
      <c r="P148" s="29">
        <f>(N148-I148)*10000</f>
        <v>-67.727272727273046</v>
      </c>
      <c r="Q148" s="1"/>
      <c r="R148" s="1"/>
      <c r="S148" s="1"/>
      <c r="T148" s="1"/>
      <c r="U148" s="1"/>
      <c r="V148" s="28">
        <f>AVERAGEIFS($V$11:$V$130,$K$11:$K$130,"&gt;="&amp;DATE(2022,1,1),$K$11:$K$130,"&lt;="&amp;DATE(2022,12,31))</f>
        <v>6.7959999999999993E-2</v>
      </c>
      <c r="W148" s="28"/>
      <c r="X148" s="28">
        <f>AVERAGEIFS($X$11:$X$130,$K$11:$K$130,"&gt;="&amp;DATE(2022,1,1),$K$11:$K$130,"&lt;="&amp;DATE(2022,12,31))</f>
        <v>0.51051612903225796</v>
      </c>
      <c r="Y148" s="28"/>
      <c r="Z148" s="28">
        <f>AVERAGEIFS($Z$11:$Z$130,$K$11:$K$130,"&gt;="&amp;DATE(2022,1,1),$K$11:$K$130,"&lt;="&amp;DATE(2022,12,31))</f>
        <v>4.8639345161290343E-2</v>
      </c>
      <c r="AB148" s="34"/>
      <c r="AD148" s="35"/>
    </row>
    <row r="149" spans="1:30" x14ac:dyDescent="0.25">
      <c r="A149" s="27"/>
      <c r="B149" s="1"/>
      <c r="C149" s="27"/>
      <c r="D149" s="1"/>
      <c r="E149" s="1"/>
      <c r="F149" s="1"/>
      <c r="G149" s="1"/>
      <c r="H149" s="1"/>
      <c r="I149" s="28"/>
      <c r="J149" s="28"/>
      <c r="K149" s="28"/>
      <c r="L149" s="28"/>
      <c r="M149" s="28"/>
      <c r="N149" s="28"/>
      <c r="P149" s="29"/>
      <c r="Q149" s="1"/>
      <c r="R149" s="1"/>
      <c r="S149" s="1"/>
      <c r="T149" s="1"/>
      <c r="U149" s="1"/>
      <c r="V149" s="28"/>
      <c r="W149" s="28"/>
      <c r="X149" s="28"/>
      <c r="Y149" s="28"/>
      <c r="Z149" s="28"/>
    </row>
    <row r="150" spans="1:30" x14ac:dyDescent="0.25">
      <c r="A150" s="32">
        <v>2023</v>
      </c>
      <c r="B150" s="10"/>
      <c r="C150" s="10"/>
      <c r="D150" s="10"/>
      <c r="E150" s="10"/>
      <c r="F150" s="10"/>
      <c r="G150" s="10"/>
      <c r="H150" s="10"/>
      <c r="I150" s="33"/>
      <c r="J150" s="33"/>
      <c r="K150" s="33"/>
      <c r="L150" s="33"/>
      <c r="M150" s="33"/>
      <c r="N150" s="33"/>
      <c r="O150" s="10"/>
      <c r="P150" s="10"/>
      <c r="Q150" s="10"/>
      <c r="R150" s="10"/>
      <c r="S150" s="10"/>
      <c r="T150" s="10"/>
      <c r="U150" s="10"/>
      <c r="V150" s="33"/>
      <c r="W150" s="33"/>
      <c r="X150" s="33"/>
      <c r="Y150" s="33"/>
      <c r="Z150" s="33"/>
    </row>
    <row r="151" spans="1:30" x14ac:dyDescent="0.25">
      <c r="A151" s="27" t="s">
        <v>198</v>
      </c>
      <c r="B151" s="1"/>
      <c r="C151" s="1"/>
      <c r="D151" s="1"/>
      <c r="E151" s="1"/>
      <c r="F151" s="1"/>
      <c r="G151" s="27" cm="1">
        <f t="array" ref="G151">SUMPRODUCT(--(YEAR($K$11:$K$130)=A150))</f>
        <v>35</v>
      </c>
      <c r="H151" s="1"/>
      <c r="I151" s="28"/>
      <c r="J151" s="28"/>
      <c r="K151" s="28"/>
      <c r="L151" s="28"/>
      <c r="M151" s="28"/>
      <c r="N151" s="28"/>
      <c r="P151" s="1"/>
      <c r="Q151" s="1"/>
      <c r="R151" s="1"/>
      <c r="S151" s="1"/>
      <c r="T151" s="1"/>
      <c r="U151" s="1"/>
      <c r="V151" s="28"/>
      <c r="W151" s="28"/>
      <c r="X151" s="28"/>
      <c r="Y151" s="28"/>
      <c r="Z151" s="28"/>
    </row>
    <row r="152" spans="1:30" x14ac:dyDescent="0.25">
      <c r="A152" s="27" t="s">
        <v>199</v>
      </c>
      <c r="B152" s="1"/>
      <c r="C152" s="27" t="s">
        <v>200</v>
      </c>
      <c r="D152" s="1"/>
      <c r="E152" s="1"/>
      <c r="F152" s="1"/>
      <c r="G152" s="1"/>
      <c r="H152" s="1"/>
      <c r="I152" s="28">
        <f>AVERAGEIFS($I$11:$I$130,$K$11:$K$130,"&gt;="&amp;DATE(2023,1,1),$K$11:$K$130,"&lt;="&amp;DATE(2023,12,31))</f>
        <v>0.10323714285714287</v>
      </c>
      <c r="J152" s="28"/>
      <c r="K152" s="28"/>
      <c r="L152" s="28"/>
      <c r="M152" s="28"/>
      <c r="N152" s="28">
        <f>AVERAGEIFS($N$11:$N$130,$K$11:$K$130,"&gt;="&amp;DATE(2023,1,1),$K$11:$K$130,"&lt;="&amp;DATE(2023,12,31))</f>
        <v>9.5819999999999989E-2</v>
      </c>
      <c r="P152" s="29">
        <f>(N152-I152)*10000</f>
        <v>-74.171428571428862</v>
      </c>
      <c r="Q152" s="1"/>
      <c r="R152" s="1"/>
      <c r="S152" s="1"/>
      <c r="T152" s="1"/>
      <c r="U152" s="1"/>
      <c r="V152" s="28">
        <f>AVERAGEIFS($V$11:$V$130,$K$11:$K$130,"&gt;="&amp;DATE(2023,1,1),$K$11:$K$130,"&lt;="&amp;DATE(2023,12,31))</f>
        <v>6.9937142857142851E-2</v>
      </c>
      <c r="W152" s="28"/>
      <c r="X152" s="28">
        <f>AVERAGEIFS($X$11:$X$130,$K$11:$K$130,"&gt;="&amp;DATE(2023,1,1),$K$11:$K$130,"&lt;="&amp;DATE(2023,12,31))</f>
        <v>0.50443030303030301</v>
      </c>
      <c r="Y152" s="28"/>
      <c r="Z152" s="28">
        <f>AVERAGEIFS($Z$11:$Z$130,$K$11:$K$130,"&gt;="&amp;DATE(2023,1,1),$K$11:$K$130,"&lt;="&amp;DATE(2023,12,31))</f>
        <v>4.8206278181818177E-2</v>
      </c>
      <c r="AB152" s="34"/>
      <c r="AD152" s="35"/>
    </row>
    <row r="153" spans="1:30" x14ac:dyDescent="0.25">
      <c r="A153" s="27"/>
      <c r="B153" s="1"/>
      <c r="C153" s="27"/>
      <c r="D153" s="1"/>
      <c r="E153" s="1"/>
      <c r="F153" s="1"/>
      <c r="G153" s="1"/>
      <c r="H153" s="1"/>
      <c r="I153" s="36"/>
      <c r="J153" s="28"/>
      <c r="K153" s="28"/>
      <c r="L153" s="28"/>
      <c r="M153" s="28"/>
      <c r="N153" s="36"/>
      <c r="P153" s="29"/>
      <c r="Q153" s="1"/>
      <c r="R153" s="1"/>
      <c r="S153" s="1"/>
      <c r="T153" s="1"/>
      <c r="U153" s="1"/>
      <c r="V153" s="36"/>
      <c r="W153" s="28"/>
      <c r="X153" s="36"/>
      <c r="Y153" s="28"/>
      <c r="Z153" s="36"/>
    </row>
    <row r="154" spans="1:30" x14ac:dyDescent="0.25">
      <c r="A154" s="32">
        <v>2024</v>
      </c>
      <c r="B154" s="10"/>
      <c r="C154" s="10"/>
      <c r="D154" s="10"/>
      <c r="E154" s="10"/>
      <c r="F154" s="10"/>
      <c r="G154" s="10"/>
      <c r="H154" s="10"/>
      <c r="I154" s="33"/>
      <c r="J154" s="33"/>
      <c r="K154" s="33"/>
      <c r="L154" s="33"/>
      <c r="M154" s="33"/>
      <c r="N154" s="33"/>
      <c r="O154" s="10"/>
      <c r="P154" s="10"/>
      <c r="Q154" s="10"/>
      <c r="R154" s="10"/>
      <c r="S154" s="10"/>
      <c r="T154" s="10"/>
      <c r="U154" s="10"/>
      <c r="V154" s="33"/>
      <c r="W154" s="33"/>
      <c r="X154" s="33"/>
      <c r="Y154" s="33"/>
      <c r="Z154" s="33"/>
    </row>
    <row r="155" spans="1:30" x14ac:dyDescent="0.25">
      <c r="A155" s="27" t="s">
        <v>198</v>
      </c>
      <c r="B155" s="1"/>
      <c r="C155" s="1"/>
      <c r="D155" s="1"/>
      <c r="E155" s="1"/>
      <c r="F155" s="1"/>
      <c r="G155" s="27" cm="1">
        <f t="array" ref="G155">SUMPRODUCT(--(YEAR($K$11:$K$130)=A154))</f>
        <v>7</v>
      </c>
      <c r="H155" s="1"/>
      <c r="I155" s="28"/>
      <c r="J155" s="28"/>
      <c r="K155" s="28"/>
      <c r="L155" s="28"/>
      <c r="M155" s="28"/>
      <c r="N155" s="28"/>
      <c r="P155" s="1"/>
      <c r="Q155" s="1"/>
      <c r="R155" s="1"/>
      <c r="S155" s="1"/>
      <c r="T155" s="1"/>
      <c r="U155" s="1"/>
      <c r="V155" s="28"/>
      <c r="W155" s="28"/>
      <c r="X155" s="28"/>
      <c r="Y155" s="28"/>
      <c r="Z155" s="28"/>
    </row>
    <row r="156" spans="1:30" x14ac:dyDescent="0.25">
      <c r="A156" s="27" t="s">
        <v>199</v>
      </c>
      <c r="B156" s="1"/>
      <c r="C156" s="27" t="s">
        <v>200</v>
      </c>
      <c r="D156" s="1"/>
      <c r="E156" s="1"/>
      <c r="F156" s="1"/>
      <c r="G156" s="1"/>
      <c r="H156" s="1"/>
      <c r="I156" s="28">
        <f>AVERAGEIFS($I$11:$I$130,$K$11:$K$130,"&gt;="&amp;DATE(2024,1,1),$K$11:$K$130,"&lt;="&amp;DATE(2024,12,31))</f>
        <v>0.10725714285714284</v>
      </c>
      <c r="J156" s="28"/>
      <c r="K156" s="28"/>
      <c r="L156" s="28"/>
      <c r="M156" s="28"/>
      <c r="N156" s="28">
        <f>AVERAGEIFS($N$11:$N$130,$K$11:$K$130,"&gt;="&amp;DATE(2024,1,1),$K$11:$K$130,"&lt;="&amp;DATE(2024,12,31))</f>
        <v>9.9257142857142849E-2</v>
      </c>
      <c r="P156" s="29">
        <f>(N156-I156)*10000</f>
        <v>-79.999999999999929</v>
      </c>
      <c r="Q156" s="1"/>
      <c r="R156" s="1"/>
      <c r="S156" s="1"/>
      <c r="T156" s="1"/>
      <c r="U156" s="1"/>
      <c r="V156" s="28">
        <f>AVERAGEIFS($V$11:$V$130,$K$11:$K$130,"&gt;="&amp;DATE(2024,1,1),$K$11:$K$130,"&lt;="&amp;DATE(2024,12,31))</f>
        <v>7.2914285714285723E-2</v>
      </c>
      <c r="W156" s="28"/>
      <c r="X156" s="28">
        <f>AVERAGEIFS($X$11:$X$130,$K$11:$K$130,"&gt;="&amp;DATE(2024,1,1),$K$11:$K$130,"&lt;="&amp;DATE(2024,12,31))</f>
        <v>0.52352857142857145</v>
      </c>
      <c r="Y156" s="28"/>
      <c r="Z156" s="28">
        <f>AVERAGEIFS($Z$11:$Z$130,$K$11:$K$130,"&gt;="&amp;DATE(2024,1,1),$K$11:$K$130,"&lt;="&amp;DATE(2024,12,31))</f>
        <v>5.2037025714285715E-2</v>
      </c>
    </row>
    <row r="157" spans="1:30" x14ac:dyDescent="0.25">
      <c r="A157" s="1"/>
      <c r="B157" s="1"/>
      <c r="C157" s="1"/>
      <c r="D157" s="1"/>
      <c r="E157" s="1"/>
      <c r="F157" s="1"/>
      <c r="G157" s="1"/>
      <c r="H157" s="1"/>
      <c r="I157" s="28"/>
      <c r="J157" s="28"/>
      <c r="K157" s="28"/>
      <c r="L157" s="28"/>
      <c r="M157" s="28"/>
      <c r="N157" s="28"/>
      <c r="P157" s="1"/>
      <c r="Q157" s="1"/>
      <c r="R157" s="1"/>
      <c r="S157" s="1"/>
      <c r="T157" s="1"/>
      <c r="U157" s="1"/>
      <c r="V157" s="28"/>
      <c r="W157" s="28"/>
      <c r="X157" s="28"/>
      <c r="Y157" s="28"/>
      <c r="Z157" s="28"/>
    </row>
    <row r="158" spans="1:30" x14ac:dyDescent="0.25">
      <c r="A158" s="26" t="s">
        <v>207</v>
      </c>
      <c r="B158" s="26"/>
      <c r="C158" s="26"/>
      <c r="D158" s="1"/>
      <c r="E158" s="1"/>
      <c r="F158" s="1"/>
      <c r="G158" s="1"/>
      <c r="H158" s="1"/>
      <c r="I158" s="28"/>
      <c r="J158" s="28"/>
      <c r="K158" s="28"/>
      <c r="L158" s="28"/>
      <c r="M158" s="28"/>
      <c r="N158" s="28"/>
      <c r="P158" s="1"/>
      <c r="Q158" s="1"/>
      <c r="R158" s="1"/>
      <c r="S158" s="1"/>
      <c r="T158" s="1"/>
      <c r="U158" s="1"/>
      <c r="V158" s="28"/>
      <c r="W158" s="28"/>
      <c r="X158" s="28"/>
      <c r="Y158" s="28"/>
      <c r="Z158" s="28"/>
    </row>
    <row r="159" spans="1:30" x14ac:dyDescent="0.25">
      <c r="A159" s="26" t="s">
        <v>208</v>
      </c>
      <c r="B159" s="26"/>
      <c r="C159" s="37" t="s">
        <v>567</v>
      </c>
      <c r="D159" s="1"/>
      <c r="E159" s="1"/>
      <c r="F159" s="1"/>
      <c r="G159" s="1"/>
      <c r="H159" s="1"/>
      <c r="I159" s="28"/>
      <c r="J159" s="28"/>
      <c r="K159" s="28"/>
      <c r="L159" s="28"/>
      <c r="M159" s="28"/>
      <c r="N159" s="28"/>
      <c r="P159" s="1"/>
      <c r="Q159" s="1"/>
      <c r="R159" s="1"/>
      <c r="S159" s="1"/>
      <c r="T159" s="1"/>
      <c r="U159" s="1"/>
      <c r="V159" s="28"/>
      <c r="W159" s="28"/>
      <c r="X159" s="28"/>
      <c r="Y159" s="28"/>
      <c r="Z159" s="28"/>
    </row>
    <row r="160" spans="1:30" x14ac:dyDescent="0.25">
      <c r="A160" s="27"/>
      <c r="B160" s="1"/>
      <c r="C160" s="1"/>
      <c r="D160" s="1"/>
      <c r="E160" s="1"/>
      <c r="F160" s="1"/>
      <c r="G160" s="1"/>
      <c r="H160" s="1"/>
      <c r="I160" s="28"/>
      <c r="J160" s="28"/>
      <c r="K160" s="28"/>
      <c r="L160" s="28"/>
      <c r="M160" s="28"/>
      <c r="N160" s="28"/>
      <c r="P160" s="1"/>
      <c r="Q160" s="1"/>
      <c r="R160" s="1"/>
      <c r="S160" s="1"/>
      <c r="T160" s="1"/>
      <c r="U160" s="1"/>
      <c r="V160" s="28"/>
      <c r="W160" s="28"/>
      <c r="X160" s="28"/>
      <c r="Y160" s="28"/>
      <c r="Z160" s="28"/>
    </row>
    <row r="161" spans="1:26" x14ac:dyDescent="0.25">
      <c r="A161" s="27"/>
      <c r="B161" s="1"/>
      <c r="C161" s="1"/>
      <c r="D161" s="1"/>
      <c r="E161" s="1"/>
      <c r="F161" s="1"/>
      <c r="G161" s="1"/>
      <c r="H161" s="1"/>
      <c r="I161" s="28"/>
      <c r="J161" s="28"/>
      <c r="K161" s="28"/>
      <c r="L161" s="28"/>
      <c r="M161" s="28"/>
      <c r="N161" s="28"/>
      <c r="P161" s="1"/>
      <c r="Q161" s="1"/>
      <c r="R161" s="1"/>
      <c r="S161" s="1"/>
      <c r="T161" s="1"/>
      <c r="U161" s="1"/>
      <c r="V161" s="28"/>
      <c r="W161" s="28"/>
      <c r="X161" s="28"/>
      <c r="Y161" s="28"/>
      <c r="Z161" s="28"/>
    </row>
    <row r="162" spans="1:26" x14ac:dyDescent="0.25">
      <c r="A162" s="27"/>
      <c r="B162" s="1"/>
      <c r="C162" s="1"/>
      <c r="D162" s="1"/>
      <c r="E162" s="1"/>
      <c r="F162" s="1"/>
      <c r="G162" s="1"/>
      <c r="H162" s="1"/>
      <c r="I162" s="28"/>
      <c r="J162" s="28"/>
      <c r="K162" s="28"/>
      <c r="L162" s="28"/>
      <c r="M162" s="28"/>
      <c r="N162" s="28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</sheetData>
  <mergeCells count="1">
    <mergeCell ref="A5:Z5"/>
  </mergeCells>
  <pageMargins left="0.7" right="0.7" top="0.75" bottom="0.75" header="0.3" footer="0.3"/>
  <pageSetup scale="69" fitToHeight="0" orientation="landscape" r:id="rId1"/>
  <headerFooter scaleWithDoc="0">
    <oddHeader>&amp;R&amp;10Walmart, Inc.
Exhibit LVP-5
Docket Nos. UE-240006/UG-240007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F2A0-1FFE-4639-9F8B-A67F92795DAE}">
  <sheetPr>
    <pageSetUpPr fitToPage="1"/>
  </sheetPr>
  <dimension ref="A3:K28"/>
  <sheetViews>
    <sheetView view="pageLayout" zoomScaleNormal="70" workbookViewId="0">
      <selection activeCell="C15" sqref="C15"/>
    </sheetView>
  </sheetViews>
  <sheetFormatPr defaultColWidth="9.140625" defaultRowHeight="12.75" x14ac:dyDescent="0.2"/>
  <cols>
    <col min="1" max="1" width="5.28515625" style="44" bestFit="1" customWidth="1"/>
    <col min="2" max="2" width="40.85546875" style="65" customWidth="1"/>
    <col min="3" max="3" width="25.85546875" style="47" customWidth="1"/>
    <col min="4" max="4" width="2.5703125" style="47" customWidth="1"/>
    <col min="5" max="5" width="2.42578125" style="47" customWidth="1"/>
    <col min="6" max="6" width="2.28515625" style="47" customWidth="1"/>
    <col min="7" max="7" width="3.5703125" style="47" customWidth="1"/>
    <col min="8" max="8" width="10.140625" style="47" customWidth="1"/>
    <col min="9" max="9" width="9" style="47" customWidth="1"/>
    <col min="10" max="10" width="18.28515625" style="63" bestFit="1" customWidth="1"/>
    <col min="11" max="11" width="14.7109375" style="49" customWidth="1"/>
    <col min="12" max="12" width="2" style="47" customWidth="1"/>
    <col min="13" max="13" width="9.85546875" style="47" bestFit="1" customWidth="1"/>
    <col min="14" max="16384" width="9.140625" style="47"/>
  </cols>
  <sheetData>
    <row r="3" spans="1:11" ht="34.5" customHeight="1" x14ac:dyDescent="0.25">
      <c r="A3" s="104" t="s">
        <v>568</v>
      </c>
      <c r="B3" s="104"/>
      <c r="C3" s="104"/>
      <c r="D3" s="104"/>
      <c r="E3" s="104"/>
      <c r="F3" s="104"/>
      <c r="G3" s="104"/>
      <c r="H3" s="104"/>
      <c r="I3" s="104"/>
      <c r="J3" s="104"/>
      <c r="K3" s="64"/>
    </row>
    <row r="5" spans="1:11" x14ac:dyDescent="0.2">
      <c r="A5" s="103" t="s">
        <v>569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1" s="67" customFormat="1" x14ac:dyDescent="0.2">
      <c r="A6" s="51"/>
      <c r="B6" s="50"/>
      <c r="C6" s="3" t="s">
        <v>233</v>
      </c>
      <c r="D6" s="3"/>
      <c r="E6" s="3"/>
      <c r="F6" s="3"/>
      <c r="G6" s="3"/>
      <c r="H6" s="3" t="s">
        <v>236</v>
      </c>
      <c r="I6" s="3" t="s">
        <v>232</v>
      </c>
      <c r="J6" s="3" t="s">
        <v>231</v>
      </c>
      <c r="K6" s="66"/>
    </row>
    <row r="7" spans="1:11" x14ac:dyDescent="0.2">
      <c r="A7" s="40" t="s">
        <v>13</v>
      </c>
      <c r="B7" s="42" t="s">
        <v>346</v>
      </c>
      <c r="C7" s="47" t="s">
        <v>347</v>
      </c>
      <c r="F7" s="46"/>
      <c r="H7" s="46">
        <v>0.51500000000000001</v>
      </c>
      <c r="I7" s="46">
        <v>4.99E-2</v>
      </c>
      <c r="J7" s="59">
        <f>H7*I7</f>
        <v>2.5698499999999999E-2</v>
      </c>
    </row>
    <row r="8" spans="1:11" x14ac:dyDescent="0.2">
      <c r="A8" s="40" t="s">
        <v>14</v>
      </c>
      <c r="B8" s="42" t="s">
        <v>346</v>
      </c>
      <c r="C8" s="47" t="s">
        <v>230</v>
      </c>
      <c r="F8" s="46"/>
      <c r="H8" s="48">
        <v>0.48499999999999999</v>
      </c>
      <c r="I8" s="46">
        <v>9.5799999999999996E-2</v>
      </c>
      <c r="J8" s="59">
        <f>H8*I8</f>
        <v>4.6462999999999997E-2</v>
      </c>
    </row>
    <row r="9" spans="1:11" x14ac:dyDescent="0.2">
      <c r="A9" s="40"/>
      <c r="B9" s="42"/>
      <c r="F9" s="46"/>
      <c r="H9" s="46">
        <f>H7+H8</f>
        <v>1</v>
      </c>
      <c r="I9" s="46"/>
      <c r="J9" s="59"/>
    </row>
    <row r="10" spans="1:11" x14ac:dyDescent="0.2">
      <c r="A10" s="40" t="s">
        <v>15</v>
      </c>
      <c r="B10" s="42" t="s">
        <v>235</v>
      </c>
      <c r="C10" s="105" t="s">
        <v>570</v>
      </c>
      <c r="D10" s="105"/>
      <c r="E10" s="105"/>
      <c r="F10" s="105"/>
      <c r="G10" s="105"/>
      <c r="H10" s="106"/>
      <c r="I10" s="106"/>
      <c r="J10" s="60">
        <f>SUM(J7:J8)</f>
        <v>7.216149999999999E-2</v>
      </c>
      <c r="K10" s="68"/>
    </row>
    <row r="11" spans="1:11" x14ac:dyDescent="0.2">
      <c r="A11" s="40" t="s">
        <v>16</v>
      </c>
      <c r="B11" s="42" t="s">
        <v>571</v>
      </c>
      <c r="C11" s="107" t="s">
        <v>360</v>
      </c>
      <c r="D11" s="107"/>
      <c r="E11" s="107"/>
      <c r="F11" s="107"/>
      <c r="G11" s="107"/>
      <c r="H11" s="107"/>
      <c r="I11" s="107"/>
      <c r="J11" s="45">
        <v>586084000</v>
      </c>
      <c r="K11" s="68"/>
    </row>
    <row r="12" spans="1:11" x14ac:dyDescent="0.2">
      <c r="A12" s="40" t="s">
        <v>17</v>
      </c>
      <c r="B12" s="42" t="s">
        <v>234</v>
      </c>
      <c r="C12" s="107" t="s">
        <v>572</v>
      </c>
      <c r="D12" s="107"/>
      <c r="E12" s="107"/>
      <c r="F12" s="107"/>
      <c r="G12" s="106"/>
      <c r="H12" s="106"/>
      <c r="I12" s="106"/>
      <c r="J12" s="61">
        <f>J10*J11</f>
        <v>42292700.565999992</v>
      </c>
      <c r="K12" s="68"/>
    </row>
    <row r="13" spans="1:11" x14ac:dyDescent="0.2">
      <c r="A13" s="103" t="s">
        <v>350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s="67" customFormat="1" x14ac:dyDescent="0.2">
      <c r="A14" s="51"/>
      <c r="B14" s="50"/>
      <c r="C14" s="3" t="s">
        <v>233</v>
      </c>
      <c r="D14" s="3"/>
      <c r="E14" s="3"/>
      <c r="F14" s="3"/>
      <c r="G14" s="3"/>
      <c r="H14" s="3" t="s">
        <v>236</v>
      </c>
      <c r="I14" s="3" t="s">
        <v>232</v>
      </c>
      <c r="J14" s="3" t="s">
        <v>231</v>
      </c>
      <c r="K14" s="66"/>
    </row>
    <row r="15" spans="1:11" x14ac:dyDescent="0.2">
      <c r="A15" s="40" t="s">
        <v>18</v>
      </c>
      <c r="B15" s="42" t="s">
        <v>346</v>
      </c>
      <c r="C15" s="47" t="s">
        <v>347</v>
      </c>
      <c r="F15" s="46"/>
      <c r="H15" s="46">
        <f>H7</f>
        <v>0.51500000000000001</v>
      </c>
      <c r="I15" s="46">
        <f>I7</f>
        <v>4.99E-2</v>
      </c>
      <c r="J15" s="59">
        <f>H15*I15</f>
        <v>2.5698499999999999E-2</v>
      </c>
    </row>
    <row r="16" spans="1:11" x14ac:dyDescent="0.2">
      <c r="A16" s="40" t="s">
        <v>19</v>
      </c>
      <c r="B16" s="42" t="s">
        <v>346</v>
      </c>
      <c r="C16" s="47" t="s">
        <v>230</v>
      </c>
      <c r="F16" s="46"/>
      <c r="H16" s="48">
        <f>H8</f>
        <v>0.48499999999999999</v>
      </c>
      <c r="I16" s="46">
        <v>0.104</v>
      </c>
      <c r="J16" s="59">
        <f>H16*I16</f>
        <v>5.0439999999999999E-2</v>
      </c>
    </row>
    <row r="17" spans="1:11" x14ac:dyDescent="0.2">
      <c r="A17" s="40"/>
      <c r="B17" s="42"/>
      <c r="F17" s="46"/>
      <c r="H17" s="46">
        <f>H15+H16</f>
        <v>1</v>
      </c>
      <c r="I17" s="46"/>
      <c r="J17" s="59"/>
    </row>
    <row r="18" spans="1:11" x14ac:dyDescent="0.2">
      <c r="A18" s="40" t="s">
        <v>20</v>
      </c>
      <c r="B18" s="42" t="s">
        <v>229</v>
      </c>
      <c r="C18" s="105" t="s">
        <v>364</v>
      </c>
      <c r="D18" s="105"/>
      <c r="E18" s="105"/>
      <c r="F18" s="105"/>
      <c r="G18" s="105"/>
      <c r="H18" s="106"/>
      <c r="I18" s="106"/>
      <c r="J18" s="60">
        <f>SUM(J15:J16)</f>
        <v>7.6138499999999998E-2</v>
      </c>
      <c r="K18" s="68"/>
    </row>
    <row r="19" spans="1:11" x14ac:dyDescent="0.2">
      <c r="A19" s="40" t="s">
        <v>21</v>
      </c>
      <c r="B19" s="42" t="s">
        <v>571</v>
      </c>
      <c r="C19" s="107" t="s">
        <v>360</v>
      </c>
      <c r="D19" s="107"/>
      <c r="E19" s="107"/>
      <c r="F19" s="107"/>
      <c r="G19" s="107"/>
      <c r="H19" s="107"/>
      <c r="I19" s="107"/>
      <c r="J19" s="45">
        <f>J11</f>
        <v>586084000</v>
      </c>
      <c r="K19" s="68"/>
    </row>
    <row r="20" spans="1:11" x14ac:dyDescent="0.2">
      <c r="A20" s="40" t="s">
        <v>22</v>
      </c>
      <c r="B20" s="42" t="s">
        <v>228</v>
      </c>
      <c r="C20" s="107" t="s">
        <v>573</v>
      </c>
      <c r="D20" s="107"/>
      <c r="E20" s="107"/>
      <c r="F20" s="107"/>
      <c r="G20" s="106"/>
      <c r="H20" s="106"/>
      <c r="I20" s="106"/>
      <c r="J20" s="61">
        <f>J18*J19</f>
        <v>44623556.633999996</v>
      </c>
      <c r="K20" s="68"/>
    </row>
    <row r="21" spans="1:11" x14ac:dyDescent="0.2">
      <c r="A21" s="103" t="s">
        <v>351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1" x14ac:dyDescent="0.2">
      <c r="A22" s="40" t="s">
        <v>23</v>
      </c>
      <c r="B22" s="42" t="s">
        <v>227</v>
      </c>
      <c r="C22" s="107" t="s">
        <v>574</v>
      </c>
      <c r="D22" s="107"/>
      <c r="E22" s="107"/>
      <c r="F22" s="107"/>
      <c r="G22" s="107"/>
      <c r="H22" s="107"/>
      <c r="I22" s="107"/>
      <c r="J22" s="45">
        <f>J20-J12</f>
        <v>2330856.0680000037</v>
      </c>
      <c r="K22" s="69"/>
    </row>
    <row r="23" spans="1:11" x14ac:dyDescent="0.2">
      <c r="A23" s="44" t="s">
        <v>24</v>
      </c>
      <c r="B23" s="42" t="s">
        <v>575</v>
      </c>
      <c r="C23" s="107" t="s">
        <v>362</v>
      </c>
      <c r="D23" s="107"/>
      <c r="E23" s="107"/>
      <c r="F23" s="107"/>
      <c r="G23" s="107"/>
      <c r="H23" s="107"/>
      <c r="I23" s="107"/>
      <c r="J23" s="80">
        <v>0.75264900000000001</v>
      </c>
    </row>
    <row r="24" spans="1:11" x14ac:dyDescent="0.2">
      <c r="A24" s="40" t="s">
        <v>25</v>
      </c>
      <c r="B24" s="42" t="s">
        <v>356</v>
      </c>
      <c r="C24" s="105" t="s">
        <v>358</v>
      </c>
      <c r="D24" s="105"/>
      <c r="E24" s="105"/>
      <c r="F24" s="105"/>
      <c r="G24" s="105"/>
      <c r="H24" s="105"/>
      <c r="I24" s="105"/>
      <c r="J24" s="43">
        <f>J22/J23</f>
        <v>3096869.9460173384</v>
      </c>
    </row>
    <row r="25" spans="1:11" x14ac:dyDescent="0.2">
      <c r="A25" s="40" t="s">
        <v>26</v>
      </c>
      <c r="B25" s="42" t="s">
        <v>576</v>
      </c>
      <c r="C25" s="107" t="s">
        <v>577</v>
      </c>
      <c r="D25" s="107"/>
      <c r="E25" s="107"/>
      <c r="F25" s="107"/>
      <c r="G25" s="107"/>
      <c r="H25" s="107"/>
      <c r="I25" s="107"/>
      <c r="J25" s="57">
        <v>17293000</v>
      </c>
    </row>
    <row r="26" spans="1:11" x14ac:dyDescent="0.2">
      <c r="A26" s="40" t="s">
        <v>226</v>
      </c>
      <c r="B26" s="42" t="s">
        <v>225</v>
      </c>
      <c r="C26" s="105" t="s">
        <v>363</v>
      </c>
      <c r="D26" s="105"/>
      <c r="E26" s="105"/>
      <c r="F26" s="105"/>
      <c r="G26" s="105"/>
      <c r="H26" s="105"/>
      <c r="I26" s="105"/>
      <c r="J26" s="41">
        <f>J24/J25</f>
        <v>0.17908228450918512</v>
      </c>
    </row>
    <row r="27" spans="1:11" x14ac:dyDescent="0.2">
      <c r="A27" s="40"/>
      <c r="B27" s="42"/>
      <c r="C27" s="62"/>
      <c r="D27" s="62"/>
      <c r="E27" s="62"/>
      <c r="F27" s="62"/>
      <c r="G27" s="62"/>
      <c r="H27" s="62"/>
      <c r="I27" s="62"/>
      <c r="J27" s="41"/>
    </row>
    <row r="28" spans="1:11" x14ac:dyDescent="0.2">
      <c r="A28" s="40"/>
      <c r="B28" s="42"/>
      <c r="C28" s="62"/>
      <c r="D28" s="62"/>
      <c r="E28" s="62"/>
      <c r="F28" s="62"/>
      <c r="G28" s="62"/>
      <c r="H28" s="62"/>
      <c r="I28" s="62"/>
      <c r="J28" s="41"/>
    </row>
  </sheetData>
  <mergeCells count="15">
    <mergeCell ref="A13:J13"/>
    <mergeCell ref="A3:J3"/>
    <mergeCell ref="A5:J5"/>
    <mergeCell ref="C10:I10"/>
    <mergeCell ref="C11:I11"/>
    <mergeCell ref="C12:I12"/>
    <mergeCell ref="C24:I24"/>
    <mergeCell ref="C25:I25"/>
    <mergeCell ref="C26:I26"/>
    <mergeCell ref="C18:I18"/>
    <mergeCell ref="C19:I19"/>
    <mergeCell ref="C20:I20"/>
    <mergeCell ref="A21:J21"/>
    <mergeCell ref="C22:I22"/>
    <mergeCell ref="C23:I23"/>
  </mergeCells>
  <pageMargins left="0.7" right="0.7" top="0.75" bottom="0.75" header="0.3" footer="0.3"/>
  <pageSetup orientation="landscape" r:id="rId1"/>
  <headerFooter>
    <oddHeader>&amp;L
&amp;R&amp;"-,Bold"&amp;10Walmart, Inc.
Exhibit LVP-6
Docket Nos. UE-240006/UG-240007</oddHead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478A-3BA2-4819-B909-C43F14A52F6B}">
  <sheetPr>
    <tabColor rgb="FF92D050"/>
  </sheetPr>
  <dimension ref="A1"/>
  <sheetViews>
    <sheetView workbookViewId="0">
      <selection activeCell="D14" sqref="D1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F4D4-CD1C-443E-ABE8-2B649394ED5E}">
  <sheetPr>
    <pageSetUpPr fitToPage="1"/>
  </sheetPr>
  <dimension ref="A1:B420"/>
  <sheetViews>
    <sheetView view="pageLayout" topLeftCell="A66" zoomScale="85" zoomScaleNormal="90" zoomScalePageLayoutView="85" workbookViewId="0">
      <selection activeCell="D85" sqref="D85"/>
    </sheetView>
  </sheetViews>
  <sheetFormatPr defaultColWidth="9.140625" defaultRowHeight="15" x14ac:dyDescent="0.25"/>
  <cols>
    <col min="1" max="1" width="27.5703125" customWidth="1"/>
    <col min="2" max="2" width="12.7109375" bestFit="1" customWidth="1"/>
    <col min="3" max="3" width="9.7109375" customWidth="1"/>
  </cols>
  <sheetData>
    <row r="1" spans="1:2" x14ac:dyDescent="0.25">
      <c r="A1" s="19" t="s">
        <v>295</v>
      </c>
      <c r="B1" s="18">
        <v>0.11449999999999999</v>
      </c>
    </row>
    <row r="2" spans="1:2" x14ac:dyDescent="0.25">
      <c r="A2" s="19" t="s">
        <v>163</v>
      </c>
      <c r="B2" s="18">
        <v>0.106</v>
      </c>
    </row>
    <row r="3" spans="1:2" x14ac:dyDescent="0.25">
      <c r="A3" s="19" t="s">
        <v>83</v>
      </c>
      <c r="B3" s="18">
        <v>0.105</v>
      </c>
    </row>
    <row r="4" spans="1:2" x14ac:dyDescent="0.25">
      <c r="A4" s="19" t="s">
        <v>344</v>
      </c>
      <c r="B4" s="18">
        <v>0.104</v>
      </c>
    </row>
    <row r="5" spans="1:2" x14ac:dyDescent="0.25">
      <c r="A5" s="19" t="s">
        <v>52</v>
      </c>
      <c r="B5" s="18">
        <v>0.10100000000000001</v>
      </c>
    </row>
    <row r="6" spans="1:2" x14ac:dyDescent="0.25">
      <c r="A6" s="19" t="s">
        <v>90</v>
      </c>
      <c r="B6" s="18">
        <v>0.10050000000000001</v>
      </c>
    </row>
    <row r="7" spans="1:2" x14ac:dyDescent="0.25">
      <c r="A7" s="19" t="s">
        <v>154</v>
      </c>
      <c r="B7" s="18">
        <v>0.1</v>
      </c>
    </row>
    <row r="8" spans="1:2" x14ac:dyDescent="0.25">
      <c r="A8" s="19" t="s">
        <v>128</v>
      </c>
      <c r="B8" s="18">
        <v>0.1</v>
      </c>
    </row>
    <row r="9" spans="1:2" x14ac:dyDescent="0.25">
      <c r="A9" s="19" t="s">
        <v>249</v>
      </c>
      <c r="B9" s="18">
        <v>0.1</v>
      </c>
    </row>
    <row r="10" spans="1:2" x14ac:dyDescent="0.25">
      <c r="A10" s="19" t="s">
        <v>274</v>
      </c>
      <c r="B10" s="18">
        <v>0.1</v>
      </c>
    </row>
    <row r="11" spans="1:2" x14ac:dyDescent="0.25">
      <c r="A11" s="19" t="s">
        <v>100</v>
      </c>
      <c r="B11" s="18">
        <v>0.1</v>
      </c>
    </row>
    <row r="12" spans="1:2" x14ac:dyDescent="0.25">
      <c r="A12" s="19" t="s">
        <v>160</v>
      </c>
      <c r="B12" s="18">
        <v>9.9500000000000005E-2</v>
      </c>
    </row>
    <row r="13" spans="1:2" x14ac:dyDescent="0.25">
      <c r="A13" s="19" t="s">
        <v>88</v>
      </c>
      <c r="B13" s="18">
        <v>9.9499999999999991E-2</v>
      </c>
    </row>
    <row r="14" spans="1:2" x14ac:dyDescent="0.25">
      <c r="A14" s="19" t="s">
        <v>30</v>
      </c>
      <c r="B14" s="18">
        <v>9.9000000000000005E-2</v>
      </c>
    </row>
    <row r="15" spans="1:2" x14ac:dyDescent="0.25">
      <c r="A15" s="19" t="s">
        <v>53</v>
      </c>
      <c r="B15" s="18">
        <v>9.9000000000000005E-2</v>
      </c>
    </row>
    <row r="16" spans="1:2" x14ac:dyDescent="0.25">
      <c r="A16" s="19" t="s">
        <v>30</v>
      </c>
      <c r="B16" s="18">
        <v>9.9000000000000005E-2</v>
      </c>
    </row>
    <row r="17" spans="1:2" x14ac:dyDescent="0.25">
      <c r="A17" s="19" t="s">
        <v>59</v>
      </c>
      <c r="B17" s="18">
        <v>9.9000000000000005E-2</v>
      </c>
    </row>
    <row r="18" spans="1:2" x14ac:dyDescent="0.25">
      <c r="A18" s="19" t="s">
        <v>53</v>
      </c>
      <c r="B18" s="18">
        <v>9.9000000000000005E-2</v>
      </c>
    </row>
    <row r="19" spans="1:2" x14ac:dyDescent="0.25">
      <c r="A19" s="19" t="s">
        <v>30</v>
      </c>
      <c r="B19" s="18">
        <v>9.9000000000000005E-2</v>
      </c>
    </row>
    <row r="20" spans="1:2" x14ac:dyDescent="0.25">
      <c r="A20" s="19" t="s">
        <v>341</v>
      </c>
      <c r="B20" s="18">
        <v>9.9000000000000005E-2</v>
      </c>
    </row>
    <row r="21" spans="1:2" x14ac:dyDescent="0.25">
      <c r="A21" s="15" t="s">
        <v>135</v>
      </c>
      <c r="B21" s="12">
        <v>9.8500000000000004E-2</v>
      </c>
    </row>
    <row r="22" spans="1:2" x14ac:dyDescent="0.25">
      <c r="A22" s="19" t="s">
        <v>99</v>
      </c>
      <c r="B22" s="18">
        <v>9.8500000000000004E-2</v>
      </c>
    </row>
    <row r="23" spans="1:2" x14ac:dyDescent="0.25">
      <c r="A23" s="19" t="s">
        <v>120</v>
      </c>
      <c r="B23" s="18">
        <v>9.8000000000000004E-2</v>
      </c>
    </row>
    <row r="24" spans="1:2" x14ac:dyDescent="0.25">
      <c r="A24" s="19" t="s">
        <v>70</v>
      </c>
      <c r="B24" s="18">
        <v>9.8000000000000004E-2</v>
      </c>
    </row>
    <row r="25" spans="1:2" x14ac:dyDescent="0.25">
      <c r="A25" s="19" t="s">
        <v>68</v>
      </c>
      <c r="B25" s="18">
        <v>9.8000000000000004E-2</v>
      </c>
    </row>
    <row r="26" spans="1:2" x14ac:dyDescent="0.25">
      <c r="A26" s="19" t="s">
        <v>284</v>
      </c>
      <c r="B26" s="18">
        <v>9.8000000000000004E-2</v>
      </c>
    </row>
    <row r="27" spans="1:2" x14ac:dyDescent="0.25">
      <c r="A27" s="19" t="s">
        <v>55</v>
      </c>
      <c r="B27" s="18">
        <v>9.8000000000000004E-2</v>
      </c>
    </row>
    <row r="28" spans="1:2" x14ac:dyDescent="0.25">
      <c r="A28" s="19" t="s">
        <v>154</v>
      </c>
      <c r="B28" s="18">
        <v>9.8000000000000004E-2</v>
      </c>
    </row>
    <row r="29" spans="1:2" x14ac:dyDescent="0.25">
      <c r="A29" s="19" t="s">
        <v>128</v>
      </c>
      <c r="B29" s="18">
        <v>9.8000000000000004E-2</v>
      </c>
    </row>
    <row r="30" spans="1:2" x14ac:dyDescent="0.25">
      <c r="A30" s="19" t="s">
        <v>337</v>
      </c>
      <c r="B30" s="18">
        <v>9.8000000000000004E-2</v>
      </c>
    </row>
    <row r="31" spans="1:2" x14ac:dyDescent="0.25">
      <c r="A31" s="19" t="s">
        <v>266</v>
      </c>
      <c r="B31" s="18">
        <v>9.7500000000000003E-2</v>
      </c>
    </row>
    <row r="32" spans="1:2" x14ac:dyDescent="0.25">
      <c r="A32" s="19" t="s">
        <v>280</v>
      </c>
      <c r="B32" s="18">
        <v>9.7500000000000003E-2</v>
      </c>
    </row>
    <row r="33" spans="1:2" x14ac:dyDescent="0.25">
      <c r="A33" s="19" t="s">
        <v>110</v>
      </c>
      <c r="B33" s="18">
        <v>9.7500000000000003E-2</v>
      </c>
    </row>
    <row r="34" spans="1:2" x14ac:dyDescent="0.25">
      <c r="A34" s="19" t="s">
        <v>221</v>
      </c>
      <c r="B34" s="18">
        <v>9.7500000000000003E-2</v>
      </c>
    </row>
    <row r="35" spans="1:2" x14ac:dyDescent="0.25">
      <c r="A35" s="19" t="s">
        <v>331</v>
      </c>
      <c r="B35" s="18">
        <v>9.7500000000000003E-2</v>
      </c>
    </row>
    <row r="36" spans="1:2" x14ac:dyDescent="0.25">
      <c r="A36" s="19" t="s">
        <v>99</v>
      </c>
      <c r="B36" s="18">
        <v>9.7000000000000003E-2</v>
      </c>
    </row>
    <row r="37" spans="1:2" x14ac:dyDescent="0.25">
      <c r="A37" s="19" t="s">
        <v>107</v>
      </c>
      <c r="B37" s="18">
        <v>9.7000000000000003E-2</v>
      </c>
    </row>
    <row r="38" spans="1:2" x14ac:dyDescent="0.25">
      <c r="A38" s="19" t="s">
        <v>120</v>
      </c>
      <c r="B38" s="18">
        <v>9.6999999999999989E-2</v>
      </c>
    </row>
    <row r="39" spans="1:2" x14ac:dyDescent="0.25">
      <c r="A39" s="19" t="s">
        <v>263</v>
      </c>
      <c r="B39" s="18">
        <v>9.6500000000000002E-2</v>
      </c>
    </row>
    <row r="40" spans="1:2" x14ac:dyDescent="0.25">
      <c r="A40" s="19" t="s">
        <v>280</v>
      </c>
      <c r="B40" s="18">
        <v>9.6500000000000002E-2</v>
      </c>
    </row>
    <row r="41" spans="1:2" x14ac:dyDescent="0.25">
      <c r="A41" s="19" t="s">
        <v>308</v>
      </c>
      <c r="B41" s="18">
        <v>9.6500000000000002E-2</v>
      </c>
    </row>
    <row r="42" spans="1:2" x14ac:dyDescent="0.25">
      <c r="A42" s="15" t="s">
        <v>52</v>
      </c>
      <c r="B42" s="12">
        <v>9.6000000000000002E-2</v>
      </c>
    </row>
    <row r="43" spans="1:2" x14ac:dyDescent="0.25">
      <c r="A43" s="15" t="s">
        <v>55</v>
      </c>
      <c r="B43" s="12">
        <v>9.6000000000000002E-2</v>
      </c>
    </row>
    <row r="44" spans="1:2" x14ac:dyDescent="0.25">
      <c r="A44" s="19" t="s">
        <v>55</v>
      </c>
      <c r="B44" s="18">
        <v>9.6000000000000002E-2</v>
      </c>
    </row>
    <row r="45" spans="1:2" x14ac:dyDescent="0.25">
      <c r="A45" s="19" t="s">
        <v>324</v>
      </c>
      <c r="B45" s="18">
        <v>9.6000000000000002E-2</v>
      </c>
    </row>
    <row r="46" spans="1:2" x14ac:dyDescent="0.25">
      <c r="A46" s="19" t="s">
        <v>62</v>
      </c>
      <c r="B46" s="18">
        <v>9.5799999999999996E-2</v>
      </c>
    </row>
    <row r="47" spans="1:2" x14ac:dyDescent="0.25">
      <c r="A47" s="19" t="s">
        <v>285</v>
      </c>
      <c r="B47" s="18">
        <v>9.5699999999999993E-2</v>
      </c>
    </row>
    <row r="48" spans="1:2" x14ac:dyDescent="0.25">
      <c r="A48" s="19" t="s">
        <v>60</v>
      </c>
      <c r="B48" s="18">
        <v>9.5500000000000002E-2</v>
      </c>
    </row>
    <row r="49" spans="1:2" x14ac:dyDescent="0.25">
      <c r="A49" s="19" t="s">
        <v>126</v>
      </c>
      <c r="B49" s="18">
        <v>9.5500000000000002E-2</v>
      </c>
    </row>
    <row r="50" spans="1:2" x14ac:dyDescent="0.25">
      <c r="A50" s="19" t="s">
        <v>168</v>
      </c>
      <c r="B50" s="18">
        <v>9.5500000000000002E-2</v>
      </c>
    </row>
    <row r="51" spans="1:2" x14ac:dyDescent="0.25">
      <c r="A51" s="19" t="s">
        <v>122</v>
      </c>
      <c r="B51" s="18">
        <v>9.5200000000000007E-2</v>
      </c>
    </row>
    <row r="52" spans="1:2" x14ac:dyDescent="0.25">
      <c r="A52" s="19" t="s">
        <v>100</v>
      </c>
      <c r="B52" s="18">
        <v>9.5000000000000001E-2</v>
      </c>
    </row>
    <row r="53" spans="1:2" x14ac:dyDescent="0.25">
      <c r="A53" s="19" t="s">
        <v>149</v>
      </c>
      <c r="B53" s="18">
        <v>9.5000000000000001E-2</v>
      </c>
    </row>
    <row r="54" spans="1:2" x14ac:dyDescent="0.25">
      <c r="A54" s="19" t="s">
        <v>154</v>
      </c>
      <c r="B54" s="18">
        <v>9.5000000000000001E-2</v>
      </c>
    </row>
    <row r="55" spans="1:2" x14ac:dyDescent="0.25">
      <c r="A55" s="19" t="s">
        <v>211</v>
      </c>
      <c r="B55" s="18">
        <v>9.5000000000000001E-2</v>
      </c>
    </row>
    <row r="56" spans="1:2" x14ac:dyDescent="0.25">
      <c r="A56" s="19" t="s">
        <v>179</v>
      </c>
      <c r="B56" s="18">
        <v>9.5000000000000001E-2</v>
      </c>
    </row>
    <row r="57" spans="1:2" x14ac:dyDescent="0.25">
      <c r="A57" s="19" t="s">
        <v>217</v>
      </c>
      <c r="B57" s="18">
        <v>9.5000000000000001E-2</v>
      </c>
    </row>
    <row r="58" spans="1:2" x14ac:dyDescent="0.25">
      <c r="A58" s="19" t="s">
        <v>221</v>
      </c>
      <c r="B58" s="18">
        <v>9.5000000000000001E-2</v>
      </c>
    </row>
    <row r="59" spans="1:2" x14ac:dyDescent="0.25">
      <c r="A59" s="19" t="s">
        <v>100</v>
      </c>
      <c r="B59" s="18">
        <v>9.5000000000000001E-2</v>
      </c>
    </row>
    <row r="60" spans="1:2" x14ac:dyDescent="0.25">
      <c r="A60" s="19" t="s">
        <v>94</v>
      </c>
      <c r="B60" s="18">
        <v>9.5000000000000001E-2</v>
      </c>
    </row>
    <row r="61" spans="1:2" x14ac:dyDescent="0.25">
      <c r="A61" s="19" t="s">
        <v>179</v>
      </c>
      <c r="B61" s="18">
        <v>9.5000000000000001E-2</v>
      </c>
    </row>
    <row r="62" spans="1:2" x14ac:dyDescent="0.25">
      <c r="A62" s="19" t="s">
        <v>306</v>
      </c>
      <c r="B62" s="18">
        <v>9.5000000000000001E-2</v>
      </c>
    </row>
    <row r="63" spans="1:2" x14ac:dyDescent="0.25">
      <c r="A63" s="19" t="s">
        <v>211</v>
      </c>
      <c r="B63" s="18">
        <v>9.5000000000000001E-2</v>
      </c>
    </row>
    <row r="64" spans="1:2" x14ac:dyDescent="0.25">
      <c r="A64" s="19" t="s">
        <v>57</v>
      </c>
      <c r="B64" s="18">
        <v>9.4799999999999995E-2</v>
      </c>
    </row>
    <row r="65" spans="1:2" x14ac:dyDescent="0.25">
      <c r="A65" s="19" t="s">
        <v>48</v>
      </c>
      <c r="B65" s="18">
        <v>9.4299999999999995E-2</v>
      </c>
    </row>
    <row r="66" spans="1:2" x14ac:dyDescent="0.25">
      <c r="A66" s="19" t="s">
        <v>50</v>
      </c>
      <c r="B66" s="18">
        <v>9.4299999999999995E-2</v>
      </c>
    </row>
    <row r="67" spans="1:2" x14ac:dyDescent="0.25">
      <c r="A67" s="19" t="s">
        <v>74</v>
      </c>
      <c r="B67" s="18">
        <v>9.4E-2</v>
      </c>
    </row>
    <row r="68" spans="1:2" x14ac:dyDescent="0.25">
      <c r="A68" s="70" t="s">
        <v>74</v>
      </c>
      <c r="B68" s="72">
        <v>9.4E-2</v>
      </c>
    </row>
    <row r="69" spans="1:2" x14ac:dyDescent="0.25">
      <c r="A69" s="19" t="s">
        <v>189</v>
      </c>
      <c r="B69" s="18">
        <v>9.4E-2</v>
      </c>
    </row>
    <row r="70" spans="1:2" x14ac:dyDescent="0.25">
      <c r="A70" s="70" t="s">
        <v>116</v>
      </c>
      <c r="B70" s="72">
        <v>9.4E-2</v>
      </c>
    </row>
    <row r="71" spans="1:2" x14ac:dyDescent="0.25">
      <c r="A71" s="19" t="s">
        <v>74</v>
      </c>
      <c r="B71" s="18">
        <v>9.4E-2</v>
      </c>
    </row>
    <row r="72" spans="1:2" x14ac:dyDescent="0.25">
      <c r="A72" s="19" t="s">
        <v>107</v>
      </c>
      <c r="B72" s="18">
        <v>9.35E-2</v>
      </c>
    </row>
    <row r="73" spans="1:2" x14ac:dyDescent="0.25">
      <c r="A73" s="19" t="s">
        <v>112</v>
      </c>
      <c r="B73" s="18">
        <v>9.35E-2</v>
      </c>
    </row>
    <row r="74" spans="1:2" x14ac:dyDescent="0.25">
      <c r="A74" s="19" t="s">
        <v>143</v>
      </c>
      <c r="B74" s="18">
        <v>9.35E-2</v>
      </c>
    </row>
    <row r="75" spans="1:2" x14ac:dyDescent="0.25">
      <c r="A75" s="19" t="s">
        <v>100</v>
      </c>
      <c r="B75" s="18">
        <v>9.35E-2</v>
      </c>
    </row>
    <row r="76" spans="1:2" x14ac:dyDescent="0.25">
      <c r="A76" s="19" t="s">
        <v>115</v>
      </c>
      <c r="B76" s="18">
        <v>9.3000000000000013E-2</v>
      </c>
    </row>
    <row r="77" spans="1:2" x14ac:dyDescent="0.25">
      <c r="A77" s="19" t="s">
        <v>194</v>
      </c>
      <c r="B77" s="18">
        <v>9.3000000000000013E-2</v>
      </c>
    </row>
    <row r="78" spans="1:2" x14ac:dyDescent="0.25">
      <c r="A78" s="19" t="s">
        <v>189</v>
      </c>
      <c r="B78" s="18">
        <v>9.3000000000000013E-2</v>
      </c>
    </row>
    <row r="79" spans="1:2" x14ac:dyDescent="0.25">
      <c r="A79" s="15" t="s">
        <v>129</v>
      </c>
      <c r="B79" s="12">
        <v>9.2999999999999999E-2</v>
      </c>
    </row>
    <row r="80" spans="1:2" x14ac:dyDescent="0.25">
      <c r="A80" s="19" t="s">
        <v>194</v>
      </c>
      <c r="B80" s="18">
        <v>9.2999999999999999E-2</v>
      </c>
    </row>
    <row r="81" spans="1:2" x14ac:dyDescent="0.25">
      <c r="A81" s="19" t="s">
        <v>179</v>
      </c>
      <c r="B81" s="18">
        <v>9.2499999999999999E-2</v>
      </c>
    </row>
    <row r="82" spans="1:2" x14ac:dyDescent="0.25">
      <c r="A82" s="19" t="s">
        <v>154</v>
      </c>
      <c r="B82" s="18">
        <v>9.2499999999999999E-2</v>
      </c>
    </row>
    <row r="83" spans="1:2" x14ac:dyDescent="0.25">
      <c r="A83" s="19" t="s">
        <v>327</v>
      </c>
      <c r="B83" s="18">
        <v>9.2499999999999999E-2</v>
      </c>
    </row>
    <row r="84" spans="1:2" x14ac:dyDescent="0.25">
      <c r="A84" s="19" t="s">
        <v>168</v>
      </c>
      <c r="B84" s="18">
        <v>8.6999999999999994E-2</v>
      </c>
    </row>
    <row r="85" spans="1:2" x14ac:dyDescent="0.25">
      <c r="A85" s="19" t="s">
        <v>62</v>
      </c>
      <c r="B85" s="18">
        <v>8.5699999999999998E-2</v>
      </c>
    </row>
    <row r="86" spans="1:2" x14ac:dyDescent="0.25">
      <c r="A86" s="19" t="s">
        <v>62</v>
      </c>
      <c r="B86" s="18">
        <v>8.5699999999999998E-2</v>
      </c>
    </row>
    <row r="87" spans="1:2" x14ac:dyDescent="0.25">
      <c r="A87" s="19"/>
      <c r="B87" s="18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</sheetData>
  <sortState xmlns:xlrd2="http://schemas.microsoft.com/office/spreadsheetml/2017/richdata2" ref="A1:B453">
    <sortCondition descending="1" ref="B1:B453"/>
  </sortState>
  <pageMargins left="0.7" right="0.7" top="0.75" bottom="0.75" header="0.3" footer="0.3"/>
  <pageSetup firstPageNumber="2" fitToHeight="0" orientation="landscape" r:id="rId1"/>
  <headerFooter scaleWithDoc="0">
    <oddHeader xml:space="preserve">&amp;R&amp;10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702E-889C-4E1C-8BD6-2E54FD7D01ED}">
  <sheetPr>
    <pageSetUpPr fitToPage="1"/>
  </sheetPr>
  <dimension ref="A1:B295"/>
  <sheetViews>
    <sheetView view="pageLayout" topLeftCell="A103" zoomScaleNormal="90" workbookViewId="0">
      <selection activeCell="H117" sqref="H117"/>
    </sheetView>
  </sheetViews>
  <sheetFormatPr defaultColWidth="9.140625" defaultRowHeight="15" x14ac:dyDescent="0.25"/>
  <cols>
    <col min="1" max="1" width="27.5703125" customWidth="1"/>
    <col min="2" max="2" width="12.7109375" bestFit="1" customWidth="1"/>
    <col min="3" max="3" width="9.7109375" customWidth="1"/>
  </cols>
  <sheetData>
    <row r="1" spans="1:2" x14ac:dyDescent="0.25">
      <c r="A1" s="81" t="s">
        <v>560</v>
      </c>
      <c r="B1" s="82">
        <v>0.1188</v>
      </c>
    </row>
    <row r="2" spans="1:2" x14ac:dyDescent="0.25">
      <c r="A2" s="81" t="s">
        <v>492</v>
      </c>
      <c r="B2" s="82">
        <v>0.105</v>
      </c>
    </row>
    <row r="3" spans="1:2" x14ac:dyDescent="0.25">
      <c r="A3" s="81" t="s">
        <v>344</v>
      </c>
      <c r="B3" s="82">
        <v>0.104</v>
      </c>
    </row>
    <row r="4" spans="1:2" x14ac:dyDescent="0.25">
      <c r="A4" s="81" t="s">
        <v>508</v>
      </c>
      <c r="B4" s="82">
        <v>0.10249999999999999</v>
      </c>
    </row>
    <row r="5" spans="1:2" x14ac:dyDescent="0.25">
      <c r="A5" s="81" t="s">
        <v>395</v>
      </c>
      <c r="B5" s="82">
        <v>0.1024</v>
      </c>
    </row>
    <row r="6" spans="1:2" x14ac:dyDescent="0.25">
      <c r="A6" s="81" t="s">
        <v>88</v>
      </c>
      <c r="B6" s="82">
        <v>0.10199999999999999</v>
      </c>
    </row>
    <row r="7" spans="1:2" x14ac:dyDescent="0.25">
      <c r="A7" s="81" t="s">
        <v>539</v>
      </c>
      <c r="B7" s="82">
        <v>0.10150000000000001</v>
      </c>
    </row>
    <row r="8" spans="1:2" x14ac:dyDescent="0.25">
      <c r="A8" s="81" t="s">
        <v>384</v>
      </c>
      <c r="B8" s="82">
        <v>0.1</v>
      </c>
    </row>
    <row r="9" spans="1:2" x14ac:dyDescent="0.25">
      <c r="A9" s="81" t="s">
        <v>384</v>
      </c>
      <c r="B9" s="82">
        <v>0.1</v>
      </c>
    </row>
    <row r="10" spans="1:2" x14ac:dyDescent="0.25">
      <c r="A10" s="81" t="s">
        <v>384</v>
      </c>
      <c r="B10" s="82">
        <v>0.1</v>
      </c>
    </row>
    <row r="11" spans="1:2" x14ac:dyDescent="0.25">
      <c r="A11" s="81" t="s">
        <v>154</v>
      </c>
      <c r="B11" s="82">
        <v>0.1</v>
      </c>
    </row>
    <row r="12" spans="1:2" x14ac:dyDescent="0.25">
      <c r="A12" s="81" t="s">
        <v>128</v>
      </c>
      <c r="B12" s="82">
        <v>0.1</v>
      </c>
    </row>
    <row r="13" spans="1:2" x14ac:dyDescent="0.25">
      <c r="A13" s="81" t="s">
        <v>441</v>
      </c>
      <c r="B13" s="82">
        <v>9.9000000000000005E-2</v>
      </c>
    </row>
    <row r="14" spans="1:2" x14ac:dyDescent="0.25">
      <c r="A14" s="81" t="s">
        <v>30</v>
      </c>
      <c r="B14" s="82">
        <v>9.9000000000000005E-2</v>
      </c>
    </row>
    <row r="15" spans="1:2" x14ac:dyDescent="0.25">
      <c r="A15" s="81" t="s">
        <v>379</v>
      </c>
      <c r="B15" s="82">
        <v>9.8599999999999993E-2</v>
      </c>
    </row>
    <row r="16" spans="1:2" x14ac:dyDescent="0.25">
      <c r="A16" s="81" t="s">
        <v>468</v>
      </c>
      <c r="B16" s="82">
        <v>9.8500000000000004E-2</v>
      </c>
    </row>
    <row r="17" spans="1:2" x14ac:dyDescent="0.25">
      <c r="A17" s="81" t="s">
        <v>556</v>
      </c>
      <c r="B17" s="82">
        <v>9.8500000000000004E-2</v>
      </c>
    </row>
    <row r="18" spans="1:2" x14ac:dyDescent="0.25">
      <c r="A18" s="81" t="s">
        <v>409</v>
      </c>
      <c r="B18" s="82">
        <v>9.849999999999999E-2</v>
      </c>
    </row>
    <row r="19" spans="1:2" x14ac:dyDescent="0.25">
      <c r="A19" s="81" t="s">
        <v>376</v>
      </c>
      <c r="B19" s="82">
        <v>9.8000000000000004E-2</v>
      </c>
    </row>
    <row r="20" spans="1:2" x14ac:dyDescent="0.25">
      <c r="A20" s="81" t="s">
        <v>376</v>
      </c>
      <c r="B20" s="82">
        <v>9.8000000000000004E-2</v>
      </c>
    </row>
    <row r="21" spans="1:2" x14ac:dyDescent="0.25">
      <c r="A21" s="81" t="s">
        <v>424</v>
      </c>
      <c r="B21" s="82">
        <v>9.8000000000000004E-2</v>
      </c>
    </row>
    <row r="22" spans="1:2" x14ac:dyDescent="0.25">
      <c r="A22" s="81" t="s">
        <v>120</v>
      </c>
      <c r="B22" s="82">
        <v>9.8000000000000004E-2</v>
      </c>
    </row>
    <row r="23" spans="1:2" x14ac:dyDescent="0.25">
      <c r="A23" s="81" t="s">
        <v>154</v>
      </c>
      <c r="B23" s="82">
        <v>9.8000000000000004E-2</v>
      </c>
    </row>
    <row r="24" spans="1:2" x14ac:dyDescent="0.25">
      <c r="A24" s="81" t="s">
        <v>492</v>
      </c>
      <c r="B24" s="82">
        <v>9.8000000000000004E-2</v>
      </c>
    </row>
    <row r="25" spans="1:2" x14ac:dyDescent="0.25">
      <c r="A25" s="81" t="s">
        <v>68</v>
      </c>
      <c r="B25" s="82">
        <v>9.8000000000000004E-2</v>
      </c>
    </row>
    <row r="26" spans="1:2" x14ac:dyDescent="0.25">
      <c r="A26" s="81" t="s">
        <v>502</v>
      </c>
      <c r="B26" s="82">
        <v>9.8000000000000004E-2</v>
      </c>
    </row>
    <row r="27" spans="1:2" x14ac:dyDescent="0.25">
      <c r="A27" s="81" t="s">
        <v>70</v>
      </c>
      <c r="B27" s="82">
        <v>9.8000000000000004E-2</v>
      </c>
    </row>
    <row r="28" spans="1:2" x14ac:dyDescent="0.25">
      <c r="A28" s="81" t="s">
        <v>525</v>
      </c>
      <c r="B28" s="82">
        <v>9.8000000000000004E-2</v>
      </c>
    </row>
    <row r="29" spans="1:2" x14ac:dyDescent="0.25">
      <c r="A29" s="81" t="s">
        <v>154</v>
      </c>
      <c r="B29" s="82">
        <v>9.8000000000000004E-2</v>
      </c>
    </row>
    <row r="30" spans="1:2" x14ac:dyDescent="0.25">
      <c r="A30" s="81" t="s">
        <v>128</v>
      </c>
      <c r="B30" s="82">
        <v>9.8000000000000004E-2</v>
      </c>
    </row>
    <row r="31" spans="1:2" x14ac:dyDescent="0.25">
      <c r="A31" s="81" t="s">
        <v>376</v>
      </c>
      <c r="B31" s="82">
        <v>9.8000000000000004E-2</v>
      </c>
    </row>
    <row r="32" spans="1:2" x14ac:dyDescent="0.25">
      <c r="A32" s="81" t="s">
        <v>429</v>
      </c>
      <c r="B32" s="82">
        <v>9.7500000000000003E-2</v>
      </c>
    </row>
    <row r="33" spans="1:2" x14ac:dyDescent="0.25">
      <c r="A33" s="81" t="s">
        <v>552</v>
      </c>
      <c r="B33" s="82">
        <v>9.7500000000000003E-2</v>
      </c>
    </row>
    <row r="34" spans="1:2" x14ac:dyDescent="0.25">
      <c r="A34" s="81" t="s">
        <v>564</v>
      </c>
      <c r="B34" s="82">
        <v>9.7500000000000003E-2</v>
      </c>
    </row>
    <row r="35" spans="1:2" x14ac:dyDescent="0.25">
      <c r="A35" s="81" t="s">
        <v>120</v>
      </c>
      <c r="B35" s="82">
        <v>9.7000000000000003E-2</v>
      </c>
    </row>
    <row r="36" spans="1:2" x14ac:dyDescent="0.25">
      <c r="A36" s="81" t="s">
        <v>505</v>
      </c>
      <c r="B36" s="82">
        <v>9.7000000000000003E-2</v>
      </c>
    </row>
    <row r="37" spans="1:2" x14ac:dyDescent="0.25">
      <c r="A37" s="81" t="s">
        <v>381</v>
      </c>
      <c r="B37" s="82">
        <v>9.6999999999999989E-2</v>
      </c>
    </row>
    <row r="38" spans="1:2" x14ac:dyDescent="0.25">
      <c r="A38" s="81" t="s">
        <v>415</v>
      </c>
      <c r="B38" s="82">
        <v>9.6999999999999989E-2</v>
      </c>
    </row>
    <row r="39" spans="1:2" x14ac:dyDescent="0.25">
      <c r="A39" s="81" t="s">
        <v>417</v>
      </c>
      <c r="B39" s="82">
        <v>9.6999999999999989E-2</v>
      </c>
    </row>
    <row r="40" spans="1:2" x14ac:dyDescent="0.25">
      <c r="A40" s="81" t="s">
        <v>486</v>
      </c>
      <c r="B40" s="82">
        <v>9.6999999999999989E-2</v>
      </c>
    </row>
    <row r="41" spans="1:2" x14ac:dyDescent="0.25">
      <c r="A41" s="81" t="s">
        <v>80</v>
      </c>
      <c r="B41" s="82">
        <v>9.6699999999999994E-2</v>
      </c>
    </row>
    <row r="42" spans="1:2" x14ac:dyDescent="0.25">
      <c r="A42" s="81" t="s">
        <v>407</v>
      </c>
      <c r="B42" s="82">
        <v>9.6699999999999994E-2</v>
      </c>
    </row>
    <row r="43" spans="1:2" x14ac:dyDescent="0.25">
      <c r="A43" s="81" t="s">
        <v>439</v>
      </c>
      <c r="B43" s="82">
        <v>9.6500000000000002E-2</v>
      </c>
    </row>
    <row r="44" spans="1:2" x14ac:dyDescent="0.25">
      <c r="A44" s="81" t="s">
        <v>439</v>
      </c>
      <c r="B44" s="82">
        <v>9.6500000000000002E-2</v>
      </c>
    </row>
    <row r="45" spans="1:2" x14ac:dyDescent="0.25">
      <c r="A45" s="81" t="s">
        <v>532</v>
      </c>
      <c r="B45" s="82">
        <v>9.6500000000000002E-2</v>
      </c>
    </row>
    <row r="46" spans="1:2" x14ac:dyDescent="0.25">
      <c r="A46" s="81" t="s">
        <v>537</v>
      </c>
      <c r="B46" s="82">
        <v>9.6500000000000002E-2</v>
      </c>
    </row>
    <row r="47" spans="1:2" x14ac:dyDescent="0.25">
      <c r="A47" s="81" t="s">
        <v>381</v>
      </c>
      <c r="B47" s="82">
        <v>9.6500000000000002E-2</v>
      </c>
    </row>
    <row r="48" spans="1:2" x14ac:dyDescent="0.25">
      <c r="A48" s="81" t="s">
        <v>117</v>
      </c>
      <c r="B48" s="82">
        <v>9.6000000000000002E-2</v>
      </c>
    </row>
    <row r="49" spans="1:2" x14ac:dyDescent="0.25">
      <c r="A49" s="81" t="s">
        <v>426</v>
      </c>
      <c r="B49" s="82">
        <v>9.6000000000000002E-2</v>
      </c>
    </row>
    <row r="50" spans="1:2" x14ac:dyDescent="0.25">
      <c r="A50" s="81" t="s">
        <v>446</v>
      </c>
      <c r="B50" s="82">
        <v>9.6000000000000002E-2</v>
      </c>
    </row>
    <row r="51" spans="1:2" x14ac:dyDescent="0.25">
      <c r="A51" s="81" t="s">
        <v>376</v>
      </c>
      <c r="B51" s="82">
        <v>9.6000000000000002E-2</v>
      </c>
    </row>
    <row r="52" spans="1:2" x14ac:dyDescent="0.25">
      <c r="A52" s="81" t="s">
        <v>456</v>
      </c>
      <c r="B52" s="82">
        <v>9.6000000000000002E-2</v>
      </c>
    </row>
    <row r="53" spans="1:2" x14ac:dyDescent="0.25">
      <c r="A53" s="81" t="s">
        <v>471</v>
      </c>
      <c r="B53" s="82">
        <v>9.6000000000000002E-2</v>
      </c>
    </row>
    <row r="54" spans="1:2" x14ac:dyDescent="0.25">
      <c r="A54" s="81" t="s">
        <v>478</v>
      </c>
      <c r="B54" s="82">
        <v>9.6000000000000002E-2</v>
      </c>
    </row>
    <row r="55" spans="1:2" x14ac:dyDescent="0.25">
      <c r="A55" s="81" t="s">
        <v>117</v>
      </c>
      <c r="B55" s="82">
        <v>9.6000000000000002E-2</v>
      </c>
    </row>
    <row r="56" spans="1:2" x14ac:dyDescent="0.25">
      <c r="A56" s="81" t="s">
        <v>494</v>
      </c>
      <c r="B56" s="82">
        <v>9.6000000000000002E-2</v>
      </c>
    </row>
    <row r="57" spans="1:2" x14ac:dyDescent="0.25">
      <c r="A57" s="81" t="s">
        <v>499</v>
      </c>
      <c r="B57" s="82">
        <v>9.6000000000000002E-2</v>
      </c>
    </row>
    <row r="58" spans="1:2" x14ac:dyDescent="0.25">
      <c r="A58" s="81" t="s">
        <v>505</v>
      </c>
      <c r="B58" s="82">
        <v>9.6000000000000002E-2</v>
      </c>
    </row>
    <row r="59" spans="1:2" x14ac:dyDescent="0.25">
      <c r="A59" s="81" t="s">
        <v>511</v>
      </c>
      <c r="B59" s="82">
        <v>9.6000000000000002E-2</v>
      </c>
    </row>
    <row r="60" spans="1:2" x14ac:dyDescent="0.25">
      <c r="A60" s="81" t="s">
        <v>244</v>
      </c>
      <c r="B60" s="82">
        <v>9.6000000000000002E-2</v>
      </c>
    </row>
    <row r="61" spans="1:2" x14ac:dyDescent="0.25">
      <c r="A61" s="81" t="s">
        <v>154</v>
      </c>
      <c r="B61" s="82">
        <v>9.5700000000000007E-2</v>
      </c>
    </row>
    <row r="62" spans="1:2" x14ac:dyDescent="0.25">
      <c r="A62" s="81" t="s">
        <v>529</v>
      </c>
      <c r="B62" s="82">
        <v>9.5500000000000002E-2</v>
      </c>
    </row>
    <row r="63" spans="1:2" x14ac:dyDescent="0.25">
      <c r="A63" s="81" t="s">
        <v>398</v>
      </c>
      <c r="B63" s="82">
        <v>9.5399999999999985E-2</v>
      </c>
    </row>
    <row r="64" spans="1:2" x14ac:dyDescent="0.25">
      <c r="A64" s="81" t="s">
        <v>429</v>
      </c>
      <c r="B64" s="82">
        <v>9.5100000000000004E-2</v>
      </c>
    </row>
    <row r="65" spans="1:2" x14ac:dyDescent="0.25">
      <c r="A65" s="81" t="s">
        <v>374</v>
      </c>
      <c r="B65" s="82">
        <v>9.5000000000000001E-2</v>
      </c>
    </row>
    <row r="66" spans="1:2" x14ac:dyDescent="0.25">
      <c r="A66" s="81" t="s">
        <v>411</v>
      </c>
      <c r="B66" s="82">
        <v>9.5000000000000001E-2</v>
      </c>
    </row>
    <row r="67" spans="1:2" x14ac:dyDescent="0.25">
      <c r="A67" s="81" t="s">
        <v>514</v>
      </c>
      <c r="B67" s="82">
        <v>9.5000000000000001E-2</v>
      </c>
    </row>
    <row r="68" spans="1:2" x14ac:dyDescent="0.25">
      <c r="A68" s="81" t="s">
        <v>517</v>
      </c>
      <c r="B68" s="82">
        <v>9.5000000000000001E-2</v>
      </c>
    </row>
    <row r="69" spans="1:2" x14ac:dyDescent="0.25">
      <c r="A69" s="81" t="s">
        <v>74</v>
      </c>
      <c r="B69" s="82">
        <v>9.5000000000000001E-2</v>
      </c>
    </row>
    <row r="70" spans="1:2" x14ac:dyDescent="0.25">
      <c r="A70" s="81" t="s">
        <v>381</v>
      </c>
      <c r="B70" s="82">
        <v>9.5000000000000001E-2</v>
      </c>
    </row>
    <row r="71" spans="1:2" x14ac:dyDescent="0.25">
      <c r="A71" s="81" t="s">
        <v>384</v>
      </c>
      <c r="B71" s="82">
        <v>9.5000000000000001E-2</v>
      </c>
    </row>
    <row r="72" spans="1:2" x14ac:dyDescent="0.25">
      <c r="A72" s="81" t="s">
        <v>384</v>
      </c>
      <c r="B72" s="82">
        <v>9.5000000000000001E-2</v>
      </c>
    </row>
    <row r="73" spans="1:2" x14ac:dyDescent="0.25">
      <c r="A73" s="81" t="s">
        <v>149</v>
      </c>
      <c r="B73" s="82">
        <v>9.4899999999999998E-2</v>
      </c>
    </row>
    <row r="74" spans="1:2" x14ac:dyDescent="0.25">
      <c r="A74" s="81" t="s">
        <v>85</v>
      </c>
      <c r="B74" s="82">
        <v>9.4500000000000001E-2</v>
      </c>
    </row>
    <row r="75" spans="1:2" x14ac:dyDescent="0.25">
      <c r="A75" s="81" t="s">
        <v>80</v>
      </c>
      <c r="B75" s="82">
        <v>9.4399999999999998E-2</v>
      </c>
    </row>
    <row r="76" spans="1:2" x14ac:dyDescent="0.25">
      <c r="A76" s="81" t="s">
        <v>50</v>
      </c>
      <c r="B76" s="82">
        <v>9.4299999999999995E-2</v>
      </c>
    </row>
    <row r="77" spans="1:2" x14ac:dyDescent="0.25">
      <c r="A77" s="81" t="s">
        <v>370</v>
      </c>
      <c r="B77" s="82">
        <v>9.4E-2</v>
      </c>
    </row>
    <row r="78" spans="1:2" x14ac:dyDescent="0.25">
      <c r="A78" s="92" t="s">
        <v>370</v>
      </c>
      <c r="B78" s="93">
        <v>9.4E-2</v>
      </c>
    </row>
    <row r="79" spans="1:2" x14ac:dyDescent="0.25">
      <c r="A79" s="81" t="s">
        <v>74</v>
      </c>
      <c r="B79" s="82">
        <v>9.4E-2</v>
      </c>
    </row>
    <row r="80" spans="1:2" x14ac:dyDescent="0.25">
      <c r="A80" s="92" t="s">
        <v>74</v>
      </c>
      <c r="B80" s="93">
        <v>9.4E-2</v>
      </c>
    </row>
    <row r="81" spans="1:2" x14ac:dyDescent="0.25">
      <c r="A81" s="81" t="s">
        <v>436</v>
      </c>
      <c r="B81" s="82">
        <v>9.4E-2</v>
      </c>
    </row>
    <row r="82" spans="1:2" x14ac:dyDescent="0.25">
      <c r="A82" s="81" t="s">
        <v>384</v>
      </c>
      <c r="B82" s="82">
        <v>9.4E-2</v>
      </c>
    </row>
    <row r="83" spans="1:2" x14ac:dyDescent="0.25">
      <c r="A83" s="81" t="s">
        <v>384</v>
      </c>
      <c r="B83" s="82">
        <v>9.4E-2</v>
      </c>
    </row>
    <row r="84" spans="1:2" x14ac:dyDescent="0.25">
      <c r="A84" s="81" t="s">
        <v>74</v>
      </c>
      <c r="B84" s="82">
        <v>9.4E-2</v>
      </c>
    </row>
    <row r="85" spans="1:2" x14ac:dyDescent="0.25">
      <c r="A85" s="92" t="s">
        <v>370</v>
      </c>
      <c r="B85" s="93">
        <v>9.4E-2</v>
      </c>
    </row>
    <row r="86" spans="1:2" x14ac:dyDescent="0.25">
      <c r="A86" s="81" t="s">
        <v>481</v>
      </c>
      <c r="B86" s="82">
        <v>9.4E-2</v>
      </c>
    </row>
    <row r="87" spans="1:2" x14ac:dyDescent="0.25">
      <c r="A87" s="92" t="s">
        <v>116</v>
      </c>
      <c r="B87" s="93">
        <v>9.4E-2</v>
      </c>
    </row>
    <row r="88" spans="1:2" x14ac:dyDescent="0.25">
      <c r="A88" s="81" t="s">
        <v>74</v>
      </c>
      <c r="B88" s="82">
        <v>9.4E-2</v>
      </c>
    </row>
    <row r="89" spans="1:2" x14ac:dyDescent="0.25">
      <c r="A89" s="81" t="s">
        <v>474</v>
      </c>
      <c r="B89" s="82">
        <v>9.3899999999999997E-2</v>
      </c>
    </row>
    <row r="90" spans="1:2" x14ac:dyDescent="0.25">
      <c r="A90" s="81" t="s">
        <v>110</v>
      </c>
      <c r="B90" s="82">
        <v>9.3800000000000008E-2</v>
      </c>
    </row>
    <row r="91" spans="1:2" x14ac:dyDescent="0.25">
      <c r="A91" s="81" t="s">
        <v>490</v>
      </c>
      <c r="B91" s="82">
        <v>9.3800000000000008E-2</v>
      </c>
    </row>
    <row r="92" spans="1:2" x14ac:dyDescent="0.25">
      <c r="A92" s="81" t="s">
        <v>407</v>
      </c>
      <c r="B92" s="82">
        <v>9.3799999999999994E-2</v>
      </c>
    </row>
    <row r="93" spans="1:2" x14ac:dyDescent="0.25">
      <c r="A93" s="81" t="s">
        <v>546</v>
      </c>
      <c r="B93" s="82">
        <v>9.3799999999999994E-2</v>
      </c>
    </row>
    <row r="94" spans="1:2" x14ac:dyDescent="0.25">
      <c r="A94" s="81" t="s">
        <v>421</v>
      </c>
      <c r="B94" s="82">
        <v>9.3699999999999992E-2</v>
      </c>
    </row>
    <row r="95" spans="1:2" x14ac:dyDescent="0.25">
      <c r="A95" s="81" t="s">
        <v>448</v>
      </c>
      <c r="B95" s="82">
        <v>9.35E-2</v>
      </c>
    </row>
    <row r="96" spans="1:2" x14ac:dyDescent="0.25">
      <c r="A96" s="81" t="s">
        <v>466</v>
      </c>
      <c r="B96" s="82">
        <v>9.35E-2</v>
      </c>
    </row>
    <row r="97" spans="1:2" x14ac:dyDescent="0.25">
      <c r="A97" s="81" t="s">
        <v>280</v>
      </c>
      <c r="B97" s="82">
        <v>9.3000000000000013E-2</v>
      </c>
    </row>
    <row r="98" spans="1:2" x14ac:dyDescent="0.25">
      <c r="A98" s="81" t="s">
        <v>400</v>
      </c>
      <c r="B98" s="82">
        <v>9.3000000000000013E-2</v>
      </c>
    </row>
    <row r="99" spans="1:2" x14ac:dyDescent="0.25">
      <c r="A99" s="81" t="s">
        <v>376</v>
      </c>
      <c r="B99" s="82">
        <v>9.3000000000000013E-2</v>
      </c>
    </row>
    <row r="100" spans="1:2" x14ac:dyDescent="0.25">
      <c r="A100" s="81" t="s">
        <v>384</v>
      </c>
      <c r="B100" s="82">
        <v>9.3000000000000013E-2</v>
      </c>
    </row>
    <row r="101" spans="1:2" x14ac:dyDescent="0.25">
      <c r="A101" s="81" t="s">
        <v>466</v>
      </c>
      <c r="B101" s="82">
        <v>9.2999999999999999E-2</v>
      </c>
    </row>
    <row r="102" spans="1:2" x14ac:dyDescent="0.25">
      <c r="A102" s="81" t="s">
        <v>461</v>
      </c>
      <c r="B102" s="82">
        <v>9.2999999999999999E-2</v>
      </c>
    </row>
    <row r="103" spans="1:2" x14ac:dyDescent="0.25">
      <c r="A103" s="81" t="s">
        <v>376</v>
      </c>
      <c r="B103" s="82">
        <v>9.2999999999999999E-2</v>
      </c>
    </row>
    <row r="104" spans="1:2" x14ac:dyDescent="0.25">
      <c r="A104" s="81" t="s">
        <v>443</v>
      </c>
      <c r="B104" s="82">
        <v>9.2999999999999999E-2</v>
      </c>
    </row>
    <row r="105" spans="1:2" x14ac:dyDescent="0.25">
      <c r="A105" s="81" t="s">
        <v>381</v>
      </c>
      <c r="B105" s="82">
        <v>9.2499999999999999E-2</v>
      </c>
    </row>
    <row r="106" spans="1:2" x14ac:dyDescent="0.25">
      <c r="A106" s="81" t="s">
        <v>451</v>
      </c>
      <c r="B106" s="82">
        <v>9.2499999999999999E-2</v>
      </c>
    </row>
    <row r="107" spans="1:2" x14ac:dyDescent="0.25">
      <c r="A107" s="81" t="s">
        <v>392</v>
      </c>
      <c r="B107" s="82">
        <v>9.2499999999999999E-2</v>
      </c>
    </row>
    <row r="108" spans="1:2" x14ac:dyDescent="0.25">
      <c r="A108" s="81" t="s">
        <v>519</v>
      </c>
      <c r="B108" s="82">
        <v>9.2499999999999999E-2</v>
      </c>
    </row>
    <row r="109" spans="1:2" x14ac:dyDescent="0.25">
      <c r="A109" s="81" t="s">
        <v>461</v>
      </c>
      <c r="B109" s="82">
        <v>9.2299999999999993E-2</v>
      </c>
    </row>
    <row r="110" spans="1:2" x14ac:dyDescent="0.25">
      <c r="A110" s="81" t="s">
        <v>443</v>
      </c>
      <c r="B110" s="82">
        <v>9.1999999999999998E-2</v>
      </c>
    </row>
    <row r="111" spans="1:2" x14ac:dyDescent="0.25">
      <c r="A111" s="81" t="s">
        <v>239</v>
      </c>
      <c r="B111" s="82">
        <v>9.1999999999999998E-2</v>
      </c>
    </row>
    <row r="112" spans="1:2" x14ac:dyDescent="0.25">
      <c r="A112" s="81" t="s">
        <v>194</v>
      </c>
      <c r="B112" s="82">
        <v>9.1999999999999998E-2</v>
      </c>
    </row>
    <row r="113" spans="1:2" x14ac:dyDescent="0.25">
      <c r="A113" s="81" t="s">
        <v>300</v>
      </c>
      <c r="B113" s="82">
        <v>9.1999999999999998E-2</v>
      </c>
    </row>
    <row r="114" spans="1:2" x14ac:dyDescent="0.25">
      <c r="A114" s="81" t="s">
        <v>302</v>
      </c>
      <c r="B114" s="82">
        <v>9.1999999999999998E-2</v>
      </c>
    </row>
    <row r="115" spans="1:2" x14ac:dyDescent="0.25">
      <c r="A115" s="81" t="s">
        <v>177</v>
      </c>
      <c r="B115" s="82">
        <v>0.09</v>
      </c>
    </row>
    <row r="116" spans="1:2" x14ac:dyDescent="0.25">
      <c r="A116" s="81" t="s">
        <v>190</v>
      </c>
      <c r="B116" s="82">
        <v>0.09</v>
      </c>
    </row>
    <row r="117" spans="1:2" x14ac:dyDescent="0.25">
      <c r="A117" s="81" t="s">
        <v>392</v>
      </c>
      <c r="B117" s="82">
        <v>8.8000000000000009E-2</v>
      </c>
    </row>
    <row r="118" spans="1:2" x14ac:dyDescent="0.25">
      <c r="A118" s="81" t="s">
        <v>402</v>
      </c>
      <c r="B118" s="82">
        <v>8.8000000000000009E-2</v>
      </c>
    </row>
    <row r="119" spans="1:2" x14ac:dyDescent="0.25">
      <c r="A119" s="81" t="s">
        <v>404</v>
      </c>
      <c r="B119" s="82">
        <v>8.8000000000000009E-2</v>
      </c>
    </row>
    <row r="120" spans="1:2" x14ac:dyDescent="0.25">
      <c r="A120" s="81"/>
      <c r="B120" s="82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</sheetData>
  <sortState xmlns:xlrd2="http://schemas.microsoft.com/office/spreadsheetml/2017/richdata2" ref="A1:B295">
    <sortCondition descending="1" ref="B1:B295"/>
  </sortState>
  <pageMargins left="0.7" right="0.7" top="0.75" bottom="0.75" header="0.3" footer="0.3"/>
  <pageSetup fitToHeight="0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4.xml>��< ? x m l   v e r s i o n = " 1 . 0 "   e n c o d i n g = " u t f - 1 6 " ? > < p r o p e r t i e s   x m l n s = " h t t p : / / w w w . i m a n a g e . c o m / w o r k / x m l s c h e m a " >  
     < d o c u m e n t i d > W O R K S I T E ! 2 1 0 4 4 6 0 8 . 1 < / d o c u m e n t i d >  
     < s e n d e r i d > S D S < / s e n d e r i d >  
     < s e n d e r e m a i l > S S T O N E R @ S P I L M A N L A W . C O M < / s e n d e r e m a i l >  
     < l a s t m o d i f i e d > 2 0 2 4 - 0 6 - 1 7 T 1 4 : 5 6 : 1 5 . 0 0 0 0 0 0 0 - 0 4 : 0 0 < / l a s t m o d i f i e d >  
     < d a t a b a s e > W O R K S I T E < / d a t a b a s e >  
 < / p r o p e r t i e s > 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F275B4B-937A-41F1-9B90-DA439581C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A929C-D1DE-4188-9902-9CFBFD3A8225}"/>
</file>

<file path=customXml/itemProps3.xml><?xml version="1.0" encoding="utf-8"?>
<ds:datastoreItem xmlns:ds="http://schemas.openxmlformats.org/officeDocument/2006/customXml" ds:itemID="{536F6825-7223-4CC6-8848-302C3C801D57}">
  <ds:schemaRefs>
    <ds:schemaRef ds:uri="http://purl.org/dc/dcmitype/"/>
    <ds:schemaRef ds:uri="http://purl.org/dc/elements/1.1/"/>
    <ds:schemaRef ds:uri="c526c7ef-90ee-4411-babb-f213e0ada371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1af4a72-9824-4ff4-979e-b781f47d35a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7350E52-AA04-4076-98B1-467AEECB9B5B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EDA83375-74BF-45D7-8596-9D9F0B568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LVP-3</vt:lpstr>
      <vt:lpstr>LVP-4</vt:lpstr>
      <vt:lpstr>LVP-5</vt:lpstr>
      <vt:lpstr>LVP-6</vt:lpstr>
      <vt:lpstr>WP</vt:lpstr>
      <vt:lpstr>Fig1Data</vt:lpstr>
      <vt:lpstr>Fig2Data</vt:lpstr>
      <vt:lpstr>Fig1Chart</vt:lpstr>
      <vt:lpstr>Fig2Chart</vt:lpstr>
      <vt:lpstr>'LVP-3'!Print_Titles</vt:lpstr>
      <vt:lpstr>'LVP-5'!Print_Titles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Roni Shaffer</cp:lastModifiedBy>
  <cp:lastPrinted>2022-12-01T19:14:53Z</cp:lastPrinted>
  <dcterms:created xsi:type="dcterms:W3CDTF">2022-04-25T18:14:47Z</dcterms:created>
  <dcterms:modified xsi:type="dcterms:W3CDTF">2024-07-03T18:19:09Z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2022-11-21T19:50:57Z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64382f90-bf6d-4305-91b3-85a62adbff9b</vt:lpwstr>
  </property>
  <property fmtid="{D5CDD505-2E9C-101B-9397-08002B2CF9AE}" pid="9" name="MSIP_Label_b24820e8-223f-4ed2-bd95-81c83f641284_ContentBits">
    <vt:lpwstr>0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