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Capital Markets\Regulatory\GRC's\2019\2019 GRC\Treasurer Testimony\Perkins update 6.13.19\"/>
    </mc:Choice>
  </mc:AlternateContent>
  <bookViews>
    <workbookView xWindow="795" yWindow="2715" windowWidth="16335" windowHeight="8535" tabRatio="883"/>
  </bookViews>
  <sheets>
    <sheet name="Pg 1 Summary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definedNames>
    <definedName name="_xlnm.Print_Area" localSheetId="0">'Pg 1 Summary'!$A$1:$F$33</definedName>
    <definedName name="_xlnm.Print_Area" localSheetId="1">'Pg 2 CapStructure'!$A$1:$Q$44</definedName>
    <definedName name="_xlnm.Print_Area" localSheetId="3">'Pg 4 STD OS &amp; Comm Fees'!$A$1:$K$36</definedName>
    <definedName name="_xlnm.Print_Area" localSheetId="4">'Pg 5 STD Amort'!$A$1:$I$35</definedName>
    <definedName name="_xlnm.Print_Area" localSheetId="5">'Pg 6 LTD Cost '!$A$1:$Y$37</definedName>
    <definedName name="_xlnm.Print_Area" localSheetId="6">'Pg 7 Reacquired Debt'!$A$1:$J$40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0" i="7" l="1"/>
  <c r="H30" i="7" s="1"/>
  <c r="A3" i="29" l="1"/>
  <c r="A3" i="7"/>
  <c r="A3" i="71"/>
  <c r="A3" i="21"/>
  <c r="A4" i="2"/>
  <c r="J31" i="21"/>
  <c r="O42" i="1" l="1"/>
  <c r="O41" i="1"/>
  <c r="O40" i="1" l="1"/>
  <c r="G29" i="71" l="1"/>
  <c r="C15" i="71"/>
  <c r="C13" i="71"/>
  <c r="N41" i="1" l="1"/>
  <c r="N40" i="1"/>
  <c r="N42" i="1"/>
  <c r="M41" i="1"/>
  <c r="M40" i="1"/>
  <c r="M42" i="1"/>
  <c r="L42" i="1"/>
  <c r="K42" i="1"/>
  <c r="J42" i="1"/>
  <c r="I42" i="1"/>
  <c r="H42" i="1"/>
  <c r="G42" i="1"/>
  <c r="E42" i="1"/>
  <c r="L41" i="1"/>
  <c r="K41" i="1"/>
  <c r="G41" i="1"/>
  <c r="L40" i="1"/>
  <c r="K40" i="1"/>
  <c r="J40" i="1"/>
  <c r="I40" i="1"/>
  <c r="H40" i="1"/>
  <c r="G40" i="1"/>
  <c r="F40" i="1"/>
  <c r="E40" i="1"/>
  <c r="D40" i="1"/>
  <c r="C40" i="1"/>
  <c r="K12" i="1"/>
  <c r="J12" i="1"/>
  <c r="I12" i="1"/>
  <c r="H12" i="1"/>
  <c r="G12" i="1"/>
  <c r="F12" i="1"/>
  <c r="E12" i="1"/>
  <c r="D12" i="1"/>
  <c r="C12" i="1"/>
  <c r="E26" i="21"/>
  <c r="G26" i="21"/>
  <c r="H26" i="21" s="1"/>
  <c r="A27" i="21"/>
  <c r="A28" i="21" s="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J26" i="21" l="1"/>
  <c r="F13" i="21" s="1"/>
  <c r="I23" i="7" l="1"/>
  <c r="H25" i="7" l="1"/>
  <c r="X25" i="7" s="1"/>
  <c r="F25" i="7"/>
  <c r="C27" i="71"/>
  <c r="D27" i="71"/>
  <c r="E27" i="71"/>
  <c r="F27" i="71"/>
  <c r="G27" i="71"/>
  <c r="H27" i="71"/>
  <c r="I25" i="7" l="1"/>
  <c r="V28" i="7" l="1"/>
  <c r="U28" i="7"/>
  <c r="T28" i="7"/>
  <c r="Q7" i="1" l="1"/>
  <c r="Q40" i="1" l="1"/>
  <c r="Q34" i="1"/>
  <c r="G27" i="21"/>
  <c r="Q36" i="1" l="1"/>
  <c r="Q41" i="1"/>
  <c r="Q14" i="1"/>
  <c r="M38" i="1"/>
  <c r="H23" i="7" l="1"/>
  <c r="X23" i="7" s="1"/>
  <c r="M43" i="1"/>
  <c r="N43" i="1"/>
  <c r="O43" i="1"/>
  <c r="N38" i="1"/>
  <c r="O38" i="1"/>
  <c r="O16" i="1"/>
  <c r="N16" i="1"/>
  <c r="M16" i="1"/>
  <c r="M10" i="1"/>
  <c r="N10" i="1"/>
  <c r="O10" i="1"/>
  <c r="Q9" i="1"/>
  <c r="Q8" i="1"/>
  <c r="E16" i="2"/>
  <c r="D16" i="2" s="1"/>
  <c r="C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H27" i="21"/>
  <c r="E12" i="21"/>
  <c r="E11" i="21"/>
  <c r="I24" i="29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7" i="7"/>
  <c r="T6" i="7"/>
  <c r="U6" i="7"/>
  <c r="V6" i="7"/>
  <c r="H31" i="71"/>
  <c r="G31" i="71"/>
  <c r="F31" i="71"/>
  <c r="D31" i="71"/>
  <c r="E31" i="71"/>
  <c r="C16" i="1"/>
  <c r="D16" i="1"/>
  <c r="E16" i="1"/>
  <c r="F16" i="1"/>
  <c r="H16" i="1"/>
  <c r="I16" i="1"/>
  <c r="J16" i="1"/>
  <c r="L43" i="1"/>
  <c r="K43" i="1"/>
  <c r="J43" i="1"/>
  <c r="L16" i="1"/>
  <c r="K16" i="1"/>
  <c r="Q42" i="1"/>
  <c r="I43" i="1"/>
  <c r="H43" i="1"/>
  <c r="G43" i="1"/>
  <c r="F43" i="1"/>
  <c r="G16" i="1"/>
  <c r="E43" i="1"/>
  <c r="A9" i="83"/>
  <c r="A10" i="83" s="1"/>
  <c r="A11" i="83" s="1"/>
  <c r="A12" i="83" s="1"/>
  <c r="A13" i="83" s="1"/>
  <c r="A14" i="83" s="1"/>
  <c r="A15" i="83" s="1"/>
  <c r="A16" i="83" s="1"/>
  <c r="A17" i="83" s="1"/>
  <c r="S6" i="7"/>
  <c r="R6" i="7"/>
  <c r="Q6" i="7"/>
  <c r="P6" i="7"/>
  <c r="O6" i="7"/>
  <c r="N6" i="7"/>
  <c r="M6" i="7"/>
  <c r="L6" i="7"/>
  <c r="K6" i="7"/>
  <c r="J6" i="7"/>
  <c r="K38" i="1"/>
  <c r="J38" i="1"/>
  <c r="I38" i="1"/>
  <c r="I44" i="1" s="1"/>
  <c r="I20" i="1" s="1"/>
  <c r="H38" i="1"/>
  <c r="G38" i="1"/>
  <c r="F38" i="1"/>
  <c r="E38" i="1"/>
  <c r="D38" i="1"/>
  <c r="C38" i="1"/>
  <c r="K10" i="1"/>
  <c r="J10" i="1"/>
  <c r="I10" i="1"/>
  <c r="H10" i="1"/>
  <c r="G10" i="1"/>
  <c r="F10" i="1"/>
  <c r="E10" i="1"/>
  <c r="D10" i="1"/>
  <c r="C10" i="1"/>
  <c r="J32" i="21"/>
  <c r="H24" i="7"/>
  <c r="L38" i="1"/>
  <c r="L10" i="1"/>
  <c r="A27" i="71"/>
  <c r="A28" i="71" s="1"/>
  <c r="A29" i="71" s="1"/>
  <c r="A30" i="71" s="1"/>
  <c r="A31" i="71" s="1"/>
  <c r="A32" i="71" s="1"/>
  <c r="A33" i="71" s="1"/>
  <c r="A34" i="71" s="1"/>
  <c r="A35" i="71" s="1"/>
  <c r="E15" i="2"/>
  <c r="D15" i="2" s="1"/>
  <c r="A21" i="21"/>
  <c r="A22" i="21" s="1"/>
  <c r="A23" i="21" s="1"/>
  <c r="A24" i="21" s="1"/>
  <c r="A25" i="21" s="1"/>
  <c r="H13" i="7"/>
  <c r="X13" i="7" s="1"/>
  <c r="H12" i="7"/>
  <c r="D21" i="29"/>
  <c r="C15" i="2"/>
  <c r="C13" i="2"/>
  <c r="E13" i="2"/>
  <c r="H22" i="7"/>
  <c r="X22" i="7" s="1"/>
  <c r="H21" i="7"/>
  <c r="X21" i="7" s="1"/>
  <c r="H20" i="7"/>
  <c r="X20" i="7" s="1"/>
  <c r="I25" i="29"/>
  <c r="I31" i="29" s="1"/>
  <c r="I27" i="7" s="1"/>
  <c r="X27" i="7" s="1"/>
  <c r="H19" i="7"/>
  <c r="X19" i="7" s="1"/>
  <c r="H18" i="7"/>
  <c r="H7" i="7"/>
  <c r="H8" i="7"/>
  <c r="H9" i="7"/>
  <c r="X9" i="7" s="1"/>
  <c r="H10" i="7"/>
  <c r="X10" i="7" s="1"/>
  <c r="H11" i="7"/>
  <c r="I11" i="7" s="1"/>
  <c r="H14" i="7"/>
  <c r="I14" i="7" s="1"/>
  <c r="H15" i="7"/>
  <c r="I15" i="7" s="1"/>
  <c r="H16" i="7"/>
  <c r="I16" i="7" s="1"/>
  <c r="H17" i="7"/>
  <c r="D20" i="29"/>
  <c r="D19" i="29"/>
  <c r="D18" i="29"/>
  <c r="H13" i="29"/>
  <c r="H12" i="29"/>
  <c r="S28" i="7"/>
  <c r="X29" i="7"/>
  <c r="A6" i="21"/>
  <c r="A7" i="21" s="1"/>
  <c r="A8" i="21" s="1"/>
  <c r="A9" i="21" s="1"/>
  <c r="A10" i="21" s="1"/>
  <c r="A11" i="21" s="1"/>
  <c r="A12" i="21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6" i="1"/>
  <c r="A7" i="1" s="1"/>
  <c r="A8" i="1" s="1"/>
  <c r="A9" i="1" s="1"/>
  <c r="A10" i="1" s="1"/>
  <c r="A12" i="1" s="1"/>
  <c r="A14" i="1" s="1"/>
  <c r="A16" i="1" s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9" i="2"/>
  <c r="A10" i="2" s="1"/>
  <c r="A11" i="2" s="1"/>
  <c r="A12" i="2" s="1"/>
  <c r="A13" i="2" s="1"/>
  <c r="A14" i="2" s="1"/>
  <c r="Q28" i="7"/>
  <c r="R28" i="7"/>
  <c r="P28" i="7"/>
  <c r="O28" i="7"/>
  <c r="N28" i="7"/>
  <c r="M28" i="7"/>
  <c r="L28" i="7"/>
  <c r="K28" i="7"/>
  <c r="J28" i="7"/>
  <c r="M43" i="7"/>
  <c r="N43" i="7"/>
  <c r="O43" i="7"/>
  <c r="P43" i="7"/>
  <c r="Q43" i="7"/>
  <c r="R43" i="7"/>
  <c r="S43" i="7"/>
  <c r="J43" i="7"/>
  <c r="K43" i="7"/>
  <c r="L43" i="7"/>
  <c r="D13" i="29"/>
  <c r="D12" i="29"/>
  <c r="E14" i="2"/>
  <c r="D14" i="2" s="1"/>
  <c r="D16" i="21"/>
  <c r="C16" i="21"/>
  <c r="E16" i="21" s="1"/>
  <c r="C14" i="2"/>
  <c r="X24" i="7"/>
  <c r="D43" i="1"/>
  <c r="J44" i="1" l="1"/>
  <c r="J20" i="1" s="1"/>
  <c r="I18" i="7"/>
  <c r="F44" i="1"/>
  <c r="E17" i="2"/>
  <c r="G44" i="1"/>
  <c r="I17" i="7"/>
  <c r="D13" i="2"/>
  <c r="C17" i="2"/>
  <c r="F32" i="7" s="1"/>
  <c r="H44" i="1"/>
  <c r="H20" i="1" s="1"/>
  <c r="H22" i="1" s="1"/>
  <c r="H27" i="1" s="1"/>
  <c r="K44" i="1"/>
  <c r="K20" i="1" s="1"/>
  <c r="K22" i="1" s="1"/>
  <c r="K28" i="1" s="1"/>
  <c r="I19" i="7"/>
  <c r="I24" i="7"/>
  <c r="I20" i="7"/>
  <c r="X15" i="7"/>
  <c r="I10" i="7"/>
  <c r="I8" i="7"/>
  <c r="I12" i="7"/>
  <c r="I7" i="7"/>
  <c r="F28" i="7"/>
  <c r="F30" i="7" s="1"/>
  <c r="J27" i="21"/>
  <c r="F14" i="21" s="1"/>
  <c r="E44" i="1"/>
  <c r="E20" i="1" s="1"/>
  <c r="E22" i="1" s="1"/>
  <c r="X17" i="7"/>
  <c r="X18" i="7"/>
  <c r="I13" i="7"/>
  <c r="I22" i="7"/>
  <c r="I21" i="7"/>
  <c r="X8" i="7"/>
  <c r="O44" i="1"/>
  <c r="O20" i="1" s="1"/>
  <c r="O22" i="1" s="1"/>
  <c r="O28" i="1" s="1"/>
  <c r="L44" i="1"/>
  <c r="L20" i="1" s="1"/>
  <c r="L22" i="1" s="1"/>
  <c r="L28" i="1" s="1"/>
  <c r="N44" i="1"/>
  <c r="N20" i="1" s="1"/>
  <c r="N22" i="1" s="1"/>
  <c r="N25" i="1" s="1"/>
  <c r="J22" i="1"/>
  <c r="J27" i="1" s="1"/>
  <c r="D44" i="1"/>
  <c r="D20" i="1" s="1"/>
  <c r="D22" i="1" s="1"/>
  <c r="D25" i="1" s="1"/>
  <c r="I22" i="1"/>
  <c r="I28" i="1" s="1"/>
  <c r="I27" i="71"/>
  <c r="C31" i="71"/>
  <c r="I9" i="7"/>
  <c r="X14" i="7"/>
  <c r="X7" i="7"/>
  <c r="X11" i="7"/>
  <c r="X12" i="7"/>
  <c r="X16" i="7"/>
  <c r="F20" i="1"/>
  <c r="Q10" i="1"/>
  <c r="Q38" i="1"/>
  <c r="G20" i="1"/>
  <c r="C43" i="1"/>
  <c r="C44" i="1" s="1"/>
  <c r="Q12" i="1"/>
  <c r="Q16" i="1" s="1"/>
  <c r="M44" i="1"/>
  <c r="X26" i="7" l="1"/>
  <c r="E21" i="2"/>
  <c r="C23" i="2"/>
  <c r="F17" i="2" s="1"/>
  <c r="J28" i="21"/>
  <c r="Q43" i="1"/>
  <c r="E16" i="83"/>
  <c r="F34" i="7"/>
  <c r="K24" i="1"/>
  <c r="H28" i="1"/>
  <c r="K25" i="1"/>
  <c r="K27" i="1"/>
  <c r="H24" i="1"/>
  <c r="X28" i="7"/>
  <c r="H25" i="1"/>
  <c r="J25" i="1"/>
  <c r="I28" i="7"/>
  <c r="H28" i="7" s="1"/>
  <c r="J24" i="1"/>
  <c r="J28" i="1"/>
  <c r="D27" i="1"/>
  <c r="D24" i="1"/>
  <c r="D26" i="1" s="1"/>
  <c r="D28" i="1"/>
  <c r="C14" i="83"/>
  <c r="F22" i="1"/>
  <c r="F28" i="1" s="1"/>
  <c r="E24" i="1"/>
  <c r="E27" i="1"/>
  <c r="E25" i="1"/>
  <c r="G22" i="1"/>
  <c r="G28" i="1" s="1"/>
  <c r="I24" i="1"/>
  <c r="I25" i="1"/>
  <c r="I27" i="1"/>
  <c r="O27" i="1"/>
  <c r="L25" i="1"/>
  <c r="L27" i="1"/>
  <c r="I32" i="7"/>
  <c r="D17" i="2"/>
  <c r="C16" i="83"/>
  <c r="L24" i="1"/>
  <c r="Q44" i="1"/>
  <c r="C20" i="1"/>
  <c r="E28" i="1"/>
  <c r="M20" i="1"/>
  <c r="O24" i="1"/>
  <c r="O25" i="1"/>
  <c r="N27" i="1"/>
  <c r="N28" i="1"/>
  <c r="N24" i="1"/>
  <c r="N26" i="1" s="1"/>
  <c r="F21" i="2" l="1"/>
  <c r="K26" i="1"/>
  <c r="K30" i="1" s="1"/>
  <c r="Y28" i="7"/>
  <c r="H26" i="1"/>
  <c r="H30" i="1" s="1"/>
  <c r="J26" i="1"/>
  <c r="J30" i="1" s="1"/>
  <c r="E26" i="1"/>
  <c r="E30" i="1" s="1"/>
  <c r="C26" i="83"/>
  <c r="D30" i="1"/>
  <c r="I26" i="1"/>
  <c r="I30" i="1" s="1"/>
  <c r="F27" i="1"/>
  <c r="F24" i="1"/>
  <c r="F25" i="1"/>
  <c r="G24" i="1"/>
  <c r="G27" i="1"/>
  <c r="G25" i="1"/>
  <c r="L26" i="1"/>
  <c r="L30" i="1" s="1"/>
  <c r="C22" i="1"/>
  <c r="C28" i="1" s="1"/>
  <c r="H32" i="7"/>
  <c r="E14" i="83" s="1"/>
  <c r="I34" i="7"/>
  <c r="H34" i="7" s="1"/>
  <c r="E18" i="83" s="1"/>
  <c r="Q20" i="1"/>
  <c r="M22" i="1"/>
  <c r="O26" i="1"/>
  <c r="O30" i="1" s="1"/>
  <c r="N30" i="1"/>
  <c r="C25" i="1" l="1"/>
  <c r="C27" i="1"/>
  <c r="C24" i="1"/>
  <c r="F26" i="1"/>
  <c r="F30" i="1" s="1"/>
  <c r="G26" i="1"/>
  <c r="G30" i="1" s="1"/>
  <c r="Q22" i="1"/>
  <c r="C28" i="83"/>
  <c r="C30" i="83" s="1"/>
  <c r="D14" i="83" s="1"/>
  <c r="F14" i="83" s="1"/>
  <c r="M28" i="1"/>
  <c r="M27" i="1"/>
  <c r="M24" i="1"/>
  <c r="M25" i="1"/>
  <c r="C26" i="1" l="1"/>
  <c r="C30" i="1" s="1"/>
  <c r="M26" i="1"/>
  <c r="M30" i="1" s="1"/>
  <c r="Q24" i="1"/>
  <c r="Q25" i="1"/>
  <c r="Q27" i="1"/>
  <c r="Q28" i="1"/>
  <c r="D28" i="83"/>
  <c r="F28" i="83" s="1"/>
  <c r="D18" i="83"/>
  <c r="D26" i="83" s="1"/>
  <c r="F18" i="21"/>
  <c r="D16" i="83"/>
  <c r="F16" i="83" s="1"/>
  <c r="I33" i="71"/>
  <c r="I35" i="71" s="1"/>
  <c r="I33" i="29"/>
  <c r="I35" i="29" s="1"/>
  <c r="F24" i="83" s="1"/>
  <c r="F18" i="83" l="1"/>
  <c r="F22" i="83"/>
  <c r="Q26" i="1"/>
  <c r="Q30" i="1" s="1"/>
  <c r="D30" i="83"/>
  <c r="F15" i="21" l="1"/>
  <c r="F16" i="21" s="1"/>
  <c r="F20" i="21" s="1"/>
  <c r="F20" i="83" l="1"/>
  <c r="F26" i="83" s="1"/>
  <c r="E19" i="2"/>
  <c r="E26" i="83" l="1"/>
  <c r="F30" i="83"/>
  <c r="E23" i="2"/>
  <c r="F19" i="2"/>
  <c r="F23" i="2" l="1"/>
</calcChain>
</file>

<file path=xl/sharedStrings.xml><?xml version="1.0" encoding="utf-8"?>
<sst xmlns="http://schemas.openxmlformats.org/spreadsheetml/2006/main" count="332" uniqueCount="200">
  <si>
    <t>($ thousands)</t>
  </si>
  <si>
    <t xml:space="preserve"> </t>
  </si>
  <si>
    <t xml:space="preserve">   HEDC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</si>
  <si>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</si>
  <si>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</si>
  <si>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</si>
  <si>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</si>
  <si>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</si>
  <si>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</si>
  <si>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</si>
  <si>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</si>
  <si>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</si>
  <si>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</si>
  <si>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</si>
  <si>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</si>
  <si>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</si>
  <si>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</si>
  <si>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</si>
  <si>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</si>
  <si>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</si>
  <si>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</si>
  <si>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</si>
  <si>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</si>
  <si>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</si>
  <si>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</si>
  <si>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</si>
  <si>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</si>
  <si>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</si>
  <si>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</si>
  <si>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</si>
  <si>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</si>
  <si>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</si>
  <si>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</si>
  <si>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</si>
  <si>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</si>
  <si>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</si>
  <si>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</si>
  <si>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</si>
  <si>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</si>
  <si>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</si>
  <si>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</si>
  <si>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</si>
  <si>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</si>
  <si>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</si>
  <si>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</si>
  <si>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</si>
  <si>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</si>
  <si>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</si>
  <si>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</si>
  <si>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</si>
  <si>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</si>
  <si>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</si>
  <si>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</si>
  <si>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</si>
  <si>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</si>
  <si>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</si>
  <si>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</si>
  <si>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</si>
  <si>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</si>
  <si>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</si>
  <si>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</si>
  <si>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</si>
  <si>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</si>
  <si>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</si>
  <si>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</si>
  <si>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</si>
  <si>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</si>
  <si>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</si>
  <si>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</si>
  <si>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</si>
  <si>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</si>
  <si>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</si>
  <si>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</si>
  <si>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</si>
  <si>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</si>
  <si>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</si>
  <si>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</si>
  <si>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</si>
  <si>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</si>
  <si>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</si>
  <si>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</si>
  <si>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</si>
  <si>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t>Total Capital</t>
  </si>
  <si>
    <t>Cost Rate (ii)</t>
  </si>
  <si>
    <t>SN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</si>
  <si>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</si>
  <si>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</si>
  <si>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</si>
  <si>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</si>
  <si>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</si>
  <si>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</si>
  <si>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</si>
  <si>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</si>
  <si>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</si>
  <si>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</si>
  <si>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</si>
  <si>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</si>
  <si>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</si>
  <si>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</si>
  <si>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</si>
  <si>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</si>
  <si>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</si>
  <si>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</si>
  <si>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</si>
  <si>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</si>
  <si>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</si>
  <si>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</si>
  <si>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</si>
  <si>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</si>
  <si>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</si>
  <si>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</si>
  <si>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</si>
  <si>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</si>
  <si>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</si>
  <si>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JrSubN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</si>
  <si>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</si>
  <si>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</si>
  <si>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</si>
  <si>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</si>
  <si>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</si>
  <si>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</si>
  <si>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</si>
  <si>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</si>
  <si>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</si>
  <si>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</si>
  <si>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</si>
  <si>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</si>
  <si>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</si>
  <si>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</si>
  <si>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</si>
  <si>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</si>
  <si>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</si>
  <si>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</si>
  <si>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</si>
  <si>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</si>
  <si>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</si>
  <si>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</si>
  <si>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</si>
  <si>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</si>
  <si>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</si>
  <si>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</si>
  <si>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</si>
  <si>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</si>
  <si>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</si>
  <si>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</si>
  <si>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</si>
  <si>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</si>
  <si>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</si>
  <si>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</si>
  <si>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$400 million</t>
  </si>
  <si>
    <t>Working Cap Fac</t>
  </si>
  <si>
    <t>TOTAL</t>
  </si>
  <si>
    <t>AMORTIZATION</t>
  </si>
  <si>
    <t>Other Comprehensive Income Adjustments (OCI) and Derivative Accounting</t>
  </si>
  <si>
    <t>Derivative Impacts through Income</t>
  </si>
  <si>
    <t>Intercompany Loan with PE</t>
  </si>
  <si>
    <t>Facility</t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</si>
  <si>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</si>
  <si>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</si>
  <si>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</si>
  <si>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</si>
  <si>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</si>
  <si>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</si>
  <si>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</si>
  <si>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</si>
  <si>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</si>
  <si>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</si>
  <si>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</si>
  <si>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Capex Fac</t>
  </si>
  <si>
    <t>18101083/18900403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</si>
  <si>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</si>
  <si>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</si>
  <si>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</si>
  <si>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</si>
  <si>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</si>
  <si>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</si>
  <si>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</si>
  <si>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</si>
  <si>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</si>
  <si>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</si>
  <si>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</si>
  <si>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</si>
  <si>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</si>
  <si>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</si>
  <si>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</si>
  <si>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</si>
  <si>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</si>
  <si>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December 31, 2017 Through December 31, 2018</t>
  </si>
  <si>
    <t>As of: 12/31/17</t>
  </si>
  <si>
    <t>Total Amortization for 12 months ended 12/31/18</t>
  </si>
  <si>
    <t>For The 12 Months Ending December 31, 2018</t>
  </si>
  <si>
    <r>
      <t>(i)</t>
    </r>
    <r>
      <rPr>
        <sz val="9"/>
        <rFont val="Times New Roman"/>
        <family val="1"/>
      </rPr>
      <t xml:space="preserve"> - Average of Month-End Balances</t>
    </r>
  </si>
  <si>
    <r>
      <t xml:space="preserve">(i) </t>
    </r>
    <r>
      <rPr>
        <sz val="9"/>
        <rFont val="Times New Roman"/>
        <family val="1"/>
      </rPr>
      <t xml:space="preserve"> Weighted Average </t>
    </r>
    <r>
      <rPr>
        <u/>
        <sz val="9"/>
        <rFont val="Times New Roman"/>
        <family val="1"/>
      </rPr>
      <t>Daily</t>
    </r>
    <r>
      <rPr>
        <sz val="9"/>
        <rFont val="Times New Roman"/>
        <family val="1"/>
      </rPr>
      <t xml:space="preserve"> Balance Outstanding for 12 Months Ended</t>
    </r>
  </si>
  <si>
    <r>
      <t xml:space="preserve">(ii) </t>
    </r>
    <r>
      <rPr>
        <sz val="9"/>
        <rFont val="Times New Roman"/>
        <family val="1"/>
      </rPr>
      <t xml:space="preserve"> See Pg 4 STD OS &amp; Comm Fees </t>
    </r>
    <r>
      <rPr>
        <sz val="8"/>
        <rFont val="Times New Roman"/>
        <family val="1"/>
      </rPr>
      <t>(includes any LC Fees)</t>
    </r>
  </si>
  <si>
    <r>
      <t xml:space="preserve">(iii) </t>
    </r>
    <r>
      <rPr>
        <sz val="9"/>
        <rFont val="Times New Roman"/>
        <family val="1"/>
      </rPr>
      <t xml:space="preserve"> See Pg 5 STD Amort</t>
    </r>
  </si>
  <si>
    <t>Puget Sound Energy</t>
  </si>
  <si>
    <r>
      <t>(i)</t>
    </r>
    <r>
      <rPr>
        <sz val="8"/>
        <rFont val="Times New Roman"/>
        <family val="1"/>
      </rPr>
      <t xml:space="preserve"> Net proceeds are the net proceeds per $100 face amount and are the proceeds less underwriter's fees and issuance expenses.</t>
    </r>
  </si>
  <si>
    <r>
      <t>(ii)</t>
    </r>
    <r>
      <rPr>
        <sz val="8"/>
        <rFont val="Times New Roman"/>
        <family val="1"/>
      </rPr>
      <t xml:space="preserve"> Yield to Maturity based on Net Proceeds</t>
    </r>
  </si>
  <si>
    <t>Cost of Long Term Debt ($ in 000's)</t>
  </si>
  <si>
    <r>
      <t xml:space="preserve">  </t>
    </r>
    <r>
      <rPr>
        <sz val="9"/>
        <rFont val="Times New Roman"/>
        <family val="1"/>
      </rPr>
      <t xml:space="preserve">  Amortization is over life of replacement issue or remaining life of called bond if no replacement issue.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</si>
</sst>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0.0_);[Red]\(0.0\)"/>
    <numFmt numFmtId="189" formatCode="_(* #,##0.000_);_(* \(#,##0.000\);_(* &quot;-&quot;??_);_(@_)"/>
  </numFmts>
  <fonts count="60">
    <font>
      <sz val="8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i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b/>
      <sz val="12"/>
      <name val="Times New Roman"/>
      <family val="1"/>
    </font>
    <font>
      <b/>
      <sz val="10"/>
      <color indexed="12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indexed="12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b/>
      <u val="double"/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2"/>
      <name val="Times New Roman"/>
      <family val="1"/>
    </font>
    <font>
      <b/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12"/>
      <name val="Times New Roman"/>
      <family val="1"/>
    </font>
    <font>
      <u/>
      <sz val="10"/>
      <color indexed="8"/>
      <name val="Times New Roman"/>
      <family val="1"/>
    </font>
    <font>
      <u/>
      <sz val="9"/>
      <name val="Times New Roman"/>
      <family val="1"/>
    </font>
    <font>
      <b/>
      <u/>
      <sz val="9"/>
      <name val="Times New Roman"/>
      <family val="1"/>
    </font>
    <font>
      <sz val="9"/>
      <color indexed="12"/>
      <name val="Times New Roman"/>
      <family val="1"/>
    </font>
    <font>
      <i/>
      <sz val="8"/>
      <color indexed="12"/>
      <name val="Times New Roman"/>
      <family val="1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8"/>
      <color indexed="10"/>
      <name val="Times New Roman"/>
      <family val="1"/>
    </font>
    <font>
      <b/>
      <sz val="7"/>
      <name val="Times New Roman"/>
      <family val="1"/>
    </font>
    <font>
      <b/>
      <i/>
      <sz val="9"/>
      <name val="Times New Roman"/>
      <family val="1"/>
    </font>
    <font>
      <b/>
      <u/>
      <sz val="8"/>
      <name val="Times New Roman"/>
      <family val="1"/>
    </font>
    <font>
      <b/>
      <sz val="1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7">
    <xf numFmtId="37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1" applyNumberFormat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1" fillId="17" borderId="2" applyNumberFormat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177" fontId="13" fillId="0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37" fontId="13" fillId="0" borderId="0"/>
    <xf numFmtId="37" fontId="11" fillId="0" borderId="0"/>
    <xf numFmtId="0" fontId="2" fillId="0" borderId="0"/>
    <xf numFmtId="37" fontId="2" fillId="0" borderId="0"/>
    <xf numFmtId="37" fontId="2" fillId="0" borderId="0"/>
    <xf numFmtId="37" fontId="2" fillId="0" borderId="0"/>
    <xf numFmtId="10" fontId="2" fillId="0" borderId="0"/>
    <xf numFmtId="0" fontId="2" fillId="0" borderId="0"/>
    <xf numFmtId="0" fontId="11" fillId="4" borderId="7" applyNumberFormat="0" applyFont="0" applyAlignment="0" applyProtection="0"/>
    <xf numFmtId="0" fontId="11" fillId="4" borderId="7" applyNumberFormat="0" applyFon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424">
    <xf numFmtId="37" fontId="0" fillId="0" borderId="0" xfId="0"/>
    <xf numFmtId="0" fontId="3" fillId="0" borderId="0" xfId="88" applyFont="1"/>
    <xf numFmtId="0" fontId="3" fillId="0" borderId="0" xfId="88" applyFont="1" applyFill="1"/>
    <xf numFmtId="37" fontId="3" fillId="0" borderId="0" xfId="89" applyFont="1" applyAlignment="1" applyProtection="1">
      <alignment horizontal="center"/>
    </xf>
    <xf numFmtId="37" fontId="3" fillId="0" borderId="0" xfId="89" applyFont="1" applyProtection="1"/>
    <xf numFmtId="37" fontId="3" fillId="0" borderId="0" xfId="89" applyFont="1"/>
    <xf numFmtId="37" fontId="4" fillId="0" borderId="0" xfId="0" applyFont="1" applyAlignment="1">
      <alignment horizontal="centerContinuous"/>
    </xf>
    <xf numFmtId="37" fontId="3" fillId="0" borderId="0" xfId="89" applyFont="1" applyAlignment="1">
      <alignment horizontal="centerContinuous"/>
    </xf>
    <xf numFmtId="37" fontId="3" fillId="0" borderId="0" xfId="89" applyFont="1" applyAlignment="1" applyProtection="1">
      <alignment horizontal="left"/>
    </xf>
    <xf numFmtId="10" fontId="3" fillId="0" borderId="0" xfId="89" applyNumberFormat="1" applyFont="1" applyProtection="1"/>
    <xf numFmtId="37" fontId="3" fillId="0" borderId="0" xfId="89" applyNumberFormat="1" applyFont="1" applyProtection="1"/>
    <xf numFmtId="37" fontId="3" fillId="0" borderId="0" xfId="89" applyFont="1" applyAlignment="1">
      <alignment horizontal="center"/>
    </xf>
    <xf numFmtId="15" fontId="3" fillId="0" borderId="0" xfId="89" applyNumberFormat="1" applyFont="1" applyProtection="1"/>
    <xf numFmtId="7" fontId="3" fillId="0" borderId="0" xfId="89" applyNumberFormat="1" applyFont="1" applyProtection="1"/>
    <xf numFmtId="168" fontId="3" fillId="0" borderId="0" xfId="89" applyNumberFormat="1" applyFont="1" applyProtection="1"/>
    <xf numFmtId="1" fontId="3" fillId="0" borderId="0" xfId="92" applyNumberFormat="1" applyFont="1" applyProtection="1"/>
    <xf numFmtId="10" fontId="3" fillId="0" borderId="0" xfId="92" applyFont="1"/>
    <xf numFmtId="10" fontId="3" fillId="0" borderId="0" xfId="92" applyFont="1" applyAlignment="1">
      <alignment horizontal="centerContinuous"/>
    </xf>
    <xf numFmtId="1" fontId="3" fillId="0" borderId="0" xfId="92" applyNumberFormat="1" applyFont="1" applyAlignment="1" applyProtection="1">
      <alignment horizontal="center"/>
    </xf>
    <xf numFmtId="37" fontId="3" fillId="0" borderId="0" xfId="0" applyFont="1"/>
    <xf numFmtId="5" fontId="3" fillId="0" borderId="0" xfId="92" applyNumberFormat="1" applyFont="1" applyProtection="1"/>
    <xf numFmtId="165" fontId="3" fillId="0" borderId="0" xfId="92" applyNumberFormat="1" applyFont="1" applyProtection="1"/>
    <xf numFmtId="10" fontId="3" fillId="0" borderId="0" xfId="92" applyNumberFormat="1" applyFont="1" applyProtection="1"/>
    <xf numFmtId="37" fontId="3" fillId="0" borderId="0" xfId="90" applyFont="1"/>
    <xf numFmtId="37" fontId="3" fillId="0" borderId="0" xfId="90" applyFont="1" applyAlignment="1" applyProtection="1">
      <alignment horizontal="center"/>
    </xf>
    <xf numFmtId="37" fontId="5" fillId="0" borderId="0" xfId="90" applyFont="1" applyAlignment="1">
      <alignment horizontal="center"/>
    </xf>
    <xf numFmtId="5" fontId="3" fillId="0" borderId="0" xfId="90" applyNumberFormat="1" applyFont="1"/>
    <xf numFmtId="37" fontId="6" fillId="0" borderId="0" xfId="90" applyFont="1"/>
    <xf numFmtId="37" fontId="6" fillId="0" borderId="0" xfId="90" applyFont="1" applyFill="1"/>
    <xf numFmtId="15" fontId="3" fillId="0" borderId="0" xfId="90" applyNumberFormat="1" applyFont="1" applyProtection="1"/>
    <xf numFmtId="0" fontId="3" fillId="0" borderId="0" xfId="93" applyFont="1" applyAlignment="1" applyProtection="1">
      <alignment horizontal="left"/>
    </xf>
    <xf numFmtId="0" fontId="4" fillId="0" borderId="0" xfId="93" applyFont="1"/>
    <xf numFmtId="5" fontId="4" fillId="0" borderId="0" xfId="93" applyNumberFormat="1" applyFont="1" applyProtection="1"/>
    <xf numFmtId="37" fontId="8" fillId="0" borderId="0" xfId="90" applyFont="1" applyFill="1" applyAlignment="1">
      <alignment horizontal="center"/>
    </xf>
    <xf numFmtId="5" fontId="6" fillId="0" borderId="0" xfId="90" applyNumberFormat="1" applyFont="1" applyFill="1"/>
    <xf numFmtId="37" fontId="6" fillId="0" borderId="0" xfId="90" applyFont="1" applyFill="1" applyAlignment="1">
      <alignment horizontal="center"/>
    </xf>
    <xf numFmtId="37" fontId="6" fillId="0" borderId="0" xfId="0" applyFont="1" applyFill="1"/>
    <xf numFmtId="10" fontId="6" fillId="0" borderId="0" xfId="0" applyNumberFormat="1" applyFont="1" applyFill="1" applyAlignment="1">
      <alignment horizontal="left"/>
    </xf>
    <xf numFmtId="15" fontId="6" fillId="0" borderId="0" xfId="0" applyNumberFormat="1" applyFont="1" applyFill="1" applyAlignment="1">
      <alignment horizontal="center"/>
    </xf>
    <xf numFmtId="169" fontId="6" fillId="0" borderId="0" xfId="0" applyNumberFormat="1" applyFont="1" applyFill="1"/>
    <xf numFmtId="2" fontId="6" fillId="0" borderId="0" xfId="0" applyNumberFormat="1" applyFont="1" applyFill="1"/>
    <xf numFmtId="10" fontId="6" fillId="0" borderId="0" xfId="0" applyNumberFormat="1" applyFont="1" applyFill="1"/>
    <xf numFmtId="5" fontId="6" fillId="0" borderId="0" xfId="90" applyNumberFormat="1" applyFont="1" applyFill="1" applyProtection="1"/>
    <xf numFmtId="37" fontId="8" fillId="0" borderId="0" xfId="90" applyFont="1" applyFill="1" applyAlignment="1" applyProtection="1">
      <alignment horizontal="center"/>
    </xf>
    <xf numFmtId="10" fontId="6" fillId="0" borderId="0" xfId="90" applyNumberFormat="1" applyFont="1" applyFill="1" applyProtection="1"/>
    <xf numFmtId="168" fontId="6" fillId="0" borderId="0" xfId="90" applyNumberFormat="1" applyFont="1" applyFill="1" applyAlignment="1" applyProtection="1">
      <alignment horizontal="fill"/>
    </xf>
    <xf numFmtId="166" fontId="3" fillId="0" borderId="0" xfId="90" applyNumberFormat="1" applyFont="1" applyFill="1"/>
    <xf numFmtId="0" fontId="7" fillId="0" borderId="0" xfId="88" applyFont="1"/>
    <xf numFmtId="0" fontId="7" fillId="0" borderId="0" xfId="88" applyFont="1" applyFill="1"/>
    <xf numFmtId="164" fontId="7" fillId="0" borderId="0" xfId="88" applyNumberFormat="1" applyFont="1"/>
    <xf numFmtId="175" fontId="7" fillId="0" borderId="0" xfId="88" applyNumberFormat="1" applyFont="1" applyFill="1" applyBorder="1" applyProtection="1"/>
    <xf numFmtId="0" fontId="7" fillId="0" borderId="0" xfId="88" applyFont="1" applyBorder="1"/>
    <xf numFmtId="0" fontId="3" fillId="0" borderId="0" xfId="88" applyFont="1" applyBorder="1"/>
    <xf numFmtId="15" fontId="14" fillId="0" borderId="0" xfId="93" applyNumberFormat="1" applyFont="1" applyBorder="1" applyAlignment="1">
      <alignment horizontal="left"/>
    </xf>
    <xf numFmtId="0" fontId="12" fillId="0" borderId="0" xfId="93" applyFont="1"/>
    <xf numFmtId="0" fontId="14" fillId="0" borderId="0" xfId="93" quotePrefix="1" applyFont="1" applyAlignment="1">
      <alignment horizontal="left"/>
    </xf>
    <xf numFmtId="37" fontId="14" fillId="0" borderId="0" xfId="0" applyFont="1" applyBorder="1"/>
    <xf numFmtId="37" fontId="12" fillId="0" borderId="0" xfId="0" applyFont="1" applyBorder="1"/>
    <xf numFmtId="37" fontId="15" fillId="0" borderId="0" xfId="90" applyFont="1"/>
    <xf numFmtId="10" fontId="3" fillId="0" borderId="0" xfId="92" applyFont="1" applyBorder="1"/>
    <xf numFmtId="37" fontId="8" fillId="0" borderId="0" xfId="90" applyFont="1" applyAlignment="1">
      <alignment horizontal="center"/>
    </xf>
    <xf numFmtId="0" fontId="16" fillId="0" borderId="0" xfId="93" applyFont="1"/>
    <xf numFmtId="0" fontId="7" fillId="0" borderId="0" xfId="88" applyFont="1" applyFill="1" applyBorder="1"/>
    <xf numFmtId="37" fontId="7" fillId="0" borderId="0" xfId="88" applyNumberFormat="1" applyFont="1" applyFill="1" applyBorder="1"/>
    <xf numFmtId="0" fontId="4" fillId="0" borderId="0" xfId="93" applyFont="1" applyFill="1"/>
    <xf numFmtId="0" fontId="4" fillId="0" borderId="0" xfId="93" applyFont="1" applyAlignment="1">
      <alignment horizontal="center"/>
    </xf>
    <xf numFmtId="37" fontId="3" fillId="0" borderId="0" xfId="92" applyNumberFormat="1" applyFont="1"/>
    <xf numFmtId="167" fontId="3" fillId="0" borderId="0" xfId="92" applyNumberFormat="1" applyFont="1"/>
    <xf numFmtId="10" fontId="6" fillId="0" borderId="0" xfId="92" applyFont="1"/>
    <xf numFmtId="37" fontId="3" fillId="0" borderId="0" xfId="92" applyNumberFormat="1" applyFont="1" applyBorder="1"/>
    <xf numFmtId="5" fontId="15" fillId="0" borderId="0" xfId="90" applyNumberFormat="1" applyFont="1" applyFill="1"/>
    <xf numFmtId="5" fontId="3" fillId="0" borderId="0" xfId="90" applyNumberFormat="1" applyFont="1" applyFill="1"/>
    <xf numFmtId="37" fontId="3" fillId="0" borderId="0" xfId="90" applyFont="1" applyFill="1"/>
    <xf numFmtId="37" fontId="8" fillId="0" borderId="0" xfId="90" applyFont="1" applyAlignment="1">
      <alignment horizontal="right"/>
    </xf>
    <xf numFmtId="0" fontId="33" fillId="0" borderId="0" xfId="88" applyFont="1"/>
    <xf numFmtId="5" fontId="4" fillId="0" borderId="0" xfId="93" applyNumberFormat="1" applyFont="1"/>
    <xf numFmtId="10" fontId="7" fillId="0" borderId="0" xfId="98" applyNumberFormat="1" applyFont="1"/>
    <xf numFmtId="10" fontId="12" fillId="0" borderId="0" xfId="98" applyNumberFormat="1" applyFont="1"/>
    <xf numFmtId="168" fontId="3" fillId="0" borderId="0" xfId="98" applyNumberFormat="1" applyFont="1"/>
    <xf numFmtId="14" fontId="3" fillId="0" borderId="0" xfId="90" applyNumberFormat="1" applyFont="1"/>
    <xf numFmtId="10" fontId="7" fillId="0" borderId="0" xfId="98" applyNumberFormat="1" applyFont="1" applyFill="1"/>
    <xf numFmtId="10" fontId="5" fillId="0" borderId="0" xfId="92" applyFont="1" applyAlignment="1">
      <alignment horizontal="centerContinuous"/>
    </xf>
    <xf numFmtId="1" fontId="15" fillId="0" borderId="0" xfId="92" applyNumberFormat="1" applyFont="1" applyAlignment="1" applyProtection="1">
      <alignment horizontal="center"/>
    </xf>
    <xf numFmtId="37" fontId="36" fillId="0" borderId="0" xfId="89" applyFont="1" applyAlignment="1" applyProtection="1">
      <alignment horizontal="center"/>
    </xf>
    <xf numFmtId="10" fontId="3" fillId="0" borderId="0" xfId="92" applyFont="1" applyAlignment="1">
      <alignment horizontal="center"/>
    </xf>
    <xf numFmtId="10" fontId="5" fillId="0" borderId="0" xfId="92" applyFont="1" applyAlignment="1">
      <alignment horizontal="center"/>
    </xf>
    <xf numFmtId="10" fontId="5" fillId="0" borderId="0" xfId="92" applyFont="1" applyAlignment="1" applyProtection="1">
      <alignment horizontal="center"/>
    </xf>
    <xf numFmtId="10" fontId="37" fillId="0" borderId="0" xfId="92" applyFont="1" applyAlignment="1" applyProtection="1">
      <alignment horizontal="center"/>
    </xf>
    <xf numFmtId="10" fontId="3" fillId="0" borderId="0" xfId="92" applyFont="1" applyAlignment="1" applyProtection="1">
      <alignment horizontal="left"/>
    </xf>
    <xf numFmtId="5" fontId="3" fillId="0" borderId="0" xfId="55" applyNumberFormat="1" applyFont="1" applyAlignment="1" applyProtection="1"/>
    <xf numFmtId="168" fontId="3" fillId="0" borderId="0" xfId="92" applyNumberFormat="1" applyFont="1" applyAlignment="1" applyProtection="1"/>
    <xf numFmtId="10" fontId="3" fillId="0" borderId="0" xfId="92" applyFont="1" applyFill="1" applyAlignment="1" applyProtection="1"/>
    <xf numFmtId="10" fontId="3" fillId="0" borderId="0" xfId="92" applyNumberFormat="1" applyFont="1" applyAlignment="1" applyProtection="1"/>
    <xf numFmtId="5" fontId="3" fillId="0" borderId="0" xfId="92" applyNumberFormat="1" applyFont="1" applyAlignment="1" applyProtection="1"/>
    <xf numFmtId="10" fontId="3" fillId="0" borderId="0" xfId="92" applyFont="1" applyAlignment="1" applyProtection="1"/>
    <xf numFmtId="10" fontId="38" fillId="0" borderId="0" xfId="92" applyNumberFormat="1" applyFont="1" applyFill="1" applyAlignment="1" applyProtection="1"/>
    <xf numFmtId="10" fontId="3" fillId="0" borderId="0" xfId="92" applyFont="1" applyBorder="1" applyAlignment="1" applyProtection="1"/>
    <xf numFmtId="10" fontId="5" fillId="0" borderId="0" xfId="92" applyFont="1"/>
    <xf numFmtId="5" fontId="3" fillId="0" borderId="0" xfId="92" applyNumberFormat="1" applyFont="1" applyAlignment="1"/>
    <xf numFmtId="10" fontId="3" fillId="0" borderId="0" xfId="92" applyNumberFormat="1" applyFont="1" applyAlignment="1"/>
    <xf numFmtId="10" fontId="39" fillId="0" borderId="0" xfId="92" applyFont="1" applyBorder="1"/>
    <xf numFmtId="187" fontId="39" fillId="0" borderId="0" xfId="92" applyNumberFormat="1" applyFont="1" applyBorder="1"/>
    <xf numFmtId="5" fontId="3" fillId="0" borderId="0" xfId="92" applyNumberFormat="1" applyFont="1" applyFill="1" applyAlignment="1"/>
    <xf numFmtId="37" fontId="15" fillId="0" borderId="0" xfId="0" applyFont="1"/>
    <xf numFmtId="10" fontId="3" fillId="0" borderId="0" xfId="92" applyFont="1" applyFill="1" applyBorder="1" applyAlignment="1" applyProtection="1"/>
    <xf numFmtId="10" fontId="5" fillId="0" borderId="0" xfId="92" applyFont="1" applyAlignment="1" applyProtection="1">
      <alignment horizontal="left"/>
    </xf>
    <xf numFmtId="5" fontId="40" fillId="0" borderId="0" xfId="92" applyNumberFormat="1" applyFont="1" applyFill="1" applyBorder="1" applyAlignment="1" applyProtection="1"/>
    <xf numFmtId="10" fontId="40" fillId="0" borderId="0" xfId="92" applyNumberFormat="1" applyFont="1" applyFill="1" applyAlignment="1" applyProtection="1"/>
    <xf numFmtId="10" fontId="3" fillId="0" borderId="0" xfId="92" applyNumberFormat="1" applyFont="1" applyFill="1" applyBorder="1" applyAlignment="1" applyProtection="1"/>
    <xf numFmtId="10" fontId="40" fillId="0" borderId="0" xfId="92" applyNumberFormat="1" applyFont="1" applyAlignment="1" applyProtection="1"/>
    <xf numFmtId="182" fontId="41" fillId="0" borderId="0" xfId="92" applyNumberFormat="1" applyFont="1" applyBorder="1" applyAlignment="1">
      <alignment horizontal="center"/>
    </xf>
    <xf numFmtId="37" fontId="3" fillId="0" borderId="0" xfId="92" applyNumberFormat="1" applyFont="1" applyBorder="1" applyAlignment="1">
      <alignment horizontal="center"/>
    </xf>
    <xf numFmtId="10" fontId="41" fillId="0" borderId="0" xfId="92" applyFont="1" applyBorder="1" applyAlignment="1" applyProtection="1"/>
    <xf numFmtId="165" fontId="3" fillId="0" borderId="0" xfId="92" applyNumberFormat="1" applyFont="1" applyBorder="1" applyAlignment="1" applyProtection="1"/>
    <xf numFmtId="10" fontId="41" fillId="0" borderId="0" xfId="92" applyNumberFormat="1" applyFont="1" applyFill="1" applyBorder="1" applyAlignment="1" applyProtection="1"/>
    <xf numFmtId="5" fontId="42" fillId="0" borderId="0" xfId="92" applyNumberFormat="1" applyFont="1" applyFill="1" applyBorder="1" applyAlignment="1" applyProtection="1"/>
    <xf numFmtId="10" fontId="42" fillId="0" borderId="0" xfId="92" applyNumberFormat="1" applyFont="1" applyFill="1" applyBorder="1" applyAlignment="1" applyProtection="1"/>
    <xf numFmtId="189" fontId="3" fillId="0" borderId="0" xfId="55" applyNumberFormat="1" applyFont="1" applyBorder="1" applyAlignment="1"/>
    <xf numFmtId="10" fontId="42" fillId="0" borderId="0" xfId="92" applyNumberFormat="1" applyFont="1" applyBorder="1" applyAlignment="1" applyProtection="1"/>
    <xf numFmtId="10" fontId="3" fillId="0" borderId="0" xfId="92" applyNumberFormat="1" applyFont="1" applyBorder="1" applyAlignment="1" applyProtection="1"/>
    <xf numFmtId="10" fontId="3" fillId="0" borderId="0" xfId="92" applyFont="1" applyFill="1" applyBorder="1"/>
    <xf numFmtId="10" fontId="42" fillId="0" borderId="0" xfId="92" applyFont="1" applyBorder="1" applyAlignment="1"/>
    <xf numFmtId="10" fontId="3" fillId="0" borderId="0" xfId="92" applyFont="1" applyFill="1"/>
    <xf numFmtId="10" fontId="14" fillId="0" borderId="0" xfId="92" applyFont="1" applyAlignment="1" applyProtection="1">
      <alignment horizontal="left"/>
    </xf>
    <xf numFmtId="38" fontId="3" fillId="0" borderId="0" xfId="92" applyNumberFormat="1" applyFont="1"/>
    <xf numFmtId="5" fontId="3" fillId="0" borderId="0" xfId="92" applyNumberFormat="1" applyFont="1"/>
    <xf numFmtId="1" fontId="12" fillId="0" borderId="0" xfId="92" applyNumberFormat="1" applyFont="1" applyAlignment="1" applyProtection="1">
      <alignment horizontal="center"/>
    </xf>
    <xf numFmtId="37" fontId="36" fillId="0" borderId="0" xfId="89" applyFont="1" applyFill="1" applyAlignment="1" applyProtection="1">
      <alignment horizontal="center"/>
    </xf>
    <xf numFmtId="0" fontId="14" fillId="0" borderId="0" xfId="88" applyFont="1" applyAlignment="1">
      <alignment horizontal="centerContinuous"/>
    </xf>
    <xf numFmtId="17" fontId="44" fillId="0" borderId="0" xfId="88" applyNumberFormat="1" applyFont="1" applyFill="1" applyAlignment="1" applyProtection="1">
      <alignment horizontal="center"/>
    </xf>
    <xf numFmtId="0" fontId="45" fillId="0" borderId="0" xfId="88" applyFont="1" applyAlignment="1" applyProtection="1">
      <alignment horizontal="center" wrapText="1"/>
    </xf>
    <xf numFmtId="0" fontId="46" fillId="0" borderId="0" xfId="88" applyFont="1" applyAlignment="1" applyProtection="1">
      <alignment horizontal="center" wrapText="1"/>
    </xf>
    <xf numFmtId="17" fontId="46" fillId="0" borderId="0" xfId="88" applyNumberFormat="1" applyFont="1" applyFill="1" applyAlignment="1" applyProtection="1">
      <alignment horizontal="center"/>
    </xf>
    <xf numFmtId="0" fontId="15" fillId="0" borderId="0" xfId="88" applyFont="1"/>
    <xf numFmtId="176" fontId="47" fillId="0" borderId="0" xfId="88" applyNumberFormat="1" applyFont="1" applyFill="1" applyProtection="1"/>
    <xf numFmtId="175" fontId="33" fillId="0" borderId="19" xfId="88" applyNumberFormat="1" applyFont="1" applyFill="1" applyBorder="1" applyProtection="1"/>
    <xf numFmtId="176" fontId="46" fillId="0" borderId="0" xfId="88" applyNumberFormat="1" applyFont="1" applyAlignment="1" applyProtection="1">
      <alignment horizontal="center" wrapText="1"/>
    </xf>
    <xf numFmtId="0" fontId="36" fillId="0" borderId="0" xfId="88" applyFont="1" applyAlignment="1" applyProtection="1">
      <alignment horizontal="left"/>
    </xf>
    <xf numFmtId="164" fontId="15" fillId="0" borderId="26" xfId="88" applyNumberFormat="1" applyFont="1" applyFill="1" applyBorder="1" applyProtection="1"/>
    <xf numFmtId="164" fontId="15" fillId="0" borderId="0" xfId="88" applyNumberFormat="1" applyFont="1" applyFill="1" applyBorder="1" applyProtection="1"/>
    <xf numFmtId="175" fontId="33" fillId="0" borderId="0" xfId="88" applyNumberFormat="1" applyFont="1" applyFill="1" applyProtection="1"/>
    <xf numFmtId="164" fontId="33" fillId="0" borderId="0" xfId="88" applyNumberFormat="1" applyFont="1" applyFill="1" applyProtection="1"/>
    <xf numFmtId="0" fontId="15" fillId="0" borderId="0" xfId="88" applyFont="1" applyAlignment="1" applyProtection="1">
      <alignment horizontal="left"/>
    </xf>
    <xf numFmtId="164" fontId="15" fillId="0" borderId="0" xfId="88" applyNumberFormat="1" applyFont="1" applyFill="1" applyProtection="1"/>
    <xf numFmtId="164" fontId="47" fillId="0" borderId="0" xfId="88" applyNumberFormat="1" applyFont="1" applyFill="1" applyProtection="1"/>
    <xf numFmtId="175" fontId="47" fillId="0" borderId="0" xfId="88" applyNumberFormat="1" applyFont="1" applyFill="1" applyProtection="1"/>
    <xf numFmtId="164" fontId="33" fillId="0" borderId="19" xfId="88" applyNumberFormat="1" applyFont="1" applyFill="1" applyBorder="1" applyProtection="1"/>
    <xf numFmtId="175" fontId="45" fillId="0" borderId="19" xfId="88" applyNumberFormat="1" applyFont="1" applyFill="1" applyBorder="1" applyProtection="1"/>
    <xf numFmtId="164" fontId="33" fillId="0" borderId="26" xfId="88" applyNumberFormat="1" applyFont="1" applyFill="1" applyBorder="1" applyProtection="1"/>
    <xf numFmtId="164" fontId="33" fillId="0" borderId="0" xfId="88" applyNumberFormat="1" applyFont="1" applyFill="1" applyBorder="1" applyProtection="1"/>
    <xf numFmtId="183" fontId="33" fillId="0" borderId="0" xfId="88" applyNumberFormat="1" applyFont="1" applyFill="1" applyProtection="1"/>
    <xf numFmtId="43" fontId="47" fillId="0" borderId="0" xfId="88" applyNumberFormat="1" applyFont="1" applyFill="1" applyProtection="1"/>
    <xf numFmtId="37" fontId="33" fillId="0" borderId="0" xfId="88" applyNumberFormat="1" applyFont="1" applyFill="1" applyProtection="1"/>
    <xf numFmtId="175" fontId="33" fillId="0" borderId="10" xfId="88" applyNumberFormat="1" applyFont="1" applyFill="1" applyBorder="1" applyProtection="1"/>
    <xf numFmtId="175" fontId="15" fillId="0" borderId="0" xfId="88" applyNumberFormat="1" applyFont="1" applyFill="1" applyBorder="1" applyProtection="1"/>
    <xf numFmtId="175" fontId="33" fillId="0" borderId="0" xfId="88" applyNumberFormat="1" applyFont="1" applyFill="1" applyBorder="1" applyProtection="1"/>
    <xf numFmtId="175" fontId="33" fillId="0" borderId="20" xfId="88" applyNumberFormat="1" applyFont="1" applyFill="1" applyBorder="1" applyProtection="1"/>
    <xf numFmtId="164" fontId="33" fillId="0" borderId="25" xfId="88" applyNumberFormat="1" applyFont="1" applyFill="1" applyBorder="1" applyProtection="1"/>
    <xf numFmtId="164" fontId="45" fillId="0" borderId="24" xfId="88" applyNumberFormat="1" applyFont="1" applyFill="1" applyBorder="1" applyProtection="1"/>
    <xf numFmtId="164" fontId="33" fillId="0" borderId="22" xfId="88" applyNumberFormat="1" applyFont="1" applyFill="1" applyBorder="1" applyProtection="1"/>
    <xf numFmtId="37" fontId="15" fillId="0" borderId="0" xfId="91" applyFont="1" applyBorder="1" applyAlignment="1" applyProtection="1">
      <alignment horizontal="left"/>
    </xf>
    <xf numFmtId="165" fontId="33" fillId="0" borderId="0" xfId="88" applyNumberFormat="1" applyFont="1" applyFill="1" applyProtection="1"/>
    <xf numFmtId="165" fontId="33" fillId="0" borderId="19" xfId="88" applyNumberFormat="1" applyFont="1" applyFill="1" applyBorder="1" applyProtection="1"/>
    <xf numFmtId="165" fontId="33" fillId="0" borderId="10" xfId="88" applyNumberFormat="1" applyFont="1" applyFill="1" applyBorder="1" applyProtection="1"/>
    <xf numFmtId="165" fontId="33" fillId="0" borderId="20" xfId="88" applyNumberFormat="1" applyFont="1" applyFill="1" applyBorder="1" applyProtection="1"/>
    <xf numFmtId="10" fontId="33" fillId="0" borderId="10" xfId="88" applyNumberFormat="1" applyFont="1" applyFill="1" applyBorder="1" applyProtection="1"/>
    <xf numFmtId="1" fontId="12" fillId="0" borderId="0" xfId="92" applyNumberFormat="1" applyFont="1" applyFill="1" applyAlignment="1" applyProtection="1">
      <alignment horizontal="center"/>
    </xf>
    <xf numFmtId="165" fontId="33" fillId="0" borderId="0" xfId="88" applyNumberFormat="1" applyFont="1" applyFill="1"/>
    <xf numFmtId="0" fontId="33" fillId="0" borderId="0" xfId="88" applyFont="1" applyFill="1"/>
    <xf numFmtId="0" fontId="33" fillId="0" borderId="19" xfId="88" applyFont="1" applyFill="1" applyBorder="1"/>
    <xf numFmtId="165" fontId="33" fillId="0" borderId="27" xfId="88" applyNumberFormat="1" applyFont="1" applyFill="1" applyBorder="1" applyProtection="1"/>
    <xf numFmtId="165" fontId="33" fillId="0" borderId="28" xfId="88" applyNumberFormat="1" applyFont="1" applyFill="1" applyBorder="1" applyProtection="1"/>
    <xf numFmtId="10" fontId="33" fillId="0" borderId="0" xfId="98" applyNumberFormat="1" applyFont="1" applyFill="1" applyBorder="1" applyProtection="1"/>
    <xf numFmtId="184" fontId="33" fillId="0" borderId="0" xfId="88" applyNumberFormat="1" applyFont="1" applyFill="1" applyBorder="1" applyProtection="1"/>
    <xf numFmtId="164" fontId="47" fillId="0" borderId="0" xfId="88" applyNumberFormat="1" applyFont="1" applyFill="1" applyBorder="1" applyProtection="1"/>
    <xf numFmtId="0" fontId="47" fillId="0" borderId="0" xfId="88" applyFont="1" applyFill="1"/>
    <xf numFmtId="5" fontId="33" fillId="0" borderId="0" xfId="88" applyNumberFormat="1" applyFont="1" applyFill="1" applyProtection="1"/>
    <xf numFmtId="175" fontId="47" fillId="0" borderId="0" xfId="88" applyNumberFormat="1" applyFont="1" applyFill="1" applyBorder="1" applyProtection="1"/>
    <xf numFmtId="0" fontId="15" fillId="0" borderId="12" xfId="88" applyFont="1" applyBorder="1" applyAlignment="1" applyProtection="1">
      <alignment horizontal="left"/>
    </xf>
    <xf numFmtId="164" fontId="15" fillId="0" borderId="12" xfId="88" applyNumberFormat="1" applyFont="1" applyFill="1" applyBorder="1" applyProtection="1"/>
    <xf numFmtId="0" fontId="15" fillId="0" borderId="0" xfId="88" applyFont="1" applyBorder="1" applyAlignment="1" applyProtection="1">
      <alignment horizontal="left"/>
    </xf>
    <xf numFmtId="0" fontId="15" fillId="0" borderId="0" xfId="88" applyFont="1" applyBorder="1" applyAlignment="1" applyProtection="1">
      <alignment horizontal="left" indent="1"/>
    </xf>
    <xf numFmtId="179" fontId="33" fillId="0" borderId="0" xfId="88" applyNumberFormat="1" applyFont="1" applyFill="1" applyProtection="1"/>
    <xf numFmtId="0" fontId="15" fillId="0" borderId="12" xfId="88" applyFont="1" applyBorder="1" applyAlignment="1" applyProtection="1">
      <alignment horizontal="left" indent="2"/>
    </xf>
    <xf numFmtId="175" fontId="15" fillId="0" borderId="12" xfId="88" applyNumberFormat="1" applyFont="1" applyFill="1" applyBorder="1" applyProtection="1"/>
    <xf numFmtId="179" fontId="47" fillId="0" borderId="0" xfId="88" applyNumberFormat="1" applyFont="1" applyFill="1" applyBorder="1" applyProtection="1"/>
    <xf numFmtId="175" fontId="45" fillId="0" borderId="0" xfId="88" applyNumberFormat="1" applyFont="1" applyFill="1" applyBorder="1" applyProtection="1"/>
    <xf numFmtId="37" fontId="47" fillId="0" borderId="0" xfId="88" applyNumberFormat="1" applyFont="1" applyFill="1" applyBorder="1" applyProtection="1"/>
    <xf numFmtId="164" fontId="45" fillId="0" borderId="23" xfId="88" applyNumberFormat="1" applyFont="1" applyFill="1" applyBorder="1" applyProtection="1"/>
    <xf numFmtId="175" fontId="45" fillId="0" borderId="23" xfId="88" applyNumberFormat="1" applyFont="1" applyFill="1" applyBorder="1" applyProtection="1"/>
    <xf numFmtId="37" fontId="5" fillId="0" borderId="0" xfId="89" applyFont="1" applyAlignment="1" applyProtection="1">
      <alignment horizontal="center"/>
    </xf>
    <xf numFmtId="37" fontId="5" fillId="0" borderId="0" xfId="89" applyFont="1"/>
    <xf numFmtId="37" fontId="37" fillId="0" borderId="0" xfId="89" applyFont="1" applyAlignment="1" applyProtection="1">
      <alignment horizontal="center"/>
    </xf>
    <xf numFmtId="37" fontId="3" fillId="0" borderId="0" xfId="89" applyFont="1" applyAlignment="1" applyProtection="1">
      <alignment horizontal="fill"/>
    </xf>
    <xf numFmtId="5" fontId="3" fillId="0" borderId="0" xfId="89" applyNumberFormat="1" applyFont="1" applyProtection="1"/>
    <xf numFmtId="168" fontId="7" fillId="0" borderId="0" xfId="89" applyNumberFormat="1" applyFont="1" applyProtection="1"/>
    <xf numFmtId="5" fontId="7" fillId="0" borderId="0" xfId="89" applyNumberFormat="1" applyFont="1"/>
    <xf numFmtId="37" fontId="3" fillId="0" borderId="0" xfId="89" applyFont="1" applyAlignment="1">
      <alignment horizontal="left" indent="1"/>
    </xf>
    <xf numFmtId="5" fontId="7" fillId="0" borderId="26" xfId="89" applyNumberFormat="1" applyFont="1" applyBorder="1"/>
    <xf numFmtId="168" fontId="7" fillId="0" borderId="26" xfId="89" applyNumberFormat="1" applyFont="1" applyBorder="1" applyProtection="1"/>
    <xf numFmtId="5" fontId="3" fillId="0" borderId="26" xfId="89" applyNumberFormat="1" applyFont="1" applyBorder="1" applyProtection="1"/>
    <xf numFmtId="170" fontId="7" fillId="0" borderId="0" xfId="55" applyNumberFormat="1" applyFont="1"/>
    <xf numFmtId="168" fontId="7" fillId="0" borderId="0" xfId="89" applyNumberFormat="1" applyFont="1"/>
    <xf numFmtId="5" fontId="3" fillId="0" borderId="0" xfId="89" applyNumberFormat="1" applyFont="1"/>
    <xf numFmtId="5" fontId="48" fillId="0" borderId="0" xfId="89" applyNumberFormat="1" applyFont="1"/>
    <xf numFmtId="5" fontId="48" fillId="0" borderId="0" xfId="89" applyNumberFormat="1" applyFont="1" applyProtection="1"/>
    <xf numFmtId="5" fontId="3" fillId="0" borderId="0" xfId="89" applyNumberFormat="1" applyFont="1" applyFill="1" applyProtection="1"/>
    <xf numFmtId="10" fontId="3" fillId="0" borderId="0" xfId="89" applyNumberFormat="1" applyFont="1"/>
    <xf numFmtId="10" fontId="5" fillId="0" borderId="0" xfId="89" applyNumberFormat="1" applyFont="1" applyProtection="1"/>
    <xf numFmtId="5" fontId="40" fillId="0" borderId="0" xfId="89" applyNumberFormat="1" applyFont="1"/>
    <xf numFmtId="5" fontId="40" fillId="0" borderId="0" xfId="89" applyNumberFormat="1" applyFont="1" applyProtection="1"/>
    <xf numFmtId="5" fontId="7" fillId="0" borderId="0" xfId="89" applyNumberFormat="1" applyFont="1" applyFill="1" applyProtection="1"/>
    <xf numFmtId="5" fontId="7" fillId="0" borderId="0" xfId="89" applyNumberFormat="1" applyFont="1" applyProtection="1"/>
    <xf numFmtId="37" fontId="5" fillId="0" borderId="11" xfId="89" applyFont="1" applyBorder="1" applyAlignment="1" applyProtection="1">
      <alignment horizontal="left"/>
    </xf>
    <xf numFmtId="5" fontId="5" fillId="0" borderId="12" xfId="89" applyNumberFormat="1" applyFont="1" applyBorder="1" applyProtection="1"/>
    <xf numFmtId="5" fontId="5" fillId="0" borderId="12" xfId="89" applyNumberFormat="1" applyFont="1" applyBorder="1"/>
    <xf numFmtId="37" fontId="14" fillId="0" borderId="0" xfId="89" applyFont="1" applyAlignment="1" applyProtection="1">
      <alignment horizontal="left"/>
    </xf>
    <xf numFmtId="37" fontId="12" fillId="0" borderId="0" xfId="89" applyFont="1" applyAlignment="1" applyProtection="1">
      <alignment horizontal="left"/>
    </xf>
    <xf numFmtId="10" fontId="5" fillId="0" borderId="23" xfId="89" applyNumberFormat="1" applyFont="1" applyFill="1" applyBorder="1" applyAlignment="1" applyProtection="1">
      <alignment horizontal="center"/>
    </xf>
    <xf numFmtId="37" fontId="12" fillId="0" borderId="0" xfId="0" applyFont="1"/>
    <xf numFmtId="37" fontId="14" fillId="0" borderId="0" xfId="0" applyFont="1"/>
    <xf numFmtId="166" fontId="14" fillId="0" borderId="0" xfId="0" applyNumberFormat="1" applyFont="1" applyAlignment="1">
      <alignment horizontal="left"/>
    </xf>
    <xf numFmtId="37" fontId="15" fillId="0" borderId="0" xfId="89" applyFont="1" applyAlignment="1" applyProtection="1">
      <alignment horizontal="center"/>
    </xf>
    <xf numFmtId="37" fontId="5" fillId="0" borderId="0" xfId="89" applyFont="1" applyBorder="1" applyAlignment="1" applyProtection="1">
      <alignment horizontal="center"/>
    </xf>
    <xf numFmtId="37" fontId="50" fillId="0" borderId="29" xfId="0" applyFont="1" applyFill="1" applyBorder="1"/>
    <xf numFmtId="37" fontId="12" fillId="0" borderId="15" xfId="0" applyFont="1" applyFill="1" applyBorder="1"/>
    <xf numFmtId="37" fontId="15" fillId="0" borderId="15" xfId="0" applyFont="1" applyBorder="1"/>
    <xf numFmtId="37" fontId="15" fillId="0" borderId="14" xfId="0" applyFont="1" applyBorder="1"/>
    <xf numFmtId="37" fontId="12" fillId="0" borderId="16" xfId="0" applyFont="1" applyFill="1" applyBorder="1"/>
    <xf numFmtId="37" fontId="12" fillId="0" borderId="0" xfId="0" applyFont="1" applyFill="1" applyBorder="1"/>
    <xf numFmtId="37" fontId="12" fillId="0" borderId="17" xfId="0" applyFont="1" applyBorder="1"/>
    <xf numFmtId="37" fontId="51" fillId="0" borderId="0" xfId="0" applyFont="1"/>
    <xf numFmtId="37" fontId="12" fillId="0" borderId="0" xfId="0" applyFont="1" applyFill="1" applyBorder="1" applyAlignment="1">
      <alignment horizontal="center"/>
    </xf>
    <xf numFmtId="178" fontId="12" fillId="0" borderId="0" xfId="98" applyNumberFormat="1" applyFont="1"/>
    <xf numFmtId="37" fontId="49" fillId="0" borderId="0" xfId="0" applyFont="1" applyFill="1" applyBorder="1" applyAlignment="1">
      <alignment horizontal="center"/>
    </xf>
    <xf numFmtId="37" fontId="49" fillId="0" borderId="0" xfId="0" applyFont="1" applyBorder="1" applyAlignment="1">
      <alignment horizontal="center"/>
    </xf>
    <xf numFmtId="37" fontId="49" fillId="0" borderId="0" xfId="0" applyFont="1"/>
    <xf numFmtId="37" fontId="15" fillId="0" borderId="0" xfId="0" applyFont="1" applyBorder="1"/>
    <xf numFmtId="37" fontId="15" fillId="0" borderId="0" xfId="0" applyFont="1" applyFill="1" applyBorder="1"/>
    <xf numFmtId="5" fontId="51" fillId="0" borderId="0" xfId="59" applyNumberFormat="1" applyFont="1" applyFill="1" applyBorder="1"/>
    <xf numFmtId="168" fontId="12" fillId="0" borderId="0" xfId="0" applyNumberFormat="1" applyFont="1" applyFill="1" applyBorder="1" applyAlignment="1">
      <alignment horizontal="center"/>
    </xf>
    <xf numFmtId="5" fontId="51" fillId="0" borderId="0" xfId="55" applyNumberFormat="1" applyFont="1" applyFill="1" applyBorder="1"/>
    <xf numFmtId="180" fontId="52" fillId="0" borderId="0" xfId="0" applyNumberFormat="1" applyFont="1" applyFill="1" applyBorder="1" applyAlignment="1">
      <alignment horizontal="left" indent="1"/>
    </xf>
    <xf numFmtId="168" fontId="12" fillId="0" borderId="0" xfId="98" applyNumberFormat="1" applyFont="1" applyFill="1" applyBorder="1" applyAlignment="1">
      <alignment horizontal="left"/>
    </xf>
    <xf numFmtId="180" fontId="51" fillId="0" borderId="0" xfId="0" applyNumberFormat="1" applyFont="1" applyFill="1" applyBorder="1"/>
    <xf numFmtId="170" fontId="12" fillId="0" borderId="0" xfId="55" applyNumberFormat="1" applyFont="1" applyFill="1" applyBorder="1"/>
    <xf numFmtId="168" fontId="51" fillId="0" borderId="0" xfId="98" applyNumberFormat="1" applyFont="1" applyFill="1" applyBorder="1"/>
    <xf numFmtId="168" fontId="12" fillId="0" borderId="0" xfId="98" applyNumberFormat="1" applyFont="1"/>
    <xf numFmtId="37" fontId="14" fillId="0" borderId="16" xfId="0" applyFont="1" applyFill="1" applyBorder="1" applyAlignment="1">
      <alignment horizontal="left" indent="1"/>
    </xf>
    <xf numFmtId="5" fontId="12" fillId="0" borderId="25" xfId="55" applyNumberFormat="1" applyFont="1" applyFill="1" applyBorder="1"/>
    <xf numFmtId="5" fontId="14" fillId="0" borderId="25" xfId="55" applyNumberFormat="1" applyFont="1" applyFill="1" applyBorder="1"/>
    <xf numFmtId="168" fontId="12" fillId="0" borderId="25" xfId="98" applyNumberFormat="1" applyFont="1" applyFill="1" applyBorder="1" applyAlignment="1">
      <alignment horizontal="center"/>
    </xf>
    <xf numFmtId="5" fontId="12" fillId="0" borderId="0" xfId="55" applyNumberFormat="1" applyFont="1" applyFill="1" applyBorder="1"/>
    <xf numFmtId="5" fontId="14" fillId="0" borderId="0" xfId="55" applyNumberFormat="1" applyFont="1" applyFill="1" applyBorder="1"/>
    <xf numFmtId="168" fontId="12" fillId="0" borderId="0" xfId="98" applyNumberFormat="1" applyFont="1" applyFill="1" applyBorder="1" applyAlignment="1">
      <alignment horizontal="center"/>
    </xf>
    <xf numFmtId="37" fontId="14" fillId="0" borderId="16" xfId="0" applyFont="1" applyFill="1" applyBorder="1"/>
    <xf numFmtId="44" fontId="53" fillId="0" borderId="0" xfId="59" applyFont="1" applyFill="1" applyBorder="1"/>
    <xf numFmtId="167" fontId="53" fillId="0" borderId="0" xfId="0" applyNumberFormat="1" applyFont="1" applyFill="1" applyBorder="1"/>
    <xf numFmtId="5" fontId="46" fillId="0" borderId="0" xfId="59" applyNumberFormat="1" applyFont="1" applyFill="1" applyBorder="1"/>
    <xf numFmtId="10" fontId="53" fillId="0" borderId="0" xfId="98" applyNumberFormat="1" applyFont="1" applyFill="1" applyBorder="1"/>
    <xf numFmtId="37" fontId="36" fillId="0" borderId="13" xfId="0" applyFont="1" applyFill="1" applyBorder="1"/>
    <xf numFmtId="37" fontId="12" fillId="0" borderId="18" xfId="0" applyFont="1" applyFill="1" applyBorder="1"/>
    <xf numFmtId="37" fontId="12" fillId="0" borderId="18" xfId="0" applyFont="1" applyBorder="1"/>
    <xf numFmtId="37" fontId="12" fillId="0" borderId="21" xfId="0" applyFont="1" applyBorder="1"/>
    <xf numFmtId="37" fontId="12" fillId="0" borderId="15" xfId="0" applyFont="1" applyBorder="1" applyAlignment="1">
      <alignment horizontal="centerContinuous"/>
    </xf>
    <xf numFmtId="37" fontId="12" fillId="0" borderId="14" xfId="0" applyFont="1" applyBorder="1" applyAlignment="1">
      <alignment horizontal="centerContinuous"/>
    </xf>
    <xf numFmtId="37" fontId="12" fillId="0" borderId="0" xfId="0" applyFont="1" applyBorder="1" applyAlignment="1">
      <alignment horizontal="center"/>
    </xf>
    <xf numFmtId="170" fontId="12" fillId="0" borderId="0" xfId="55" applyNumberFormat="1" applyFont="1" applyBorder="1"/>
    <xf numFmtId="37" fontId="15" fillId="0" borderId="17" xfId="0" applyFont="1" applyBorder="1"/>
    <xf numFmtId="37" fontId="14" fillId="0" borderId="16" xfId="0" applyFont="1" applyFill="1" applyBorder="1" applyAlignment="1">
      <alignment horizontal="left"/>
    </xf>
    <xf numFmtId="37" fontId="14" fillId="0" borderId="0" xfId="0" applyFont="1" applyFill="1" applyBorder="1" applyAlignment="1">
      <alignment horizontal="left"/>
    </xf>
    <xf numFmtId="37" fontId="15" fillId="0" borderId="16" xfId="0" applyFont="1" applyBorder="1"/>
    <xf numFmtId="37" fontId="49" fillId="0" borderId="0" xfId="0" applyFont="1" applyBorder="1" applyAlignment="1">
      <alignment horizontal="right"/>
    </xf>
    <xf numFmtId="170" fontId="12" fillId="0" borderId="17" xfId="55" applyNumberFormat="1" applyFont="1" applyBorder="1"/>
    <xf numFmtId="1" fontId="12" fillId="0" borderId="0" xfId="0" applyNumberFormat="1" applyFont="1" applyFill="1" applyBorder="1" applyAlignment="1">
      <alignment horizontal="center"/>
    </xf>
    <xf numFmtId="169" fontId="51" fillId="0" borderId="0" xfId="0" applyNumberFormat="1" applyFont="1" applyFill="1" applyBorder="1" applyAlignment="1">
      <alignment horizontal="center"/>
    </xf>
    <xf numFmtId="5" fontId="12" fillId="0" borderId="0" xfId="59" applyNumberFormat="1" applyFont="1" applyFill="1" applyBorder="1"/>
    <xf numFmtId="168" fontId="51" fillId="0" borderId="0" xfId="0" applyNumberFormat="1" applyFont="1" applyFill="1" applyBorder="1" applyAlignment="1">
      <alignment horizontal="center"/>
    </xf>
    <xf numFmtId="37" fontId="36" fillId="0" borderId="17" xfId="0" applyFont="1" applyBorder="1"/>
    <xf numFmtId="14" fontId="12" fillId="0" borderId="16" xfId="0" applyNumberFormat="1" applyFont="1" applyFill="1" applyBorder="1" applyAlignment="1">
      <alignment horizontal="left" indent="1"/>
    </xf>
    <xf numFmtId="14" fontId="12" fillId="0" borderId="0" xfId="0" applyNumberFormat="1" applyFont="1" applyFill="1" applyBorder="1"/>
    <xf numFmtId="37" fontId="12" fillId="0" borderId="0" xfId="0" applyNumberFormat="1" applyFont="1" applyFill="1" applyBorder="1" applyAlignment="1">
      <alignment horizontal="center"/>
    </xf>
    <xf numFmtId="170" fontId="12" fillId="0" borderId="25" xfId="59" applyNumberFormat="1" applyFont="1" applyBorder="1"/>
    <xf numFmtId="14" fontId="12" fillId="0" borderId="16" xfId="0" applyNumberFormat="1" applyFont="1" applyFill="1" applyBorder="1"/>
    <xf numFmtId="170" fontId="12" fillId="0" borderId="0" xfId="59" applyNumberFormat="1" applyFont="1" applyBorder="1"/>
    <xf numFmtId="14" fontId="14" fillId="0" borderId="16" xfId="0" applyNumberFormat="1" applyFont="1" applyFill="1" applyBorder="1"/>
    <xf numFmtId="37" fontId="12" fillId="0" borderId="0" xfId="0" applyFont="1" applyBorder="1" applyAlignment="1">
      <alignment horizontal="right"/>
    </xf>
    <xf numFmtId="1" fontId="51" fillId="0" borderId="0" xfId="0" applyNumberFormat="1" applyFont="1" applyFill="1" applyBorder="1" applyAlignment="1">
      <alignment horizontal="center"/>
    </xf>
    <xf numFmtId="5" fontId="12" fillId="0" borderId="25" xfId="59" applyNumberFormat="1" applyFont="1" applyBorder="1"/>
    <xf numFmtId="14" fontId="14" fillId="0" borderId="16" xfId="0" applyNumberFormat="1" applyFont="1" applyFill="1" applyBorder="1" applyAlignment="1">
      <alignment horizontal="left" indent="2"/>
    </xf>
    <xf numFmtId="37" fontId="15" fillId="0" borderId="0" xfId="0" applyFont="1" applyFill="1" applyBorder="1" applyAlignment="1">
      <alignment horizontal="center"/>
    </xf>
    <xf numFmtId="169" fontId="51" fillId="0" borderId="0" xfId="0" applyNumberFormat="1" applyFont="1" applyFill="1" applyBorder="1"/>
    <xf numFmtId="10" fontId="51" fillId="0" borderId="0" xfId="0" applyNumberFormat="1" applyFont="1" applyFill="1" applyBorder="1" applyAlignment="1">
      <alignment horizontal="center"/>
    </xf>
    <xf numFmtId="7" fontId="12" fillId="0" borderId="0" xfId="59" applyNumberFormat="1" applyFont="1" applyBorder="1"/>
    <xf numFmtId="37" fontId="15" fillId="0" borderId="13" xfId="0" applyFont="1" applyBorder="1"/>
    <xf numFmtId="37" fontId="14" fillId="0" borderId="18" xfId="0" applyFont="1" applyFill="1" applyBorder="1" applyAlignment="1">
      <alignment horizontal="left"/>
    </xf>
    <xf numFmtId="37" fontId="15" fillId="0" borderId="18" xfId="0" applyFont="1" applyBorder="1"/>
    <xf numFmtId="7" fontId="12" fillId="0" borderId="18" xfId="59" applyNumberFormat="1" applyFont="1" applyBorder="1"/>
    <xf numFmtId="37" fontId="15" fillId="0" borderId="21" xfId="0" applyFont="1" applyBorder="1"/>
    <xf numFmtId="39" fontId="15" fillId="0" borderId="0" xfId="0" applyNumberFormat="1" applyFont="1"/>
    <xf numFmtId="37" fontId="14" fillId="0" borderId="0" xfId="0" applyFont="1" applyBorder="1" applyAlignment="1">
      <alignment horizontal="left"/>
    </xf>
    <xf numFmtId="37" fontId="14" fillId="0" borderId="0" xfId="89" applyFont="1" applyAlignment="1" applyProtection="1">
      <alignment horizontal="center"/>
    </xf>
    <xf numFmtId="37" fontId="14" fillId="0" borderId="10" xfId="0" applyFont="1" applyBorder="1"/>
    <xf numFmtId="37" fontId="36" fillId="0" borderId="0" xfId="0" applyFont="1" applyBorder="1"/>
    <xf numFmtId="37" fontId="52" fillId="0" borderId="0" xfId="0" applyFont="1" applyBorder="1" applyAlignment="1">
      <alignment horizontal="center"/>
    </xf>
    <xf numFmtId="37" fontId="14" fillId="0" borderId="0" xfId="0" applyFont="1" applyFill="1" applyBorder="1" applyAlignment="1">
      <alignment horizontal="center"/>
    </xf>
    <xf numFmtId="37" fontId="14" fillId="0" borderId="0" xfId="0" applyFont="1" applyBorder="1" applyAlignment="1">
      <alignment horizontal="center"/>
    </xf>
    <xf numFmtId="37" fontId="14" fillId="0" borderId="0" xfId="0" applyFont="1" applyAlignment="1">
      <alignment horizontal="center"/>
    </xf>
    <xf numFmtId="174" fontId="14" fillId="0" borderId="10" xfId="93" applyNumberFormat="1" applyFont="1" applyFill="1" applyBorder="1" applyAlignment="1">
      <alignment horizontal="center"/>
    </xf>
    <xf numFmtId="174" fontId="14" fillId="0" borderId="0" xfId="93" applyNumberFormat="1" applyFont="1" applyFill="1" applyBorder="1" applyAlignment="1">
      <alignment horizontal="center"/>
    </xf>
    <xf numFmtId="37" fontId="12" fillId="0" borderId="0" xfId="0" applyNumberFormat="1" applyFont="1"/>
    <xf numFmtId="37" fontId="54" fillId="0" borderId="0" xfId="0" applyFont="1"/>
    <xf numFmtId="5" fontId="51" fillId="0" borderId="0" xfId="59" applyNumberFormat="1" applyFont="1" applyFill="1"/>
    <xf numFmtId="37" fontId="51" fillId="0" borderId="0" xfId="0" applyNumberFormat="1" applyFont="1" applyFill="1"/>
    <xf numFmtId="173" fontId="51" fillId="0" borderId="0" xfId="0" applyNumberFormat="1" applyFont="1" applyBorder="1" applyAlignment="1">
      <alignment horizontal="left" indent="1"/>
    </xf>
    <xf numFmtId="37" fontId="51" fillId="0" borderId="0" xfId="0" applyNumberFormat="1" applyFont="1"/>
    <xf numFmtId="39" fontId="47" fillId="0" borderId="0" xfId="0" applyNumberFormat="1" applyFont="1"/>
    <xf numFmtId="37" fontId="14" fillId="0" borderId="12" xfId="0" applyFont="1" applyFill="1" applyBorder="1"/>
    <xf numFmtId="5" fontId="14" fillId="0" borderId="12" xfId="59" applyNumberFormat="1" applyFont="1" applyFill="1" applyBorder="1"/>
    <xf numFmtId="5" fontId="14" fillId="0" borderId="23" xfId="59" applyNumberFormat="1" applyFont="1" applyFill="1" applyBorder="1"/>
    <xf numFmtId="37" fontId="12" fillId="0" borderId="0" xfId="0" applyNumberFormat="1" applyFont="1" applyBorder="1"/>
    <xf numFmtId="37" fontId="12" fillId="0" borderId="0" xfId="0" applyFont="1" applyFill="1" applyBorder="1" applyAlignment="1">
      <alignment horizontal="left" indent="1"/>
    </xf>
    <xf numFmtId="5" fontId="12" fillId="0" borderId="25" xfId="59" applyNumberFormat="1" applyFont="1" applyFill="1" applyBorder="1"/>
    <xf numFmtId="37" fontId="14" fillId="0" borderId="0" xfId="0" applyFont="1" applyFill="1" applyBorder="1"/>
    <xf numFmtId="39" fontId="12" fillId="0" borderId="0" xfId="0" applyNumberFormat="1" applyFont="1"/>
    <xf numFmtId="10" fontId="15" fillId="0" borderId="0" xfId="98" applyNumberFormat="1" applyFont="1"/>
    <xf numFmtId="37" fontId="55" fillId="0" borderId="0" xfId="0" applyFont="1" applyAlignment="1">
      <alignment horizontal="right"/>
    </xf>
    <xf numFmtId="37" fontId="36" fillId="0" borderId="0" xfId="0" applyFont="1" applyFill="1" applyBorder="1"/>
    <xf numFmtId="14" fontId="15" fillId="0" borderId="0" xfId="0" applyNumberFormat="1" applyFont="1" applyBorder="1"/>
    <xf numFmtId="181" fontId="14" fillId="0" borderId="0" xfId="90" applyNumberFormat="1" applyFont="1" applyFill="1" applyAlignment="1" applyProtection="1">
      <alignment horizontal="centerContinuous"/>
    </xf>
    <xf numFmtId="166" fontId="15" fillId="0" borderId="0" xfId="90" applyNumberFormat="1" applyFont="1" applyFill="1" applyAlignment="1">
      <alignment horizontal="centerContinuous"/>
    </xf>
    <xf numFmtId="166" fontId="15" fillId="0" borderId="0" xfId="0" applyNumberFormat="1" applyFont="1" applyFill="1" applyAlignment="1">
      <alignment horizontal="centerContinuous"/>
    </xf>
    <xf numFmtId="166" fontId="15" fillId="0" borderId="0" xfId="90" applyNumberFormat="1" applyFont="1" applyFill="1" applyAlignment="1" applyProtection="1">
      <alignment horizontal="centerContinuous"/>
    </xf>
    <xf numFmtId="37" fontId="56" fillId="0" borderId="0" xfId="89" applyFont="1" applyAlignment="1" applyProtection="1">
      <alignment horizontal="center"/>
    </xf>
    <xf numFmtId="37" fontId="36" fillId="0" borderId="0" xfId="89" applyFont="1" applyAlignment="1" applyProtection="1">
      <alignment horizontal="left"/>
    </xf>
    <xf numFmtId="37" fontId="15" fillId="0" borderId="0" xfId="90" applyNumberFormat="1" applyFont="1" applyBorder="1" applyAlignment="1">
      <alignment horizontal="center"/>
    </xf>
    <xf numFmtId="37" fontId="36" fillId="0" borderId="0" xfId="90" applyNumberFormat="1" applyFont="1" applyBorder="1" applyAlignment="1" applyProtection="1">
      <alignment horizontal="center" wrapText="1"/>
    </xf>
    <xf numFmtId="17" fontId="14" fillId="0" borderId="0" xfId="88" applyNumberFormat="1" applyFont="1" applyFill="1" applyAlignment="1" applyProtection="1">
      <alignment horizontal="right"/>
    </xf>
    <xf numFmtId="37" fontId="36" fillId="0" borderId="10" xfId="90" applyNumberFormat="1" applyFont="1" applyBorder="1" applyAlignment="1" applyProtection="1">
      <alignment horizontal="center" wrapText="1"/>
    </xf>
    <xf numFmtId="37" fontId="15" fillId="0" borderId="0" xfId="90" applyNumberFormat="1" applyFont="1" applyAlignment="1">
      <alignment horizontal="center"/>
    </xf>
    <xf numFmtId="37" fontId="15" fillId="0" borderId="0" xfId="0" applyNumberFormat="1" applyFont="1"/>
    <xf numFmtId="168" fontId="15" fillId="0" borderId="0" xfId="0" applyNumberFormat="1" applyFont="1"/>
    <xf numFmtId="17" fontId="15" fillId="0" borderId="0" xfId="0" applyNumberFormat="1" applyFont="1" applyAlignment="1">
      <alignment horizontal="center"/>
    </xf>
    <xf numFmtId="175" fontId="15" fillId="0" borderId="0" xfId="88" applyNumberFormat="1" applyFont="1" applyFill="1" applyProtection="1"/>
    <xf numFmtId="39" fontId="15" fillId="0" borderId="0" xfId="0" applyNumberFormat="1" applyFont="1" applyFill="1" applyAlignment="1">
      <alignment horizontal="center"/>
    </xf>
    <xf numFmtId="10" fontId="15" fillId="0" borderId="0" xfId="0" applyNumberFormat="1" applyFont="1"/>
    <xf numFmtId="37" fontId="15" fillId="0" borderId="0" xfId="90" applyNumberFormat="1" applyFont="1" applyAlignment="1" applyProtection="1"/>
    <xf numFmtId="17" fontId="15" fillId="0" borderId="0" xfId="90" applyNumberFormat="1" applyFont="1" applyProtection="1"/>
    <xf numFmtId="17" fontId="15" fillId="0" borderId="0" xfId="90" applyNumberFormat="1" applyFont="1" applyAlignment="1" applyProtection="1">
      <alignment horizontal="center"/>
    </xf>
    <xf numFmtId="37" fontId="15" fillId="0" borderId="0" xfId="90" applyNumberFormat="1" applyFont="1" applyFill="1" applyAlignment="1">
      <alignment horizontal="center"/>
    </xf>
    <xf numFmtId="37" fontId="15" fillId="0" borderId="0" xfId="0" applyNumberFormat="1" applyFont="1" applyFill="1"/>
    <xf numFmtId="168" fontId="15" fillId="0" borderId="0" xfId="0" applyNumberFormat="1" applyFont="1" applyFill="1"/>
    <xf numFmtId="17" fontId="15" fillId="0" borderId="0" xfId="0" applyNumberFormat="1" applyFont="1" applyFill="1" applyAlignment="1">
      <alignment horizontal="center"/>
    </xf>
    <xf numFmtId="10" fontId="15" fillId="0" borderId="0" xfId="0" applyNumberFormat="1" applyFont="1" applyFill="1"/>
    <xf numFmtId="2" fontId="15" fillId="0" borderId="0" xfId="0" applyNumberFormat="1" applyFont="1" applyFill="1" applyBorder="1" applyAlignment="1">
      <alignment horizontal="center"/>
    </xf>
    <xf numFmtId="175" fontId="45" fillId="0" borderId="12" xfId="88" applyNumberFormat="1" applyFont="1" applyFill="1" applyBorder="1" applyProtection="1"/>
    <xf numFmtId="37" fontId="36" fillId="0" borderId="0" xfId="90" applyNumberFormat="1" applyFont="1" applyAlignment="1" applyProtection="1">
      <alignment horizontal="left"/>
    </xf>
    <xf numFmtId="171" fontId="15" fillId="0" borderId="0" xfId="0" applyNumberFormat="1" applyFont="1" applyFill="1" applyAlignment="1">
      <alignment horizontal="center"/>
    </xf>
    <xf numFmtId="175" fontId="36" fillId="0" borderId="12" xfId="88" applyNumberFormat="1" applyFont="1" applyFill="1" applyBorder="1" applyProtection="1"/>
    <xf numFmtId="171" fontId="15" fillId="0" borderId="0" xfId="0" applyNumberFormat="1" applyFont="1" applyFill="1"/>
    <xf numFmtId="175" fontId="36" fillId="0" borderId="25" xfId="88" applyNumberFormat="1" applyFont="1" applyFill="1" applyBorder="1" applyProtection="1"/>
    <xf numFmtId="175" fontId="36" fillId="0" borderId="0" xfId="88" applyNumberFormat="1" applyFont="1" applyFill="1" applyBorder="1" applyProtection="1"/>
    <xf numFmtId="10" fontId="36" fillId="0" borderId="0" xfId="90" applyNumberFormat="1" applyFont="1" applyFill="1" applyBorder="1" applyProtection="1"/>
    <xf numFmtId="186" fontId="47" fillId="0" borderId="0" xfId="88" applyNumberFormat="1" applyFont="1" applyFill="1" applyBorder="1" applyProtection="1"/>
    <xf numFmtId="175" fontId="36" fillId="0" borderId="0" xfId="88" applyNumberFormat="1" applyFont="1" applyFill="1" applyProtection="1"/>
    <xf numFmtId="10" fontId="15" fillId="0" borderId="0" xfId="99" applyNumberFormat="1" applyFont="1" applyFill="1"/>
    <xf numFmtId="37" fontId="36" fillId="0" borderId="0" xfId="87" applyNumberFormat="1" applyFont="1" applyFill="1" applyBorder="1"/>
    <xf numFmtId="37" fontId="36" fillId="0" borderId="0" xfId="90" applyNumberFormat="1" applyFont="1"/>
    <xf numFmtId="37" fontId="15" fillId="0" borderId="0" xfId="90" applyNumberFormat="1" applyFont="1"/>
    <xf numFmtId="171" fontId="15" fillId="0" borderId="0" xfId="0" applyNumberFormat="1" applyFont="1"/>
    <xf numFmtId="37" fontId="15" fillId="0" borderId="0" xfId="90" applyNumberFormat="1" applyFont="1" applyAlignment="1">
      <alignment horizontal="right"/>
    </xf>
    <xf numFmtId="10" fontId="36" fillId="0" borderId="23" xfId="90" applyNumberFormat="1" applyFont="1" applyFill="1" applyBorder="1" applyProtection="1"/>
    <xf numFmtId="0" fontId="57" fillId="0" borderId="0" xfId="93" quotePrefix="1" applyFont="1" applyFill="1" applyAlignment="1" applyProtection="1">
      <alignment horizontal="center"/>
    </xf>
    <xf numFmtId="0" fontId="12" fillId="0" borderId="0" xfId="93" applyFont="1" applyFill="1"/>
    <xf numFmtId="172" fontId="14" fillId="0" borderId="0" xfId="93" applyNumberFormat="1" applyFont="1" applyFill="1" applyAlignment="1">
      <alignment horizontal="left"/>
    </xf>
    <xf numFmtId="1" fontId="12" fillId="0" borderId="0" xfId="93" applyNumberFormat="1" applyFont="1" applyFill="1" applyAlignment="1" applyProtection="1">
      <alignment horizontal="center"/>
    </xf>
    <xf numFmtId="37" fontId="36" fillId="0" borderId="0" xfId="89" quotePrefix="1" applyFont="1" applyAlignment="1" applyProtection="1">
      <alignment horizontal="center"/>
    </xf>
    <xf numFmtId="0" fontId="14" fillId="0" borderId="0" xfId="93" applyFont="1" applyFill="1" applyAlignment="1" applyProtection="1">
      <alignment horizontal="center"/>
    </xf>
    <xf numFmtId="0" fontId="36" fillId="0" borderId="0" xfId="93" applyFont="1" applyFill="1" applyAlignment="1" applyProtection="1">
      <alignment horizontal="center"/>
    </xf>
    <xf numFmtId="0" fontId="36" fillId="0" borderId="0" xfId="93" applyFont="1" applyFill="1" applyAlignment="1">
      <alignment horizontal="center"/>
    </xf>
    <xf numFmtId="0" fontId="36" fillId="0" borderId="0" xfId="93" applyFont="1" applyFill="1" applyBorder="1" applyAlignment="1" applyProtection="1">
      <alignment horizontal="center" wrapText="1"/>
    </xf>
    <xf numFmtId="0" fontId="36" fillId="0" borderId="10" xfId="93" applyFont="1" applyFill="1" applyBorder="1" applyAlignment="1" applyProtection="1">
      <alignment horizontal="left"/>
    </xf>
    <xf numFmtId="0" fontId="36" fillId="0" borderId="10" xfId="93" applyFont="1" applyFill="1" applyBorder="1" applyAlignment="1" applyProtection="1">
      <alignment horizontal="center" wrapText="1"/>
    </xf>
    <xf numFmtId="0" fontId="58" fillId="0" borderId="10" xfId="93" applyFont="1" applyFill="1" applyBorder="1" applyAlignment="1">
      <alignment horizontal="center"/>
    </xf>
    <xf numFmtId="168" fontId="12" fillId="0" borderId="0" xfId="93" applyNumberFormat="1" applyFont="1" applyFill="1" applyAlignment="1">
      <alignment horizontal="left"/>
    </xf>
    <xf numFmtId="15" fontId="12" fillId="0" borderId="0" xfId="93" applyNumberFormat="1" applyFont="1" applyFill="1" applyAlignment="1">
      <alignment horizontal="center"/>
    </xf>
    <xf numFmtId="15" fontId="12" fillId="0" borderId="0" xfId="93" applyNumberFormat="1" applyFont="1" applyFill="1" applyAlignment="1">
      <alignment horizontal="right"/>
    </xf>
    <xf numFmtId="7" fontId="12" fillId="0" borderId="0" xfId="93" applyNumberFormat="1" applyFont="1" applyFill="1"/>
    <xf numFmtId="174" fontId="12" fillId="0" borderId="0" xfId="93" applyNumberFormat="1" applyFont="1" applyFill="1"/>
    <xf numFmtId="5" fontId="12" fillId="0" borderId="0" xfId="93" applyNumberFormat="1" applyFont="1" applyFill="1"/>
    <xf numFmtId="0" fontId="12" fillId="0" borderId="0" xfId="93" applyNumberFormat="1" applyFont="1" applyFill="1"/>
    <xf numFmtId="168" fontId="12" fillId="0" borderId="0" xfId="93" applyNumberFormat="1" applyFont="1" applyFill="1" applyAlignment="1" applyProtection="1">
      <alignment horizontal="left"/>
    </xf>
    <xf numFmtId="15" fontId="12" fillId="0" borderId="0" xfId="93" applyNumberFormat="1" applyFont="1" applyFill="1" applyAlignment="1" applyProtection="1">
      <alignment horizontal="center"/>
    </xf>
    <xf numFmtId="188" fontId="51" fillId="0" borderId="0" xfId="93" applyNumberFormat="1" applyFont="1" applyFill="1"/>
    <xf numFmtId="5" fontId="49" fillId="0" borderId="0" xfId="93" applyNumberFormat="1" applyFont="1" applyFill="1"/>
    <xf numFmtId="0" fontId="14" fillId="0" borderId="0" xfId="93" quotePrefix="1" applyFont="1" applyFill="1" applyBorder="1" applyAlignment="1" applyProtection="1">
      <alignment horizontal="left"/>
    </xf>
    <xf numFmtId="5" fontId="14" fillId="0" borderId="25" xfId="93" applyNumberFormat="1" applyFont="1" applyFill="1" applyBorder="1" applyAlignment="1" applyProtection="1">
      <alignment horizontal="right"/>
    </xf>
    <xf numFmtId="10" fontId="12" fillId="0" borderId="0" xfId="98" applyNumberFormat="1" applyFont="1" applyFill="1"/>
    <xf numFmtId="5" fontId="12" fillId="0" borderId="0" xfId="93" applyNumberFormat="1" applyFont="1" applyProtection="1"/>
    <xf numFmtId="0" fontId="14" fillId="0" borderId="0" xfId="93" applyFont="1" applyFill="1" applyAlignment="1" applyProtection="1">
      <alignment horizontal="left"/>
    </xf>
    <xf numFmtId="0" fontId="14" fillId="0" borderId="0" xfId="93" applyFont="1" applyAlignment="1" applyProtection="1">
      <alignment horizontal="left"/>
    </xf>
    <xf numFmtId="0" fontId="34" fillId="0" borderId="0" xfId="88" applyFont="1" applyBorder="1" applyAlignment="1" applyProtection="1">
      <alignment horizontal="center" vertical="center" wrapText="1"/>
    </xf>
    <xf numFmtId="10" fontId="34" fillId="0" borderId="0" xfId="92" applyFont="1" applyBorder="1" applyAlignment="1" applyProtection="1">
      <alignment horizontal="center" vertical="center" wrapText="1"/>
    </xf>
    <xf numFmtId="172" fontId="34" fillId="0" borderId="0" xfId="92" applyNumberFormat="1" applyFont="1" applyBorder="1" applyAlignment="1" applyProtection="1">
      <alignment horizontal="center" vertical="center" wrapText="1"/>
    </xf>
    <xf numFmtId="181" fontId="35" fillId="0" borderId="0" xfId="92" applyNumberFormat="1" applyFont="1" applyBorder="1" applyAlignment="1" applyProtection="1">
      <alignment horizontal="center" vertical="center" wrapText="1"/>
    </xf>
    <xf numFmtId="0" fontId="36" fillId="0" borderId="0" xfId="88" applyFont="1" applyAlignment="1" applyProtection="1">
      <alignment horizontal="center"/>
    </xf>
    <xf numFmtId="0" fontId="43" fillId="0" borderId="0" xfId="88" applyFont="1" applyFill="1" applyBorder="1" applyAlignment="1" applyProtection="1">
      <alignment horizontal="center" vertical="center" wrapText="1"/>
    </xf>
    <xf numFmtId="0" fontId="34" fillId="0" borderId="0" xfId="93" quotePrefix="1" applyFont="1" applyFill="1" applyBorder="1" applyAlignment="1" applyProtection="1">
      <alignment horizontal="center" vertical="center" wrapText="1"/>
    </xf>
    <xf numFmtId="0" fontId="5" fillId="0" borderId="0" xfId="93" quotePrefix="1" applyFont="1" applyFill="1" applyBorder="1" applyAlignment="1" applyProtection="1">
      <alignment horizontal="center" vertical="center" wrapText="1"/>
    </xf>
    <xf numFmtId="181" fontId="5" fillId="0" borderId="0" xfId="93" quotePrefix="1" applyNumberFormat="1" applyFont="1" applyFill="1" applyBorder="1" applyAlignment="1" applyProtection="1">
      <alignment horizontal="center" vertical="center" wrapText="1"/>
    </xf>
    <xf numFmtId="37" fontId="14" fillId="0" borderId="16" xfId="0" applyFont="1" applyFill="1" applyBorder="1" applyAlignment="1">
      <alignment horizontal="left"/>
    </xf>
    <xf numFmtId="37" fontId="14" fillId="0" borderId="0" xfId="0" applyFont="1" applyFill="1" applyBorder="1" applyAlignment="1">
      <alignment horizontal="left"/>
    </xf>
    <xf numFmtId="37" fontId="50" fillId="0" borderId="29" xfId="0" applyFont="1" applyFill="1" applyBorder="1" applyAlignment="1">
      <alignment horizontal="left"/>
    </xf>
    <xf numFmtId="37" fontId="50" fillId="0" borderId="15" xfId="0" applyFont="1" applyFill="1" applyBorder="1" applyAlignment="1">
      <alignment horizontal="left"/>
    </xf>
    <xf numFmtId="37" fontId="14" fillId="0" borderId="0" xfId="0" applyFont="1" applyAlignment="1">
      <alignment horizontal="center"/>
    </xf>
    <xf numFmtId="181" fontId="5" fillId="0" borderId="0" xfId="92" applyNumberFormat="1" applyFont="1" applyBorder="1" applyAlignment="1" applyProtection="1">
      <alignment horizontal="center" vertical="center" wrapText="1"/>
    </xf>
    <xf numFmtId="37" fontId="34" fillId="0" borderId="0" xfId="0" applyFont="1" applyAlignment="1">
      <alignment horizontal="center"/>
    </xf>
    <xf numFmtId="37" fontId="14" fillId="0" borderId="0" xfId="0" applyFont="1" applyBorder="1" applyAlignment="1">
      <alignment horizontal="center"/>
    </xf>
    <xf numFmtId="181" fontId="14" fillId="0" borderId="0" xfId="0" applyNumberFormat="1" applyFont="1" applyBorder="1" applyAlignment="1">
      <alignment horizontal="center"/>
    </xf>
    <xf numFmtId="37" fontId="14" fillId="0" borderId="0" xfId="90" applyNumberFormat="1" applyFont="1" applyAlignment="1" applyProtection="1">
      <alignment horizontal="center"/>
    </xf>
    <xf numFmtId="181" fontId="14" fillId="0" borderId="0" xfId="90" applyNumberFormat="1" applyFont="1" applyFill="1" applyAlignment="1" applyProtection="1">
      <alignment horizontal="center"/>
    </xf>
    <xf numFmtId="0" fontId="59" fillId="0" borderId="0" xfId="93" quotePrefix="1" applyFont="1" applyFill="1" applyAlignment="1" applyProtection="1">
      <alignment horizontal="center"/>
    </xf>
    <xf numFmtId="0" fontId="14" fillId="0" borderId="0" xfId="93" quotePrefix="1" applyFont="1" applyFill="1" applyAlignment="1" applyProtection="1">
      <alignment horizontal="center"/>
    </xf>
    <xf numFmtId="181" fontId="14" fillId="0" borderId="0" xfId="93" applyNumberFormat="1" applyFont="1" applyFill="1" applyAlignment="1">
      <alignment horizontal="center"/>
    </xf>
  </cellXfs>
  <cellStyles count="10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0" xfId="58"/>
    <cellStyle name="Currency" xfId="59" builtinId="4"/>
    <cellStyle name="Currency 2" xfId="60"/>
    <cellStyle name="Currency 3" xfId="61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3" xfId="100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workbookViewId="0">
      <selection activeCell="K20" sqref="K20"/>
    </sheetView>
  </sheetViews>
  <sheetFormatPr defaultColWidth="11.5" defaultRowHeight="12.75"/>
  <cols>
    <col min="1" max="1" width="3.83203125" style="16" customWidth="1"/>
    <col min="2" max="2" width="53.5" style="16" bestFit="1" customWidth="1"/>
    <col min="3" max="3" width="18.33203125" style="16" bestFit="1" customWidth="1"/>
    <col min="4" max="4" width="10.5" style="16" bestFit="1" customWidth="1"/>
    <col min="5" max="5" width="13.1640625" style="16" customWidth="1"/>
    <col min="6" max="6" width="13.5" style="16" customWidth="1"/>
    <col min="7" max="7" width="11.5" style="16" customWidth="1"/>
    <col min="8" max="8" width="13.83203125" style="16" customWidth="1"/>
    <col min="9" max="9" width="11.1640625" style="16" customWidth="1"/>
    <col min="10" max="10" width="8.5" style="16" customWidth="1"/>
    <col min="11" max="11" width="9" style="16" customWidth="1"/>
    <col min="12" max="12" width="8.6640625" style="16" customWidth="1"/>
    <col min="13" max="16384" width="11.5" style="16"/>
  </cols>
  <sheetData>
    <row r="1" spans="1:12" ht="15.75">
      <c r="A1" s="401" t="s">
        <v>43</v>
      </c>
      <c r="B1" s="401"/>
      <c r="C1" s="401"/>
      <c r="D1" s="401"/>
      <c r="E1" s="401"/>
      <c r="F1" s="401"/>
    </row>
    <row r="2" spans="1:12">
      <c r="A2" s="81"/>
      <c r="B2" s="17"/>
      <c r="C2" s="17"/>
      <c r="D2" s="17"/>
      <c r="E2" s="17"/>
      <c r="F2" s="17"/>
    </row>
    <row r="3" spans="1:12" ht="15.75">
      <c r="A3" s="402" t="s">
        <v>4</v>
      </c>
      <c r="B3" s="402"/>
      <c r="C3" s="402"/>
      <c r="D3" s="402"/>
      <c r="E3" s="402"/>
      <c r="F3" s="402"/>
    </row>
    <row r="4" spans="1:12" ht="15.75">
      <c r="A4" s="403" t="s">
        <v>55</v>
      </c>
      <c r="B4" s="403"/>
      <c r="C4" s="403"/>
      <c r="D4" s="403"/>
      <c r="E4" s="403"/>
      <c r="F4" s="403"/>
      <c r="H4" s="66"/>
      <c r="L4" s="67"/>
    </row>
    <row r="5" spans="1:12">
      <c r="A5" s="404" t="s">
        <v>190</v>
      </c>
      <c r="B5" s="404"/>
      <c r="C5" s="404"/>
      <c r="D5" s="404"/>
      <c r="E5" s="404"/>
      <c r="F5" s="404"/>
      <c r="H5" s="66"/>
      <c r="L5" s="67"/>
    </row>
    <row r="6" spans="1:12">
      <c r="A6" s="18"/>
      <c r="C6" s="19"/>
      <c r="H6" s="66"/>
      <c r="L6" s="67"/>
    </row>
    <row r="7" spans="1:12">
      <c r="A7" s="18"/>
      <c r="H7" s="66"/>
      <c r="L7" s="67"/>
    </row>
    <row r="8" spans="1:12">
      <c r="A8" s="82">
        <v>1</v>
      </c>
      <c r="B8" s="83" t="s">
        <v>3</v>
      </c>
      <c r="C8" s="83" t="s">
        <v>24</v>
      </c>
      <c r="D8" s="83" t="s">
        <v>49</v>
      </c>
      <c r="E8" s="83" t="s">
        <v>61</v>
      </c>
      <c r="F8" s="83" t="s">
        <v>62</v>
      </c>
      <c r="H8" s="66"/>
      <c r="L8" s="67"/>
    </row>
    <row r="9" spans="1:12">
      <c r="A9" s="82">
        <f>+A8+1</f>
        <v>2</v>
      </c>
      <c r="H9" s="66"/>
      <c r="L9" s="67"/>
    </row>
    <row r="10" spans="1:12">
      <c r="A10" s="82">
        <f t="shared" ref="A10:A17" si="0">+A9+1</f>
        <v>3</v>
      </c>
      <c r="B10" s="84" t="s">
        <v>1</v>
      </c>
      <c r="C10" s="85"/>
      <c r="D10" s="85"/>
      <c r="E10" s="85"/>
      <c r="F10" s="85" t="s">
        <v>5</v>
      </c>
      <c r="H10" s="66"/>
      <c r="L10" s="67"/>
    </row>
    <row r="11" spans="1:12">
      <c r="A11" s="82">
        <f t="shared" si="0"/>
        <v>4</v>
      </c>
      <c r="B11" s="85"/>
      <c r="C11" s="86"/>
      <c r="D11" s="85"/>
      <c r="E11" s="85"/>
      <c r="F11" s="86" t="s">
        <v>6</v>
      </c>
      <c r="H11" s="66"/>
      <c r="L11" s="67"/>
    </row>
    <row r="12" spans="1:12">
      <c r="A12" s="82">
        <f t="shared" si="0"/>
        <v>5</v>
      </c>
      <c r="B12" s="87" t="s">
        <v>7</v>
      </c>
      <c r="C12" s="87" t="s">
        <v>76</v>
      </c>
      <c r="D12" s="87" t="s">
        <v>8</v>
      </c>
      <c r="E12" s="87" t="s">
        <v>9</v>
      </c>
      <c r="F12" s="87" t="s">
        <v>10</v>
      </c>
      <c r="H12" s="66"/>
      <c r="L12" s="67"/>
    </row>
    <row r="13" spans="1:12">
      <c r="A13" s="82">
        <f t="shared" si="0"/>
        <v>6</v>
      </c>
      <c r="B13" s="88"/>
      <c r="C13" s="88"/>
      <c r="D13" s="88"/>
      <c r="E13" s="88"/>
      <c r="F13" s="88"/>
      <c r="H13" s="66"/>
      <c r="L13" s="67"/>
    </row>
    <row r="14" spans="1:12">
      <c r="A14" s="82">
        <f t="shared" si="0"/>
        <v>7</v>
      </c>
      <c r="B14" s="88" t="s">
        <v>11</v>
      </c>
      <c r="C14" s="89">
        <f>'Pg 2 CapStructure'!Q10</f>
        <v>240409667</v>
      </c>
      <c r="D14" s="90">
        <f>ROUND(C14/$C$30,4)</f>
        <v>3.0599999999999999E-2</v>
      </c>
      <c r="E14" s="91">
        <f>'Pg 6 LTD Cost '!H32</f>
        <v>2.41E-2</v>
      </c>
      <c r="F14" s="92">
        <f>ROUND(D14*E14,4)</f>
        <v>6.9999999999999999E-4</v>
      </c>
      <c r="L14" s="66"/>
    </row>
    <row r="15" spans="1:12">
      <c r="A15" s="82">
        <f t="shared" si="0"/>
        <v>8</v>
      </c>
      <c r="B15" s="88"/>
      <c r="C15" s="93"/>
      <c r="D15" s="92"/>
      <c r="E15" s="94"/>
      <c r="F15" s="92"/>
      <c r="L15" s="66"/>
    </row>
    <row r="16" spans="1:12">
      <c r="A16" s="82">
        <f t="shared" si="0"/>
        <v>9</v>
      </c>
      <c r="B16" s="88" t="s">
        <v>12</v>
      </c>
      <c r="C16" s="93">
        <f>'Pg 2 CapStructure'!Q16</f>
        <v>3768263996</v>
      </c>
      <c r="D16" s="95">
        <f>ROUND(C16/$C$30,4)</f>
        <v>0.47939999999999999</v>
      </c>
      <c r="E16" s="96">
        <f>'Pg 6 LTD Cost '!H30</f>
        <v>5.8700000000000002E-2</v>
      </c>
      <c r="F16" s="92">
        <f>ROUND(D16*E16,4)</f>
        <v>2.81E-2</v>
      </c>
      <c r="L16" s="66"/>
    </row>
    <row r="17" spans="1:12">
      <c r="A17" s="82">
        <f t="shared" si="0"/>
        <v>10</v>
      </c>
      <c r="B17" s="97"/>
      <c r="C17" s="98"/>
      <c r="D17" s="92"/>
      <c r="E17" s="96"/>
      <c r="F17" s="99"/>
      <c r="H17" s="100"/>
      <c r="I17" s="59"/>
      <c r="J17" s="59"/>
      <c r="K17" s="59"/>
      <c r="L17" s="69"/>
    </row>
    <row r="18" spans="1:12">
      <c r="A18" s="82">
        <v>11</v>
      </c>
      <c r="B18" s="16" t="s">
        <v>176</v>
      </c>
      <c r="C18" s="98"/>
      <c r="D18" s="92">
        <f>ROUND((C14+C16)/C30,4)</f>
        <v>0.51</v>
      </c>
      <c r="E18" s="96">
        <f>'Pg 6 LTD Cost '!H34</f>
        <v>5.6899999999999999E-2</v>
      </c>
      <c r="F18" s="99">
        <f>F16+F14</f>
        <v>2.8799999999999999E-2</v>
      </c>
      <c r="H18" s="101"/>
      <c r="I18" s="59"/>
      <c r="J18" s="59"/>
      <c r="K18" s="59"/>
      <c r="L18" s="69"/>
    </row>
    <row r="19" spans="1:12">
      <c r="A19" s="82">
        <v>12</v>
      </c>
      <c r="B19" s="97"/>
      <c r="C19" s="98"/>
      <c r="D19" s="92"/>
      <c r="E19" s="96"/>
      <c r="F19" s="99"/>
      <c r="H19" s="100"/>
      <c r="I19" s="59"/>
      <c r="J19" s="59"/>
      <c r="K19" s="59"/>
      <c r="L19" s="69"/>
    </row>
    <row r="20" spans="1:12">
      <c r="A20" s="82">
        <v>13</v>
      </c>
      <c r="B20" s="16" t="s">
        <v>51</v>
      </c>
      <c r="C20" s="98"/>
      <c r="D20" s="92"/>
      <c r="E20" s="96"/>
      <c r="F20" s="99">
        <f>'Pg 4 STD OS &amp; Comm Fees'!F20</f>
        <v>2.0000000000000001E-4</v>
      </c>
      <c r="H20" s="100"/>
      <c r="I20" s="59"/>
      <c r="J20" s="59"/>
      <c r="K20" s="59"/>
      <c r="L20" s="69"/>
    </row>
    <row r="21" spans="1:12">
      <c r="A21" s="82">
        <v>14</v>
      </c>
      <c r="B21" s="97"/>
      <c r="C21" s="98"/>
      <c r="D21" s="92"/>
      <c r="E21" s="96"/>
      <c r="F21" s="99"/>
      <c r="H21" s="100"/>
      <c r="I21" s="59"/>
      <c r="J21" s="59"/>
      <c r="K21" s="59"/>
      <c r="L21" s="69"/>
    </row>
    <row r="22" spans="1:12">
      <c r="A22" s="82">
        <v>15</v>
      </c>
      <c r="B22" s="16" t="s">
        <v>177</v>
      </c>
      <c r="C22" s="98"/>
      <c r="D22" s="92"/>
      <c r="E22" s="96"/>
      <c r="F22" s="99">
        <f>'Pg 5 STD Amort'!I35</f>
        <v>1E-4</v>
      </c>
      <c r="H22" s="100"/>
      <c r="I22" s="59"/>
      <c r="J22" s="59"/>
      <c r="K22" s="59"/>
      <c r="L22" s="69"/>
    </row>
    <row r="23" spans="1:12">
      <c r="A23" s="82">
        <v>16</v>
      </c>
      <c r="B23" s="97"/>
      <c r="C23" s="98"/>
      <c r="D23" s="92"/>
      <c r="E23" s="96"/>
      <c r="F23" s="99"/>
      <c r="H23" s="100"/>
      <c r="I23" s="59"/>
      <c r="J23" s="59"/>
      <c r="K23" s="59"/>
      <c r="L23" s="69"/>
    </row>
    <row r="24" spans="1:12">
      <c r="A24" s="82">
        <v>17</v>
      </c>
      <c r="B24" s="16" t="s">
        <v>178</v>
      </c>
      <c r="C24" s="98"/>
      <c r="D24" s="92"/>
      <c r="E24" s="96"/>
      <c r="F24" s="99">
        <f>'Pg 7 Reacquired Debt'!I35</f>
        <v>2.9999999999999997E-4</v>
      </c>
      <c r="H24" s="100"/>
      <c r="I24" s="59"/>
      <c r="J24" s="59"/>
      <c r="K24" s="59"/>
      <c r="L24" s="69"/>
    </row>
    <row r="25" spans="1:12">
      <c r="A25" s="82">
        <v>18</v>
      </c>
      <c r="B25" s="97"/>
      <c r="C25" s="102"/>
      <c r="D25" s="92"/>
      <c r="E25" s="96"/>
      <c r="F25" s="99"/>
      <c r="H25" s="103"/>
      <c r="I25" s="59"/>
      <c r="J25" s="59"/>
      <c r="K25" s="59"/>
      <c r="L25" s="69"/>
    </row>
    <row r="26" spans="1:12">
      <c r="A26" s="82">
        <v>19</v>
      </c>
      <c r="B26" s="97" t="s">
        <v>179</v>
      </c>
      <c r="C26" s="102">
        <f>C16+C14</f>
        <v>4008673663</v>
      </c>
      <c r="D26" s="92">
        <f>D18</f>
        <v>0.51</v>
      </c>
      <c r="E26" s="91">
        <f>F26/D26</f>
        <v>5.7647058823529412E-2</v>
      </c>
      <c r="F26" s="104">
        <f>SUM(F18:F25)</f>
        <v>2.9399999999999999E-2</v>
      </c>
      <c r="G26" s="78"/>
      <c r="H26" s="103"/>
      <c r="I26" s="59"/>
      <c r="J26" s="59"/>
      <c r="K26" s="59"/>
      <c r="L26" s="69"/>
    </row>
    <row r="27" spans="1:12">
      <c r="A27" s="82">
        <v>20</v>
      </c>
      <c r="B27" s="97"/>
      <c r="C27" s="102"/>
      <c r="D27" s="92"/>
      <c r="E27" s="96"/>
      <c r="F27" s="99"/>
      <c r="H27" s="103"/>
      <c r="I27" s="59"/>
      <c r="J27" s="59"/>
      <c r="K27" s="59"/>
      <c r="L27" s="69"/>
    </row>
    <row r="28" spans="1:12">
      <c r="A28" s="82">
        <v>21</v>
      </c>
      <c r="B28" s="105" t="s">
        <v>13</v>
      </c>
      <c r="C28" s="106">
        <f>'Pg 2 CapStructure'!Q20</f>
        <v>3852191881</v>
      </c>
      <c r="D28" s="107">
        <f>ROUND(C28/$C$30,4)</f>
        <v>0.49</v>
      </c>
      <c r="E28" s="108">
        <v>9.5000000000000001E-2</v>
      </c>
      <c r="F28" s="109">
        <f>ROUND(D28*E28,4)</f>
        <v>4.6600000000000003E-2</v>
      </c>
      <c r="H28" s="103"/>
      <c r="I28" s="110"/>
      <c r="J28" s="111"/>
      <c r="K28" s="112"/>
      <c r="L28" s="96"/>
    </row>
    <row r="29" spans="1:12">
      <c r="A29" s="82">
        <v>22</v>
      </c>
      <c r="B29" s="97"/>
      <c r="C29" s="104"/>
      <c r="D29" s="113"/>
      <c r="E29" s="114"/>
      <c r="F29" s="96"/>
      <c r="H29" s="103"/>
      <c r="I29" s="110"/>
      <c r="J29" s="111"/>
      <c r="K29" s="112"/>
      <c r="L29" s="96"/>
    </row>
    <row r="30" spans="1:12">
      <c r="A30" s="82">
        <v>23</v>
      </c>
      <c r="B30" s="105" t="s">
        <v>14</v>
      </c>
      <c r="C30" s="115">
        <f>C28+C26</f>
        <v>7860865544</v>
      </c>
      <c r="D30" s="116">
        <f>D28+D18</f>
        <v>1</v>
      </c>
      <c r="E30" s="117"/>
      <c r="F30" s="118">
        <f>F28+F26</f>
        <v>7.5999999999999998E-2</v>
      </c>
      <c r="H30" s="103"/>
      <c r="I30" s="59"/>
      <c r="J30" s="111"/>
      <c r="K30" s="96"/>
      <c r="L30" s="119"/>
    </row>
    <row r="31" spans="1:12">
      <c r="A31" s="82">
        <v>24</v>
      </c>
      <c r="C31" s="120"/>
      <c r="D31" s="59"/>
      <c r="E31" s="121"/>
      <c r="F31" s="59"/>
      <c r="H31" s="103"/>
    </row>
    <row r="32" spans="1:12">
      <c r="A32" s="82">
        <v>25</v>
      </c>
      <c r="C32" s="122"/>
      <c r="E32" s="59"/>
      <c r="H32" s="103"/>
    </row>
    <row r="33" spans="1:8">
      <c r="A33" s="82">
        <v>26</v>
      </c>
      <c r="B33" s="123" t="s">
        <v>191</v>
      </c>
      <c r="C33" s="122"/>
      <c r="E33" s="124"/>
      <c r="G33" s="68"/>
      <c r="H33" s="103"/>
    </row>
    <row r="34" spans="1:8">
      <c r="A34" s="15"/>
    </row>
    <row r="35" spans="1:8">
      <c r="A35" s="15"/>
      <c r="C35" s="93"/>
    </row>
    <row r="36" spans="1:8">
      <c r="A36" s="15"/>
      <c r="C36" s="93"/>
    </row>
    <row r="37" spans="1:8">
      <c r="A37" s="15"/>
      <c r="C37" s="93"/>
    </row>
    <row r="38" spans="1:8">
      <c r="A38" s="15"/>
    </row>
    <row r="39" spans="1:8">
      <c r="A39" s="15"/>
      <c r="C39" s="125"/>
    </row>
    <row r="40" spans="1:8">
      <c r="A40" s="15"/>
    </row>
    <row r="41" spans="1:8">
      <c r="A41" s="15"/>
    </row>
    <row r="46" spans="1:8">
      <c r="C46" s="20"/>
      <c r="D46" s="21"/>
    </row>
    <row r="47" spans="1:8">
      <c r="D47" s="21"/>
    </row>
    <row r="48" spans="1:8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mergeCells count="4">
    <mergeCell ref="A1:F1"/>
    <mergeCell ref="A3:F3"/>
    <mergeCell ref="A4:F4"/>
    <mergeCell ref="A5:F5"/>
  </mergeCells>
  <printOptions horizontalCentered="1"/>
  <pageMargins left="0.25" right="0.25" top="1.25" bottom="0.75" header="0.3" footer="0.3"/>
  <pageSetup orientation="landscape" r:id="rId1"/>
  <headerFooter scaleWithDoc="0" alignWithMargins="0">
    <oddFooter>&amp;R&amp;"Times New Roman,Regular"&amp;12Exh. MDM-3
Page 1 of 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B677"/>
  <sheetViews>
    <sheetView zoomScale="120" zoomScaleNormal="120" workbookViewId="0">
      <pane xSplit="2" ySplit="6" topLeftCell="C25" activePane="bottomRight" state="frozen"/>
      <selection activeCell="D18" sqref="D18"/>
      <selection pane="topRight" activeCell="D18" sqref="D18"/>
      <selection pane="bottomLeft" activeCell="D18" sqref="D18"/>
      <selection pane="bottomRight" activeCell="Q25" sqref="Q25"/>
    </sheetView>
  </sheetViews>
  <sheetFormatPr defaultColWidth="15.83203125" defaultRowHeight="12.75"/>
  <cols>
    <col min="1" max="1" width="3.33203125" style="1" customWidth="1"/>
    <col min="2" max="2" width="28.5" style="1" customWidth="1"/>
    <col min="3" max="15" width="9.5" style="2" bestFit="1" customWidth="1"/>
    <col min="16" max="16" width="10.6640625" style="2" customWidth="1"/>
    <col min="17" max="17" width="12.5" style="1" customWidth="1"/>
    <col min="18" max="18" width="10.33203125" style="1" customWidth="1"/>
    <col min="19" max="19" width="13" style="1" customWidth="1"/>
    <col min="20" max="21" width="10.33203125" style="1" customWidth="1"/>
    <col min="22" max="22" width="16.33203125" style="1" bestFit="1" customWidth="1"/>
    <col min="23" max="32" width="8.83203125" style="1" customWidth="1"/>
    <col min="33" max="33" width="10.1640625" style="1" customWidth="1"/>
    <col min="34" max="16384" width="15.83203125" style="1"/>
  </cols>
  <sheetData>
    <row r="1" spans="1:53">
      <c r="A1" s="405" t="s">
        <v>43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</row>
    <row r="2" spans="1:53">
      <c r="A2" s="405" t="s">
        <v>32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</row>
    <row r="3" spans="1:53" ht="12.75" customHeight="1">
      <c r="A3" s="406" t="s">
        <v>187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</row>
    <row r="4" spans="1:53">
      <c r="A4" s="405" t="s">
        <v>56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</row>
    <row r="5" spans="1:53">
      <c r="A5" s="126">
        <v>1</v>
      </c>
      <c r="B5" s="83" t="s">
        <v>3</v>
      </c>
      <c r="C5" s="127" t="s">
        <v>24</v>
      </c>
      <c r="D5" s="127" t="s">
        <v>49</v>
      </c>
      <c r="E5" s="127" t="s">
        <v>61</v>
      </c>
      <c r="F5" s="127" t="s">
        <v>62</v>
      </c>
      <c r="G5" s="127" t="s">
        <v>63</v>
      </c>
      <c r="H5" s="127" t="s">
        <v>64</v>
      </c>
      <c r="I5" s="127" t="s">
        <v>65</v>
      </c>
      <c r="J5" s="127" t="s">
        <v>66</v>
      </c>
      <c r="K5" s="127" t="s">
        <v>68</v>
      </c>
      <c r="L5" s="127" t="s">
        <v>69</v>
      </c>
      <c r="M5" s="127" t="s">
        <v>70</v>
      </c>
      <c r="N5" s="127" t="s">
        <v>71</v>
      </c>
      <c r="O5" s="127" t="s">
        <v>72</v>
      </c>
      <c r="P5" s="127"/>
      <c r="Q5" s="83" t="s">
        <v>73</v>
      </c>
    </row>
    <row r="6" spans="1:53" ht="35.1" customHeight="1">
      <c r="A6" s="126">
        <f>+A5+1</f>
        <v>2</v>
      </c>
      <c r="B6" s="128" t="s">
        <v>0</v>
      </c>
      <c r="C6" s="129">
        <v>43100</v>
      </c>
      <c r="D6" s="129">
        <v>43131</v>
      </c>
      <c r="E6" s="129">
        <v>43159</v>
      </c>
      <c r="F6" s="129">
        <v>43190</v>
      </c>
      <c r="G6" s="129">
        <v>43220</v>
      </c>
      <c r="H6" s="129">
        <v>43251</v>
      </c>
      <c r="I6" s="129">
        <v>43281</v>
      </c>
      <c r="J6" s="129">
        <v>43312</v>
      </c>
      <c r="K6" s="129">
        <v>43343</v>
      </c>
      <c r="L6" s="129">
        <v>43373</v>
      </c>
      <c r="M6" s="129">
        <v>43404</v>
      </c>
      <c r="N6" s="129">
        <v>43434</v>
      </c>
      <c r="O6" s="129">
        <v>43465</v>
      </c>
      <c r="P6" s="129"/>
      <c r="Q6" s="130" t="s">
        <v>101</v>
      </c>
      <c r="R6" s="131"/>
      <c r="S6" s="47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</row>
    <row r="7" spans="1:53">
      <c r="A7" s="126">
        <f>+A6+1</f>
        <v>3</v>
      </c>
      <c r="B7" s="133" t="s">
        <v>33</v>
      </c>
      <c r="C7" s="134">
        <v>329463000</v>
      </c>
      <c r="D7" s="134">
        <v>255500000</v>
      </c>
      <c r="E7" s="134">
        <v>153050000</v>
      </c>
      <c r="F7" s="134">
        <v>370689000</v>
      </c>
      <c r="G7" s="134">
        <v>391000000</v>
      </c>
      <c r="H7" s="134">
        <v>366000000</v>
      </c>
      <c r="I7" s="134">
        <v>28000000</v>
      </c>
      <c r="J7" s="134">
        <v>80000000</v>
      </c>
      <c r="K7" s="134">
        <v>102000000</v>
      </c>
      <c r="L7" s="134">
        <v>206000000</v>
      </c>
      <c r="M7" s="134">
        <v>259000000</v>
      </c>
      <c r="N7" s="134">
        <v>319297000</v>
      </c>
      <c r="O7" s="134">
        <v>379297000</v>
      </c>
      <c r="P7" s="134"/>
      <c r="Q7" s="135">
        <f>ROUND(((C7+O7)+(SUM(D7:N7)*2))/24,0)</f>
        <v>240409667</v>
      </c>
      <c r="R7" s="136"/>
      <c r="S7" s="74"/>
      <c r="T7" s="74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</row>
    <row r="8" spans="1:53">
      <c r="A8" s="126">
        <f>+A7+1</f>
        <v>4</v>
      </c>
      <c r="B8" s="133" t="s">
        <v>155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5">
        <f>ROUND(((C8+L8)+(SUM(D8:N8)*2))/24,0)</f>
        <v>0</v>
      </c>
      <c r="R8" s="136"/>
      <c r="S8" s="74"/>
      <c r="T8" s="74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</row>
    <row r="9" spans="1:53" ht="13.5" thickBot="1">
      <c r="A9" s="126">
        <f>+A8+1</f>
        <v>5</v>
      </c>
      <c r="B9" s="133" t="s">
        <v>141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5">
        <f>ROUND(((C9+L9)+(SUM(D9:N9)*2))/24,0)</f>
        <v>0</v>
      </c>
      <c r="R9" s="131"/>
      <c r="T9" s="74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</row>
    <row r="10" spans="1:53" ht="13.5" thickBot="1">
      <c r="A10" s="126">
        <f>+A9+1</f>
        <v>6</v>
      </c>
      <c r="B10" s="137" t="s">
        <v>27</v>
      </c>
      <c r="C10" s="138">
        <f t="shared" ref="C10:H10" si="0">SUM(C7:C9)</f>
        <v>329463000</v>
      </c>
      <c r="D10" s="138">
        <f t="shared" si="0"/>
        <v>255500000</v>
      </c>
      <c r="E10" s="138">
        <f t="shared" si="0"/>
        <v>153050000</v>
      </c>
      <c r="F10" s="138">
        <f t="shared" si="0"/>
        <v>370689000</v>
      </c>
      <c r="G10" s="138">
        <f t="shared" si="0"/>
        <v>391000000</v>
      </c>
      <c r="H10" s="138">
        <f t="shared" si="0"/>
        <v>366000000</v>
      </c>
      <c r="I10" s="138">
        <f t="shared" ref="I10:Q10" si="1">SUM(I7:I9)</f>
        <v>28000000</v>
      </c>
      <c r="J10" s="138">
        <f t="shared" si="1"/>
        <v>80000000</v>
      </c>
      <c r="K10" s="138">
        <f t="shared" si="1"/>
        <v>102000000</v>
      </c>
      <c r="L10" s="138">
        <f t="shared" si="1"/>
        <v>206000000</v>
      </c>
      <c r="M10" s="138">
        <f t="shared" si="1"/>
        <v>259000000</v>
      </c>
      <c r="N10" s="138">
        <f t="shared" si="1"/>
        <v>319297000</v>
      </c>
      <c r="O10" s="138">
        <f t="shared" si="1"/>
        <v>379297000</v>
      </c>
      <c r="P10" s="139"/>
      <c r="Q10" s="188">
        <f t="shared" si="1"/>
        <v>240409667</v>
      </c>
      <c r="R10" s="140"/>
      <c r="T10" s="140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49"/>
      <c r="AG10" s="49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</row>
    <row r="11" spans="1:53" ht="6.95" customHeight="1" thickBot="1">
      <c r="A11" s="126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35"/>
      <c r="R11" s="140"/>
      <c r="T11" s="140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49"/>
      <c r="AG11" s="49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</row>
    <row r="12" spans="1:53" ht="13.5" thickBot="1">
      <c r="A12" s="126">
        <f>+A10+1</f>
        <v>7</v>
      </c>
      <c r="B12" s="137" t="s">
        <v>116</v>
      </c>
      <c r="C12" s="144">
        <f>3523860000-24602220-1758560</f>
        <v>3497499220</v>
      </c>
      <c r="D12" s="144">
        <f>3523860000-24441336-1753206</f>
        <v>3497665458</v>
      </c>
      <c r="E12" s="144">
        <f>3523860000-24320009-1747851</f>
        <v>3497792140</v>
      </c>
      <c r="F12" s="144">
        <f>3523860000-24198682-1742497</f>
        <v>3497918821</v>
      </c>
      <c r="G12" s="144">
        <f>3523860000-24077356-1737143</f>
        <v>3498045501</v>
      </c>
      <c r="H12" s="144">
        <f>3523860000-23956029-1731788</f>
        <v>3498172183</v>
      </c>
      <c r="I12" s="144">
        <f>3923860000-24245951-6983726</f>
        <v>3892630323</v>
      </c>
      <c r="J12" s="144">
        <f>3923860000-24988076-6949205</f>
        <v>3891922719</v>
      </c>
      <c r="K12" s="144">
        <f>3923860000-24987492-6929267</f>
        <v>3891943241</v>
      </c>
      <c r="L12" s="144">
        <v>3892076008</v>
      </c>
      <c r="M12" s="144">
        <v>3892170221</v>
      </c>
      <c r="N12" s="144">
        <v>3892307056</v>
      </c>
      <c r="O12" s="144">
        <v>3892443356</v>
      </c>
      <c r="P12" s="144"/>
      <c r="Q12" s="188">
        <f>ROUND(((C12+O12)+(SUM(D12:N12)*2))/24,0)</f>
        <v>3711467913</v>
      </c>
      <c r="R12" s="140"/>
      <c r="S12" s="74"/>
      <c r="T12" s="74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49"/>
      <c r="AG12" s="49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</row>
    <row r="13" spans="1:53" ht="6" customHeight="1">
      <c r="A13" s="126"/>
      <c r="B13" s="137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6"/>
      <c r="R13" s="140"/>
      <c r="T13" s="140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</row>
    <row r="14" spans="1:53" ht="13.5" customHeight="1">
      <c r="A14" s="126">
        <f>+A12+1</f>
        <v>8</v>
      </c>
      <c r="B14" s="137" t="s">
        <v>110</v>
      </c>
      <c r="C14" s="145">
        <v>250000000</v>
      </c>
      <c r="D14" s="145">
        <v>250000000</v>
      </c>
      <c r="E14" s="145">
        <v>250000000</v>
      </c>
      <c r="F14" s="145">
        <v>56553000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7">
        <f>ROUND(((C14+O14)+(SUM(D14:N14)*2))/24,0)</f>
        <v>56796083</v>
      </c>
      <c r="R14" s="140"/>
      <c r="S14" s="74"/>
      <c r="T14" s="74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</row>
    <row r="15" spans="1:53" ht="5.25" customHeight="1" thickBot="1">
      <c r="A15" s="126"/>
      <c r="B15" s="137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6"/>
      <c r="R15" s="140"/>
      <c r="S15" s="140"/>
      <c r="T15" s="140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</row>
    <row r="16" spans="1:53" ht="13.5" customHeight="1" thickBot="1">
      <c r="A16" s="126">
        <f>+A14+1</f>
        <v>9</v>
      </c>
      <c r="B16" s="137" t="s">
        <v>12</v>
      </c>
      <c r="C16" s="148">
        <f t="shared" ref="C16:O16" si="2">SUM(C12:C14)</f>
        <v>3747499220</v>
      </c>
      <c r="D16" s="148">
        <f t="shared" si="2"/>
        <v>3747665458</v>
      </c>
      <c r="E16" s="148">
        <f t="shared" si="2"/>
        <v>3747792140</v>
      </c>
      <c r="F16" s="148">
        <f t="shared" si="2"/>
        <v>3554471821</v>
      </c>
      <c r="G16" s="148">
        <f t="shared" si="2"/>
        <v>3498045501</v>
      </c>
      <c r="H16" s="148">
        <f t="shared" si="2"/>
        <v>3498172183</v>
      </c>
      <c r="I16" s="148">
        <f t="shared" si="2"/>
        <v>3892630323</v>
      </c>
      <c r="J16" s="148">
        <f t="shared" si="2"/>
        <v>3891922719</v>
      </c>
      <c r="K16" s="148">
        <f t="shared" si="2"/>
        <v>3891943241</v>
      </c>
      <c r="L16" s="148">
        <f t="shared" si="2"/>
        <v>3892076008</v>
      </c>
      <c r="M16" s="148">
        <f t="shared" si="2"/>
        <v>3892170221</v>
      </c>
      <c r="N16" s="148">
        <f t="shared" si="2"/>
        <v>3892307056</v>
      </c>
      <c r="O16" s="148">
        <f t="shared" si="2"/>
        <v>3892443356</v>
      </c>
      <c r="P16" s="149"/>
      <c r="Q16" s="188">
        <f>SUM(Q12:Q14)</f>
        <v>3768263996</v>
      </c>
      <c r="R16" s="140"/>
      <c r="S16" s="150"/>
      <c r="T16" s="140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</row>
    <row r="17" spans="1:53" ht="6.75" customHeight="1" thickBot="1">
      <c r="A17" s="126"/>
      <c r="B17" s="137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6"/>
      <c r="R17" s="140"/>
      <c r="S17" s="140"/>
      <c r="T17" s="140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</row>
    <row r="18" spans="1:53" ht="13.5" thickBot="1">
      <c r="A18" s="126">
        <f>+A16+1</f>
        <v>10</v>
      </c>
      <c r="B18" s="137" t="s">
        <v>79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/>
      <c r="Q18" s="189"/>
      <c r="R18" s="140"/>
      <c r="S18" s="152"/>
      <c r="T18" s="140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</row>
    <row r="19" spans="1:53" ht="6.95" customHeight="1" thickBot="1">
      <c r="A19" s="126"/>
      <c r="B19" s="137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35"/>
      <c r="R19" s="140"/>
      <c r="S19" s="140"/>
      <c r="T19" s="140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</row>
    <row r="20" spans="1:53" ht="13.5" thickBot="1">
      <c r="A20" s="126">
        <f>+A18+1</f>
        <v>11</v>
      </c>
      <c r="B20" s="137" t="s">
        <v>91</v>
      </c>
      <c r="C20" s="153">
        <f t="shared" ref="C20:H20" si="3">C44</f>
        <v>3770421993</v>
      </c>
      <c r="D20" s="153">
        <f t="shared" si="3"/>
        <v>3830206006</v>
      </c>
      <c r="E20" s="153">
        <f t="shared" si="3"/>
        <v>3880699843</v>
      </c>
      <c r="F20" s="153">
        <f>F44</f>
        <v>3879184263</v>
      </c>
      <c r="G20" s="153">
        <f t="shared" si="3"/>
        <v>3897023977</v>
      </c>
      <c r="H20" s="153">
        <f t="shared" si="3"/>
        <v>3896636196</v>
      </c>
      <c r="I20" s="153">
        <f t="shared" ref="I20:O20" si="4">I44</f>
        <v>3856513605</v>
      </c>
      <c r="J20" s="153">
        <f t="shared" si="4"/>
        <v>3845263673</v>
      </c>
      <c r="K20" s="153">
        <f>K44</f>
        <v>3836679107</v>
      </c>
      <c r="L20" s="153">
        <f t="shared" si="4"/>
        <v>3800815427</v>
      </c>
      <c r="M20" s="153">
        <f t="shared" si="4"/>
        <v>3817737182</v>
      </c>
      <c r="N20" s="153">
        <f t="shared" si="4"/>
        <v>3859567841</v>
      </c>
      <c r="O20" s="153">
        <f t="shared" si="4"/>
        <v>3881528902</v>
      </c>
      <c r="P20" s="154"/>
      <c r="Q20" s="189">
        <f>ROUND(((C20+O20)+(SUM(D20:N20)*2))/24,0)</f>
        <v>3852191881</v>
      </c>
      <c r="R20" s="140"/>
      <c r="S20" s="140"/>
      <c r="T20" s="140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</row>
    <row r="21" spans="1:53" ht="6.95" customHeight="1">
      <c r="A21" s="126"/>
      <c r="B21" s="137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6"/>
      <c r="R21" s="140"/>
      <c r="S21" s="140"/>
      <c r="T21" s="140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</row>
    <row r="22" spans="1:53" ht="13.5" thickBot="1">
      <c r="A22" s="126">
        <f>+A20+1</f>
        <v>12</v>
      </c>
      <c r="B22" s="137" t="s">
        <v>82</v>
      </c>
      <c r="C22" s="157">
        <f t="shared" ref="C22:H22" si="5">C10+C16+C18+C20</f>
        <v>7847384213</v>
      </c>
      <c r="D22" s="157">
        <f t="shared" si="5"/>
        <v>7833371464</v>
      </c>
      <c r="E22" s="157">
        <f t="shared" si="5"/>
        <v>7781541983</v>
      </c>
      <c r="F22" s="157">
        <f>F10+F16+F18+F20-1000</f>
        <v>7804344084</v>
      </c>
      <c r="G22" s="157">
        <f>G10+G16+G18+G20-1000</f>
        <v>7786068478</v>
      </c>
      <c r="H22" s="157">
        <f t="shared" si="5"/>
        <v>7760808379</v>
      </c>
      <c r="I22" s="157">
        <f>I10+I16+I18+I20</f>
        <v>7777143928</v>
      </c>
      <c r="J22" s="157">
        <f>J10+J16+J18+J20+1000</f>
        <v>7817187392</v>
      </c>
      <c r="K22" s="157">
        <f t="shared" ref="K22:O22" si="6">K10+K16+K18+K20</f>
        <v>7830622348</v>
      </c>
      <c r="L22" s="157">
        <f>L10+L16+L18+L20</f>
        <v>7898891435</v>
      </c>
      <c r="M22" s="157">
        <f t="shared" si="6"/>
        <v>7968907403</v>
      </c>
      <c r="N22" s="157">
        <f t="shared" si="6"/>
        <v>8071171897</v>
      </c>
      <c r="O22" s="157">
        <f t="shared" si="6"/>
        <v>8153269258</v>
      </c>
      <c r="P22" s="157"/>
      <c r="Q22" s="158">
        <f>Q10+Q16+Q18+Q20</f>
        <v>7860865544</v>
      </c>
      <c r="R22" s="140"/>
      <c r="S22" s="140"/>
      <c r="T22" s="140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</row>
    <row r="23" spans="1:53" ht="13.5" thickTop="1">
      <c r="A23" s="126"/>
      <c r="B23" s="137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59"/>
      <c r="R23" s="140"/>
      <c r="S23" s="140"/>
      <c r="T23" s="140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</row>
    <row r="24" spans="1:53">
      <c r="A24" s="126">
        <f>+A22+1</f>
        <v>13</v>
      </c>
      <c r="B24" s="160" t="s">
        <v>27</v>
      </c>
      <c r="C24" s="161">
        <f t="shared" ref="C24:H24" si="7">C10/C$22</f>
        <v>4.1983798812120172E-2</v>
      </c>
      <c r="D24" s="161">
        <f t="shared" si="7"/>
        <v>3.2616862506036771E-2</v>
      </c>
      <c r="E24" s="161">
        <f t="shared" si="7"/>
        <v>1.9668338272075349E-2</v>
      </c>
      <c r="F24" s="161">
        <f t="shared" si="7"/>
        <v>4.7497777649240819E-2</v>
      </c>
      <c r="G24" s="161">
        <f t="shared" si="7"/>
        <v>5.0217898944094029E-2</v>
      </c>
      <c r="H24" s="161">
        <f t="shared" si="7"/>
        <v>4.7160035672361239E-2</v>
      </c>
      <c r="I24" s="161">
        <f>I10/I$22</f>
        <v>3.6002934058082408E-3</v>
      </c>
      <c r="J24" s="161">
        <f>J10/J$22</f>
        <v>1.0233859825577531E-2</v>
      </c>
      <c r="K24" s="161">
        <f>K10/K$22</f>
        <v>1.3025784601405476E-2</v>
      </c>
      <c r="L24" s="161">
        <f>L10/L$22</f>
        <v>2.6079608979965682E-2</v>
      </c>
      <c r="M24" s="161">
        <f t="shared" ref="M24:O24" si="8">M10/M$22</f>
        <v>3.2501318800930733E-2</v>
      </c>
      <c r="N24" s="161">
        <f t="shared" si="8"/>
        <v>3.9560178382358646E-2</v>
      </c>
      <c r="O24" s="161">
        <f t="shared" si="8"/>
        <v>4.6520848017846735E-2</v>
      </c>
      <c r="P24" s="161"/>
      <c r="Q24" s="162">
        <f>Q10/Q$22</f>
        <v>3.0583103813993946E-2</v>
      </c>
      <c r="R24" s="140"/>
      <c r="S24" s="140"/>
      <c r="T24" s="140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</row>
    <row r="25" spans="1:53">
      <c r="A25" s="126">
        <f>+A24+1</f>
        <v>14</v>
      </c>
      <c r="B25" s="160" t="s">
        <v>28</v>
      </c>
      <c r="C25" s="163">
        <f t="shared" ref="C25:H25" si="9">C16/C$22</f>
        <v>0.47754756467663223</v>
      </c>
      <c r="D25" s="163">
        <f t="shared" si="9"/>
        <v>0.47842304877577041</v>
      </c>
      <c r="E25" s="163">
        <f t="shared" si="9"/>
        <v>0.48162589730771105</v>
      </c>
      <c r="F25" s="163">
        <f t="shared" si="9"/>
        <v>0.4554478611837689</v>
      </c>
      <c r="G25" s="163">
        <f t="shared" si="9"/>
        <v>0.44926980938890221</v>
      </c>
      <c r="H25" s="163">
        <f t="shared" si="9"/>
        <v>0.45074842879328358</v>
      </c>
      <c r="I25" s="163">
        <f>I16/I$22</f>
        <v>0.50052183154093222</v>
      </c>
      <c r="J25" s="163">
        <f>J16/J$22</f>
        <v>0.49786739447783218</v>
      </c>
      <c r="K25" s="163">
        <f>K16/K$22</f>
        <v>0.49701582684472473</v>
      </c>
      <c r="L25" s="163">
        <f>L16/L$22</f>
        <v>0.4927369922764358</v>
      </c>
      <c r="M25" s="163">
        <f t="shared" ref="M25:O25" si="10">M16/M$22</f>
        <v>0.48841955668034759</v>
      </c>
      <c r="N25" s="163">
        <f t="shared" si="10"/>
        <v>0.48224806826958355</v>
      </c>
      <c r="O25" s="163">
        <f t="shared" si="10"/>
        <v>0.47740890590369361</v>
      </c>
      <c r="P25" s="163"/>
      <c r="Q25" s="164">
        <f>Q16/Q$22</f>
        <v>0.47937011196893203</v>
      </c>
      <c r="R25" s="140"/>
      <c r="S25" s="140"/>
      <c r="T25" s="140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</row>
    <row r="26" spans="1:53">
      <c r="A26" s="126">
        <f>+A25+1</f>
        <v>15</v>
      </c>
      <c r="B26" s="160" t="s">
        <v>97</v>
      </c>
      <c r="C26" s="161">
        <f t="shared" ref="C26:H26" si="11">SUM(C24:C25)</f>
        <v>0.5195313634887524</v>
      </c>
      <c r="D26" s="161">
        <f t="shared" si="11"/>
        <v>0.51103991128180715</v>
      </c>
      <c r="E26" s="161">
        <f t="shared" si="11"/>
        <v>0.50129423557978636</v>
      </c>
      <c r="F26" s="161">
        <f t="shared" si="11"/>
        <v>0.50294563883300969</v>
      </c>
      <c r="G26" s="161">
        <f t="shared" si="11"/>
        <v>0.49948770833299622</v>
      </c>
      <c r="H26" s="161">
        <f t="shared" si="11"/>
        <v>0.49790846446564485</v>
      </c>
      <c r="I26" s="161">
        <f>SUM(I24:I25)</f>
        <v>0.50412212494674047</v>
      </c>
      <c r="J26" s="161">
        <f>SUM(J24:J25)</f>
        <v>0.50810125430340969</v>
      </c>
      <c r="K26" s="161">
        <f>SUM(K24:K25)</f>
        <v>0.51004161144613025</v>
      </c>
      <c r="L26" s="161">
        <f>SUM(L24:L25)</f>
        <v>0.5188166012564015</v>
      </c>
      <c r="M26" s="161">
        <f t="shared" ref="M26:O26" si="12">SUM(M24:M25)</f>
        <v>0.5209208754812783</v>
      </c>
      <c r="N26" s="161">
        <f t="shared" si="12"/>
        <v>0.52180824665194225</v>
      </c>
      <c r="O26" s="161">
        <f t="shared" si="12"/>
        <v>0.5239297539215404</v>
      </c>
      <c r="P26" s="161"/>
      <c r="Q26" s="162">
        <f>SUM(Q24:Q25)</f>
        <v>0.50995321578292596</v>
      </c>
      <c r="R26" s="140"/>
      <c r="S26" s="140"/>
      <c r="T26" s="140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</row>
    <row r="27" spans="1:53">
      <c r="A27" s="126">
        <f>+A26+1</f>
        <v>16</v>
      </c>
      <c r="B27" s="160" t="s">
        <v>98</v>
      </c>
      <c r="C27" s="161">
        <f>C18/C$22</f>
        <v>0</v>
      </c>
      <c r="D27" s="161">
        <f>D18/D$22</f>
        <v>0</v>
      </c>
      <c r="E27" s="161">
        <f>E18/E$22</f>
        <v>0</v>
      </c>
      <c r="F27" s="161">
        <f>F18/F$22</f>
        <v>0</v>
      </c>
      <c r="G27" s="161">
        <f t="shared" ref="G27:O27" si="13">G18/G$22</f>
        <v>0</v>
      </c>
      <c r="H27" s="161">
        <f t="shared" si="13"/>
        <v>0</v>
      </c>
      <c r="I27" s="161">
        <f t="shared" si="13"/>
        <v>0</v>
      </c>
      <c r="J27" s="161">
        <f t="shared" si="13"/>
        <v>0</v>
      </c>
      <c r="K27" s="161">
        <f t="shared" si="13"/>
        <v>0</v>
      </c>
      <c r="L27" s="161">
        <f t="shared" si="13"/>
        <v>0</v>
      </c>
      <c r="M27" s="161">
        <f t="shared" si="13"/>
        <v>0</v>
      </c>
      <c r="N27" s="161">
        <f t="shared" si="13"/>
        <v>0</v>
      </c>
      <c r="O27" s="161">
        <f t="shared" si="13"/>
        <v>0</v>
      </c>
      <c r="P27" s="161"/>
      <c r="Q27" s="162">
        <f>Q18/Q$22</f>
        <v>0</v>
      </c>
      <c r="R27" s="140"/>
      <c r="S27" s="140"/>
      <c r="T27" s="140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</row>
    <row r="28" spans="1:53">
      <c r="A28" s="126">
        <f>+A27+1</f>
        <v>17</v>
      </c>
      <c r="B28" s="160" t="s">
        <v>99</v>
      </c>
      <c r="C28" s="165">
        <f>C20/C$22</f>
        <v>0.4804686365112476</v>
      </c>
      <c r="D28" s="165">
        <f>D20/D$22</f>
        <v>0.4889600887181928</v>
      </c>
      <c r="E28" s="165">
        <f>E20/E$22</f>
        <v>0.49870576442021364</v>
      </c>
      <c r="F28" s="165">
        <f>F20/F$22</f>
        <v>0.49705448930075646</v>
      </c>
      <c r="G28" s="165">
        <f t="shared" ref="G28:O28" si="14">G20/G$22</f>
        <v>0.50051242010152786</v>
      </c>
      <c r="H28" s="165">
        <f t="shared" si="14"/>
        <v>0.50209153553435515</v>
      </c>
      <c r="I28" s="165">
        <f t="shared" si="14"/>
        <v>0.49587787505325953</v>
      </c>
      <c r="J28" s="165">
        <f t="shared" si="14"/>
        <v>0.49189861777334248</v>
      </c>
      <c r="K28" s="165">
        <f t="shared" si="14"/>
        <v>0.48995838855386975</v>
      </c>
      <c r="L28" s="165">
        <f t="shared" si="14"/>
        <v>0.4811833987435985</v>
      </c>
      <c r="M28" s="165">
        <f t="shared" si="14"/>
        <v>0.4790791245187217</v>
      </c>
      <c r="N28" s="165">
        <f t="shared" si="14"/>
        <v>0.4781917533480578</v>
      </c>
      <c r="O28" s="165">
        <f t="shared" si="14"/>
        <v>0.47607024607845966</v>
      </c>
      <c r="P28" s="165"/>
      <c r="Q28" s="164">
        <f>Q20/Q$22</f>
        <v>0.49004678421707398</v>
      </c>
      <c r="R28" s="140"/>
      <c r="S28" s="140"/>
      <c r="T28" s="140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</row>
    <row r="29" spans="1:53">
      <c r="A29" s="166"/>
      <c r="B29" s="160"/>
      <c r="C29" s="167"/>
      <c r="D29" s="168"/>
      <c r="E29" s="168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9"/>
      <c r="R29" s="140"/>
      <c r="S29" s="140"/>
      <c r="T29" s="140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</row>
    <row r="30" spans="1:53" ht="13.5" thickBot="1">
      <c r="A30" s="126">
        <f>+A28+1</f>
        <v>18</v>
      </c>
      <c r="B30" s="160" t="s">
        <v>100</v>
      </c>
      <c r="C30" s="170">
        <f>SUM(C26:C28)</f>
        <v>1</v>
      </c>
      <c r="D30" s="170">
        <f>SUM(D26:D28)</f>
        <v>1</v>
      </c>
      <c r="E30" s="170">
        <f>SUM(E26:E28)</f>
        <v>1</v>
      </c>
      <c r="F30" s="170">
        <f>SUM(F26:F28)</f>
        <v>1.0000001281337663</v>
      </c>
      <c r="G30" s="170">
        <f t="shared" ref="G30:O30" si="15">SUM(G26:G28)</f>
        <v>1.0000001284345241</v>
      </c>
      <c r="H30" s="170">
        <f t="shared" si="15"/>
        <v>1</v>
      </c>
      <c r="I30" s="170">
        <f t="shared" si="15"/>
        <v>1</v>
      </c>
      <c r="J30" s="170">
        <f t="shared" si="15"/>
        <v>0.99999987207675223</v>
      </c>
      <c r="K30" s="170">
        <f t="shared" si="15"/>
        <v>1</v>
      </c>
      <c r="L30" s="170">
        <f t="shared" si="15"/>
        <v>1</v>
      </c>
      <c r="M30" s="170">
        <f t="shared" si="15"/>
        <v>1</v>
      </c>
      <c r="N30" s="170">
        <f t="shared" si="15"/>
        <v>1</v>
      </c>
      <c r="O30" s="170">
        <f t="shared" si="15"/>
        <v>1</v>
      </c>
      <c r="P30" s="170"/>
      <c r="Q30" s="171">
        <f>SUM(Q26:Q28)</f>
        <v>1</v>
      </c>
      <c r="R30" s="140"/>
      <c r="S30" s="140"/>
      <c r="T30" s="140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</row>
    <row r="31" spans="1:53" ht="13.5" thickTop="1">
      <c r="A31" s="126"/>
      <c r="B31" s="137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0"/>
      <c r="S31" s="140"/>
      <c r="T31" s="140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</row>
    <row r="32" spans="1:53">
      <c r="A32" s="126"/>
      <c r="B32" s="137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49"/>
      <c r="R32" s="140"/>
      <c r="S32" s="140"/>
      <c r="T32" s="140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</row>
    <row r="33" spans="1:54" ht="13.5" thickBot="1">
      <c r="A33" s="126"/>
      <c r="B33" s="137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49"/>
      <c r="R33" s="140"/>
      <c r="S33" s="140"/>
      <c r="T33" s="140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</row>
    <row r="34" spans="1:54" ht="13.5" thickBot="1">
      <c r="A34" s="126">
        <f>+A30+1</f>
        <v>19</v>
      </c>
      <c r="B34" s="137" t="s">
        <v>78</v>
      </c>
      <c r="C34" s="174">
        <v>3601123505</v>
      </c>
      <c r="D34" s="174">
        <v>3655356385</v>
      </c>
      <c r="E34" s="174">
        <v>3706182091</v>
      </c>
      <c r="F34" s="174">
        <v>3708508200</v>
      </c>
      <c r="G34" s="174">
        <v>3726219151</v>
      </c>
      <c r="H34" s="174">
        <v>3733692606</v>
      </c>
      <c r="I34" s="174">
        <v>3694402390</v>
      </c>
      <c r="J34" s="174">
        <v>3687207694</v>
      </c>
      <c r="K34" s="174">
        <v>3681006366</v>
      </c>
      <c r="L34" s="174">
        <v>3649419000</v>
      </c>
      <c r="M34" s="174">
        <v>3734417868</v>
      </c>
      <c r="N34" s="174">
        <v>3801664639</v>
      </c>
      <c r="O34" s="174">
        <v>3747890375</v>
      </c>
      <c r="P34" s="174"/>
      <c r="Q34" s="188">
        <f>ROUND(((C34+O34)+(SUM(D34:N34)*2))/24,0)</f>
        <v>3704381944</v>
      </c>
      <c r="R34" s="47"/>
      <c r="S34" s="74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</row>
    <row r="35" spans="1:54" ht="13.5" thickBot="1">
      <c r="A35" s="126">
        <f>+A34+1</f>
        <v>20</v>
      </c>
      <c r="B35" s="142" t="s">
        <v>29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6"/>
      <c r="R35" s="47"/>
      <c r="S35" s="74"/>
      <c r="T35" s="47"/>
      <c r="U35" s="51"/>
      <c r="V35" s="142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2"/>
    </row>
    <row r="36" spans="1:54" ht="13.5" thickBot="1">
      <c r="A36" s="126">
        <f>+A35+1</f>
        <v>21</v>
      </c>
      <c r="B36" s="142" t="s">
        <v>30</v>
      </c>
      <c r="C36" s="177">
        <v>-19215436</v>
      </c>
      <c r="D36" s="177">
        <v>-19215436</v>
      </c>
      <c r="E36" s="177">
        <v>-19215436</v>
      </c>
      <c r="F36" s="177">
        <v>-19347542</v>
      </c>
      <c r="G36" s="177">
        <v>-19347542</v>
      </c>
      <c r="H36" s="177">
        <v>-19347542</v>
      </c>
      <c r="I36" s="177">
        <v>-19201404</v>
      </c>
      <c r="J36" s="177">
        <v>-19201404</v>
      </c>
      <c r="K36" s="177">
        <v>-19201404</v>
      </c>
      <c r="L36" s="177">
        <v>-19336429</v>
      </c>
      <c r="M36" s="177">
        <v>-19336429</v>
      </c>
      <c r="N36" s="177">
        <v>-19336429</v>
      </c>
      <c r="O36" s="177">
        <v>-19756868</v>
      </c>
      <c r="P36" s="177"/>
      <c r="Q36" s="188">
        <f>ROUND(((C36+O36)+(SUM(D36:N36)*2))/24,0)</f>
        <v>-19297762</v>
      </c>
      <c r="R36" s="149"/>
      <c r="S36" s="74"/>
      <c r="T36" s="74"/>
      <c r="U36" s="51"/>
      <c r="V36" s="155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2"/>
    </row>
    <row r="37" spans="1:54" ht="13.5" thickBot="1">
      <c r="A37" s="126">
        <f>+A36+1</f>
        <v>22</v>
      </c>
      <c r="B37" s="142" t="s">
        <v>2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2"/>
      <c r="R37" s="149"/>
      <c r="S37" s="74"/>
      <c r="T37" s="50"/>
      <c r="U37" s="50"/>
      <c r="V37" s="155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1"/>
      <c r="AT37" s="51"/>
      <c r="AU37" s="51"/>
      <c r="AV37" s="51"/>
      <c r="AW37" s="51"/>
      <c r="AX37" s="51"/>
      <c r="AY37" s="51"/>
      <c r="AZ37" s="51"/>
      <c r="BA37" s="51"/>
      <c r="BB37" s="52"/>
    </row>
    <row r="38" spans="1:54" ht="13.5" thickBot="1">
      <c r="A38" s="126">
        <f t="shared" ref="A38:A44" si="16">+A37+1</f>
        <v>23</v>
      </c>
      <c r="B38" s="178" t="s">
        <v>31</v>
      </c>
      <c r="C38" s="179">
        <f t="shared" ref="C38:H38" si="17">SUM(C36:C37)</f>
        <v>-19215436</v>
      </c>
      <c r="D38" s="179">
        <f t="shared" si="17"/>
        <v>-19215436</v>
      </c>
      <c r="E38" s="179">
        <f t="shared" si="17"/>
        <v>-19215436</v>
      </c>
      <c r="F38" s="179">
        <f t="shared" si="17"/>
        <v>-19347542</v>
      </c>
      <c r="G38" s="179">
        <f t="shared" si="17"/>
        <v>-19347542</v>
      </c>
      <c r="H38" s="179">
        <f t="shared" si="17"/>
        <v>-19347542</v>
      </c>
      <c r="I38" s="179">
        <f>SUM(I36:I37)</f>
        <v>-19201404</v>
      </c>
      <c r="J38" s="179">
        <f>SUM(J36:J37)</f>
        <v>-19201404</v>
      </c>
      <c r="K38" s="179">
        <f>SUM(K36:K37)</f>
        <v>-19201404</v>
      </c>
      <c r="L38" s="179">
        <f>SUM(L36:L37)</f>
        <v>-19336429</v>
      </c>
      <c r="M38" s="179">
        <f>SUM(M36:M37)</f>
        <v>-19336429</v>
      </c>
      <c r="N38" s="179">
        <f t="shared" ref="N38:O38" si="18">SUM(N36:N37)</f>
        <v>-19336429</v>
      </c>
      <c r="O38" s="179">
        <f t="shared" si="18"/>
        <v>-19756868</v>
      </c>
      <c r="P38" s="139"/>
      <c r="Q38" s="188">
        <f>ROUND(((C38+O38)+(SUM(D38:N38)*2))/24,0)</f>
        <v>-19297762</v>
      </c>
      <c r="R38" s="149"/>
      <c r="S38" s="74"/>
      <c r="T38" s="47"/>
      <c r="U38" s="51"/>
      <c r="V38" s="47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2"/>
    </row>
    <row r="39" spans="1:54" ht="13.5" thickBot="1">
      <c r="A39" s="126">
        <f t="shared" si="16"/>
        <v>24</v>
      </c>
      <c r="B39" s="180" t="s">
        <v>153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40"/>
      <c r="R39" s="149"/>
      <c r="S39" s="74"/>
      <c r="T39" s="47"/>
      <c r="U39" s="51"/>
      <c r="V39" s="47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2"/>
    </row>
    <row r="40" spans="1:54" ht="13.5" thickBot="1">
      <c r="A40" s="126">
        <f t="shared" si="16"/>
        <v>25</v>
      </c>
      <c r="B40" s="181" t="s">
        <v>154</v>
      </c>
      <c r="C40" s="174">
        <f>-17330000-5849000</f>
        <v>-23179000</v>
      </c>
      <c r="D40" s="174">
        <f>-24121000-5849000</f>
        <v>-29970000</v>
      </c>
      <c r="E40" s="174">
        <f>-25029000-5849000</f>
        <v>-30878000</v>
      </c>
      <c r="F40" s="174">
        <f>-21535000+21485000</f>
        <v>-50000</v>
      </c>
      <c r="G40" s="174">
        <f>-22650000+21485000</f>
        <v>-1165000</v>
      </c>
      <c r="H40" s="174">
        <f>-15775000+21485000</f>
        <v>5710000</v>
      </c>
      <c r="I40" s="174">
        <f>-16075000+21485000</f>
        <v>5410000</v>
      </c>
      <c r="J40" s="174">
        <f>-13006000+21485000</f>
        <v>8479000</v>
      </c>
      <c r="K40" s="174">
        <f>-11416000+21485000</f>
        <v>10069000</v>
      </c>
      <c r="L40" s="174">
        <f>-4979000+21485000</f>
        <v>16506000</v>
      </c>
      <c r="M40" s="174">
        <f>62238000+21485000</f>
        <v>83723000</v>
      </c>
      <c r="N40" s="174">
        <f>86771000+21485000</f>
        <v>108256000</v>
      </c>
      <c r="O40" s="174">
        <f>10591000+21485000</f>
        <v>32076000</v>
      </c>
      <c r="P40" s="139"/>
      <c r="Q40" s="188">
        <f>ROUND(((C40+O40)+(SUM(D40:N40)*2))/24,0)</f>
        <v>15044875</v>
      </c>
      <c r="R40" s="149"/>
      <c r="S40" s="74"/>
      <c r="T40" s="47"/>
      <c r="U40" s="51"/>
      <c r="V40" s="47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2"/>
    </row>
    <row r="41" spans="1:54" ht="13.5" thickBot="1">
      <c r="A41" s="126">
        <f t="shared" si="16"/>
        <v>26</v>
      </c>
      <c r="B41" s="181" t="s">
        <v>106</v>
      </c>
      <c r="C41" s="177">
        <v>-5038694</v>
      </c>
      <c r="D41" s="177">
        <v>-5006591</v>
      </c>
      <c r="E41" s="177">
        <v>-4974487</v>
      </c>
      <c r="F41" s="177">
        <v>-6027641</v>
      </c>
      <c r="G41" s="177">
        <f>-5995538</f>
        <v>-5995538</v>
      </c>
      <c r="H41" s="177">
        <v>-5963435</v>
      </c>
      <c r="I41" s="177">
        <v>-5931332</v>
      </c>
      <c r="J41" s="177">
        <v>-5899229</v>
      </c>
      <c r="K41" s="177">
        <f>-5867125-193000</f>
        <v>-6060125</v>
      </c>
      <c r="L41" s="177">
        <f>-5835022-229000</f>
        <v>-6064022</v>
      </c>
      <c r="M41" s="177">
        <f>-5802919-382000</f>
        <v>-6184919</v>
      </c>
      <c r="N41" s="177">
        <f>-5770816-512000</f>
        <v>-6282816</v>
      </c>
      <c r="O41" s="177">
        <f>-5738712-660000</f>
        <v>-6398712</v>
      </c>
      <c r="P41" s="177"/>
      <c r="Q41" s="188">
        <f>ROUND(((C41+O41)+(SUM(D41:N41)*2))/24,0)</f>
        <v>-5842403</v>
      </c>
      <c r="R41" s="149"/>
      <c r="S41" s="74"/>
      <c r="T41" s="47"/>
      <c r="U41" s="51"/>
      <c r="V41" s="182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2"/>
    </row>
    <row r="42" spans="1:54" ht="13.5" thickBot="1">
      <c r="A42" s="126">
        <f t="shared" si="16"/>
        <v>27</v>
      </c>
      <c r="B42" s="181" t="s">
        <v>107</v>
      </c>
      <c r="C42" s="177">
        <v>-121865358</v>
      </c>
      <c r="D42" s="177">
        <v>-120657594</v>
      </c>
      <c r="E42" s="177">
        <f>-118004330-1445499</f>
        <v>-119449829</v>
      </c>
      <c r="F42" s="177">
        <v>-145250880</v>
      </c>
      <c r="G42" s="177">
        <f>-143459337-837409</f>
        <v>-144296746</v>
      </c>
      <c r="H42" s="177">
        <f>-142512676-829937</f>
        <v>-143342613</v>
      </c>
      <c r="I42" s="177">
        <f>-141566015-822464</f>
        <v>-142388479</v>
      </c>
      <c r="J42" s="177">
        <f>-140619354-814992</f>
        <v>-141434346</v>
      </c>
      <c r="K42" s="177">
        <f>-139672693-807519</f>
        <v>-140480212</v>
      </c>
      <c r="L42" s="177">
        <f>-141717574-784402</f>
        <v>-142501976</v>
      </c>
      <c r="M42" s="177">
        <f>-140743862-777104</f>
        <v>-141520966</v>
      </c>
      <c r="N42" s="177">
        <f>-139770150-769807</f>
        <v>-140539957</v>
      </c>
      <c r="O42" s="177">
        <f>-138796438-762509</f>
        <v>-139558947</v>
      </c>
      <c r="P42" s="177"/>
      <c r="Q42" s="188">
        <f>ROUND(((C42+O42)+(SUM(D42:N42)*2))/24,0)</f>
        <v>-137714646</v>
      </c>
      <c r="R42" s="149"/>
      <c r="S42" s="74"/>
      <c r="T42" s="47"/>
      <c r="U42" s="51"/>
      <c r="V42" s="182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2"/>
    </row>
    <row r="43" spans="1:54" ht="13.5" thickBot="1">
      <c r="A43" s="126">
        <f t="shared" si="16"/>
        <v>28</v>
      </c>
      <c r="B43" s="183" t="s">
        <v>108</v>
      </c>
      <c r="C43" s="184">
        <f t="shared" ref="C43:H43" si="19">SUM(C40:C42)</f>
        <v>-150083052</v>
      </c>
      <c r="D43" s="184">
        <f t="shared" si="19"/>
        <v>-155634185</v>
      </c>
      <c r="E43" s="184">
        <f t="shared" si="19"/>
        <v>-155302316</v>
      </c>
      <c r="F43" s="184">
        <f t="shared" si="19"/>
        <v>-151328521</v>
      </c>
      <c r="G43" s="184">
        <f t="shared" si="19"/>
        <v>-151457284</v>
      </c>
      <c r="H43" s="184">
        <f t="shared" si="19"/>
        <v>-143596048</v>
      </c>
      <c r="I43" s="184">
        <f>SUM(I40:I42)</f>
        <v>-142909811</v>
      </c>
      <c r="J43" s="184">
        <f>SUM(J40:J42)</f>
        <v>-138854575</v>
      </c>
      <c r="K43" s="184">
        <f>SUM(K40:K42)</f>
        <v>-136471337</v>
      </c>
      <c r="L43" s="184">
        <f>SUM(L40:L42)</f>
        <v>-132059998</v>
      </c>
      <c r="M43" s="184">
        <f t="shared" ref="M43:O43" si="20">SUM(M40:M42)</f>
        <v>-63982885</v>
      </c>
      <c r="N43" s="184">
        <f t="shared" si="20"/>
        <v>-38566773</v>
      </c>
      <c r="O43" s="184">
        <f t="shared" si="20"/>
        <v>-113881659</v>
      </c>
      <c r="P43" s="154"/>
      <c r="Q43" s="188">
        <f>ROUND(((C43+O43)+(SUM(D43:N43)*2))/24,0)</f>
        <v>-128512174</v>
      </c>
      <c r="R43" s="149"/>
      <c r="S43" s="47"/>
      <c r="T43" s="47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2"/>
    </row>
    <row r="44" spans="1:54" ht="13.5" thickBot="1">
      <c r="A44" s="126">
        <f t="shared" si="16"/>
        <v>29</v>
      </c>
      <c r="B44" s="137" t="s">
        <v>91</v>
      </c>
      <c r="C44" s="157">
        <f t="shared" ref="C44:M44" si="21">+C34-C38-C43</f>
        <v>3770421993</v>
      </c>
      <c r="D44" s="157">
        <f t="shared" si="21"/>
        <v>3830206006</v>
      </c>
      <c r="E44" s="157">
        <f t="shared" si="21"/>
        <v>3880699843</v>
      </c>
      <c r="F44" s="157">
        <f t="shared" si="21"/>
        <v>3879184263</v>
      </c>
      <c r="G44" s="157">
        <f t="shared" si="21"/>
        <v>3897023977</v>
      </c>
      <c r="H44" s="157">
        <f t="shared" si="21"/>
        <v>3896636196</v>
      </c>
      <c r="I44" s="157">
        <f t="shared" si="21"/>
        <v>3856513605</v>
      </c>
      <c r="J44" s="157">
        <f t="shared" si="21"/>
        <v>3845263673</v>
      </c>
      <c r="K44" s="157">
        <f t="shared" si="21"/>
        <v>3836679107</v>
      </c>
      <c r="L44" s="157">
        <f t="shared" si="21"/>
        <v>3800815427</v>
      </c>
      <c r="M44" s="157">
        <f t="shared" si="21"/>
        <v>3817737182</v>
      </c>
      <c r="N44" s="157">
        <f t="shared" ref="N44" si="22">+N34-N38-N43</f>
        <v>3859567841</v>
      </c>
      <c r="O44" s="157">
        <f>+O34-O38-O43</f>
        <v>3881528902</v>
      </c>
      <c r="P44" s="149"/>
      <c r="Q44" s="188">
        <f>ROUND(((C44+O44)+(SUM(D44:N44)*2))/24,0)</f>
        <v>3852191881</v>
      </c>
      <c r="R44" s="149"/>
      <c r="S44" s="47"/>
      <c r="T44" s="47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2"/>
    </row>
    <row r="45" spans="1:54" ht="13.5" thickTop="1"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48"/>
      <c r="R45" s="149"/>
      <c r="S45" s="47"/>
      <c r="T45" s="47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2"/>
    </row>
    <row r="46" spans="1:54"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47"/>
      <c r="R46" s="149"/>
      <c r="S46" s="47"/>
      <c r="T46" s="47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2"/>
    </row>
    <row r="47" spans="1:54"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47"/>
      <c r="R47" s="149"/>
      <c r="S47" s="47"/>
      <c r="T47" s="47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2"/>
    </row>
    <row r="48" spans="1:54"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47"/>
      <c r="R48" s="149"/>
      <c r="S48" s="47"/>
      <c r="T48" s="47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2"/>
    </row>
    <row r="49" spans="3:54">
      <c r="C49" s="185"/>
      <c r="D49" s="185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47"/>
      <c r="R49" s="149"/>
      <c r="S49" s="47"/>
      <c r="T49" s="47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2"/>
    </row>
    <row r="50" spans="3:54">
      <c r="C50" s="185"/>
      <c r="D50" s="185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86"/>
      <c r="R50" s="149"/>
      <c r="S50" s="47"/>
      <c r="T50" s="47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2"/>
    </row>
    <row r="51" spans="3:54">
      <c r="C51" s="185"/>
      <c r="D51" s="185"/>
      <c r="E51" s="187"/>
      <c r="F51" s="187"/>
      <c r="G51" s="187"/>
      <c r="H51" s="177"/>
      <c r="I51" s="177"/>
      <c r="J51" s="177"/>
      <c r="K51" s="177"/>
      <c r="L51" s="177"/>
      <c r="M51" s="177"/>
      <c r="N51" s="177"/>
      <c r="O51" s="177"/>
      <c r="P51" s="177"/>
      <c r="Q51" s="49"/>
      <c r="R51" s="149"/>
      <c r="S51" s="47"/>
      <c r="T51" s="47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2"/>
    </row>
    <row r="52" spans="3:54">
      <c r="C52" s="185"/>
      <c r="D52" s="185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47"/>
      <c r="R52" s="149"/>
      <c r="S52" s="47"/>
      <c r="T52" s="47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2"/>
    </row>
    <row r="53" spans="3:54"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76"/>
      <c r="R53" s="149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</row>
    <row r="54" spans="3:54"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76"/>
      <c r="R54" s="149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</row>
    <row r="55" spans="3:54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47"/>
      <c r="R55" s="149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</row>
    <row r="56" spans="3:54"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80"/>
      <c r="N56" s="48"/>
      <c r="O56" s="48"/>
      <c r="P56" s="48"/>
      <c r="Q56" s="47"/>
      <c r="R56" s="149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</row>
    <row r="57" spans="3:54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7"/>
      <c r="R57" s="149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</row>
    <row r="58" spans="3:54"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7"/>
      <c r="R58" s="149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</row>
    <row r="59" spans="3:54"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7"/>
      <c r="R59" s="149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</row>
    <row r="60" spans="3:54"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7"/>
      <c r="R60" s="149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</row>
    <row r="61" spans="3:54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7"/>
      <c r="R61" s="149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</row>
    <row r="62" spans="3:54"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7"/>
      <c r="R62" s="149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</row>
    <row r="63" spans="3:54"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7"/>
      <c r="R63" s="149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</row>
    <row r="64" spans="3:54"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</row>
    <row r="65" spans="3:53"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</row>
    <row r="66" spans="3:53"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</row>
    <row r="67" spans="3:53"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</row>
    <row r="68" spans="3:53"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</row>
    <row r="69" spans="3:53"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</row>
    <row r="70" spans="3:53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</row>
    <row r="71" spans="3:53"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</row>
    <row r="72" spans="3:53"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</row>
    <row r="73" spans="3:53"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</row>
    <row r="74" spans="3:53"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</row>
    <row r="75" spans="3:53"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</row>
    <row r="76" spans="3:53"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</row>
    <row r="77" spans="3:53"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</row>
    <row r="78" spans="3:53"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</row>
    <row r="79" spans="3:53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</row>
    <row r="80" spans="3:53"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</row>
    <row r="81" spans="3:53"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</row>
    <row r="82" spans="3:53"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</row>
    <row r="83" spans="3:53"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</row>
    <row r="84" spans="3:53"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</row>
    <row r="85" spans="3:53"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</row>
    <row r="86" spans="3:53"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</row>
    <row r="87" spans="3:53"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</row>
    <row r="88" spans="3:53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</row>
    <row r="89" spans="3:53"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</row>
    <row r="90" spans="3:53"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</row>
    <row r="91" spans="3:53"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</row>
    <row r="92" spans="3:53"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</row>
    <row r="93" spans="3:53"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</row>
    <row r="94" spans="3:53"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</row>
    <row r="95" spans="3:53"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</row>
    <row r="96" spans="3:53"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</row>
    <row r="97" spans="3:53"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</row>
    <row r="98" spans="3:53"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</row>
    <row r="99" spans="3:53"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</row>
    <row r="100" spans="3:53"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</row>
    <row r="101" spans="3:53"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</row>
    <row r="102" spans="3:53"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</row>
    <row r="103" spans="3:53"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</row>
    <row r="104" spans="3:53"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</row>
    <row r="105" spans="3:53"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</row>
    <row r="106" spans="3:53"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</row>
    <row r="107" spans="3:53"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</row>
    <row r="108" spans="3:53"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</row>
    <row r="109" spans="3:53"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</row>
    <row r="110" spans="3:53"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</row>
    <row r="111" spans="3:53"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</row>
    <row r="112" spans="3:53"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</row>
    <row r="113" spans="3:53"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</row>
    <row r="114" spans="3:53"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</row>
    <row r="115" spans="3:53"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</row>
    <row r="116" spans="3:53"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</row>
    <row r="117" spans="3:53"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</row>
    <row r="118" spans="3:53"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</row>
    <row r="119" spans="3:53"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</row>
    <row r="120" spans="3:53"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</row>
    <row r="121" spans="3:53"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</row>
    <row r="122" spans="3:53"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</row>
    <row r="123" spans="3:53"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</row>
    <row r="124" spans="3:53"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</row>
    <row r="125" spans="3:53"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</row>
    <row r="126" spans="3:53"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</row>
    <row r="127" spans="3:53"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</row>
    <row r="128" spans="3:53"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</row>
    <row r="129" spans="3:53"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</row>
    <row r="130" spans="3:53"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</row>
    <row r="131" spans="3:53"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</row>
    <row r="132" spans="3:53"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</row>
    <row r="133" spans="3:53"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</row>
    <row r="134" spans="3:53"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</row>
    <row r="135" spans="3:53"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</row>
    <row r="136" spans="3:53"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</row>
    <row r="137" spans="3:53"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</row>
    <row r="138" spans="3:53"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</row>
    <row r="139" spans="3:53"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</row>
    <row r="140" spans="3:53"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</row>
    <row r="141" spans="3:53"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</row>
    <row r="142" spans="3:53"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</row>
    <row r="143" spans="3:53"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</row>
    <row r="144" spans="3:53"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</row>
    <row r="145" spans="3:53"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</row>
    <row r="146" spans="3:53"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</row>
    <row r="147" spans="3:53"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</row>
    <row r="148" spans="3:53"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</row>
    <row r="149" spans="3:53"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</row>
    <row r="150" spans="3:53"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</row>
    <row r="151" spans="3:53"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</row>
    <row r="152" spans="3:53"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</row>
    <row r="153" spans="3:53"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</row>
    <row r="154" spans="3:53"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</row>
    <row r="155" spans="3:53"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</row>
    <row r="156" spans="3:53"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</row>
    <row r="157" spans="3:53"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</row>
    <row r="158" spans="3:53"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</row>
    <row r="159" spans="3:53"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</row>
    <row r="160" spans="3:53"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</row>
    <row r="161" spans="3:53"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</row>
    <row r="162" spans="3:53"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</row>
    <row r="163" spans="3:53"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</row>
    <row r="164" spans="3:53"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</row>
    <row r="165" spans="3:53"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</row>
    <row r="166" spans="3:53"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</row>
    <row r="167" spans="3:53"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</row>
    <row r="168" spans="3:53"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</row>
    <row r="169" spans="3:53"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</row>
    <row r="170" spans="3:53"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</row>
    <row r="171" spans="3:53"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</row>
    <row r="172" spans="3:53"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</row>
    <row r="173" spans="3:53"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</row>
    <row r="174" spans="3:53"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</row>
    <row r="175" spans="3:53"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</row>
    <row r="176" spans="3:53"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</row>
    <row r="177" spans="3:53"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</row>
    <row r="178" spans="3:53"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</row>
    <row r="179" spans="3:53"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</row>
    <row r="180" spans="3:53"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</row>
    <row r="181" spans="3:53"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</row>
    <row r="182" spans="3:53"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</row>
    <row r="183" spans="3:53"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</row>
    <row r="184" spans="3:53"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</row>
    <row r="185" spans="3:53"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</row>
    <row r="186" spans="3:53"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</row>
    <row r="187" spans="3:53"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</row>
    <row r="188" spans="3:53"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</row>
    <row r="189" spans="3:53"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</row>
    <row r="190" spans="3:53"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</row>
    <row r="191" spans="3:53"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</row>
    <row r="192" spans="3:53"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</row>
    <row r="193" spans="3:53"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</row>
    <row r="194" spans="3:53"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</row>
    <row r="195" spans="3:53"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</row>
    <row r="196" spans="3:53"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</row>
    <row r="197" spans="3:53"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</row>
    <row r="198" spans="3:53"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</row>
    <row r="199" spans="3:53"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</row>
    <row r="200" spans="3:53"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</row>
    <row r="201" spans="3:53"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</row>
    <row r="202" spans="3:53"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</row>
    <row r="203" spans="3:53"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</row>
    <row r="204" spans="3:53"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</row>
    <row r="205" spans="3:53"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</row>
    <row r="206" spans="3:53"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</row>
    <row r="207" spans="3:53"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</row>
    <row r="208" spans="3:53"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</row>
    <row r="209" spans="3:53"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</row>
    <row r="210" spans="3:53"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</row>
    <row r="211" spans="3:53"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</row>
    <row r="212" spans="3:53"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</row>
    <row r="213" spans="3:53"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</row>
    <row r="214" spans="3:53"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</row>
    <row r="215" spans="3:53"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</row>
    <row r="216" spans="3:53"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</row>
    <row r="217" spans="3:53"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</row>
    <row r="218" spans="3:53"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</row>
    <row r="219" spans="3:53"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</row>
    <row r="220" spans="3:53"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</row>
    <row r="221" spans="3:53"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</row>
    <row r="222" spans="3:53"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</row>
    <row r="223" spans="3:53"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</row>
    <row r="224" spans="3:53"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</row>
    <row r="225" spans="3:53"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</row>
    <row r="226" spans="3:53"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</row>
    <row r="227" spans="3:53"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</row>
    <row r="228" spans="3:53"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</row>
    <row r="229" spans="3:53"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</row>
    <row r="230" spans="3:53"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</row>
    <row r="231" spans="3:53"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</row>
    <row r="232" spans="3:53"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</row>
    <row r="233" spans="3:53"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</row>
    <row r="234" spans="3:53"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</row>
    <row r="235" spans="3:53"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</row>
    <row r="236" spans="3:53"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</row>
    <row r="237" spans="3:53"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</row>
    <row r="238" spans="3:53"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</row>
    <row r="239" spans="3:53"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</row>
    <row r="240" spans="3:53"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</row>
    <row r="241" spans="3:53"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</row>
    <row r="242" spans="3:53"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</row>
    <row r="243" spans="3:53"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</row>
    <row r="244" spans="3:53"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</row>
    <row r="245" spans="3:53"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</row>
    <row r="246" spans="3:53"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</row>
    <row r="247" spans="3:53"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</row>
    <row r="248" spans="3:53"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</row>
    <row r="249" spans="3:53"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</row>
    <row r="250" spans="3:53"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</row>
    <row r="251" spans="3:53"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</row>
    <row r="252" spans="3:53"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</row>
    <row r="253" spans="3:53"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</row>
    <row r="254" spans="3:53"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  <c r="AZ254" s="47"/>
      <c r="BA254" s="47"/>
    </row>
    <row r="255" spans="3:53"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</row>
    <row r="256" spans="3:53"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</row>
    <row r="257" spans="3:53"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</row>
    <row r="258" spans="3:53"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</row>
    <row r="259" spans="3:53"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</row>
    <row r="260" spans="3:53"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</row>
    <row r="261" spans="3:53"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</row>
    <row r="262" spans="3:53"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</row>
    <row r="263" spans="3:53"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</row>
    <row r="264" spans="3:53"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</row>
    <row r="265" spans="3:53"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</row>
    <row r="266" spans="3:53"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</row>
    <row r="267" spans="3:53"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</row>
    <row r="268" spans="3:53"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  <c r="AZ268" s="47"/>
      <c r="BA268" s="47"/>
    </row>
    <row r="269" spans="3:53"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</row>
    <row r="270" spans="3:53"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</row>
    <row r="271" spans="3:53"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</row>
    <row r="272" spans="3:53"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</row>
    <row r="273" spans="3:53"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</row>
    <row r="274" spans="3:53"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  <c r="AY274" s="47"/>
      <c r="AZ274" s="47"/>
      <c r="BA274" s="47"/>
    </row>
    <row r="275" spans="3:53"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</row>
    <row r="276" spans="3:53"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</row>
    <row r="277" spans="3:53"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</row>
    <row r="278" spans="3:53"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  <c r="AY278" s="47"/>
      <c r="AZ278" s="47"/>
      <c r="BA278" s="47"/>
    </row>
    <row r="279" spans="3:53"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  <c r="AW279" s="47"/>
      <c r="AX279" s="47"/>
      <c r="AY279" s="47"/>
      <c r="AZ279" s="47"/>
      <c r="BA279" s="47"/>
    </row>
    <row r="280" spans="3:53"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</row>
    <row r="281" spans="3:53"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  <c r="AW281" s="47"/>
      <c r="AX281" s="47"/>
      <c r="AY281" s="47"/>
      <c r="AZ281" s="47"/>
      <c r="BA281" s="47"/>
    </row>
    <row r="282" spans="3:53"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</row>
    <row r="283" spans="3:53"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</row>
    <row r="284" spans="3:53"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</row>
    <row r="285" spans="3:53"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</row>
    <row r="286" spans="3:53"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  <c r="AW286" s="47"/>
      <c r="AX286" s="47"/>
      <c r="AY286" s="47"/>
      <c r="AZ286" s="47"/>
      <c r="BA286" s="47"/>
    </row>
    <row r="287" spans="3:53"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</row>
    <row r="288" spans="3:53"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</row>
    <row r="289" spans="3:53"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</row>
    <row r="290" spans="3:53"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</row>
    <row r="291" spans="3:53"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</row>
    <row r="292" spans="3:53"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</row>
    <row r="293" spans="3:53"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  <c r="AT293" s="47"/>
      <c r="AU293" s="47"/>
      <c r="AV293" s="47"/>
      <c r="AW293" s="47"/>
      <c r="AX293" s="47"/>
      <c r="AY293" s="47"/>
      <c r="AZ293" s="47"/>
      <c r="BA293" s="47"/>
    </row>
    <row r="294" spans="3:53"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  <c r="AT294" s="47"/>
      <c r="AU294" s="47"/>
      <c r="AV294" s="47"/>
      <c r="AW294" s="47"/>
      <c r="AX294" s="47"/>
      <c r="AY294" s="47"/>
      <c r="AZ294" s="47"/>
      <c r="BA294" s="47"/>
    </row>
    <row r="295" spans="3:53"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</row>
    <row r="296" spans="3:53"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</row>
    <row r="297" spans="3:53"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</row>
    <row r="298" spans="3:53"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  <c r="AW298" s="47"/>
      <c r="AX298" s="47"/>
      <c r="AY298" s="47"/>
      <c r="AZ298" s="47"/>
      <c r="BA298" s="47"/>
    </row>
    <row r="299" spans="3:53"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</row>
    <row r="300" spans="3:53"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</row>
    <row r="301" spans="3:53"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</row>
    <row r="302" spans="3:53"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</row>
    <row r="303" spans="3:53"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  <c r="AW303" s="47"/>
      <c r="AX303" s="47"/>
      <c r="AY303" s="47"/>
      <c r="AZ303" s="47"/>
      <c r="BA303" s="47"/>
    </row>
    <row r="304" spans="3:53"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  <c r="AT304" s="47"/>
      <c r="AU304" s="47"/>
      <c r="AV304" s="47"/>
      <c r="AW304" s="47"/>
      <c r="AX304" s="47"/>
      <c r="AY304" s="47"/>
      <c r="AZ304" s="47"/>
      <c r="BA304" s="47"/>
    </row>
    <row r="305" spans="3:53"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  <c r="AT305" s="47"/>
      <c r="AU305" s="47"/>
      <c r="AV305" s="47"/>
      <c r="AW305" s="47"/>
      <c r="AX305" s="47"/>
      <c r="AY305" s="47"/>
      <c r="AZ305" s="47"/>
      <c r="BA305" s="47"/>
    </row>
    <row r="306" spans="3:53"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  <c r="AW306" s="47"/>
      <c r="AX306" s="47"/>
      <c r="AY306" s="47"/>
      <c r="AZ306" s="47"/>
      <c r="BA306" s="47"/>
    </row>
    <row r="307" spans="3:53"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  <c r="AW307" s="47"/>
      <c r="AX307" s="47"/>
      <c r="AY307" s="47"/>
      <c r="AZ307" s="47"/>
      <c r="BA307" s="47"/>
    </row>
    <row r="308" spans="3:53"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  <c r="AW308" s="47"/>
      <c r="AX308" s="47"/>
      <c r="AY308" s="47"/>
      <c r="AZ308" s="47"/>
      <c r="BA308" s="47"/>
    </row>
    <row r="309" spans="3:53"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  <c r="AT309" s="47"/>
      <c r="AU309" s="47"/>
      <c r="AV309" s="47"/>
      <c r="AW309" s="47"/>
      <c r="AX309" s="47"/>
      <c r="AY309" s="47"/>
      <c r="AZ309" s="47"/>
      <c r="BA309" s="47"/>
    </row>
    <row r="310" spans="3:53"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</row>
    <row r="311" spans="3:53"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</row>
    <row r="312" spans="3:53"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</row>
    <row r="313" spans="3:53"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</row>
    <row r="314" spans="3:53"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  <c r="AT314" s="47"/>
      <c r="AU314" s="47"/>
      <c r="AV314" s="47"/>
      <c r="AW314" s="47"/>
      <c r="AX314" s="47"/>
      <c r="AY314" s="47"/>
      <c r="AZ314" s="47"/>
      <c r="BA314" s="47"/>
    </row>
    <row r="315" spans="3:53"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</row>
    <row r="316" spans="3:53"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  <c r="AT316" s="47"/>
      <c r="AU316" s="47"/>
      <c r="AV316" s="47"/>
      <c r="AW316" s="47"/>
      <c r="AX316" s="47"/>
      <c r="AY316" s="47"/>
      <c r="AZ316" s="47"/>
      <c r="BA316" s="47"/>
    </row>
    <row r="317" spans="3:53"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</row>
    <row r="318" spans="3:53"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  <c r="AW318" s="47"/>
      <c r="AX318" s="47"/>
      <c r="AY318" s="47"/>
      <c r="AZ318" s="47"/>
      <c r="BA318" s="47"/>
    </row>
    <row r="319" spans="3:53"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  <c r="AT319" s="47"/>
      <c r="AU319" s="47"/>
      <c r="AV319" s="47"/>
      <c r="AW319" s="47"/>
      <c r="AX319" s="47"/>
      <c r="AY319" s="47"/>
      <c r="AZ319" s="47"/>
      <c r="BA319" s="47"/>
    </row>
    <row r="320" spans="3:53"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</row>
    <row r="321" spans="3:53"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</row>
    <row r="322" spans="3:53"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</row>
    <row r="323" spans="3:53"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  <c r="AW323" s="47"/>
      <c r="AX323" s="47"/>
      <c r="AY323" s="47"/>
      <c r="AZ323" s="47"/>
      <c r="BA323" s="47"/>
    </row>
    <row r="324" spans="3:53"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  <c r="AW324" s="47"/>
      <c r="AX324" s="47"/>
      <c r="AY324" s="47"/>
      <c r="AZ324" s="47"/>
      <c r="BA324" s="47"/>
    </row>
    <row r="325" spans="3:53"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</row>
    <row r="326" spans="3:53"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  <c r="AW326" s="47"/>
      <c r="AX326" s="47"/>
      <c r="AY326" s="47"/>
      <c r="AZ326" s="47"/>
      <c r="BA326" s="47"/>
    </row>
    <row r="327" spans="3:53"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</row>
    <row r="328" spans="3:53"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  <c r="AT328" s="47"/>
      <c r="AU328" s="47"/>
      <c r="AV328" s="47"/>
      <c r="AW328" s="47"/>
      <c r="AX328" s="47"/>
      <c r="AY328" s="47"/>
      <c r="AZ328" s="47"/>
      <c r="BA328" s="47"/>
    </row>
    <row r="329" spans="3:53"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  <c r="AT329" s="47"/>
      <c r="AU329" s="47"/>
      <c r="AV329" s="47"/>
      <c r="AW329" s="47"/>
      <c r="AX329" s="47"/>
      <c r="AY329" s="47"/>
      <c r="AZ329" s="47"/>
      <c r="BA329" s="47"/>
    </row>
    <row r="330" spans="3:53"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</row>
    <row r="331" spans="3:53"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</row>
    <row r="332" spans="3:53"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</row>
    <row r="333" spans="3:53"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  <c r="AW333" s="47"/>
      <c r="AX333" s="47"/>
      <c r="AY333" s="47"/>
      <c r="AZ333" s="47"/>
      <c r="BA333" s="47"/>
    </row>
    <row r="334" spans="3:53"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</row>
    <row r="335" spans="3:53"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  <c r="AT335" s="47"/>
      <c r="AU335" s="47"/>
      <c r="AV335" s="47"/>
      <c r="AW335" s="47"/>
      <c r="AX335" s="47"/>
      <c r="AY335" s="47"/>
      <c r="AZ335" s="47"/>
      <c r="BA335" s="47"/>
    </row>
    <row r="336" spans="3:53"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  <c r="AT336" s="47"/>
      <c r="AU336" s="47"/>
      <c r="AV336" s="47"/>
      <c r="AW336" s="47"/>
      <c r="AX336" s="47"/>
      <c r="AY336" s="47"/>
      <c r="AZ336" s="47"/>
      <c r="BA336" s="47"/>
    </row>
    <row r="337" spans="3:53"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  <c r="AT337" s="47"/>
      <c r="AU337" s="47"/>
      <c r="AV337" s="47"/>
      <c r="AW337" s="47"/>
      <c r="AX337" s="47"/>
      <c r="AY337" s="47"/>
      <c r="AZ337" s="47"/>
      <c r="BA337" s="47"/>
    </row>
    <row r="338" spans="3:53"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  <c r="AT338" s="47"/>
      <c r="AU338" s="47"/>
      <c r="AV338" s="47"/>
      <c r="AW338" s="47"/>
      <c r="AX338" s="47"/>
      <c r="AY338" s="47"/>
      <c r="AZ338" s="47"/>
      <c r="BA338" s="47"/>
    </row>
    <row r="339" spans="3:53"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  <c r="AW339" s="47"/>
      <c r="AX339" s="47"/>
      <c r="AY339" s="47"/>
      <c r="AZ339" s="47"/>
      <c r="BA339" s="47"/>
    </row>
    <row r="340" spans="3:53"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  <c r="AT340" s="47"/>
      <c r="AU340" s="47"/>
      <c r="AV340" s="47"/>
      <c r="AW340" s="47"/>
      <c r="AX340" s="47"/>
      <c r="AY340" s="47"/>
      <c r="AZ340" s="47"/>
      <c r="BA340" s="47"/>
    </row>
    <row r="341" spans="3:53"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  <c r="AT341" s="47"/>
      <c r="AU341" s="47"/>
      <c r="AV341" s="47"/>
      <c r="AW341" s="47"/>
      <c r="AX341" s="47"/>
      <c r="AY341" s="47"/>
      <c r="AZ341" s="47"/>
      <c r="BA341" s="47"/>
    </row>
    <row r="342" spans="3:53"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  <c r="AT342" s="47"/>
      <c r="AU342" s="47"/>
      <c r="AV342" s="47"/>
      <c r="AW342" s="47"/>
      <c r="AX342" s="47"/>
      <c r="AY342" s="47"/>
      <c r="AZ342" s="47"/>
      <c r="BA342" s="47"/>
    </row>
    <row r="343" spans="3:53"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  <c r="AT343" s="47"/>
      <c r="AU343" s="47"/>
      <c r="AV343" s="47"/>
      <c r="AW343" s="47"/>
      <c r="AX343" s="47"/>
      <c r="AY343" s="47"/>
      <c r="AZ343" s="47"/>
      <c r="BA343" s="47"/>
    </row>
    <row r="344" spans="3:53"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  <c r="AW344" s="47"/>
      <c r="AX344" s="47"/>
      <c r="AY344" s="47"/>
      <c r="AZ344" s="47"/>
      <c r="BA344" s="47"/>
    </row>
    <row r="345" spans="3:53"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  <c r="AV345" s="47"/>
      <c r="AW345" s="47"/>
      <c r="AX345" s="47"/>
      <c r="AY345" s="47"/>
      <c r="AZ345" s="47"/>
      <c r="BA345" s="47"/>
    </row>
    <row r="346" spans="3:53"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</row>
    <row r="347" spans="3:53"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  <c r="AW347" s="47"/>
      <c r="AX347" s="47"/>
      <c r="AY347" s="47"/>
      <c r="AZ347" s="47"/>
      <c r="BA347" s="47"/>
    </row>
    <row r="348" spans="3:53"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  <c r="AT348" s="47"/>
      <c r="AU348" s="47"/>
      <c r="AV348" s="47"/>
      <c r="AW348" s="47"/>
      <c r="AX348" s="47"/>
      <c r="AY348" s="47"/>
      <c r="AZ348" s="47"/>
      <c r="BA348" s="47"/>
    </row>
    <row r="349" spans="3:53"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  <c r="AT349" s="47"/>
      <c r="AU349" s="47"/>
      <c r="AV349" s="47"/>
      <c r="AW349" s="47"/>
      <c r="AX349" s="47"/>
      <c r="AY349" s="47"/>
      <c r="AZ349" s="47"/>
      <c r="BA349" s="47"/>
    </row>
    <row r="350" spans="3:53"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  <c r="AT350" s="47"/>
      <c r="AU350" s="47"/>
      <c r="AV350" s="47"/>
      <c r="AW350" s="47"/>
      <c r="AX350" s="47"/>
      <c r="AY350" s="47"/>
      <c r="AZ350" s="47"/>
      <c r="BA350" s="47"/>
    </row>
    <row r="351" spans="3:53"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  <c r="AV351" s="47"/>
      <c r="AW351" s="47"/>
      <c r="AX351" s="47"/>
      <c r="AY351" s="47"/>
      <c r="AZ351" s="47"/>
      <c r="BA351" s="47"/>
    </row>
    <row r="352" spans="3:53"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  <c r="AV352" s="47"/>
      <c r="AW352" s="47"/>
      <c r="AX352" s="47"/>
      <c r="AY352" s="47"/>
      <c r="AZ352" s="47"/>
      <c r="BA352" s="47"/>
    </row>
    <row r="353" spans="3:53"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  <c r="AW353" s="47"/>
      <c r="AX353" s="47"/>
      <c r="AY353" s="47"/>
      <c r="AZ353" s="47"/>
      <c r="BA353" s="47"/>
    </row>
    <row r="354" spans="3:53"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  <c r="AT354" s="47"/>
      <c r="AU354" s="47"/>
      <c r="AV354" s="47"/>
      <c r="AW354" s="47"/>
      <c r="AX354" s="47"/>
      <c r="AY354" s="47"/>
      <c r="AZ354" s="47"/>
      <c r="BA354" s="47"/>
    </row>
    <row r="355" spans="3:53"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  <c r="AT355" s="47"/>
      <c r="AU355" s="47"/>
      <c r="AV355" s="47"/>
      <c r="AW355" s="47"/>
      <c r="AX355" s="47"/>
      <c r="AY355" s="47"/>
      <c r="AZ355" s="47"/>
      <c r="BA355" s="47"/>
    </row>
    <row r="356" spans="3:53"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  <c r="AV356" s="47"/>
      <c r="AW356" s="47"/>
      <c r="AX356" s="47"/>
      <c r="AY356" s="47"/>
      <c r="AZ356" s="47"/>
      <c r="BA356" s="47"/>
    </row>
    <row r="357" spans="3:53"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  <c r="AV357" s="47"/>
      <c r="AW357" s="47"/>
      <c r="AX357" s="47"/>
      <c r="AY357" s="47"/>
      <c r="AZ357" s="47"/>
      <c r="BA357" s="47"/>
    </row>
    <row r="358" spans="3:53"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  <c r="AT358" s="47"/>
      <c r="AU358" s="47"/>
      <c r="AV358" s="47"/>
      <c r="AW358" s="47"/>
      <c r="AX358" s="47"/>
      <c r="AY358" s="47"/>
      <c r="AZ358" s="47"/>
      <c r="BA358" s="47"/>
    </row>
    <row r="359" spans="3:53"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  <c r="AT359" s="47"/>
      <c r="AU359" s="47"/>
      <c r="AV359" s="47"/>
      <c r="AW359" s="47"/>
      <c r="AX359" s="47"/>
      <c r="AY359" s="47"/>
      <c r="AZ359" s="47"/>
      <c r="BA359" s="47"/>
    </row>
    <row r="360" spans="3:53"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  <c r="AT360" s="47"/>
      <c r="AU360" s="47"/>
      <c r="AV360" s="47"/>
      <c r="AW360" s="47"/>
      <c r="AX360" s="47"/>
      <c r="AY360" s="47"/>
      <c r="AZ360" s="47"/>
      <c r="BA360" s="47"/>
    </row>
    <row r="361" spans="3:53"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</row>
    <row r="362" spans="3:53"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  <c r="AT362" s="47"/>
      <c r="AU362" s="47"/>
      <c r="AV362" s="47"/>
      <c r="AW362" s="47"/>
      <c r="AX362" s="47"/>
      <c r="AY362" s="47"/>
      <c r="AZ362" s="47"/>
      <c r="BA362" s="47"/>
    </row>
    <row r="363" spans="3:53"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  <c r="AT363" s="47"/>
      <c r="AU363" s="47"/>
      <c r="AV363" s="47"/>
      <c r="AW363" s="47"/>
      <c r="AX363" s="47"/>
      <c r="AY363" s="47"/>
      <c r="AZ363" s="47"/>
      <c r="BA363" s="47"/>
    </row>
    <row r="364" spans="3:53"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  <c r="AT364" s="47"/>
      <c r="AU364" s="47"/>
      <c r="AV364" s="47"/>
      <c r="AW364" s="47"/>
      <c r="AX364" s="47"/>
      <c r="AY364" s="47"/>
      <c r="AZ364" s="47"/>
      <c r="BA364" s="47"/>
    </row>
    <row r="365" spans="3:53"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  <c r="AT365" s="47"/>
      <c r="AU365" s="47"/>
      <c r="AV365" s="47"/>
      <c r="AW365" s="47"/>
      <c r="AX365" s="47"/>
      <c r="AY365" s="47"/>
      <c r="AZ365" s="47"/>
      <c r="BA365" s="47"/>
    </row>
    <row r="366" spans="3:53"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  <c r="AT366" s="47"/>
      <c r="AU366" s="47"/>
      <c r="AV366" s="47"/>
      <c r="AW366" s="47"/>
      <c r="AX366" s="47"/>
      <c r="AY366" s="47"/>
      <c r="AZ366" s="47"/>
      <c r="BA366" s="47"/>
    </row>
    <row r="367" spans="3:53"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  <c r="AT367" s="47"/>
      <c r="AU367" s="47"/>
      <c r="AV367" s="47"/>
      <c r="AW367" s="47"/>
      <c r="AX367" s="47"/>
      <c r="AY367" s="47"/>
      <c r="AZ367" s="47"/>
      <c r="BA367" s="47"/>
    </row>
    <row r="368" spans="3:53"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  <c r="AT368" s="47"/>
      <c r="AU368" s="47"/>
      <c r="AV368" s="47"/>
      <c r="AW368" s="47"/>
      <c r="AX368" s="47"/>
      <c r="AY368" s="47"/>
      <c r="AZ368" s="47"/>
      <c r="BA368" s="47"/>
    </row>
    <row r="369" spans="3:53"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  <c r="AT369" s="47"/>
      <c r="AU369" s="47"/>
      <c r="AV369" s="47"/>
      <c r="AW369" s="47"/>
      <c r="AX369" s="47"/>
      <c r="AY369" s="47"/>
      <c r="AZ369" s="47"/>
      <c r="BA369" s="47"/>
    </row>
    <row r="370" spans="3:53"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  <c r="AT370" s="47"/>
      <c r="AU370" s="47"/>
      <c r="AV370" s="47"/>
      <c r="AW370" s="47"/>
      <c r="AX370" s="47"/>
      <c r="AY370" s="47"/>
      <c r="AZ370" s="47"/>
      <c r="BA370" s="47"/>
    </row>
    <row r="371" spans="3:53"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  <c r="AT371" s="47"/>
      <c r="AU371" s="47"/>
      <c r="AV371" s="47"/>
      <c r="AW371" s="47"/>
      <c r="AX371" s="47"/>
      <c r="AY371" s="47"/>
      <c r="AZ371" s="47"/>
      <c r="BA371" s="47"/>
    </row>
    <row r="372" spans="3:53"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  <c r="AW372" s="47"/>
      <c r="AX372" s="47"/>
      <c r="AY372" s="47"/>
      <c r="AZ372" s="47"/>
      <c r="BA372" s="47"/>
    </row>
    <row r="373" spans="3:53"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  <c r="AT373" s="47"/>
      <c r="AU373" s="47"/>
      <c r="AV373" s="47"/>
      <c r="AW373" s="47"/>
      <c r="AX373" s="47"/>
      <c r="AY373" s="47"/>
      <c r="AZ373" s="47"/>
      <c r="BA373" s="47"/>
    </row>
    <row r="374" spans="3:53"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  <c r="AT374" s="47"/>
      <c r="AU374" s="47"/>
      <c r="AV374" s="47"/>
      <c r="AW374" s="47"/>
      <c r="AX374" s="47"/>
      <c r="AY374" s="47"/>
      <c r="AZ374" s="47"/>
      <c r="BA374" s="47"/>
    </row>
    <row r="375" spans="3:53"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  <c r="AT375" s="47"/>
      <c r="AU375" s="47"/>
      <c r="AV375" s="47"/>
      <c r="AW375" s="47"/>
      <c r="AX375" s="47"/>
      <c r="AY375" s="47"/>
      <c r="AZ375" s="47"/>
      <c r="BA375" s="47"/>
    </row>
    <row r="376" spans="3:53"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</row>
    <row r="377" spans="3:53"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  <c r="AT377" s="47"/>
      <c r="AU377" s="47"/>
      <c r="AV377" s="47"/>
      <c r="AW377" s="47"/>
      <c r="AX377" s="47"/>
      <c r="AY377" s="47"/>
      <c r="AZ377" s="47"/>
      <c r="BA377" s="47"/>
    </row>
    <row r="378" spans="3:53"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  <c r="AT378" s="47"/>
      <c r="AU378" s="47"/>
      <c r="AV378" s="47"/>
      <c r="AW378" s="47"/>
      <c r="AX378" s="47"/>
      <c r="AY378" s="47"/>
      <c r="AZ378" s="47"/>
      <c r="BA378" s="47"/>
    </row>
    <row r="379" spans="3:53"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  <c r="AT379" s="47"/>
      <c r="AU379" s="47"/>
      <c r="AV379" s="47"/>
      <c r="AW379" s="47"/>
      <c r="AX379" s="47"/>
      <c r="AY379" s="47"/>
      <c r="AZ379" s="47"/>
      <c r="BA379" s="47"/>
    </row>
    <row r="380" spans="3:53"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  <c r="AT380" s="47"/>
      <c r="AU380" s="47"/>
      <c r="AV380" s="47"/>
      <c r="AW380" s="47"/>
      <c r="AX380" s="47"/>
      <c r="AY380" s="47"/>
      <c r="AZ380" s="47"/>
      <c r="BA380" s="47"/>
    </row>
    <row r="381" spans="3:53"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  <c r="AW381" s="47"/>
      <c r="AX381" s="47"/>
      <c r="AY381" s="47"/>
      <c r="AZ381" s="47"/>
      <c r="BA381" s="47"/>
    </row>
    <row r="382" spans="3:53"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  <c r="AW382" s="47"/>
      <c r="AX382" s="47"/>
      <c r="AY382" s="47"/>
      <c r="AZ382" s="47"/>
      <c r="BA382" s="47"/>
    </row>
    <row r="383" spans="3:53"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  <c r="AT383" s="47"/>
      <c r="AU383" s="47"/>
      <c r="AV383" s="47"/>
      <c r="AW383" s="47"/>
      <c r="AX383" s="47"/>
      <c r="AY383" s="47"/>
      <c r="AZ383" s="47"/>
      <c r="BA383" s="47"/>
    </row>
    <row r="384" spans="3:53"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  <c r="AT384" s="47"/>
      <c r="AU384" s="47"/>
      <c r="AV384" s="47"/>
      <c r="AW384" s="47"/>
      <c r="AX384" s="47"/>
      <c r="AY384" s="47"/>
      <c r="AZ384" s="47"/>
      <c r="BA384" s="47"/>
    </row>
    <row r="385" spans="3:53"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  <c r="AT385" s="47"/>
      <c r="AU385" s="47"/>
      <c r="AV385" s="47"/>
      <c r="AW385" s="47"/>
      <c r="AX385" s="47"/>
      <c r="AY385" s="47"/>
      <c r="AZ385" s="47"/>
      <c r="BA385" s="47"/>
    </row>
    <row r="386" spans="3:53"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  <c r="AT386" s="47"/>
      <c r="AU386" s="47"/>
      <c r="AV386" s="47"/>
      <c r="AW386" s="47"/>
      <c r="AX386" s="47"/>
      <c r="AY386" s="47"/>
      <c r="AZ386" s="47"/>
      <c r="BA386" s="47"/>
    </row>
    <row r="387" spans="3:53"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  <c r="AT387" s="47"/>
      <c r="AU387" s="47"/>
      <c r="AV387" s="47"/>
      <c r="AW387" s="47"/>
      <c r="AX387" s="47"/>
      <c r="AY387" s="47"/>
      <c r="AZ387" s="47"/>
      <c r="BA387" s="47"/>
    </row>
    <row r="388" spans="3:53"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  <c r="AT388" s="47"/>
      <c r="AU388" s="47"/>
      <c r="AV388" s="47"/>
      <c r="AW388" s="47"/>
      <c r="AX388" s="47"/>
      <c r="AY388" s="47"/>
      <c r="AZ388" s="47"/>
      <c r="BA388" s="47"/>
    </row>
    <row r="389" spans="3:53"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  <c r="AT389" s="47"/>
      <c r="AU389" s="47"/>
      <c r="AV389" s="47"/>
      <c r="AW389" s="47"/>
      <c r="AX389" s="47"/>
      <c r="AY389" s="47"/>
      <c r="AZ389" s="47"/>
      <c r="BA389" s="47"/>
    </row>
    <row r="390" spans="3:53"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  <c r="AT390" s="47"/>
      <c r="AU390" s="47"/>
      <c r="AV390" s="47"/>
      <c r="AW390" s="47"/>
      <c r="AX390" s="47"/>
      <c r="AY390" s="47"/>
      <c r="AZ390" s="47"/>
      <c r="BA390" s="47"/>
    </row>
    <row r="391" spans="3:53"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  <c r="AT391" s="47"/>
      <c r="AU391" s="47"/>
      <c r="AV391" s="47"/>
      <c r="AW391" s="47"/>
      <c r="AX391" s="47"/>
      <c r="AY391" s="47"/>
      <c r="AZ391" s="47"/>
      <c r="BA391" s="47"/>
    </row>
    <row r="392" spans="3:53"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  <c r="AT392" s="47"/>
      <c r="AU392" s="47"/>
      <c r="AV392" s="47"/>
      <c r="AW392" s="47"/>
      <c r="AX392" s="47"/>
      <c r="AY392" s="47"/>
      <c r="AZ392" s="47"/>
      <c r="BA392" s="47"/>
    </row>
    <row r="393" spans="3:53"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  <c r="AT393" s="47"/>
      <c r="AU393" s="47"/>
      <c r="AV393" s="47"/>
      <c r="AW393" s="47"/>
      <c r="AX393" s="47"/>
      <c r="AY393" s="47"/>
      <c r="AZ393" s="47"/>
      <c r="BA393" s="47"/>
    </row>
    <row r="394" spans="3:53"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  <c r="AT394" s="47"/>
      <c r="AU394" s="47"/>
      <c r="AV394" s="47"/>
      <c r="AW394" s="47"/>
      <c r="AX394" s="47"/>
      <c r="AY394" s="47"/>
      <c r="AZ394" s="47"/>
      <c r="BA394" s="47"/>
    </row>
    <row r="395" spans="3:53"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  <c r="AT395" s="47"/>
      <c r="AU395" s="47"/>
      <c r="AV395" s="47"/>
      <c r="AW395" s="47"/>
      <c r="AX395" s="47"/>
      <c r="AY395" s="47"/>
      <c r="AZ395" s="47"/>
      <c r="BA395" s="47"/>
    </row>
    <row r="396" spans="3:53"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  <c r="AT396" s="47"/>
      <c r="AU396" s="47"/>
      <c r="AV396" s="47"/>
      <c r="AW396" s="47"/>
      <c r="AX396" s="47"/>
      <c r="AY396" s="47"/>
      <c r="AZ396" s="47"/>
      <c r="BA396" s="47"/>
    </row>
    <row r="397" spans="3:53"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  <c r="AT397" s="47"/>
      <c r="AU397" s="47"/>
      <c r="AV397" s="47"/>
      <c r="AW397" s="47"/>
      <c r="AX397" s="47"/>
      <c r="AY397" s="47"/>
      <c r="AZ397" s="47"/>
      <c r="BA397" s="47"/>
    </row>
    <row r="398" spans="3:53"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  <c r="AT398" s="47"/>
      <c r="AU398" s="47"/>
      <c r="AV398" s="47"/>
      <c r="AW398" s="47"/>
      <c r="AX398" s="47"/>
      <c r="AY398" s="47"/>
      <c r="AZ398" s="47"/>
      <c r="BA398" s="47"/>
    </row>
    <row r="399" spans="3:53"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  <c r="AT399" s="47"/>
      <c r="AU399" s="47"/>
      <c r="AV399" s="47"/>
      <c r="AW399" s="47"/>
      <c r="AX399" s="47"/>
      <c r="AY399" s="47"/>
      <c r="AZ399" s="47"/>
      <c r="BA399" s="47"/>
    </row>
    <row r="400" spans="3:53"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  <c r="AT400" s="47"/>
      <c r="AU400" s="47"/>
      <c r="AV400" s="47"/>
      <c r="AW400" s="47"/>
      <c r="AX400" s="47"/>
      <c r="AY400" s="47"/>
      <c r="AZ400" s="47"/>
      <c r="BA400" s="47"/>
    </row>
    <row r="401" spans="3:53"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  <c r="AT401" s="47"/>
      <c r="AU401" s="47"/>
      <c r="AV401" s="47"/>
      <c r="AW401" s="47"/>
      <c r="AX401" s="47"/>
      <c r="AY401" s="47"/>
      <c r="AZ401" s="47"/>
      <c r="BA401" s="47"/>
    </row>
    <row r="402" spans="3:53"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  <c r="AT402" s="47"/>
      <c r="AU402" s="47"/>
      <c r="AV402" s="47"/>
      <c r="AW402" s="47"/>
      <c r="AX402" s="47"/>
      <c r="AY402" s="47"/>
      <c r="AZ402" s="47"/>
      <c r="BA402" s="47"/>
    </row>
    <row r="403" spans="3:53"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  <c r="AT403" s="47"/>
      <c r="AU403" s="47"/>
      <c r="AV403" s="47"/>
      <c r="AW403" s="47"/>
      <c r="AX403" s="47"/>
      <c r="AY403" s="47"/>
      <c r="AZ403" s="47"/>
      <c r="BA403" s="47"/>
    </row>
    <row r="404" spans="3:53"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  <c r="AT404" s="47"/>
      <c r="AU404" s="47"/>
      <c r="AV404" s="47"/>
      <c r="AW404" s="47"/>
      <c r="AX404" s="47"/>
      <c r="AY404" s="47"/>
      <c r="AZ404" s="47"/>
      <c r="BA404" s="47"/>
    </row>
    <row r="405" spans="3:53"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  <c r="AT405" s="47"/>
      <c r="AU405" s="47"/>
      <c r="AV405" s="47"/>
      <c r="AW405" s="47"/>
      <c r="AX405" s="47"/>
      <c r="AY405" s="47"/>
      <c r="AZ405" s="47"/>
      <c r="BA405" s="47"/>
    </row>
    <row r="406" spans="3:53"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  <c r="AT406" s="47"/>
      <c r="AU406" s="47"/>
      <c r="AV406" s="47"/>
      <c r="AW406" s="47"/>
      <c r="AX406" s="47"/>
      <c r="AY406" s="47"/>
      <c r="AZ406" s="47"/>
      <c r="BA406" s="47"/>
    </row>
    <row r="407" spans="3:53"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  <c r="AT407" s="47"/>
      <c r="AU407" s="47"/>
      <c r="AV407" s="47"/>
      <c r="AW407" s="47"/>
      <c r="AX407" s="47"/>
      <c r="AY407" s="47"/>
      <c r="AZ407" s="47"/>
      <c r="BA407" s="47"/>
    </row>
    <row r="408" spans="3:53"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</row>
    <row r="409" spans="3:53"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  <c r="AT409" s="47"/>
      <c r="AU409" s="47"/>
      <c r="AV409" s="47"/>
      <c r="AW409" s="47"/>
      <c r="AX409" s="47"/>
      <c r="AY409" s="47"/>
      <c r="AZ409" s="47"/>
      <c r="BA409" s="47"/>
    </row>
    <row r="410" spans="3:53"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  <c r="AT410" s="47"/>
      <c r="AU410" s="47"/>
      <c r="AV410" s="47"/>
      <c r="AW410" s="47"/>
      <c r="AX410" s="47"/>
      <c r="AY410" s="47"/>
      <c r="AZ410" s="47"/>
      <c r="BA410" s="47"/>
    </row>
    <row r="411" spans="3:53"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  <c r="AT411" s="47"/>
      <c r="AU411" s="47"/>
      <c r="AV411" s="47"/>
      <c r="AW411" s="47"/>
      <c r="AX411" s="47"/>
      <c r="AY411" s="47"/>
      <c r="AZ411" s="47"/>
      <c r="BA411" s="47"/>
    </row>
    <row r="412" spans="3:53"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  <c r="AT412" s="47"/>
      <c r="AU412" s="47"/>
      <c r="AV412" s="47"/>
      <c r="AW412" s="47"/>
      <c r="AX412" s="47"/>
      <c r="AY412" s="47"/>
      <c r="AZ412" s="47"/>
      <c r="BA412" s="47"/>
    </row>
    <row r="413" spans="3:53"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  <c r="AT413" s="47"/>
      <c r="AU413" s="47"/>
      <c r="AV413" s="47"/>
      <c r="AW413" s="47"/>
      <c r="AX413" s="47"/>
      <c r="AY413" s="47"/>
      <c r="AZ413" s="47"/>
      <c r="BA413" s="47"/>
    </row>
    <row r="414" spans="3:53"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  <c r="AT414" s="47"/>
      <c r="AU414" s="47"/>
      <c r="AV414" s="47"/>
      <c r="AW414" s="47"/>
      <c r="AX414" s="47"/>
      <c r="AY414" s="47"/>
      <c r="AZ414" s="47"/>
      <c r="BA414" s="47"/>
    </row>
    <row r="415" spans="3:53"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  <c r="AT415" s="47"/>
      <c r="AU415" s="47"/>
      <c r="AV415" s="47"/>
      <c r="AW415" s="47"/>
      <c r="AX415" s="47"/>
      <c r="AY415" s="47"/>
      <c r="AZ415" s="47"/>
      <c r="BA415" s="47"/>
    </row>
    <row r="416" spans="3:53"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  <c r="AT416" s="47"/>
      <c r="AU416" s="47"/>
      <c r="AV416" s="47"/>
      <c r="AW416" s="47"/>
      <c r="AX416" s="47"/>
      <c r="AY416" s="47"/>
      <c r="AZ416" s="47"/>
      <c r="BA416" s="47"/>
    </row>
    <row r="417" spans="3:53"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  <c r="AT417" s="47"/>
      <c r="AU417" s="47"/>
      <c r="AV417" s="47"/>
      <c r="AW417" s="47"/>
      <c r="AX417" s="47"/>
      <c r="AY417" s="47"/>
      <c r="AZ417" s="47"/>
      <c r="BA417" s="47"/>
    </row>
    <row r="418" spans="3:53"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  <c r="AT418" s="47"/>
      <c r="AU418" s="47"/>
      <c r="AV418" s="47"/>
      <c r="AW418" s="47"/>
      <c r="AX418" s="47"/>
      <c r="AY418" s="47"/>
      <c r="AZ418" s="47"/>
      <c r="BA418" s="47"/>
    </row>
    <row r="419" spans="3:53"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  <c r="AT419" s="47"/>
      <c r="AU419" s="47"/>
      <c r="AV419" s="47"/>
      <c r="AW419" s="47"/>
      <c r="AX419" s="47"/>
      <c r="AY419" s="47"/>
      <c r="AZ419" s="47"/>
      <c r="BA419" s="47"/>
    </row>
    <row r="420" spans="3:53"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  <c r="AT420" s="47"/>
      <c r="AU420" s="47"/>
      <c r="AV420" s="47"/>
      <c r="AW420" s="47"/>
      <c r="AX420" s="47"/>
      <c r="AY420" s="47"/>
      <c r="AZ420" s="47"/>
      <c r="BA420" s="47"/>
    </row>
    <row r="421" spans="3:53"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  <c r="AT421" s="47"/>
      <c r="AU421" s="47"/>
      <c r="AV421" s="47"/>
      <c r="AW421" s="47"/>
      <c r="AX421" s="47"/>
      <c r="AY421" s="47"/>
      <c r="AZ421" s="47"/>
      <c r="BA421" s="47"/>
    </row>
    <row r="422" spans="3:53"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  <c r="AT422" s="47"/>
      <c r="AU422" s="47"/>
      <c r="AV422" s="47"/>
      <c r="AW422" s="47"/>
      <c r="AX422" s="47"/>
      <c r="AY422" s="47"/>
      <c r="AZ422" s="47"/>
      <c r="BA422" s="47"/>
    </row>
    <row r="423" spans="3:53"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  <c r="AT423" s="47"/>
      <c r="AU423" s="47"/>
      <c r="AV423" s="47"/>
      <c r="AW423" s="47"/>
      <c r="AX423" s="47"/>
      <c r="AY423" s="47"/>
      <c r="AZ423" s="47"/>
      <c r="BA423" s="47"/>
    </row>
    <row r="424" spans="3:53"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  <c r="AT424" s="47"/>
      <c r="AU424" s="47"/>
      <c r="AV424" s="47"/>
      <c r="AW424" s="47"/>
      <c r="AX424" s="47"/>
      <c r="AY424" s="47"/>
      <c r="AZ424" s="47"/>
      <c r="BA424" s="47"/>
    </row>
    <row r="425" spans="3:53"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  <c r="AT425" s="47"/>
      <c r="AU425" s="47"/>
      <c r="AV425" s="47"/>
      <c r="AW425" s="47"/>
      <c r="AX425" s="47"/>
      <c r="AY425" s="47"/>
      <c r="AZ425" s="47"/>
      <c r="BA425" s="47"/>
    </row>
    <row r="426" spans="3:53"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  <c r="AT426" s="47"/>
      <c r="AU426" s="47"/>
      <c r="AV426" s="47"/>
      <c r="AW426" s="47"/>
      <c r="AX426" s="47"/>
      <c r="AY426" s="47"/>
      <c r="AZ426" s="47"/>
      <c r="BA426" s="47"/>
    </row>
    <row r="427" spans="3:53"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  <c r="AT427" s="47"/>
      <c r="AU427" s="47"/>
      <c r="AV427" s="47"/>
      <c r="AW427" s="47"/>
      <c r="AX427" s="47"/>
      <c r="AY427" s="47"/>
      <c r="AZ427" s="47"/>
      <c r="BA427" s="47"/>
    </row>
    <row r="428" spans="3:53"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  <c r="AT428" s="47"/>
      <c r="AU428" s="47"/>
      <c r="AV428" s="47"/>
      <c r="AW428" s="47"/>
      <c r="AX428" s="47"/>
      <c r="AY428" s="47"/>
      <c r="AZ428" s="47"/>
      <c r="BA428" s="47"/>
    </row>
    <row r="429" spans="3:53"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  <c r="AT429" s="47"/>
      <c r="AU429" s="47"/>
      <c r="AV429" s="47"/>
      <c r="AW429" s="47"/>
      <c r="AX429" s="47"/>
      <c r="AY429" s="47"/>
      <c r="AZ429" s="47"/>
      <c r="BA429" s="47"/>
    </row>
    <row r="430" spans="3:53"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  <c r="AT430" s="47"/>
      <c r="AU430" s="47"/>
      <c r="AV430" s="47"/>
      <c r="AW430" s="47"/>
      <c r="AX430" s="47"/>
      <c r="AY430" s="47"/>
      <c r="AZ430" s="47"/>
      <c r="BA430" s="47"/>
    </row>
    <row r="431" spans="3:53"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  <c r="AT431" s="47"/>
      <c r="AU431" s="47"/>
      <c r="AV431" s="47"/>
      <c r="AW431" s="47"/>
      <c r="AX431" s="47"/>
      <c r="AY431" s="47"/>
      <c r="AZ431" s="47"/>
      <c r="BA431" s="47"/>
    </row>
    <row r="432" spans="3:53"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  <c r="AT432" s="47"/>
      <c r="AU432" s="47"/>
      <c r="AV432" s="47"/>
      <c r="AW432" s="47"/>
      <c r="AX432" s="47"/>
      <c r="AY432" s="47"/>
      <c r="AZ432" s="47"/>
      <c r="BA432" s="47"/>
    </row>
    <row r="433" spans="3:53"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  <c r="AT433" s="47"/>
      <c r="AU433" s="47"/>
      <c r="AV433" s="47"/>
      <c r="AW433" s="47"/>
      <c r="AX433" s="47"/>
      <c r="AY433" s="47"/>
      <c r="AZ433" s="47"/>
      <c r="BA433" s="47"/>
    </row>
    <row r="434" spans="3:53"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  <c r="AT434" s="47"/>
      <c r="AU434" s="47"/>
      <c r="AV434" s="47"/>
      <c r="AW434" s="47"/>
      <c r="AX434" s="47"/>
      <c r="AY434" s="47"/>
      <c r="AZ434" s="47"/>
      <c r="BA434" s="47"/>
    </row>
    <row r="435" spans="3:53"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</row>
    <row r="436" spans="3:53"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  <c r="AT436" s="47"/>
      <c r="AU436" s="47"/>
      <c r="AV436" s="47"/>
      <c r="AW436" s="47"/>
      <c r="AX436" s="47"/>
      <c r="AY436" s="47"/>
      <c r="AZ436" s="47"/>
      <c r="BA436" s="47"/>
    </row>
    <row r="437" spans="3:53"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  <c r="AT437" s="47"/>
      <c r="AU437" s="47"/>
      <c r="AV437" s="47"/>
      <c r="AW437" s="47"/>
      <c r="AX437" s="47"/>
      <c r="AY437" s="47"/>
      <c r="AZ437" s="47"/>
      <c r="BA437" s="47"/>
    </row>
    <row r="438" spans="3:53"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  <c r="AT438" s="47"/>
      <c r="AU438" s="47"/>
      <c r="AV438" s="47"/>
      <c r="AW438" s="47"/>
      <c r="AX438" s="47"/>
      <c r="AY438" s="47"/>
      <c r="AZ438" s="47"/>
      <c r="BA438" s="47"/>
    </row>
    <row r="439" spans="3:53"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  <c r="AT439" s="47"/>
      <c r="AU439" s="47"/>
      <c r="AV439" s="47"/>
      <c r="AW439" s="47"/>
      <c r="AX439" s="47"/>
      <c r="AY439" s="47"/>
      <c r="AZ439" s="47"/>
      <c r="BA439" s="47"/>
    </row>
    <row r="440" spans="3:53"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  <c r="AT440" s="47"/>
      <c r="AU440" s="47"/>
      <c r="AV440" s="47"/>
      <c r="AW440" s="47"/>
      <c r="AX440" s="47"/>
      <c r="AY440" s="47"/>
      <c r="AZ440" s="47"/>
      <c r="BA440" s="47"/>
    </row>
    <row r="441" spans="3:53"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</row>
    <row r="442" spans="3:53"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  <c r="AT442" s="47"/>
      <c r="AU442" s="47"/>
      <c r="AV442" s="47"/>
      <c r="AW442" s="47"/>
      <c r="AX442" s="47"/>
      <c r="AY442" s="47"/>
      <c r="AZ442" s="47"/>
      <c r="BA442" s="47"/>
    </row>
    <row r="443" spans="3:53"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  <c r="AT443" s="47"/>
      <c r="AU443" s="47"/>
      <c r="AV443" s="47"/>
      <c r="AW443" s="47"/>
      <c r="AX443" s="47"/>
      <c r="AY443" s="47"/>
      <c r="AZ443" s="47"/>
      <c r="BA443" s="47"/>
    </row>
    <row r="444" spans="3:53"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  <c r="AT444" s="47"/>
      <c r="AU444" s="47"/>
      <c r="AV444" s="47"/>
      <c r="AW444" s="47"/>
      <c r="AX444" s="47"/>
      <c r="AY444" s="47"/>
      <c r="AZ444" s="47"/>
      <c r="BA444" s="47"/>
    </row>
    <row r="445" spans="3:53"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  <c r="AT445" s="47"/>
      <c r="AU445" s="47"/>
      <c r="AV445" s="47"/>
      <c r="AW445" s="47"/>
      <c r="AX445" s="47"/>
      <c r="AY445" s="47"/>
      <c r="AZ445" s="47"/>
      <c r="BA445" s="47"/>
    </row>
    <row r="446" spans="3:53"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</row>
    <row r="447" spans="3:53"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  <c r="AT447" s="47"/>
      <c r="AU447" s="47"/>
      <c r="AV447" s="47"/>
      <c r="AW447" s="47"/>
      <c r="AX447" s="47"/>
      <c r="AY447" s="47"/>
      <c r="AZ447" s="47"/>
      <c r="BA447" s="47"/>
    </row>
    <row r="448" spans="3:53"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  <c r="AT448" s="47"/>
      <c r="AU448" s="47"/>
      <c r="AV448" s="47"/>
      <c r="AW448" s="47"/>
      <c r="AX448" s="47"/>
      <c r="AY448" s="47"/>
      <c r="AZ448" s="47"/>
      <c r="BA448" s="47"/>
    </row>
    <row r="449" spans="3:53"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  <c r="AT449" s="47"/>
      <c r="AU449" s="47"/>
      <c r="AV449" s="47"/>
      <c r="AW449" s="47"/>
      <c r="AX449" s="47"/>
      <c r="AY449" s="47"/>
      <c r="AZ449" s="47"/>
      <c r="BA449" s="47"/>
    </row>
    <row r="450" spans="3:53"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  <c r="AT450" s="47"/>
      <c r="AU450" s="47"/>
      <c r="AV450" s="47"/>
      <c r="AW450" s="47"/>
      <c r="AX450" s="47"/>
      <c r="AY450" s="47"/>
      <c r="AZ450" s="47"/>
      <c r="BA450" s="47"/>
    </row>
    <row r="451" spans="3:53"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  <c r="AT451" s="47"/>
      <c r="AU451" s="47"/>
      <c r="AV451" s="47"/>
      <c r="AW451" s="47"/>
      <c r="AX451" s="47"/>
      <c r="AY451" s="47"/>
      <c r="AZ451" s="47"/>
      <c r="BA451" s="47"/>
    </row>
    <row r="452" spans="3:53"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  <c r="AT452" s="47"/>
      <c r="AU452" s="47"/>
      <c r="AV452" s="47"/>
      <c r="AW452" s="47"/>
      <c r="AX452" s="47"/>
      <c r="AY452" s="47"/>
      <c r="AZ452" s="47"/>
      <c r="BA452" s="47"/>
    </row>
    <row r="453" spans="3:53"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  <c r="AT453" s="47"/>
      <c r="AU453" s="47"/>
      <c r="AV453" s="47"/>
      <c r="AW453" s="47"/>
      <c r="AX453" s="47"/>
      <c r="AY453" s="47"/>
      <c r="AZ453" s="47"/>
      <c r="BA453" s="47"/>
    </row>
    <row r="454" spans="3:53"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  <c r="AT454" s="47"/>
      <c r="AU454" s="47"/>
      <c r="AV454" s="47"/>
      <c r="AW454" s="47"/>
      <c r="AX454" s="47"/>
      <c r="AY454" s="47"/>
      <c r="AZ454" s="47"/>
      <c r="BA454" s="47"/>
    </row>
    <row r="455" spans="3:53"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  <c r="AT455" s="47"/>
      <c r="AU455" s="47"/>
      <c r="AV455" s="47"/>
      <c r="AW455" s="47"/>
      <c r="AX455" s="47"/>
      <c r="AY455" s="47"/>
      <c r="AZ455" s="47"/>
      <c r="BA455" s="47"/>
    </row>
    <row r="456" spans="3:53"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  <c r="AT456" s="47"/>
      <c r="AU456" s="47"/>
      <c r="AV456" s="47"/>
      <c r="AW456" s="47"/>
      <c r="AX456" s="47"/>
      <c r="AY456" s="47"/>
      <c r="AZ456" s="47"/>
      <c r="BA456" s="47"/>
    </row>
    <row r="457" spans="3:53"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  <c r="AT457" s="47"/>
      <c r="AU457" s="47"/>
      <c r="AV457" s="47"/>
      <c r="AW457" s="47"/>
      <c r="AX457" s="47"/>
      <c r="AY457" s="47"/>
      <c r="AZ457" s="47"/>
      <c r="BA457" s="47"/>
    </row>
    <row r="458" spans="3:53"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  <c r="AT458" s="47"/>
      <c r="AU458" s="47"/>
      <c r="AV458" s="47"/>
      <c r="AW458" s="47"/>
      <c r="AX458" s="47"/>
      <c r="AY458" s="47"/>
      <c r="AZ458" s="47"/>
      <c r="BA458" s="47"/>
    </row>
    <row r="459" spans="3:53"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  <c r="AT459" s="47"/>
      <c r="AU459" s="47"/>
      <c r="AV459" s="47"/>
      <c r="AW459" s="47"/>
      <c r="AX459" s="47"/>
      <c r="AY459" s="47"/>
      <c r="AZ459" s="47"/>
      <c r="BA459" s="47"/>
    </row>
    <row r="460" spans="3:53"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  <c r="AT460" s="47"/>
      <c r="AU460" s="47"/>
      <c r="AV460" s="47"/>
      <c r="AW460" s="47"/>
      <c r="AX460" s="47"/>
      <c r="AY460" s="47"/>
      <c r="AZ460" s="47"/>
      <c r="BA460" s="47"/>
    </row>
    <row r="461" spans="3:53"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  <c r="AT461" s="47"/>
      <c r="AU461" s="47"/>
      <c r="AV461" s="47"/>
      <c r="AW461" s="47"/>
      <c r="AX461" s="47"/>
      <c r="AY461" s="47"/>
      <c r="AZ461" s="47"/>
      <c r="BA461" s="47"/>
    </row>
    <row r="462" spans="3:53"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  <c r="AT462" s="47"/>
      <c r="AU462" s="47"/>
      <c r="AV462" s="47"/>
      <c r="AW462" s="47"/>
      <c r="AX462" s="47"/>
      <c r="AY462" s="47"/>
      <c r="AZ462" s="47"/>
      <c r="BA462" s="47"/>
    </row>
    <row r="463" spans="3:53"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  <c r="AT463" s="47"/>
      <c r="AU463" s="47"/>
      <c r="AV463" s="47"/>
      <c r="AW463" s="47"/>
      <c r="AX463" s="47"/>
      <c r="AY463" s="47"/>
      <c r="AZ463" s="47"/>
      <c r="BA463" s="47"/>
    </row>
    <row r="464" spans="3:53"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  <c r="AT464" s="47"/>
      <c r="AU464" s="47"/>
      <c r="AV464" s="47"/>
      <c r="AW464" s="47"/>
      <c r="AX464" s="47"/>
      <c r="AY464" s="47"/>
      <c r="AZ464" s="47"/>
      <c r="BA464" s="47"/>
    </row>
    <row r="465" spans="3:53"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  <c r="AT465" s="47"/>
      <c r="AU465" s="47"/>
      <c r="AV465" s="47"/>
      <c r="AW465" s="47"/>
      <c r="AX465" s="47"/>
      <c r="AY465" s="47"/>
      <c r="AZ465" s="47"/>
      <c r="BA465" s="47"/>
    </row>
    <row r="466" spans="3:53"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  <c r="AT466" s="47"/>
      <c r="AU466" s="47"/>
      <c r="AV466" s="47"/>
      <c r="AW466" s="47"/>
      <c r="AX466" s="47"/>
      <c r="AY466" s="47"/>
      <c r="AZ466" s="47"/>
      <c r="BA466" s="47"/>
    </row>
    <row r="467" spans="3:53"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  <c r="AT467" s="47"/>
      <c r="AU467" s="47"/>
      <c r="AV467" s="47"/>
      <c r="AW467" s="47"/>
      <c r="AX467" s="47"/>
      <c r="AY467" s="47"/>
      <c r="AZ467" s="47"/>
      <c r="BA467" s="47"/>
    </row>
    <row r="468" spans="3:53"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  <c r="AT468" s="47"/>
      <c r="AU468" s="47"/>
      <c r="AV468" s="47"/>
      <c r="AW468" s="47"/>
      <c r="AX468" s="47"/>
      <c r="AY468" s="47"/>
      <c r="AZ468" s="47"/>
      <c r="BA468" s="47"/>
    </row>
    <row r="469" spans="3:53"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  <c r="AT469" s="47"/>
      <c r="AU469" s="47"/>
      <c r="AV469" s="47"/>
      <c r="AW469" s="47"/>
      <c r="AX469" s="47"/>
      <c r="AY469" s="47"/>
      <c r="AZ469" s="47"/>
      <c r="BA469" s="47"/>
    </row>
    <row r="470" spans="3:53"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  <c r="AT470" s="47"/>
      <c r="AU470" s="47"/>
      <c r="AV470" s="47"/>
      <c r="AW470" s="47"/>
      <c r="AX470" s="47"/>
      <c r="AY470" s="47"/>
      <c r="AZ470" s="47"/>
      <c r="BA470" s="47"/>
    </row>
    <row r="471" spans="3:53"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  <c r="AT471" s="47"/>
      <c r="AU471" s="47"/>
      <c r="AV471" s="47"/>
      <c r="AW471" s="47"/>
      <c r="AX471" s="47"/>
      <c r="AY471" s="47"/>
      <c r="AZ471" s="47"/>
      <c r="BA471" s="47"/>
    </row>
    <row r="472" spans="3:53"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  <c r="AT472" s="47"/>
      <c r="AU472" s="47"/>
      <c r="AV472" s="47"/>
      <c r="AW472" s="47"/>
      <c r="AX472" s="47"/>
      <c r="AY472" s="47"/>
      <c r="AZ472" s="47"/>
      <c r="BA472" s="47"/>
    </row>
    <row r="473" spans="3:53"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  <c r="AT473" s="47"/>
      <c r="AU473" s="47"/>
      <c r="AV473" s="47"/>
      <c r="AW473" s="47"/>
      <c r="AX473" s="47"/>
      <c r="AY473" s="47"/>
      <c r="AZ473" s="47"/>
      <c r="BA473" s="47"/>
    </row>
    <row r="474" spans="3:53"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  <c r="AT474" s="47"/>
      <c r="AU474" s="47"/>
      <c r="AV474" s="47"/>
      <c r="AW474" s="47"/>
      <c r="AX474" s="47"/>
      <c r="AY474" s="47"/>
      <c r="AZ474" s="47"/>
      <c r="BA474" s="47"/>
    </row>
    <row r="475" spans="3:53"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  <c r="AT475" s="47"/>
      <c r="AU475" s="47"/>
      <c r="AV475" s="47"/>
      <c r="AW475" s="47"/>
      <c r="AX475" s="47"/>
      <c r="AY475" s="47"/>
      <c r="AZ475" s="47"/>
      <c r="BA475" s="47"/>
    </row>
    <row r="476" spans="3:53"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  <c r="AT476" s="47"/>
      <c r="AU476" s="47"/>
      <c r="AV476" s="47"/>
      <c r="AW476" s="47"/>
      <c r="AX476" s="47"/>
      <c r="AY476" s="47"/>
      <c r="AZ476" s="47"/>
      <c r="BA476" s="47"/>
    </row>
    <row r="477" spans="3:53"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  <c r="AT477" s="47"/>
      <c r="AU477" s="47"/>
      <c r="AV477" s="47"/>
      <c r="AW477" s="47"/>
      <c r="AX477" s="47"/>
      <c r="AY477" s="47"/>
      <c r="AZ477" s="47"/>
      <c r="BA477" s="47"/>
    </row>
    <row r="478" spans="3:53"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  <c r="AT478" s="47"/>
      <c r="AU478" s="47"/>
      <c r="AV478" s="47"/>
      <c r="AW478" s="47"/>
      <c r="AX478" s="47"/>
      <c r="AY478" s="47"/>
      <c r="AZ478" s="47"/>
      <c r="BA478" s="47"/>
    </row>
    <row r="479" spans="3:53"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  <c r="AT479" s="47"/>
      <c r="AU479" s="47"/>
      <c r="AV479" s="47"/>
      <c r="AW479" s="47"/>
      <c r="AX479" s="47"/>
      <c r="AY479" s="47"/>
      <c r="AZ479" s="47"/>
      <c r="BA479" s="47"/>
    </row>
    <row r="480" spans="3:53"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  <c r="AT480" s="47"/>
      <c r="AU480" s="47"/>
      <c r="AV480" s="47"/>
      <c r="AW480" s="47"/>
      <c r="AX480" s="47"/>
      <c r="AY480" s="47"/>
      <c r="AZ480" s="47"/>
      <c r="BA480" s="47"/>
    </row>
    <row r="481" spans="3:53"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  <c r="AT481" s="47"/>
      <c r="AU481" s="47"/>
      <c r="AV481" s="47"/>
      <c r="AW481" s="47"/>
      <c r="AX481" s="47"/>
      <c r="AY481" s="47"/>
      <c r="AZ481" s="47"/>
      <c r="BA481" s="47"/>
    </row>
    <row r="482" spans="3:53"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</row>
    <row r="483" spans="3:53"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  <c r="AT483" s="47"/>
      <c r="AU483" s="47"/>
      <c r="AV483" s="47"/>
      <c r="AW483" s="47"/>
      <c r="AX483" s="47"/>
      <c r="AY483" s="47"/>
      <c r="AZ483" s="47"/>
      <c r="BA483" s="47"/>
    </row>
    <row r="484" spans="3:53"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  <c r="AT484" s="47"/>
      <c r="AU484" s="47"/>
      <c r="AV484" s="47"/>
      <c r="AW484" s="47"/>
      <c r="AX484" s="47"/>
      <c r="AY484" s="47"/>
      <c r="AZ484" s="47"/>
      <c r="BA484" s="47"/>
    </row>
    <row r="485" spans="3:53"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  <c r="AT485" s="47"/>
      <c r="AU485" s="47"/>
      <c r="AV485" s="47"/>
      <c r="AW485" s="47"/>
      <c r="AX485" s="47"/>
      <c r="AY485" s="47"/>
      <c r="AZ485" s="47"/>
      <c r="BA485" s="47"/>
    </row>
    <row r="486" spans="3:53"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  <c r="AT486" s="47"/>
      <c r="AU486" s="47"/>
      <c r="AV486" s="47"/>
      <c r="AW486" s="47"/>
      <c r="AX486" s="47"/>
      <c r="AY486" s="47"/>
      <c r="AZ486" s="47"/>
      <c r="BA486" s="47"/>
    </row>
    <row r="487" spans="3:53"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  <c r="AT487" s="47"/>
      <c r="AU487" s="47"/>
      <c r="AV487" s="47"/>
      <c r="AW487" s="47"/>
      <c r="AX487" s="47"/>
      <c r="AY487" s="47"/>
      <c r="AZ487" s="47"/>
      <c r="BA487" s="47"/>
    </row>
    <row r="488" spans="3:53"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  <c r="AT488" s="47"/>
      <c r="AU488" s="47"/>
      <c r="AV488" s="47"/>
      <c r="AW488" s="47"/>
      <c r="AX488" s="47"/>
      <c r="AY488" s="47"/>
      <c r="AZ488" s="47"/>
      <c r="BA488" s="47"/>
    </row>
    <row r="489" spans="3:53"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  <c r="AT489" s="47"/>
      <c r="AU489" s="47"/>
      <c r="AV489" s="47"/>
      <c r="AW489" s="47"/>
      <c r="AX489" s="47"/>
      <c r="AY489" s="47"/>
      <c r="AZ489" s="47"/>
      <c r="BA489" s="47"/>
    </row>
    <row r="490" spans="3:53"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  <c r="AT490" s="47"/>
      <c r="AU490" s="47"/>
      <c r="AV490" s="47"/>
      <c r="AW490" s="47"/>
      <c r="AX490" s="47"/>
      <c r="AY490" s="47"/>
      <c r="AZ490" s="47"/>
      <c r="BA490" s="47"/>
    </row>
    <row r="491" spans="3:53"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  <c r="AT491" s="47"/>
      <c r="AU491" s="47"/>
      <c r="AV491" s="47"/>
      <c r="AW491" s="47"/>
      <c r="AX491" s="47"/>
      <c r="AY491" s="47"/>
      <c r="AZ491" s="47"/>
      <c r="BA491" s="47"/>
    </row>
    <row r="492" spans="3:53"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  <c r="AT492" s="47"/>
      <c r="AU492" s="47"/>
      <c r="AV492" s="47"/>
      <c r="AW492" s="47"/>
      <c r="AX492" s="47"/>
      <c r="AY492" s="47"/>
      <c r="AZ492" s="47"/>
      <c r="BA492" s="47"/>
    </row>
    <row r="493" spans="3:53"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  <c r="AT493" s="47"/>
      <c r="AU493" s="47"/>
      <c r="AV493" s="47"/>
      <c r="AW493" s="47"/>
      <c r="AX493" s="47"/>
      <c r="AY493" s="47"/>
      <c r="AZ493" s="47"/>
      <c r="BA493" s="47"/>
    </row>
    <row r="494" spans="3:53"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  <c r="AT494" s="47"/>
      <c r="AU494" s="47"/>
      <c r="AV494" s="47"/>
      <c r="AW494" s="47"/>
      <c r="AX494" s="47"/>
      <c r="AY494" s="47"/>
      <c r="AZ494" s="47"/>
      <c r="BA494" s="47"/>
    </row>
    <row r="495" spans="3:53"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  <c r="AT495" s="47"/>
      <c r="AU495" s="47"/>
      <c r="AV495" s="47"/>
      <c r="AW495" s="47"/>
      <c r="AX495" s="47"/>
      <c r="AY495" s="47"/>
      <c r="AZ495" s="47"/>
      <c r="BA495" s="47"/>
    </row>
    <row r="496" spans="3:53"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  <c r="AT496" s="47"/>
      <c r="AU496" s="47"/>
      <c r="AV496" s="47"/>
      <c r="AW496" s="47"/>
      <c r="AX496" s="47"/>
      <c r="AY496" s="47"/>
      <c r="AZ496" s="47"/>
      <c r="BA496" s="47"/>
    </row>
    <row r="497" spans="3:53"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  <c r="AT497" s="47"/>
      <c r="AU497" s="47"/>
      <c r="AV497" s="47"/>
      <c r="AW497" s="47"/>
      <c r="AX497" s="47"/>
      <c r="AY497" s="47"/>
      <c r="AZ497" s="47"/>
      <c r="BA497" s="47"/>
    </row>
    <row r="498" spans="3:53"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  <c r="AT498" s="47"/>
      <c r="AU498" s="47"/>
      <c r="AV498" s="47"/>
      <c r="AW498" s="47"/>
      <c r="AX498" s="47"/>
      <c r="AY498" s="47"/>
      <c r="AZ498" s="47"/>
      <c r="BA498" s="47"/>
    </row>
    <row r="499" spans="3:53"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  <c r="AT499" s="47"/>
      <c r="AU499" s="47"/>
      <c r="AV499" s="47"/>
      <c r="AW499" s="47"/>
      <c r="AX499" s="47"/>
      <c r="AY499" s="47"/>
      <c r="AZ499" s="47"/>
      <c r="BA499" s="47"/>
    </row>
    <row r="500" spans="3:53"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  <c r="AT500" s="47"/>
      <c r="AU500" s="47"/>
      <c r="AV500" s="47"/>
      <c r="AW500" s="47"/>
      <c r="AX500" s="47"/>
      <c r="AY500" s="47"/>
      <c r="AZ500" s="47"/>
      <c r="BA500" s="47"/>
    </row>
    <row r="501" spans="3:53"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  <c r="AT501" s="47"/>
      <c r="AU501" s="47"/>
      <c r="AV501" s="47"/>
      <c r="AW501" s="47"/>
      <c r="AX501" s="47"/>
      <c r="AY501" s="47"/>
      <c r="AZ501" s="47"/>
      <c r="BA501" s="47"/>
    </row>
    <row r="502" spans="3:53"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  <c r="AT502" s="47"/>
      <c r="AU502" s="47"/>
      <c r="AV502" s="47"/>
      <c r="AW502" s="47"/>
      <c r="AX502" s="47"/>
      <c r="AY502" s="47"/>
      <c r="AZ502" s="47"/>
      <c r="BA502" s="47"/>
    </row>
    <row r="503" spans="3:53"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  <c r="AT503" s="47"/>
      <c r="AU503" s="47"/>
      <c r="AV503" s="47"/>
      <c r="AW503" s="47"/>
      <c r="AX503" s="47"/>
      <c r="AY503" s="47"/>
      <c r="AZ503" s="47"/>
      <c r="BA503" s="47"/>
    </row>
    <row r="504" spans="3:53"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  <c r="AT504" s="47"/>
      <c r="AU504" s="47"/>
      <c r="AV504" s="47"/>
      <c r="AW504" s="47"/>
      <c r="AX504" s="47"/>
      <c r="AY504" s="47"/>
      <c r="AZ504" s="47"/>
      <c r="BA504" s="47"/>
    </row>
    <row r="505" spans="3:53"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  <c r="AT505" s="47"/>
      <c r="AU505" s="47"/>
      <c r="AV505" s="47"/>
      <c r="AW505" s="47"/>
      <c r="AX505" s="47"/>
      <c r="AY505" s="47"/>
      <c r="AZ505" s="47"/>
      <c r="BA505" s="47"/>
    </row>
    <row r="506" spans="3:53"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  <c r="AT506" s="47"/>
      <c r="AU506" s="47"/>
      <c r="AV506" s="47"/>
      <c r="AW506" s="47"/>
      <c r="AX506" s="47"/>
      <c r="AY506" s="47"/>
      <c r="AZ506" s="47"/>
      <c r="BA506" s="47"/>
    </row>
    <row r="507" spans="3:53"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  <c r="AT507" s="47"/>
      <c r="AU507" s="47"/>
      <c r="AV507" s="47"/>
      <c r="AW507" s="47"/>
      <c r="AX507" s="47"/>
      <c r="AY507" s="47"/>
      <c r="AZ507" s="47"/>
      <c r="BA507" s="47"/>
    </row>
    <row r="508" spans="3:53"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  <c r="AT508" s="47"/>
      <c r="AU508" s="47"/>
      <c r="AV508" s="47"/>
      <c r="AW508" s="47"/>
      <c r="AX508" s="47"/>
      <c r="AY508" s="47"/>
      <c r="AZ508" s="47"/>
      <c r="BA508" s="47"/>
    </row>
    <row r="509" spans="3:53"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  <c r="AT509" s="47"/>
      <c r="AU509" s="47"/>
      <c r="AV509" s="47"/>
      <c r="AW509" s="47"/>
      <c r="AX509" s="47"/>
      <c r="AY509" s="47"/>
      <c r="AZ509" s="47"/>
      <c r="BA509" s="47"/>
    </row>
    <row r="510" spans="3:53"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  <c r="AT510" s="47"/>
      <c r="AU510" s="47"/>
      <c r="AV510" s="47"/>
      <c r="AW510" s="47"/>
      <c r="AX510" s="47"/>
      <c r="AY510" s="47"/>
      <c r="AZ510" s="47"/>
      <c r="BA510" s="47"/>
    </row>
    <row r="511" spans="3:53"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  <c r="AT511" s="47"/>
      <c r="AU511" s="47"/>
      <c r="AV511" s="47"/>
      <c r="AW511" s="47"/>
      <c r="AX511" s="47"/>
      <c r="AY511" s="47"/>
      <c r="AZ511" s="47"/>
      <c r="BA511" s="47"/>
    </row>
    <row r="512" spans="3:53"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  <c r="AT512" s="47"/>
      <c r="AU512" s="47"/>
      <c r="AV512" s="47"/>
      <c r="AW512" s="47"/>
      <c r="AX512" s="47"/>
      <c r="AY512" s="47"/>
      <c r="AZ512" s="47"/>
      <c r="BA512" s="47"/>
    </row>
    <row r="513" spans="3:53"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  <c r="AT513" s="47"/>
      <c r="AU513" s="47"/>
      <c r="AV513" s="47"/>
      <c r="AW513" s="47"/>
      <c r="AX513" s="47"/>
      <c r="AY513" s="47"/>
      <c r="AZ513" s="47"/>
      <c r="BA513" s="47"/>
    </row>
    <row r="514" spans="3:53"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  <c r="AT514" s="47"/>
      <c r="AU514" s="47"/>
      <c r="AV514" s="47"/>
      <c r="AW514" s="47"/>
      <c r="AX514" s="47"/>
      <c r="AY514" s="47"/>
      <c r="AZ514" s="47"/>
      <c r="BA514" s="47"/>
    </row>
    <row r="515" spans="3:53"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  <c r="AT515" s="47"/>
      <c r="AU515" s="47"/>
      <c r="AV515" s="47"/>
      <c r="AW515" s="47"/>
      <c r="AX515" s="47"/>
      <c r="AY515" s="47"/>
      <c r="AZ515" s="47"/>
      <c r="BA515" s="47"/>
    </row>
    <row r="516" spans="3:53"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  <c r="AT516" s="47"/>
      <c r="AU516" s="47"/>
      <c r="AV516" s="47"/>
      <c r="AW516" s="47"/>
      <c r="AX516" s="47"/>
      <c r="AY516" s="47"/>
      <c r="AZ516" s="47"/>
      <c r="BA516" s="47"/>
    </row>
    <row r="517" spans="3:53"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  <c r="AT517" s="47"/>
      <c r="AU517" s="47"/>
      <c r="AV517" s="47"/>
      <c r="AW517" s="47"/>
      <c r="AX517" s="47"/>
      <c r="AY517" s="47"/>
      <c r="AZ517" s="47"/>
      <c r="BA517" s="47"/>
    </row>
    <row r="518" spans="3:53"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  <c r="AT518" s="47"/>
      <c r="AU518" s="47"/>
      <c r="AV518" s="47"/>
      <c r="AW518" s="47"/>
      <c r="AX518" s="47"/>
      <c r="AY518" s="47"/>
      <c r="AZ518" s="47"/>
      <c r="BA518" s="47"/>
    </row>
    <row r="519" spans="3:53"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  <c r="AT519" s="47"/>
      <c r="AU519" s="47"/>
      <c r="AV519" s="47"/>
      <c r="AW519" s="47"/>
      <c r="AX519" s="47"/>
      <c r="AY519" s="47"/>
      <c r="AZ519" s="47"/>
      <c r="BA519" s="47"/>
    </row>
    <row r="520" spans="3:53"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  <c r="AT520" s="47"/>
      <c r="AU520" s="47"/>
      <c r="AV520" s="47"/>
      <c r="AW520" s="47"/>
      <c r="AX520" s="47"/>
      <c r="AY520" s="47"/>
      <c r="AZ520" s="47"/>
      <c r="BA520" s="47"/>
    </row>
    <row r="521" spans="3:53"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  <c r="AT521" s="47"/>
      <c r="AU521" s="47"/>
      <c r="AV521" s="47"/>
      <c r="AW521" s="47"/>
      <c r="AX521" s="47"/>
      <c r="AY521" s="47"/>
      <c r="AZ521" s="47"/>
      <c r="BA521" s="47"/>
    </row>
    <row r="522" spans="3:53"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  <c r="AT522" s="47"/>
      <c r="AU522" s="47"/>
      <c r="AV522" s="47"/>
      <c r="AW522" s="47"/>
      <c r="AX522" s="47"/>
      <c r="AY522" s="47"/>
      <c r="AZ522" s="47"/>
      <c r="BA522" s="47"/>
    </row>
    <row r="523" spans="3:53"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  <c r="AT523" s="47"/>
      <c r="AU523" s="47"/>
      <c r="AV523" s="47"/>
      <c r="AW523" s="47"/>
      <c r="AX523" s="47"/>
      <c r="AY523" s="47"/>
      <c r="AZ523" s="47"/>
      <c r="BA523" s="47"/>
    </row>
    <row r="524" spans="3:53"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  <c r="AT524" s="47"/>
      <c r="AU524" s="47"/>
      <c r="AV524" s="47"/>
      <c r="AW524" s="47"/>
      <c r="AX524" s="47"/>
      <c r="AY524" s="47"/>
      <c r="AZ524" s="47"/>
      <c r="BA524" s="47"/>
    </row>
    <row r="525" spans="3:53"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  <c r="AT525" s="47"/>
      <c r="AU525" s="47"/>
      <c r="AV525" s="47"/>
      <c r="AW525" s="47"/>
      <c r="AX525" s="47"/>
      <c r="AY525" s="47"/>
      <c r="AZ525" s="47"/>
      <c r="BA525" s="47"/>
    </row>
    <row r="526" spans="3:53"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  <c r="AT526" s="47"/>
      <c r="AU526" s="47"/>
      <c r="AV526" s="47"/>
      <c r="AW526" s="47"/>
      <c r="AX526" s="47"/>
      <c r="AY526" s="47"/>
      <c r="AZ526" s="47"/>
      <c r="BA526" s="47"/>
    </row>
    <row r="527" spans="3:53"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  <c r="AT527" s="47"/>
      <c r="AU527" s="47"/>
      <c r="AV527" s="47"/>
      <c r="AW527" s="47"/>
      <c r="AX527" s="47"/>
      <c r="AY527" s="47"/>
      <c r="AZ527" s="47"/>
      <c r="BA527" s="47"/>
    </row>
    <row r="528" spans="3:53"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  <c r="AT528" s="47"/>
      <c r="AU528" s="47"/>
      <c r="AV528" s="47"/>
      <c r="AW528" s="47"/>
      <c r="AX528" s="47"/>
      <c r="AY528" s="47"/>
      <c r="AZ528" s="47"/>
      <c r="BA528" s="47"/>
    </row>
    <row r="529" spans="3:53"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  <c r="AT529" s="47"/>
      <c r="AU529" s="47"/>
      <c r="AV529" s="47"/>
      <c r="AW529" s="47"/>
      <c r="AX529" s="47"/>
      <c r="AY529" s="47"/>
      <c r="AZ529" s="47"/>
      <c r="BA529" s="47"/>
    </row>
    <row r="530" spans="3:53"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  <c r="AT530" s="47"/>
      <c r="AU530" s="47"/>
      <c r="AV530" s="47"/>
      <c r="AW530" s="47"/>
      <c r="AX530" s="47"/>
      <c r="AY530" s="47"/>
      <c r="AZ530" s="47"/>
      <c r="BA530" s="47"/>
    </row>
    <row r="531" spans="3:53"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  <c r="AT531" s="47"/>
      <c r="AU531" s="47"/>
      <c r="AV531" s="47"/>
      <c r="AW531" s="47"/>
      <c r="AX531" s="47"/>
      <c r="AY531" s="47"/>
      <c r="AZ531" s="47"/>
      <c r="BA531" s="47"/>
    </row>
    <row r="532" spans="3:53"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  <c r="AT532" s="47"/>
      <c r="AU532" s="47"/>
      <c r="AV532" s="47"/>
      <c r="AW532" s="47"/>
      <c r="AX532" s="47"/>
      <c r="AY532" s="47"/>
      <c r="AZ532" s="47"/>
      <c r="BA532" s="47"/>
    </row>
    <row r="533" spans="3:53"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  <c r="AT533" s="47"/>
      <c r="AU533" s="47"/>
      <c r="AV533" s="47"/>
      <c r="AW533" s="47"/>
      <c r="AX533" s="47"/>
      <c r="AY533" s="47"/>
      <c r="AZ533" s="47"/>
      <c r="BA533" s="47"/>
    </row>
    <row r="534" spans="3:53"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  <c r="AT534" s="47"/>
      <c r="AU534" s="47"/>
      <c r="AV534" s="47"/>
      <c r="AW534" s="47"/>
      <c r="AX534" s="47"/>
      <c r="AY534" s="47"/>
      <c r="AZ534" s="47"/>
      <c r="BA534" s="47"/>
    </row>
    <row r="535" spans="3:53"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  <c r="AT535" s="47"/>
      <c r="AU535" s="47"/>
      <c r="AV535" s="47"/>
      <c r="AW535" s="47"/>
      <c r="AX535" s="47"/>
      <c r="AY535" s="47"/>
      <c r="AZ535" s="47"/>
      <c r="BA535" s="47"/>
    </row>
    <row r="536" spans="3:53"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  <c r="AT536" s="47"/>
      <c r="AU536" s="47"/>
      <c r="AV536" s="47"/>
      <c r="AW536" s="47"/>
      <c r="AX536" s="47"/>
      <c r="AY536" s="47"/>
      <c r="AZ536" s="47"/>
      <c r="BA536" s="47"/>
    </row>
    <row r="537" spans="3:53"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  <c r="AT537" s="47"/>
      <c r="AU537" s="47"/>
      <c r="AV537" s="47"/>
      <c r="AW537" s="47"/>
      <c r="AX537" s="47"/>
      <c r="AY537" s="47"/>
      <c r="AZ537" s="47"/>
      <c r="BA537" s="47"/>
    </row>
    <row r="538" spans="3:53"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  <c r="AT538" s="47"/>
      <c r="AU538" s="47"/>
      <c r="AV538" s="47"/>
      <c r="AW538" s="47"/>
      <c r="AX538" s="47"/>
      <c r="AY538" s="47"/>
      <c r="AZ538" s="47"/>
      <c r="BA538" s="47"/>
    </row>
    <row r="539" spans="3:53"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47"/>
      <c r="AY539" s="47"/>
      <c r="AZ539" s="47"/>
      <c r="BA539" s="47"/>
    </row>
    <row r="540" spans="3:53"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  <c r="AT540" s="47"/>
      <c r="AU540" s="47"/>
      <c r="AV540" s="47"/>
      <c r="AW540" s="47"/>
      <c r="AX540" s="47"/>
      <c r="AY540" s="47"/>
      <c r="AZ540" s="47"/>
      <c r="BA540" s="47"/>
    </row>
    <row r="541" spans="3:53"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  <c r="AT541" s="47"/>
      <c r="AU541" s="47"/>
      <c r="AV541" s="47"/>
      <c r="AW541" s="47"/>
      <c r="AX541" s="47"/>
      <c r="AY541" s="47"/>
      <c r="AZ541" s="47"/>
      <c r="BA541" s="47"/>
    </row>
    <row r="542" spans="3:53"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  <c r="AT542" s="47"/>
      <c r="AU542" s="47"/>
      <c r="AV542" s="47"/>
      <c r="AW542" s="47"/>
      <c r="AX542" s="47"/>
      <c r="AY542" s="47"/>
      <c r="AZ542" s="47"/>
      <c r="BA542" s="47"/>
    </row>
    <row r="543" spans="3:53"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  <c r="AT543" s="47"/>
      <c r="AU543" s="47"/>
      <c r="AV543" s="47"/>
      <c r="AW543" s="47"/>
      <c r="AX543" s="47"/>
      <c r="AY543" s="47"/>
      <c r="AZ543" s="47"/>
      <c r="BA543" s="47"/>
    </row>
    <row r="544" spans="3:53"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47"/>
      <c r="AY544" s="47"/>
      <c r="AZ544" s="47"/>
      <c r="BA544" s="47"/>
    </row>
    <row r="545" spans="3:53"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  <c r="AT545" s="47"/>
      <c r="AU545" s="47"/>
      <c r="AV545" s="47"/>
      <c r="AW545" s="47"/>
      <c r="AX545" s="47"/>
      <c r="AY545" s="47"/>
      <c r="AZ545" s="47"/>
      <c r="BA545" s="47"/>
    </row>
    <row r="546" spans="3:53"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  <c r="AT546" s="47"/>
      <c r="AU546" s="47"/>
      <c r="AV546" s="47"/>
      <c r="AW546" s="47"/>
      <c r="AX546" s="47"/>
      <c r="AY546" s="47"/>
      <c r="AZ546" s="47"/>
      <c r="BA546" s="47"/>
    </row>
    <row r="547" spans="3:53"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  <c r="AT547" s="47"/>
      <c r="AU547" s="47"/>
      <c r="AV547" s="47"/>
      <c r="AW547" s="47"/>
      <c r="AX547" s="47"/>
      <c r="AY547" s="47"/>
      <c r="AZ547" s="47"/>
      <c r="BA547" s="47"/>
    </row>
    <row r="548" spans="3:53"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  <c r="AV548" s="47"/>
      <c r="AW548" s="47"/>
      <c r="AX548" s="47"/>
      <c r="AY548" s="47"/>
      <c r="AZ548" s="47"/>
      <c r="BA548" s="47"/>
    </row>
    <row r="549" spans="3:53"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  <c r="AV549" s="47"/>
      <c r="AW549" s="47"/>
      <c r="AX549" s="47"/>
      <c r="AY549" s="47"/>
      <c r="AZ549" s="47"/>
      <c r="BA549" s="47"/>
    </row>
    <row r="550" spans="3:53"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  <c r="AV550" s="47"/>
      <c r="AW550" s="47"/>
      <c r="AX550" s="47"/>
      <c r="AY550" s="47"/>
      <c r="AZ550" s="47"/>
      <c r="BA550" s="47"/>
    </row>
    <row r="551" spans="3:53"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47"/>
      <c r="AW551" s="47"/>
      <c r="AX551" s="47"/>
      <c r="AY551" s="47"/>
      <c r="AZ551" s="47"/>
      <c r="BA551" s="47"/>
    </row>
    <row r="552" spans="3:53"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  <c r="AT552" s="47"/>
      <c r="AU552" s="47"/>
      <c r="AV552" s="47"/>
      <c r="AW552" s="47"/>
      <c r="AX552" s="47"/>
      <c r="AY552" s="47"/>
      <c r="AZ552" s="47"/>
      <c r="BA552" s="47"/>
    </row>
    <row r="553" spans="3:53"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  <c r="AT553" s="47"/>
      <c r="AU553" s="47"/>
      <c r="AV553" s="47"/>
      <c r="AW553" s="47"/>
      <c r="AX553" s="47"/>
      <c r="AY553" s="47"/>
      <c r="AZ553" s="47"/>
      <c r="BA553" s="47"/>
    </row>
    <row r="554" spans="3:53"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  <c r="AT554" s="47"/>
      <c r="AU554" s="47"/>
      <c r="AV554" s="47"/>
      <c r="AW554" s="47"/>
      <c r="AX554" s="47"/>
      <c r="AY554" s="47"/>
      <c r="AZ554" s="47"/>
      <c r="BA554" s="47"/>
    </row>
    <row r="555" spans="3:53"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  <c r="AT555" s="47"/>
      <c r="AU555" s="47"/>
      <c r="AV555" s="47"/>
      <c r="AW555" s="47"/>
      <c r="AX555" s="47"/>
      <c r="AY555" s="47"/>
      <c r="AZ555" s="47"/>
      <c r="BA555" s="47"/>
    </row>
    <row r="556" spans="3:53"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  <c r="AT556" s="47"/>
      <c r="AU556" s="47"/>
      <c r="AV556" s="47"/>
      <c r="AW556" s="47"/>
      <c r="AX556" s="47"/>
      <c r="AY556" s="47"/>
      <c r="AZ556" s="47"/>
      <c r="BA556" s="47"/>
    </row>
    <row r="557" spans="3:53"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  <c r="AT557" s="47"/>
      <c r="AU557" s="47"/>
      <c r="AV557" s="47"/>
      <c r="AW557" s="47"/>
      <c r="AX557" s="47"/>
      <c r="AY557" s="47"/>
      <c r="AZ557" s="47"/>
      <c r="BA557" s="47"/>
    </row>
    <row r="558" spans="3:53"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  <c r="AT558" s="47"/>
      <c r="AU558" s="47"/>
      <c r="AV558" s="47"/>
      <c r="AW558" s="47"/>
      <c r="AX558" s="47"/>
      <c r="AY558" s="47"/>
      <c r="AZ558" s="47"/>
      <c r="BA558" s="47"/>
    </row>
    <row r="559" spans="3:53"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  <c r="AT559" s="47"/>
      <c r="AU559" s="47"/>
      <c r="AV559" s="47"/>
      <c r="AW559" s="47"/>
      <c r="AX559" s="47"/>
      <c r="AY559" s="47"/>
      <c r="AZ559" s="47"/>
      <c r="BA559" s="47"/>
    </row>
    <row r="560" spans="3:53"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  <c r="AT560" s="47"/>
      <c r="AU560" s="47"/>
      <c r="AV560" s="47"/>
      <c r="AW560" s="47"/>
      <c r="AX560" s="47"/>
      <c r="AY560" s="47"/>
      <c r="AZ560" s="47"/>
      <c r="BA560" s="47"/>
    </row>
    <row r="561" spans="3:53"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  <c r="AT561" s="47"/>
      <c r="AU561" s="47"/>
      <c r="AV561" s="47"/>
      <c r="AW561" s="47"/>
      <c r="AX561" s="47"/>
      <c r="AY561" s="47"/>
      <c r="AZ561" s="47"/>
      <c r="BA561" s="47"/>
    </row>
    <row r="562" spans="3:53"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  <c r="AT562" s="47"/>
      <c r="AU562" s="47"/>
      <c r="AV562" s="47"/>
      <c r="AW562" s="47"/>
      <c r="AX562" s="47"/>
      <c r="AY562" s="47"/>
      <c r="AZ562" s="47"/>
      <c r="BA562" s="47"/>
    </row>
    <row r="563" spans="3:53"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  <c r="AT563" s="47"/>
      <c r="AU563" s="47"/>
      <c r="AV563" s="47"/>
      <c r="AW563" s="47"/>
      <c r="AX563" s="47"/>
      <c r="AY563" s="47"/>
      <c r="AZ563" s="47"/>
      <c r="BA563" s="47"/>
    </row>
    <row r="564" spans="3:53"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  <c r="AT564" s="47"/>
      <c r="AU564" s="47"/>
      <c r="AV564" s="47"/>
      <c r="AW564" s="47"/>
      <c r="AX564" s="47"/>
      <c r="AY564" s="47"/>
      <c r="AZ564" s="47"/>
      <c r="BA564" s="47"/>
    </row>
    <row r="565" spans="3:53"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  <c r="AT565" s="47"/>
      <c r="AU565" s="47"/>
      <c r="AV565" s="47"/>
      <c r="AW565" s="47"/>
      <c r="AX565" s="47"/>
      <c r="AY565" s="47"/>
      <c r="AZ565" s="47"/>
      <c r="BA565" s="47"/>
    </row>
    <row r="566" spans="3:53"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  <c r="AT566" s="47"/>
      <c r="AU566" s="47"/>
      <c r="AV566" s="47"/>
      <c r="AW566" s="47"/>
      <c r="AX566" s="47"/>
      <c r="AY566" s="47"/>
      <c r="AZ566" s="47"/>
      <c r="BA566" s="47"/>
    </row>
    <row r="567" spans="3:53"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  <c r="AT567" s="47"/>
      <c r="AU567" s="47"/>
      <c r="AV567" s="47"/>
      <c r="AW567" s="47"/>
      <c r="AX567" s="47"/>
      <c r="AY567" s="47"/>
      <c r="AZ567" s="47"/>
      <c r="BA567" s="47"/>
    </row>
    <row r="568" spans="3:53"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  <c r="AT568" s="47"/>
      <c r="AU568" s="47"/>
      <c r="AV568" s="47"/>
      <c r="AW568" s="47"/>
      <c r="AX568" s="47"/>
      <c r="AY568" s="47"/>
      <c r="AZ568" s="47"/>
      <c r="BA568" s="47"/>
    </row>
    <row r="569" spans="3:53"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  <c r="AT569" s="47"/>
      <c r="AU569" s="47"/>
      <c r="AV569" s="47"/>
      <c r="AW569" s="47"/>
      <c r="AX569" s="47"/>
      <c r="AY569" s="47"/>
      <c r="AZ569" s="47"/>
      <c r="BA569" s="47"/>
    </row>
    <row r="570" spans="3:53"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  <c r="AT570" s="47"/>
      <c r="AU570" s="47"/>
      <c r="AV570" s="47"/>
      <c r="AW570" s="47"/>
      <c r="AX570" s="47"/>
      <c r="AY570" s="47"/>
      <c r="AZ570" s="47"/>
      <c r="BA570" s="47"/>
    </row>
    <row r="571" spans="3:53"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  <c r="AT571" s="47"/>
      <c r="AU571" s="47"/>
      <c r="AV571" s="47"/>
      <c r="AW571" s="47"/>
      <c r="AX571" s="47"/>
      <c r="AY571" s="47"/>
      <c r="AZ571" s="47"/>
      <c r="BA571" s="47"/>
    </row>
    <row r="572" spans="3:53"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  <c r="AT572" s="47"/>
      <c r="AU572" s="47"/>
      <c r="AV572" s="47"/>
      <c r="AW572" s="47"/>
      <c r="AX572" s="47"/>
      <c r="AY572" s="47"/>
      <c r="AZ572" s="47"/>
      <c r="BA572" s="47"/>
    </row>
    <row r="573" spans="3:53"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  <c r="AT573" s="47"/>
      <c r="AU573" s="47"/>
      <c r="AV573" s="47"/>
      <c r="AW573" s="47"/>
      <c r="AX573" s="47"/>
      <c r="AY573" s="47"/>
      <c r="AZ573" s="47"/>
      <c r="BA573" s="47"/>
    </row>
    <row r="574" spans="3:53"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  <c r="AT574" s="47"/>
      <c r="AU574" s="47"/>
      <c r="AV574" s="47"/>
      <c r="AW574" s="47"/>
      <c r="AX574" s="47"/>
      <c r="AY574" s="47"/>
      <c r="AZ574" s="47"/>
      <c r="BA574" s="47"/>
    </row>
    <row r="575" spans="3:53"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  <c r="AT575" s="47"/>
      <c r="AU575" s="47"/>
      <c r="AV575" s="47"/>
      <c r="AW575" s="47"/>
      <c r="AX575" s="47"/>
      <c r="AY575" s="47"/>
      <c r="AZ575" s="47"/>
      <c r="BA575" s="47"/>
    </row>
    <row r="576" spans="3:53"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  <c r="AT576" s="47"/>
      <c r="AU576" s="47"/>
      <c r="AV576" s="47"/>
      <c r="AW576" s="47"/>
      <c r="AX576" s="47"/>
      <c r="AY576" s="47"/>
      <c r="AZ576" s="47"/>
      <c r="BA576" s="47"/>
    </row>
    <row r="577" spans="3:53"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  <c r="AT577" s="47"/>
      <c r="AU577" s="47"/>
      <c r="AV577" s="47"/>
      <c r="AW577" s="47"/>
      <c r="AX577" s="47"/>
      <c r="AY577" s="47"/>
      <c r="AZ577" s="47"/>
      <c r="BA577" s="47"/>
    </row>
    <row r="578" spans="3:53"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  <c r="AT578" s="47"/>
      <c r="AU578" s="47"/>
      <c r="AV578" s="47"/>
      <c r="AW578" s="47"/>
      <c r="AX578" s="47"/>
      <c r="AY578" s="47"/>
      <c r="AZ578" s="47"/>
      <c r="BA578" s="47"/>
    </row>
    <row r="579" spans="3:53"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  <c r="AT579" s="47"/>
      <c r="AU579" s="47"/>
      <c r="AV579" s="47"/>
      <c r="AW579" s="47"/>
      <c r="AX579" s="47"/>
      <c r="AY579" s="47"/>
      <c r="AZ579" s="47"/>
      <c r="BA579" s="47"/>
    </row>
    <row r="580" spans="3:53"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  <c r="AT580" s="47"/>
      <c r="AU580" s="47"/>
      <c r="AV580" s="47"/>
      <c r="AW580" s="47"/>
      <c r="AX580" s="47"/>
      <c r="AY580" s="47"/>
      <c r="AZ580" s="47"/>
      <c r="BA580" s="47"/>
    </row>
    <row r="581" spans="3:53"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  <c r="AT581" s="47"/>
      <c r="AU581" s="47"/>
      <c r="AV581" s="47"/>
      <c r="AW581" s="47"/>
      <c r="AX581" s="47"/>
      <c r="AY581" s="47"/>
      <c r="AZ581" s="47"/>
      <c r="BA581" s="47"/>
    </row>
    <row r="582" spans="3:53"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  <c r="AT582" s="47"/>
      <c r="AU582" s="47"/>
      <c r="AV582" s="47"/>
      <c r="AW582" s="47"/>
      <c r="AX582" s="47"/>
      <c r="AY582" s="47"/>
      <c r="AZ582" s="47"/>
      <c r="BA582" s="47"/>
    </row>
    <row r="583" spans="3:53"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  <c r="AT583" s="47"/>
      <c r="AU583" s="47"/>
      <c r="AV583" s="47"/>
      <c r="AW583" s="47"/>
      <c r="AX583" s="47"/>
      <c r="AY583" s="47"/>
      <c r="AZ583" s="47"/>
      <c r="BA583" s="47"/>
    </row>
    <row r="584" spans="3:53"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  <c r="AT584" s="47"/>
      <c r="AU584" s="47"/>
      <c r="AV584" s="47"/>
      <c r="AW584" s="47"/>
      <c r="AX584" s="47"/>
      <c r="AY584" s="47"/>
      <c r="AZ584" s="47"/>
      <c r="BA584" s="47"/>
    </row>
    <row r="585" spans="3:53"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  <c r="AT585" s="47"/>
      <c r="AU585" s="47"/>
      <c r="AV585" s="47"/>
      <c r="AW585" s="47"/>
      <c r="AX585" s="47"/>
      <c r="AY585" s="47"/>
      <c r="AZ585" s="47"/>
      <c r="BA585" s="47"/>
    </row>
    <row r="586" spans="3:53"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  <c r="AT586" s="47"/>
      <c r="AU586" s="47"/>
      <c r="AV586" s="47"/>
      <c r="AW586" s="47"/>
      <c r="AX586" s="47"/>
      <c r="AY586" s="47"/>
      <c r="AZ586" s="47"/>
      <c r="BA586" s="47"/>
    </row>
    <row r="587" spans="3:53"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  <c r="AT587" s="47"/>
      <c r="AU587" s="47"/>
      <c r="AV587" s="47"/>
      <c r="AW587" s="47"/>
      <c r="AX587" s="47"/>
      <c r="AY587" s="47"/>
      <c r="AZ587" s="47"/>
      <c r="BA587" s="47"/>
    </row>
    <row r="588" spans="3:53"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  <c r="AT588" s="47"/>
      <c r="AU588" s="47"/>
      <c r="AV588" s="47"/>
      <c r="AW588" s="47"/>
      <c r="AX588" s="47"/>
      <c r="AY588" s="47"/>
      <c r="AZ588" s="47"/>
      <c r="BA588" s="47"/>
    </row>
    <row r="589" spans="3:53"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  <c r="AT589" s="47"/>
      <c r="AU589" s="47"/>
      <c r="AV589" s="47"/>
      <c r="AW589" s="47"/>
      <c r="AX589" s="47"/>
      <c r="AY589" s="47"/>
      <c r="AZ589" s="47"/>
      <c r="BA589" s="47"/>
    </row>
    <row r="590" spans="3:53"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  <c r="AT590" s="47"/>
      <c r="AU590" s="47"/>
      <c r="AV590" s="47"/>
      <c r="AW590" s="47"/>
      <c r="AX590" s="47"/>
      <c r="AY590" s="47"/>
      <c r="AZ590" s="47"/>
      <c r="BA590" s="47"/>
    </row>
    <row r="591" spans="3:53"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  <c r="AT591" s="47"/>
      <c r="AU591" s="47"/>
      <c r="AV591" s="47"/>
      <c r="AW591" s="47"/>
      <c r="AX591" s="47"/>
      <c r="AY591" s="47"/>
      <c r="AZ591" s="47"/>
      <c r="BA591" s="47"/>
    </row>
    <row r="592" spans="3:53"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  <c r="AT592" s="47"/>
      <c r="AU592" s="47"/>
      <c r="AV592" s="47"/>
      <c r="AW592" s="47"/>
      <c r="AX592" s="47"/>
      <c r="AY592" s="47"/>
      <c r="AZ592" s="47"/>
      <c r="BA592" s="47"/>
    </row>
    <row r="593" spans="3:53"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  <c r="AC593" s="47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  <c r="AT593" s="47"/>
      <c r="AU593" s="47"/>
      <c r="AV593" s="47"/>
      <c r="AW593" s="47"/>
      <c r="AX593" s="47"/>
      <c r="AY593" s="47"/>
      <c r="AZ593" s="47"/>
      <c r="BA593" s="47"/>
    </row>
    <row r="594" spans="3:53"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  <c r="AT594" s="47"/>
      <c r="AU594" s="47"/>
      <c r="AV594" s="47"/>
      <c r="AW594" s="47"/>
      <c r="AX594" s="47"/>
      <c r="AY594" s="47"/>
      <c r="AZ594" s="47"/>
      <c r="BA594" s="47"/>
    </row>
    <row r="595" spans="3:53"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  <c r="AT595" s="47"/>
      <c r="AU595" s="47"/>
      <c r="AV595" s="47"/>
      <c r="AW595" s="47"/>
      <c r="AX595" s="47"/>
      <c r="AY595" s="47"/>
      <c r="AZ595" s="47"/>
      <c r="BA595" s="47"/>
    </row>
    <row r="596" spans="3:53"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  <c r="AT596" s="47"/>
      <c r="AU596" s="47"/>
      <c r="AV596" s="47"/>
      <c r="AW596" s="47"/>
      <c r="AX596" s="47"/>
      <c r="AY596" s="47"/>
      <c r="AZ596" s="47"/>
      <c r="BA596" s="47"/>
    </row>
    <row r="597" spans="3:53"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  <c r="AT597" s="47"/>
      <c r="AU597" s="47"/>
      <c r="AV597" s="47"/>
      <c r="AW597" s="47"/>
      <c r="AX597" s="47"/>
      <c r="AY597" s="47"/>
      <c r="AZ597" s="47"/>
      <c r="BA597" s="47"/>
    </row>
    <row r="598" spans="3:53"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  <c r="AT598" s="47"/>
      <c r="AU598" s="47"/>
      <c r="AV598" s="47"/>
      <c r="AW598" s="47"/>
      <c r="AX598" s="47"/>
      <c r="AY598" s="47"/>
      <c r="AZ598" s="47"/>
      <c r="BA598" s="47"/>
    </row>
    <row r="599" spans="3:53"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  <c r="AT599" s="47"/>
      <c r="AU599" s="47"/>
      <c r="AV599" s="47"/>
      <c r="AW599" s="47"/>
      <c r="AX599" s="47"/>
      <c r="AY599" s="47"/>
      <c r="AZ599" s="47"/>
      <c r="BA599" s="47"/>
    </row>
    <row r="600" spans="3:53"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  <c r="AT600" s="47"/>
      <c r="AU600" s="47"/>
      <c r="AV600" s="47"/>
      <c r="AW600" s="47"/>
      <c r="AX600" s="47"/>
      <c r="AY600" s="47"/>
      <c r="AZ600" s="47"/>
      <c r="BA600" s="47"/>
    </row>
    <row r="601" spans="3:53"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  <c r="AT601" s="47"/>
      <c r="AU601" s="47"/>
      <c r="AV601" s="47"/>
      <c r="AW601" s="47"/>
      <c r="AX601" s="47"/>
      <c r="AY601" s="47"/>
      <c r="AZ601" s="47"/>
      <c r="BA601" s="47"/>
    </row>
    <row r="602" spans="3:53"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  <c r="AT602" s="47"/>
      <c r="AU602" s="47"/>
      <c r="AV602" s="47"/>
      <c r="AW602" s="47"/>
      <c r="AX602" s="47"/>
      <c r="AY602" s="47"/>
      <c r="AZ602" s="47"/>
      <c r="BA602" s="47"/>
    </row>
    <row r="603" spans="3:53"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  <c r="AT603" s="47"/>
      <c r="AU603" s="47"/>
      <c r="AV603" s="47"/>
      <c r="AW603" s="47"/>
      <c r="AX603" s="47"/>
      <c r="AY603" s="47"/>
      <c r="AZ603" s="47"/>
      <c r="BA603" s="47"/>
    </row>
    <row r="604" spans="3:53"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  <c r="AT604" s="47"/>
      <c r="AU604" s="47"/>
      <c r="AV604" s="47"/>
      <c r="AW604" s="47"/>
      <c r="AX604" s="47"/>
      <c r="AY604" s="47"/>
      <c r="AZ604" s="47"/>
      <c r="BA604" s="47"/>
    </row>
    <row r="605" spans="3:53"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  <c r="AC605" s="47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  <c r="AT605" s="47"/>
      <c r="AU605" s="47"/>
      <c r="AV605" s="47"/>
      <c r="AW605" s="47"/>
      <c r="AX605" s="47"/>
      <c r="AY605" s="47"/>
      <c r="AZ605" s="47"/>
      <c r="BA605" s="47"/>
    </row>
    <row r="606" spans="3:53"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  <c r="AT606" s="47"/>
      <c r="AU606" s="47"/>
      <c r="AV606" s="47"/>
      <c r="AW606" s="47"/>
      <c r="AX606" s="47"/>
      <c r="AY606" s="47"/>
      <c r="AZ606" s="47"/>
      <c r="BA606" s="47"/>
    </row>
    <row r="607" spans="3:53"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  <c r="AT607" s="47"/>
      <c r="AU607" s="47"/>
      <c r="AV607" s="47"/>
      <c r="AW607" s="47"/>
      <c r="AX607" s="47"/>
      <c r="AY607" s="47"/>
      <c r="AZ607" s="47"/>
      <c r="BA607" s="47"/>
    </row>
    <row r="608" spans="3:53"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  <c r="AT608" s="47"/>
      <c r="AU608" s="47"/>
      <c r="AV608" s="47"/>
      <c r="AW608" s="47"/>
      <c r="AX608" s="47"/>
      <c r="AY608" s="47"/>
      <c r="AZ608" s="47"/>
      <c r="BA608" s="47"/>
    </row>
    <row r="609" spans="3:53"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  <c r="AT609" s="47"/>
      <c r="AU609" s="47"/>
      <c r="AV609" s="47"/>
      <c r="AW609" s="47"/>
      <c r="AX609" s="47"/>
      <c r="AY609" s="47"/>
      <c r="AZ609" s="47"/>
      <c r="BA609" s="47"/>
    </row>
    <row r="610" spans="3:53"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  <c r="AT610" s="47"/>
      <c r="AU610" s="47"/>
      <c r="AV610" s="47"/>
      <c r="AW610" s="47"/>
      <c r="AX610" s="47"/>
      <c r="AY610" s="47"/>
      <c r="AZ610" s="47"/>
      <c r="BA610" s="47"/>
    </row>
    <row r="611" spans="3:53"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  <c r="AT611" s="47"/>
      <c r="AU611" s="47"/>
      <c r="AV611" s="47"/>
      <c r="AW611" s="47"/>
      <c r="AX611" s="47"/>
      <c r="AY611" s="47"/>
      <c r="AZ611" s="47"/>
      <c r="BA611" s="47"/>
    </row>
    <row r="612" spans="3:53"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  <c r="AT612" s="47"/>
      <c r="AU612" s="47"/>
      <c r="AV612" s="47"/>
      <c r="AW612" s="47"/>
      <c r="AX612" s="47"/>
      <c r="AY612" s="47"/>
      <c r="AZ612" s="47"/>
      <c r="BA612" s="47"/>
    </row>
    <row r="613" spans="3:53"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  <c r="AT613" s="47"/>
      <c r="AU613" s="47"/>
      <c r="AV613" s="47"/>
      <c r="AW613" s="47"/>
      <c r="AX613" s="47"/>
      <c r="AY613" s="47"/>
      <c r="AZ613" s="47"/>
      <c r="BA613" s="47"/>
    </row>
    <row r="614" spans="3:53"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  <c r="AT614" s="47"/>
      <c r="AU614" s="47"/>
      <c r="AV614" s="47"/>
      <c r="AW614" s="47"/>
      <c r="AX614" s="47"/>
      <c r="AY614" s="47"/>
      <c r="AZ614" s="47"/>
      <c r="BA614" s="47"/>
    </row>
    <row r="615" spans="3:53"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  <c r="AT615" s="47"/>
      <c r="AU615" s="47"/>
      <c r="AV615" s="47"/>
      <c r="AW615" s="47"/>
      <c r="AX615" s="47"/>
      <c r="AY615" s="47"/>
      <c r="AZ615" s="47"/>
      <c r="BA615" s="47"/>
    </row>
    <row r="616" spans="3:53"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  <c r="AT616" s="47"/>
      <c r="AU616" s="47"/>
      <c r="AV616" s="47"/>
      <c r="AW616" s="47"/>
      <c r="AX616" s="47"/>
      <c r="AY616" s="47"/>
      <c r="AZ616" s="47"/>
      <c r="BA616" s="47"/>
    </row>
    <row r="617" spans="3:53"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  <c r="AT617" s="47"/>
      <c r="AU617" s="47"/>
      <c r="AV617" s="47"/>
      <c r="AW617" s="47"/>
      <c r="AX617" s="47"/>
      <c r="AY617" s="47"/>
      <c r="AZ617" s="47"/>
      <c r="BA617" s="47"/>
    </row>
    <row r="618" spans="3:53"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  <c r="AT618" s="47"/>
      <c r="AU618" s="47"/>
      <c r="AV618" s="47"/>
      <c r="AW618" s="47"/>
      <c r="AX618" s="47"/>
      <c r="AY618" s="47"/>
      <c r="AZ618" s="47"/>
      <c r="BA618" s="47"/>
    </row>
    <row r="619" spans="3:53"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  <c r="AT619" s="47"/>
      <c r="AU619" s="47"/>
      <c r="AV619" s="47"/>
      <c r="AW619" s="47"/>
      <c r="AX619" s="47"/>
      <c r="AY619" s="47"/>
      <c r="AZ619" s="47"/>
      <c r="BA619" s="47"/>
    </row>
    <row r="620" spans="3:53"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  <c r="AT620" s="47"/>
      <c r="AU620" s="47"/>
      <c r="AV620" s="47"/>
      <c r="AW620" s="47"/>
      <c r="AX620" s="47"/>
      <c r="AY620" s="47"/>
      <c r="AZ620" s="47"/>
      <c r="BA620" s="47"/>
    </row>
    <row r="621" spans="3:53"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  <c r="AT621" s="47"/>
      <c r="AU621" s="47"/>
      <c r="AV621" s="47"/>
      <c r="AW621" s="47"/>
      <c r="AX621" s="47"/>
      <c r="AY621" s="47"/>
      <c r="AZ621" s="47"/>
      <c r="BA621" s="47"/>
    </row>
    <row r="622" spans="3:53"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  <c r="AT622" s="47"/>
      <c r="AU622" s="47"/>
      <c r="AV622" s="47"/>
      <c r="AW622" s="47"/>
      <c r="AX622" s="47"/>
      <c r="AY622" s="47"/>
      <c r="AZ622" s="47"/>
      <c r="BA622" s="47"/>
    </row>
    <row r="623" spans="3:53"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  <c r="AT623" s="47"/>
      <c r="AU623" s="47"/>
      <c r="AV623" s="47"/>
      <c r="AW623" s="47"/>
      <c r="AX623" s="47"/>
      <c r="AY623" s="47"/>
      <c r="AZ623" s="47"/>
      <c r="BA623" s="47"/>
    </row>
    <row r="624" spans="3:53"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  <c r="AT624" s="47"/>
      <c r="AU624" s="47"/>
      <c r="AV624" s="47"/>
      <c r="AW624" s="47"/>
      <c r="AX624" s="47"/>
      <c r="AY624" s="47"/>
      <c r="AZ624" s="47"/>
      <c r="BA624" s="47"/>
    </row>
    <row r="625" spans="3:53"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  <c r="AT625" s="47"/>
      <c r="AU625" s="47"/>
      <c r="AV625" s="47"/>
      <c r="AW625" s="47"/>
      <c r="AX625" s="47"/>
      <c r="AY625" s="47"/>
      <c r="AZ625" s="47"/>
      <c r="BA625" s="47"/>
    </row>
    <row r="626" spans="3:53"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  <c r="AC626" s="47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  <c r="AT626" s="47"/>
      <c r="AU626" s="47"/>
      <c r="AV626" s="47"/>
      <c r="AW626" s="47"/>
      <c r="AX626" s="47"/>
      <c r="AY626" s="47"/>
      <c r="AZ626" s="47"/>
      <c r="BA626" s="47"/>
    </row>
    <row r="627" spans="3:53"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  <c r="AS627" s="47"/>
      <c r="AT627" s="47"/>
      <c r="AU627" s="47"/>
      <c r="AV627" s="47"/>
      <c r="AW627" s="47"/>
      <c r="AX627" s="47"/>
      <c r="AY627" s="47"/>
      <c r="AZ627" s="47"/>
      <c r="BA627" s="47"/>
    </row>
    <row r="628" spans="3:53"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  <c r="AS628" s="47"/>
      <c r="AT628" s="47"/>
      <c r="AU628" s="47"/>
      <c r="AV628" s="47"/>
      <c r="AW628" s="47"/>
      <c r="AX628" s="47"/>
      <c r="AY628" s="47"/>
      <c r="AZ628" s="47"/>
      <c r="BA628" s="47"/>
    </row>
    <row r="629" spans="3:53"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  <c r="AS629" s="47"/>
      <c r="AT629" s="47"/>
      <c r="AU629" s="47"/>
      <c r="AV629" s="47"/>
      <c r="AW629" s="47"/>
      <c r="AX629" s="47"/>
      <c r="AY629" s="47"/>
      <c r="AZ629" s="47"/>
      <c r="BA629" s="47"/>
    </row>
    <row r="630" spans="3:53"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  <c r="AS630" s="47"/>
      <c r="AT630" s="47"/>
      <c r="AU630" s="47"/>
      <c r="AV630" s="47"/>
      <c r="AW630" s="47"/>
      <c r="AX630" s="47"/>
      <c r="AY630" s="47"/>
      <c r="AZ630" s="47"/>
      <c r="BA630" s="47"/>
    </row>
    <row r="631" spans="3:53"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  <c r="AS631" s="47"/>
      <c r="AT631" s="47"/>
      <c r="AU631" s="47"/>
      <c r="AV631" s="47"/>
      <c r="AW631" s="47"/>
      <c r="AX631" s="47"/>
      <c r="AY631" s="47"/>
      <c r="AZ631" s="47"/>
      <c r="BA631" s="47"/>
    </row>
    <row r="632" spans="3:53"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  <c r="AS632" s="47"/>
      <c r="AT632" s="47"/>
      <c r="AU632" s="47"/>
      <c r="AV632" s="47"/>
      <c r="AW632" s="47"/>
      <c r="AX632" s="47"/>
      <c r="AY632" s="47"/>
      <c r="AZ632" s="47"/>
      <c r="BA632" s="47"/>
    </row>
    <row r="633" spans="3:53"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  <c r="AS633" s="47"/>
      <c r="AT633" s="47"/>
      <c r="AU633" s="47"/>
      <c r="AV633" s="47"/>
      <c r="AW633" s="47"/>
      <c r="AX633" s="47"/>
      <c r="AY633" s="47"/>
      <c r="AZ633" s="47"/>
      <c r="BA633" s="47"/>
    </row>
    <row r="634" spans="3:53"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  <c r="AS634" s="47"/>
      <c r="AT634" s="47"/>
      <c r="AU634" s="47"/>
      <c r="AV634" s="47"/>
      <c r="AW634" s="47"/>
      <c r="AX634" s="47"/>
      <c r="AY634" s="47"/>
      <c r="AZ634" s="47"/>
      <c r="BA634" s="47"/>
    </row>
    <row r="635" spans="3:53"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  <c r="AS635" s="47"/>
      <c r="AT635" s="47"/>
      <c r="AU635" s="47"/>
      <c r="AV635" s="47"/>
      <c r="AW635" s="47"/>
      <c r="AX635" s="47"/>
      <c r="AY635" s="47"/>
      <c r="AZ635" s="47"/>
      <c r="BA635" s="47"/>
    </row>
    <row r="636" spans="3:53"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  <c r="AS636" s="47"/>
      <c r="AT636" s="47"/>
      <c r="AU636" s="47"/>
      <c r="AV636" s="47"/>
      <c r="AW636" s="47"/>
      <c r="AX636" s="47"/>
      <c r="AY636" s="47"/>
      <c r="AZ636" s="47"/>
      <c r="BA636" s="47"/>
    </row>
    <row r="637" spans="3:53"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  <c r="AS637" s="47"/>
      <c r="AT637" s="47"/>
      <c r="AU637" s="47"/>
      <c r="AV637" s="47"/>
      <c r="AW637" s="47"/>
      <c r="AX637" s="47"/>
      <c r="AY637" s="47"/>
      <c r="AZ637" s="47"/>
      <c r="BA637" s="47"/>
    </row>
    <row r="638" spans="3:53"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  <c r="AS638" s="47"/>
      <c r="AT638" s="47"/>
      <c r="AU638" s="47"/>
      <c r="AV638" s="47"/>
      <c r="AW638" s="47"/>
      <c r="AX638" s="47"/>
      <c r="AY638" s="47"/>
      <c r="AZ638" s="47"/>
      <c r="BA638" s="47"/>
    </row>
    <row r="639" spans="3:53"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  <c r="AS639" s="47"/>
      <c r="AT639" s="47"/>
      <c r="AU639" s="47"/>
      <c r="AV639" s="47"/>
      <c r="AW639" s="47"/>
      <c r="AX639" s="47"/>
      <c r="AY639" s="47"/>
      <c r="AZ639" s="47"/>
      <c r="BA639" s="47"/>
    </row>
    <row r="640" spans="3:53"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  <c r="AS640" s="47"/>
      <c r="AT640" s="47"/>
      <c r="AU640" s="47"/>
      <c r="AV640" s="47"/>
      <c r="AW640" s="47"/>
      <c r="AX640" s="47"/>
      <c r="AY640" s="47"/>
      <c r="AZ640" s="47"/>
      <c r="BA640" s="47"/>
    </row>
    <row r="641" spans="3:53"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  <c r="AC641" s="47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  <c r="AS641" s="47"/>
      <c r="AT641" s="47"/>
      <c r="AU641" s="47"/>
      <c r="AV641" s="47"/>
      <c r="AW641" s="47"/>
      <c r="AX641" s="47"/>
      <c r="AY641" s="47"/>
      <c r="AZ641" s="47"/>
      <c r="BA641" s="47"/>
    </row>
    <row r="642" spans="3:53"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  <c r="AS642" s="47"/>
      <c r="AT642" s="47"/>
      <c r="AU642" s="47"/>
      <c r="AV642" s="47"/>
      <c r="AW642" s="47"/>
      <c r="AX642" s="47"/>
      <c r="AY642" s="47"/>
      <c r="AZ642" s="47"/>
      <c r="BA642" s="47"/>
    </row>
    <row r="643" spans="3:53"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  <c r="AC643" s="47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  <c r="AS643" s="47"/>
      <c r="AT643" s="47"/>
      <c r="AU643" s="47"/>
      <c r="AV643" s="47"/>
      <c r="AW643" s="47"/>
      <c r="AX643" s="47"/>
      <c r="AY643" s="47"/>
      <c r="AZ643" s="47"/>
      <c r="BA643" s="47"/>
    </row>
    <row r="644" spans="3:53"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  <c r="AS644" s="47"/>
      <c r="AT644" s="47"/>
      <c r="AU644" s="47"/>
      <c r="AV644" s="47"/>
      <c r="AW644" s="47"/>
      <c r="AX644" s="47"/>
      <c r="AY644" s="47"/>
      <c r="AZ644" s="47"/>
      <c r="BA644" s="47"/>
    </row>
    <row r="645" spans="3:53"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  <c r="AS645" s="47"/>
      <c r="AT645" s="47"/>
      <c r="AU645" s="47"/>
      <c r="AV645" s="47"/>
      <c r="AW645" s="47"/>
      <c r="AX645" s="47"/>
      <c r="AY645" s="47"/>
      <c r="AZ645" s="47"/>
      <c r="BA645" s="47"/>
    </row>
    <row r="646" spans="3:53"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  <c r="AC646" s="47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  <c r="AS646" s="47"/>
      <c r="AT646" s="47"/>
      <c r="AU646" s="47"/>
      <c r="AV646" s="47"/>
      <c r="AW646" s="47"/>
      <c r="AX646" s="47"/>
      <c r="AY646" s="47"/>
      <c r="AZ646" s="47"/>
      <c r="BA646" s="47"/>
    </row>
    <row r="647" spans="3:53"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  <c r="AS647" s="47"/>
      <c r="AT647" s="47"/>
      <c r="AU647" s="47"/>
      <c r="AV647" s="47"/>
      <c r="AW647" s="47"/>
      <c r="AX647" s="47"/>
      <c r="AY647" s="47"/>
      <c r="AZ647" s="47"/>
      <c r="BA647" s="47"/>
    </row>
    <row r="648" spans="3:53"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  <c r="AC648" s="47"/>
      <c r="AD648" s="47"/>
      <c r="AE648" s="47"/>
      <c r="AF648" s="47"/>
      <c r="AG648" s="47"/>
      <c r="AH648" s="47"/>
      <c r="AI648" s="47"/>
      <c r="AJ648" s="47"/>
      <c r="AK648" s="47"/>
      <c r="AL648" s="47"/>
      <c r="AM648" s="47"/>
      <c r="AN648" s="47"/>
      <c r="AO648" s="47"/>
      <c r="AP648" s="47"/>
      <c r="AQ648" s="47"/>
      <c r="AR648" s="47"/>
      <c r="AS648" s="47"/>
      <c r="AT648" s="47"/>
      <c r="AU648" s="47"/>
      <c r="AV648" s="47"/>
      <c r="AW648" s="47"/>
      <c r="AX648" s="47"/>
      <c r="AY648" s="47"/>
      <c r="AZ648" s="47"/>
      <c r="BA648" s="47"/>
    </row>
    <row r="649" spans="3:53"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  <c r="AS649" s="47"/>
      <c r="AT649" s="47"/>
      <c r="AU649" s="47"/>
      <c r="AV649" s="47"/>
      <c r="AW649" s="47"/>
      <c r="AX649" s="47"/>
      <c r="AY649" s="47"/>
      <c r="AZ649" s="47"/>
      <c r="BA649" s="47"/>
    </row>
    <row r="650" spans="3:53"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7"/>
      <c r="AP650" s="47"/>
      <c r="AQ650" s="47"/>
      <c r="AR650" s="47"/>
      <c r="AS650" s="47"/>
      <c r="AT650" s="47"/>
      <c r="AU650" s="47"/>
      <c r="AV650" s="47"/>
      <c r="AW650" s="47"/>
      <c r="AX650" s="47"/>
      <c r="AY650" s="47"/>
      <c r="AZ650" s="47"/>
      <c r="BA650" s="47"/>
    </row>
    <row r="651" spans="3:53"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  <c r="AP651" s="47"/>
      <c r="AQ651" s="47"/>
      <c r="AR651" s="47"/>
      <c r="AS651" s="47"/>
      <c r="AT651" s="47"/>
      <c r="AU651" s="47"/>
      <c r="AV651" s="47"/>
      <c r="AW651" s="47"/>
      <c r="AX651" s="47"/>
      <c r="AY651" s="47"/>
      <c r="AZ651" s="47"/>
      <c r="BA651" s="47"/>
    </row>
    <row r="652" spans="3:53"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  <c r="AC652" s="47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7"/>
      <c r="AP652" s="47"/>
      <c r="AQ652" s="47"/>
      <c r="AR652" s="47"/>
      <c r="AS652" s="47"/>
      <c r="AT652" s="47"/>
      <c r="AU652" s="47"/>
      <c r="AV652" s="47"/>
      <c r="AW652" s="47"/>
      <c r="AX652" s="47"/>
      <c r="AY652" s="47"/>
      <c r="AZ652" s="47"/>
      <c r="BA652" s="47"/>
    </row>
    <row r="653" spans="3:53"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7"/>
      <c r="AP653" s="47"/>
      <c r="AQ653" s="47"/>
      <c r="AR653" s="47"/>
      <c r="AS653" s="47"/>
      <c r="AT653" s="47"/>
      <c r="AU653" s="47"/>
      <c r="AV653" s="47"/>
      <c r="AW653" s="47"/>
      <c r="AX653" s="47"/>
      <c r="AY653" s="47"/>
      <c r="AZ653" s="47"/>
      <c r="BA653" s="47"/>
    </row>
    <row r="654" spans="3:53"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  <c r="AC654" s="47"/>
      <c r="AD654" s="47"/>
      <c r="AE654" s="47"/>
      <c r="AF654" s="47"/>
      <c r="AG654" s="47"/>
      <c r="AH654" s="47"/>
      <c r="AI654" s="47"/>
      <c r="AJ654" s="47"/>
      <c r="AK654" s="47"/>
      <c r="AL654" s="47"/>
      <c r="AM654" s="47"/>
      <c r="AN654" s="47"/>
      <c r="AO654" s="47"/>
      <c r="AP654" s="47"/>
      <c r="AQ654" s="47"/>
      <c r="AR654" s="47"/>
      <c r="AS654" s="47"/>
      <c r="AT654" s="47"/>
      <c r="AU654" s="47"/>
      <c r="AV654" s="47"/>
      <c r="AW654" s="47"/>
      <c r="AX654" s="47"/>
      <c r="AY654" s="47"/>
      <c r="AZ654" s="47"/>
      <c r="BA654" s="47"/>
    </row>
    <row r="655" spans="3:53"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  <c r="AS655" s="47"/>
      <c r="AT655" s="47"/>
      <c r="AU655" s="47"/>
      <c r="AV655" s="47"/>
      <c r="AW655" s="47"/>
      <c r="AX655" s="47"/>
      <c r="AY655" s="47"/>
      <c r="AZ655" s="47"/>
      <c r="BA655" s="47"/>
    </row>
    <row r="656" spans="3:53"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7"/>
      <c r="AP656" s="47"/>
      <c r="AQ656" s="47"/>
      <c r="AR656" s="47"/>
      <c r="AS656" s="47"/>
      <c r="AT656" s="47"/>
      <c r="AU656" s="47"/>
      <c r="AV656" s="47"/>
      <c r="AW656" s="47"/>
      <c r="AX656" s="47"/>
      <c r="AY656" s="47"/>
      <c r="AZ656" s="47"/>
      <c r="BA656" s="47"/>
    </row>
    <row r="657" spans="3:53"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  <c r="AC657" s="47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47"/>
      <c r="AO657" s="47"/>
      <c r="AP657" s="47"/>
      <c r="AQ657" s="47"/>
      <c r="AR657" s="47"/>
      <c r="AS657" s="47"/>
      <c r="AT657" s="47"/>
      <c r="AU657" s="47"/>
      <c r="AV657" s="47"/>
      <c r="AW657" s="47"/>
      <c r="AX657" s="47"/>
      <c r="AY657" s="47"/>
      <c r="AZ657" s="47"/>
      <c r="BA657" s="47"/>
    </row>
    <row r="658" spans="3:53"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  <c r="AD658" s="47"/>
      <c r="AE658" s="47"/>
      <c r="AF658" s="47"/>
      <c r="AG658" s="47"/>
      <c r="AH658" s="47"/>
      <c r="AI658" s="47"/>
      <c r="AJ658" s="47"/>
      <c r="AK658" s="47"/>
      <c r="AL658" s="47"/>
      <c r="AM658" s="47"/>
      <c r="AN658" s="47"/>
      <c r="AO658" s="47"/>
      <c r="AP658" s="47"/>
      <c r="AQ658" s="47"/>
      <c r="AR658" s="47"/>
      <c r="AS658" s="47"/>
      <c r="AT658" s="47"/>
      <c r="AU658" s="47"/>
      <c r="AV658" s="47"/>
      <c r="AW658" s="47"/>
      <c r="AX658" s="47"/>
      <c r="AY658" s="47"/>
      <c r="AZ658" s="47"/>
      <c r="BA658" s="47"/>
    </row>
    <row r="659" spans="3:53"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  <c r="AD659" s="47"/>
      <c r="AE659" s="47"/>
      <c r="AF659" s="47"/>
      <c r="AG659" s="47"/>
      <c r="AH659" s="47"/>
      <c r="AI659" s="47"/>
      <c r="AJ659" s="47"/>
      <c r="AK659" s="47"/>
      <c r="AL659" s="47"/>
      <c r="AM659" s="47"/>
      <c r="AN659" s="47"/>
      <c r="AO659" s="47"/>
      <c r="AP659" s="47"/>
      <c r="AQ659" s="47"/>
      <c r="AR659" s="47"/>
      <c r="AS659" s="47"/>
      <c r="AT659" s="47"/>
      <c r="AU659" s="47"/>
      <c r="AV659" s="47"/>
      <c r="AW659" s="47"/>
      <c r="AX659" s="47"/>
      <c r="AY659" s="47"/>
      <c r="AZ659" s="47"/>
      <c r="BA659" s="47"/>
    </row>
    <row r="660" spans="3:53"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  <c r="AP660" s="47"/>
      <c r="AQ660" s="47"/>
      <c r="AR660" s="47"/>
      <c r="AS660" s="47"/>
      <c r="AT660" s="47"/>
      <c r="AU660" s="47"/>
      <c r="AV660" s="47"/>
      <c r="AW660" s="47"/>
      <c r="AX660" s="47"/>
      <c r="AY660" s="47"/>
      <c r="AZ660" s="47"/>
      <c r="BA660" s="47"/>
    </row>
    <row r="661" spans="3:53"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  <c r="AC661" s="47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7"/>
      <c r="AO661" s="47"/>
      <c r="AP661" s="47"/>
      <c r="AQ661" s="47"/>
      <c r="AR661" s="47"/>
      <c r="AS661" s="47"/>
      <c r="AT661" s="47"/>
      <c r="AU661" s="47"/>
      <c r="AV661" s="47"/>
      <c r="AW661" s="47"/>
      <c r="AX661" s="47"/>
      <c r="AY661" s="47"/>
      <c r="AZ661" s="47"/>
      <c r="BA661" s="47"/>
    </row>
    <row r="662" spans="3:53"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  <c r="AC662" s="47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7"/>
      <c r="AP662" s="47"/>
      <c r="AQ662" s="47"/>
      <c r="AR662" s="47"/>
      <c r="AS662" s="47"/>
      <c r="AT662" s="47"/>
      <c r="AU662" s="47"/>
      <c r="AV662" s="47"/>
      <c r="AW662" s="47"/>
      <c r="AX662" s="47"/>
      <c r="AY662" s="47"/>
      <c r="AZ662" s="47"/>
      <c r="BA662" s="47"/>
    </row>
    <row r="663" spans="3:53"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  <c r="AC663" s="47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7"/>
      <c r="AP663" s="47"/>
      <c r="AQ663" s="47"/>
      <c r="AR663" s="47"/>
      <c r="AS663" s="47"/>
      <c r="AT663" s="47"/>
      <c r="AU663" s="47"/>
      <c r="AV663" s="47"/>
      <c r="AW663" s="47"/>
      <c r="AX663" s="47"/>
      <c r="AY663" s="47"/>
      <c r="AZ663" s="47"/>
      <c r="BA663" s="47"/>
    </row>
    <row r="664" spans="3:53"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  <c r="AC664" s="47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7"/>
      <c r="AP664" s="47"/>
      <c r="AQ664" s="47"/>
      <c r="AR664" s="47"/>
      <c r="AS664" s="47"/>
      <c r="AT664" s="47"/>
      <c r="AU664" s="47"/>
      <c r="AV664" s="47"/>
      <c r="AW664" s="47"/>
      <c r="AX664" s="47"/>
      <c r="AY664" s="47"/>
      <c r="AZ664" s="47"/>
      <c r="BA664" s="47"/>
    </row>
    <row r="665" spans="3:53"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  <c r="AC665" s="47"/>
      <c r="AD665" s="47"/>
      <c r="AE665" s="47"/>
      <c r="AF665" s="47"/>
      <c r="AG665" s="47"/>
      <c r="AH665" s="47"/>
      <c r="AI665" s="47"/>
      <c r="AJ665" s="47"/>
      <c r="AK665" s="47"/>
      <c r="AL665" s="47"/>
      <c r="AM665" s="47"/>
      <c r="AN665" s="47"/>
      <c r="AO665" s="47"/>
      <c r="AP665" s="47"/>
      <c r="AQ665" s="47"/>
      <c r="AR665" s="47"/>
      <c r="AS665" s="47"/>
      <c r="AT665" s="47"/>
      <c r="AU665" s="47"/>
      <c r="AV665" s="47"/>
      <c r="AW665" s="47"/>
      <c r="AX665" s="47"/>
      <c r="AY665" s="47"/>
      <c r="AZ665" s="47"/>
      <c r="BA665" s="47"/>
    </row>
    <row r="666" spans="3:53"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7"/>
      <c r="AP666" s="47"/>
      <c r="AQ666" s="47"/>
      <c r="AR666" s="47"/>
      <c r="AS666" s="47"/>
      <c r="AT666" s="47"/>
      <c r="AU666" s="47"/>
      <c r="AV666" s="47"/>
      <c r="AW666" s="47"/>
      <c r="AX666" s="47"/>
      <c r="AY666" s="47"/>
      <c r="AZ666" s="47"/>
      <c r="BA666" s="47"/>
    </row>
    <row r="667" spans="3:53"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  <c r="AC667" s="47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7"/>
      <c r="AP667" s="47"/>
      <c r="AQ667" s="47"/>
      <c r="AR667" s="47"/>
      <c r="AS667" s="47"/>
      <c r="AT667" s="47"/>
      <c r="AU667" s="47"/>
      <c r="AV667" s="47"/>
      <c r="AW667" s="47"/>
      <c r="AX667" s="47"/>
      <c r="AY667" s="47"/>
      <c r="AZ667" s="47"/>
      <c r="BA667" s="47"/>
    </row>
    <row r="668" spans="3:53"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  <c r="AC668" s="47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7"/>
      <c r="AP668" s="47"/>
      <c r="AQ668" s="47"/>
      <c r="AR668" s="47"/>
      <c r="AS668" s="47"/>
      <c r="AT668" s="47"/>
      <c r="AU668" s="47"/>
      <c r="AV668" s="47"/>
      <c r="AW668" s="47"/>
      <c r="AX668" s="47"/>
      <c r="AY668" s="47"/>
      <c r="AZ668" s="47"/>
      <c r="BA668" s="47"/>
    </row>
    <row r="669" spans="3:53"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  <c r="AC669" s="47"/>
      <c r="AD669" s="47"/>
      <c r="AE669" s="47"/>
      <c r="AF669" s="47"/>
      <c r="AG669" s="47"/>
      <c r="AH669" s="47"/>
      <c r="AI669" s="47"/>
      <c r="AJ669" s="47"/>
      <c r="AK669" s="47"/>
      <c r="AL669" s="47"/>
      <c r="AM669" s="47"/>
      <c r="AN669" s="47"/>
      <c r="AO669" s="47"/>
      <c r="AP669" s="47"/>
      <c r="AQ669" s="47"/>
      <c r="AR669" s="47"/>
      <c r="AS669" s="47"/>
      <c r="AT669" s="47"/>
      <c r="AU669" s="47"/>
      <c r="AV669" s="47"/>
      <c r="AW669" s="47"/>
      <c r="AX669" s="47"/>
      <c r="AY669" s="47"/>
      <c r="AZ669" s="47"/>
      <c r="BA669" s="47"/>
    </row>
    <row r="670" spans="3:53"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  <c r="AC670" s="47"/>
      <c r="AD670" s="47"/>
      <c r="AE670" s="47"/>
      <c r="AF670" s="47"/>
      <c r="AG670" s="47"/>
      <c r="AH670" s="47"/>
      <c r="AI670" s="47"/>
      <c r="AJ670" s="47"/>
      <c r="AK670" s="47"/>
      <c r="AL670" s="47"/>
      <c r="AM670" s="47"/>
      <c r="AN670" s="47"/>
      <c r="AO670" s="47"/>
      <c r="AP670" s="47"/>
      <c r="AQ670" s="47"/>
      <c r="AR670" s="47"/>
      <c r="AS670" s="47"/>
      <c r="AT670" s="47"/>
      <c r="AU670" s="47"/>
      <c r="AV670" s="47"/>
      <c r="AW670" s="47"/>
      <c r="AX670" s="47"/>
      <c r="AY670" s="47"/>
      <c r="AZ670" s="47"/>
      <c r="BA670" s="47"/>
    </row>
    <row r="671" spans="3:53"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  <c r="AC671" s="47"/>
      <c r="AD671" s="47"/>
      <c r="AE671" s="47"/>
      <c r="AF671" s="47"/>
      <c r="AG671" s="47"/>
      <c r="AH671" s="47"/>
      <c r="AI671" s="47"/>
      <c r="AJ671" s="47"/>
      <c r="AK671" s="47"/>
      <c r="AL671" s="47"/>
      <c r="AM671" s="47"/>
      <c r="AN671" s="47"/>
      <c r="AO671" s="47"/>
      <c r="AP671" s="47"/>
      <c r="AQ671" s="47"/>
      <c r="AR671" s="47"/>
      <c r="AS671" s="47"/>
      <c r="AT671" s="47"/>
      <c r="AU671" s="47"/>
      <c r="AV671" s="47"/>
      <c r="AW671" s="47"/>
      <c r="AX671" s="47"/>
      <c r="AY671" s="47"/>
      <c r="AZ671" s="47"/>
      <c r="BA671" s="47"/>
    </row>
    <row r="672" spans="3:53"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  <c r="AC672" s="47"/>
      <c r="AD672" s="47"/>
      <c r="AE672" s="47"/>
      <c r="AF672" s="47"/>
      <c r="AG672" s="47"/>
      <c r="AH672" s="47"/>
      <c r="AI672" s="47"/>
      <c r="AJ672" s="47"/>
      <c r="AK672" s="47"/>
      <c r="AL672" s="47"/>
      <c r="AM672" s="47"/>
      <c r="AN672" s="47"/>
      <c r="AO672" s="47"/>
      <c r="AP672" s="47"/>
      <c r="AQ672" s="47"/>
      <c r="AR672" s="47"/>
      <c r="AS672" s="47"/>
      <c r="AT672" s="47"/>
      <c r="AU672" s="47"/>
      <c r="AV672" s="47"/>
      <c r="AW672" s="47"/>
      <c r="AX672" s="47"/>
      <c r="AY672" s="47"/>
      <c r="AZ672" s="47"/>
      <c r="BA672" s="47"/>
    </row>
    <row r="673" spans="3:53"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  <c r="AC673" s="47"/>
      <c r="AD673" s="47"/>
      <c r="AE673" s="47"/>
      <c r="AF673" s="47"/>
      <c r="AG673" s="47"/>
      <c r="AH673" s="47"/>
      <c r="AI673" s="47"/>
      <c r="AJ673" s="47"/>
      <c r="AK673" s="47"/>
      <c r="AL673" s="47"/>
      <c r="AM673" s="47"/>
      <c r="AN673" s="47"/>
      <c r="AO673" s="47"/>
      <c r="AP673" s="47"/>
      <c r="AQ673" s="47"/>
      <c r="AR673" s="47"/>
      <c r="AS673" s="47"/>
      <c r="AT673" s="47"/>
      <c r="AU673" s="47"/>
      <c r="AV673" s="47"/>
      <c r="AW673" s="47"/>
      <c r="AX673" s="47"/>
      <c r="AY673" s="47"/>
      <c r="AZ673" s="47"/>
      <c r="BA673" s="47"/>
    </row>
    <row r="674" spans="3:53"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  <c r="AC674" s="47"/>
      <c r="AD674" s="47"/>
      <c r="AE674" s="47"/>
      <c r="AF674" s="47"/>
      <c r="AG674" s="47"/>
      <c r="AH674" s="47"/>
      <c r="AI674" s="47"/>
      <c r="AJ674" s="47"/>
      <c r="AK674" s="47"/>
      <c r="AL674" s="47"/>
      <c r="AM674" s="47"/>
      <c r="AN674" s="47"/>
      <c r="AO674" s="47"/>
      <c r="AP674" s="47"/>
      <c r="AQ674" s="47"/>
      <c r="AR674" s="47"/>
      <c r="AS674" s="47"/>
      <c r="AT674" s="47"/>
      <c r="AU674" s="47"/>
      <c r="AV674" s="47"/>
      <c r="AW674" s="47"/>
      <c r="AX674" s="47"/>
      <c r="AY674" s="47"/>
      <c r="AZ674" s="47"/>
      <c r="BA674" s="47"/>
    </row>
    <row r="675" spans="3:53"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  <c r="AC675" s="47"/>
      <c r="AD675" s="47"/>
      <c r="AE675" s="47"/>
      <c r="AF675" s="47"/>
      <c r="AG675" s="47"/>
      <c r="AH675" s="47"/>
      <c r="AI675" s="47"/>
      <c r="AJ675" s="47"/>
      <c r="AK675" s="47"/>
      <c r="AL675" s="47"/>
      <c r="AM675" s="47"/>
      <c r="AN675" s="47"/>
      <c r="AO675" s="47"/>
      <c r="AP675" s="47"/>
      <c r="AQ675" s="47"/>
      <c r="AR675" s="47"/>
      <c r="AS675" s="47"/>
      <c r="AT675" s="47"/>
      <c r="AU675" s="47"/>
      <c r="AV675" s="47"/>
      <c r="AW675" s="47"/>
      <c r="AX675" s="47"/>
      <c r="AY675" s="47"/>
      <c r="AZ675" s="47"/>
      <c r="BA675" s="47"/>
    </row>
    <row r="676" spans="3:53"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/>
      <c r="AD676" s="47"/>
      <c r="AE676" s="47"/>
      <c r="AF676" s="47"/>
      <c r="AG676" s="47"/>
      <c r="AH676" s="47"/>
      <c r="AI676" s="47"/>
      <c r="AJ676" s="47"/>
      <c r="AK676" s="47"/>
      <c r="AL676" s="47"/>
      <c r="AM676" s="47"/>
      <c r="AN676" s="47"/>
      <c r="AO676" s="47"/>
      <c r="AP676" s="47"/>
      <c r="AQ676" s="47"/>
      <c r="AR676" s="47"/>
      <c r="AS676" s="47"/>
      <c r="AT676" s="47"/>
      <c r="AU676" s="47"/>
      <c r="AV676" s="47"/>
      <c r="AW676" s="47"/>
      <c r="AX676" s="47"/>
      <c r="AY676" s="47"/>
      <c r="AZ676" s="47"/>
      <c r="BA676" s="47"/>
    </row>
    <row r="677" spans="3:53"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  <c r="AC677" s="47"/>
      <c r="AD677" s="47"/>
      <c r="AE677" s="47"/>
      <c r="AF677" s="47"/>
      <c r="AG677" s="47"/>
      <c r="AH677" s="47"/>
      <c r="AI677" s="47"/>
      <c r="AJ677" s="47"/>
      <c r="AK677" s="47"/>
      <c r="AL677" s="47"/>
      <c r="AM677" s="47"/>
      <c r="AN677" s="47"/>
      <c r="AO677" s="47"/>
      <c r="AP677" s="47"/>
      <c r="AQ677" s="47"/>
      <c r="AR677" s="47"/>
      <c r="AS677" s="47"/>
      <c r="AT677" s="47"/>
      <c r="AU677" s="47"/>
      <c r="AV677" s="47"/>
      <c r="AW677" s="47"/>
      <c r="AX677" s="47"/>
      <c r="AY677" s="47"/>
      <c r="AZ677" s="47"/>
      <c r="BA677" s="47"/>
    </row>
  </sheetData>
  <mergeCells count="4">
    <mergeCell ref="A1:Q1"/>
    <mergeCell ref="A2:Q2"/>
    <mergeCell ref="A3:Q3"/>
    <mergeCell ref="A4:Q4"/>
  </mergeCells>
  <phoneticPr fontId="13" type="noConversion"/>
  <printOptions horizontalCentered="1"/>
  <pageMargins left="0.25" right="0.25" top="1.25" bottom="0.75" header="0.3" footer="0.3"/>
  <pageSetup scale="81" orientation="landscape" r:id="rId1"/>
  <headerFooter scaleWithDoc="0" alignWithMargins="0">
    <oddFooter>&amp;R&amp;"Times New Roman,Regular"&amp;12Exh. MDM-3
Page 2 of 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>
      <selection activeCell="C18" sqref="C18"/>
    </sheetView>
  </sheetViews>
  <sheetFormatPr defaultColWidth="11.5" defaultRowHeight="12.75"/>
  <cols>
    <col min="1" max="1" width="8.33203125" style="5" customWidth="1"/>
    <col min="2" max="2" width="46" style="5" customWidth="1"/>
    <col min="3" max="3" width="17.1640625" style="5" customWidth="1"/>
    <col min="4" max="4" width="11.5" style="5" customWidth="1"/>
    <col min="5" max="5" width="14.33203125" style="5" customWidth="1"/>
    <col min="6" max="6" width="13.5" style="5" customWidth="1"/>
    <col min="7" max="7" width="5.5" style="5" bestFit="1" customWidth="1"/>
    <col min="8" max="8" width="11.83203125" style="5" customWidth="1"/>
    <col min="9" max="253" width="8.83203125" style="5" customWidth="1"/>
    <col min="254" max="16384" width="11.5" style="5"/>
  </cols>
  <sheetData>
    <row r="1" spans="1:8">
      <c r="A1" s="3" t="s">
        <v>1</v>
      </c>
      <c r="B1" s="4"/>
      <c r="C1" s="4"/>
      <c r="D1" s="4"/>
      <c r="E1" s="4"/>
      <c r="F1" s="4"/>
      <c r="G1" s="4"/>
      <c r="H1" s="4"/>
    </row>
    <row r="2" spans="1:8" ht="13.15" customHeight="1">
      <c r="A2" s="407" t="s">
        <v>195</v>
      </c>
      <c r="B2" s="407"/>
      <c r="C2" s="407"/>
      <c r="D2" s="407"/>
      <c r="E2" s="407"/>
      <c r="F2" s="407"/>
      <c r="G2" s="407"/>
    </row>
    <row r="3" spans="1:8">
      <c r="A3" s="408" t="s">
        <v>34</v>
      </c>
      <c r="B3" s="408"/>
      <c r="C3" s="408"/>
      <c r="D3" s="408"/>
      <c r="E3" s="408"/>
      <c r="F3" s="408"/>
      <c r="G3" s="408"/>
    </row>
    <row r="4" spans="1:8" ht="15.75" customHeight="1">
      <c r="A4" s="409" t="str">
        <f>'Pg 1 Summary'!A5</f>
        <v>For The 12 Months Ending December 31, 2018</v>
      </c>
      <c r="B4" s="409"/>
      <c r="C4" s="409"/>
      <c r="D4" s="409"/>
      <c r="E4" s="409"/>
      <c r="F4" s="409"/>
      <c r="G4" s="409"/>
    </row>
    <row r="5" spans="1:8" ht="12.75" customHeight="1">
      <c r="B5" s="6"/>
      <c r="C5" s="6"/>
      <c r="D5" s="7"/>
      <c r="E5" s="7"/>
      <c r="F5" s="7"/>
    </row>
    <row r="6" spans="1:8">
      <c r="A6" s="3" t="s">
        <v>1</v>
      </c>
    </row>
    <row r="7" spans="1:8">
      <c r="A7" s="3" t="s">
        <v>1</v>
      </c>
      <c r="C7" s="5" t="s">
        <v>1</v>
      </c>
    </row>
    <row r="8" spans="1:8">
      <c r="A8" s="3">
        <v>1</v>
      </c>
      <c r="B8" s="190" t="s">
        <v>3</v>
      </c>
      <c r="C8" s="190" t="s">
        <v>24</v>
      </c>
      <c r="D8" s="190" t="s">
        <v>49</v>
      </c>
      <c r="E8" s="190" t="s">
        <v>61</v>
      </c>
      <c r="F8" s="190" t="s">
        <v>62</v>
      </c>
    </row>
    <row r="9" spans="1:8">
      <c r="A9" s="3">
        <f t="shared" ref="A9:A28" si="0">A8+1</f>
        <v>2</v>
      </c>
      <c r="B9" s="191"/>
      <c r="C9" s="190"/>
      <c r="D9" s="191"/>
      <c r="E9" s="191"/>
      <c r="F9" s="191"/>
    </row>
    <row r="10" spans="1:8">
      <c r="A10" s="3">
        <f t="shared" si="0"/>
        <v>3</v>
      </c>
      <c r="B10" s="191"/>
      <c r="C10" s="190" t="s">
        <v>50</v>
      </c>
      <c r="D10" s="190" t="s">
        <v>35</v>
      </c>
      <c r="E10" s="190" t="s">
        <v>16</v>
      </c>
      <c r="F10" s="190" t="s">
        <v>9</v>
      </c>
    </row>
    <row r="11" spans="1:8">
      <c r="A11" s="3">
        <f t="shared" si="0"/>
        <v>4</v>
      </c>
      <c r="B11" s="192" t="s">
        <v>7</v>
      </c>
      <c r="C11" s="192" t="s">
        <v>75</v>
      </c>
      <c r="D11" s="192" t="s">
        <v>17</v>
      </c>
      <c r="E11" s="192" t="s">
        <v>18</v>
      </c>
      <c r="F11" s="192" t="s">
        <v>17</v>
      </c>
    </row>
    <row r="12" spans="1:8">
      <c r="A12" s="3">
        <f t="shared" si="0"/>
        <v>5</v>
      </c>
      <c r="B12" s="8"/>
      <c r="C12" s="193"/>
      <c r="D12" s="193"/>
      <c r="E12" s="3"/>
      <c r="F12" s="193"/>
    </row>
    <row r="13" spans="1:8">
      <c r="A13" s="3">
        <f t="shared" si="0"/>
        <v>6</v>
      </c>
      <c r="B13" s="8" t="s">
        <v>33</v>
      </c>
      <c r="C13" s="194">
        <f>'Pg 4 STD OS &amp; Comm Fees'!C11</f>
        <v>208103347.94999999</v>
      </c>
      <c r="D13" s="195">
        <f>IF(E13=0,"NA",(E13/C13))</f>
        <v>2.4064666038930014E-2</v>
      </c>
      <c r="E13" s="194">
        <f>'Pg 4 STD OS &amp; Comm Fees'!D11</f>
        <v>5007937.57</v>
      </c>
      <c r="F13" s="9"/>
      <c r="G13" s="10"/>
    </row>
    <row r="14" spans="1:8">
      <c r="A14" s="3">
        <f t="shared" si="0"/>
        <v>7</v>
      </c>
      <c r="B14" s="5" t="s">
        <v>103</v>
      </c>
      <c r="C14" s="196">
        <f>'Pg 4 STD OS &amp; Comm Fees'!C12</f>
        <v>0</v>
      </c>
      <c r="D14" s="195" t="str">
        <f>IF(E14=0,"NA",(E14/C14))</f>
        <v>NA</v>
      </c>
      <c r="E14" s="194">
        <f>'Pg 4 STD OS &amp; Comm Fees'!D12</f>
        <v>0</v>
      </c>
      <c r="F14" s="9"/>
      <c r="G14" s="10"/>
    </row>
    <row r="15" spans="1:8">
      <c r="A15" s="3">
        <v>10</v>
      </c>
      <c r="B15" s="5" t="s">
        <v>162</v>
      </c>
      <c r="C15" s="196">
        <f>'Pg 4 STD OS &amp; Comm Fees'!C13</f>
        <v>0</v>
      </c>
      <c r="D15" s="195" t="str">
        <f>IF(E15=0,"NA",(E15/C15))</f>
        <v>NA</v>
      </c>
      <c r="E15" s="194">
        <f>'Pg 4 STD OS &amp; Comm Fees'!D13</f>
        <v>0</v>
      </c>
      <c r="F15" s="9"/>
      <c r="G15" s="10"/>
    </row>
    <row r="16" spans="1:8">
      <c r="A16" s="3">
        <f>A15+1</f>
        <v>11</v>
      </c>
      <c r="B16" s="5" t="s">
        <v>186</v>
      </c>
      <c r="C16" s="196">
        <f>'Pg 4 STD OS &amp; Comm Fees'!C14</f>
        <v>767123.29</v>
      </c>
      <c r="D16" s="195">
        <f>IF(E16=0,"NA",(E16/C16))</f>
        <v>3.0435733479034378E-2</v>
      </c>
      <c r="E16" s="194">
        <f>'Pg 4 STD OS &amp; Comm Fees'!D14</f>
        <v>23347.96</v>
      </c>
    </row>
    <row r="17" spans="1:7">
      <c r="A17" s="3">
        <f t="shared" si="0"/>
        <v>12</v>
      </c>
      <c r="B17" s="197" t="s">
        <v>140</v>
      </c>
      <c r="C17" s="198">
        <f>SUM(C13:C16)</f>
        <v>208870471.23999998</v>
      </c>
      <c r="D17" s="199">
        <f>IF(E17=0,"NA",(E17/C17))</f>
        <v>2.4088065201992411E-2</v>
      </c>
      <c r="E17" s="200">
        <f>SUM(E13:E16)</f>
        <v>5031285.53</v>
      </c>
      <c r="F17" s="9">
        <f>E17/C23</f>
        <v>2.4088065201992411E-2</v>
      </c>
      <c r="G17" s="10"/>
    </row>
    <row r="18" spans="1:7">
      <c r="A18" s="3">
        <f t="shared" si="0"/>
        <v>13</v>
      </c>
      <c r="C18" s="201"/>
      <c r="D18" s="202"/>
      <c r="E18" s="203"/>
      <c r="G18" s="10"/>
    </row>
    <row r="19" spans="1:7">
      <c r="A19" s="3">
        <f t="shared" si="0"/>
        <v>14</v>
      </c>
      <c r="B19" s="8" t="s">
        <v>51</v>
      </c>
      <c r="C19" s="204"/>
      <c r="D19" s="205"/>
      <c r="E19" s="206">
        <f>'Pg 4 STD OS &amp; Comm Fees'!F16</f>
        <v>1449002.2664944446</v>
      </c>
      <c r="F19" s="207">
        <f>E19/C23</f>
        <v>6.9373246390079081E-3</v>
      </c>
      <c r="G19" s="208" t="s">
        <v>74</v>
      </c>
    </row>
    <row r="20" spans="1:7">
      <c r="A20" s="3">
        <f t="shared" si="0"/>
        <v>15</v>
      </c>
      <c r="B20" s="8"/>
      <c r="C20" s="209"/>
      <c r="D20" s="210"/>
      <c r="E20" s="211"/>
      <c r="F20" s="9"/>
      <c r="G20" s="10"/>
    </row>
    <row r="21" spans="1:7">
      <c r="A21" s="3">
        <f t="shared" si="0"/>
        <v>16</v>
      </c>
      <c r="B21" s="8" t="s">
        <v>52</v>
      </c>
      <c r="C21" s="209"/>
      <c r="D21" s="210"/>
      <c r="E21" s="206">
        <f>-'Pg 5 STD Amort'!I27</f>
        <v>783628.46</v>
      </c>
      <c r="F21" s="207">
        <f>E21/C23</f>
        <v>3.7517436301447394E-3</v>
      </c>
      <c r="G21" s="208" t="s">
        <v>86</v>
      </c>
    </row>
    <row r="22" spans="1:7" ht="13.5" thickBot="1">
      <c r="A22" s="3">
        <f t="shared" si="0"/>
        <v>17</v>
      </c>
      <c r="C22" s="203"/>
      <c r="D22" s="194"/>
      <c r="E22" s="212"/>
    </row>
    <row r="23" spans="1:7" ht="13.5" thickBot="1">
      <c r="A23" s="3">
        <f t="shared" si="0"/>
        <v>18</v>
      </c>
      <c r="B23" s="213" t="s">
        <v>36</v>
      </c>
      <c r="C23" s="214">
        <f>C17</f>
        <v>208870471.23999998</v>
      </c>
      <c r="D23" s="215"/>
      <c r="E23" s="214">
        <f>SUM(E17:E22)</f>
        <v>7263916.2564944448</v>
      </c>
      <c r="F23" s="218">
        <f>E23/C23</f>
        <v>3.4777133471145062E-2</v>
      </c>
      <c r="G23" s="10"/>
    </row>
    <row r="24" spans="1:7">
      <c r="A24" s="3">
        <f t="shared" si="0"/>
        <v>19</v>
      </c>
      <c r="G24" s="10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216" t="s">
        <v>192</v>
      </c>
      <c r="C26" s="217"/>
      <c r="D26" s="217"/>
      <c r="E26" s="217"/>
      <c r="F26" s="8"/>
      <c r="G26" s="10"/>
    </row>
    <row r="27" spans="1:7">
      <c r="A27" s="3">
        <f t="shared" si="0"/>
        <v>22</v>
      </c>
      <c r="B27" s="216" t="s">
        <v>193</v>
      </c>
      <c r="C27" s="217"/>
      <c r="D27" s="217"/>
      <c r="E27" s="217"/>
      <c r="F27" s="8"/>
      <c r="G27" s="10"/>
    </row>
    <row r="28" spans="1:7">
      <c r="A28" s="3">
        <f t="shared" si="0"/>
        <v>23</v>
      </c>
      <c r="B28" s="216" t="s">
        <v>194</v>
      </c>
      <c r="C28" s="8"/>
      <c r="D28" s="8"/>
      <c r="E28" s="8"/>
      <c r="F28" s="8"/>
      <c r="G28" s="10"/>
    </row>
    <row r="29" spans="1:7">
      <c r="A29" s="3"/>
      <c r="B29" s="216"/>
    </row>
    <row r="30" spans="1:7">
      <c r="A30" s="3"/>
      <c r="B30" s="8"/>
    </row>
    <row r="31" spans="1:7">
      <c r="A31" s="3"/>
      <c r="B31" s="8"/>
    </row>
    <row r="32" spans="1:7">
      <c r="A32" s="3" t="s">
        <v>1</v>
      </c>
    </row>
    <row r="33" spans="1:7" ht="12.75" customHeight="1">
      <c r="A33" s="11"/>
    </row>
    <row r="34" spans="1:7">
      <c r="A34" s="3" t="s">
        <v>1</v>
      </c>
      <c r="E34" s="10"/>
      <c r="F34" s="9"/>
      <c r="G34" s="10"/>
    </row>
    <row r="35" spans="1:7">
      <c r="A35" s="3" t="s">
        <v>1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mergeCells count="3">
    <mergeCell ref="A2:G2"/>
    <mergeCell ref="A3:G3"/>
    <mergeCell ref="A4:G4"/>
  </mergeCells>
  <phoneticPr fontId="13" type="noConversion"/>
  <printOptions horizontalCentered="1"/>
  <pageMargins left="0.25" right="0.25" top="1.25" bottom="0.75" header="0.3" footer="0.3"/>
  <pageSetup orientation="landscape" r:id="rId1"/>
  <headerFooter scaleWithDoc="0" alignWithMargins="0">
    <oddFooter>&amp;R&amp;"Times New Roman,Regular"&amp;12Exh. MDM-3
Page 3 of 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36"/>
  <sheetViews>
    <sheetView zoomScaleNormal="100" workbookViewId="0">
      <selection activeCell="H36" sqref="H36"/>
    </sheetView>
  </sheetViews>
  <sheetFormatPr defaultColWidth="9.1640625" defaultRowHeight="11.25"/>
  <cols>
    <col min="1" max="1" width="5.6640625" style="103" bestFit="1" customWidth="1"/>
    <col min="2" max="2" width="24.6640625" style="103" customWidth="1"/>
    <col min="3" max="3" width="14.1640625" style="103" bestFit="1" customWidth="1"/>
    <col min="4" max="4" width="12" style="103" bestFit="1" customWidth="1"/>
    <col min="5" max="5" width="10" style="103" bestFit="1" customWidth="1"/>
    <col min="6" max="6" width="17.1640625" style="103" customWidth="1"/>
    <col min="7" max="7" width="10.33203125" style="103" bestFit="1" customWidth="1"/>
    <col min="8" max="8" width="15.1640625" style="103" bestFit="1" customWidth="1"/>
    <col min="9" max="9" width="7.5" style="103" bestFit="1" customWidth="1"/>
    <col min="10" max="10" width="10.33203125" style="103" bestFit="1" customWidth="1"/>
    <col min="11" max="11" width="5.83203125" style="103" customWidth="1"/>
    <col min="12" max="12" width="8.5" style="103" customWidth="1"/>
    <col min="13" max="13" width="10" style="103" customWidth="1"/>
    <col min="14" max="14" width="11.1640625" style="103" customWidth="1"/>
    <col min="15" max="15" width="11.5" style="103" customWidth="1"/>
    <col min="16" max="16384" width="9.1640625" style="103"/>
  </cols>
  <sheetData>
    <row r="1" spans="1:15" ht="12">
      <c r="A1" s="414" t="s">
        <v>43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219"/>
      <c r="M1" s="219"/>
      <c r="N1" s="219"/>
      <c r="O1" s="219"/>
    </row>
    <row r="2" spans="1:15" ht="12">
      <c r="A2" s="414" t="s">
        <v>44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219"/>
      <c r="N2" s="219"/>
      <c r="O2" s="219"/>
    </row>
    <row r="3" spans="1:15" ht="12" customHeight="1">
      <c r="A3" s="415" t="str">
        <f>'Pg 1 Summary'!A5</f>
        <v>For The 12 Months Ending December 31, 2018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219"/>
      <c r="N3" s="219"/>
      <c r="O3" s="219"/>
    </row>
    <row r="4" spans="1:15" ht="12">
      <c r="A4" s="219"/>
      <c r="B4" s="220"/>
      <c r="C4" s="221"/>
      <c r="D4" s="219"/>
      <c r="E4" s="219"/>
      <c r="F4" s="219"/>
      <c r="G4" s="219"/>
      <c r="H4" s="219"/>
      <c r="I4" s="219"/>
      <c r="J4" s="219"/>
      <c r="K4" s="219"/>
      <c r="L4" s="219"/>
      <c r="N4" s="219"/>
      <c r="O4" s="219"/>
    </row>
    <row r="5" spans="1:15" ht="13.5" thickBot="1">
      <c r="A5" s="222">
        <v>1</v>
      </c>
      <c r="B5" s="223" t="s">
        <v>3</v>
      </c>
      <c r="C5" s="223" t="s">
        <v>24</v>
      </c>
      <c r="D5" s="223" t="s">
        <v>49</v>
      </c>
      <c r="E5" s="223" t="s">
        <v>61</v>
      </c>
      <c r="F5" s="223" t="s">
        <v>62</v>
      </c>
      <c r="G5" s="223" t="s">
        <v>63</v>
      </c>
      <c r="H5" s="223" t="s">
        <v>64</v>
      </c>
      <c r="I5" s="223" t="s">
        <v>65</v>
      </c>
      <c r="J5" s="223" t="s">
        <v>66</v>
      </c>
      <c r="K5" s="190"/>
      <c r="L5" s="190"/>
      <c r="N5" s="219"/>
      <c r="O5" s="219"/>
    </row>
    <row r="6" spans="1:15" ht="12">
      <c r="A6" s="222">
        <f>+A5+1</f>
        <v>2</v>
      </c>
      <c r="B6" s="224" t="s">
        <v>109</v>
      </c>
      <c r="C6" s="225"/>
      <c r="D6" s="225"/>
      <c r="E6" s="225"/>
      <c r="F6" s="225"/>
      <c r="G6" s="225"/>
      <c r="H6" s="226"/>
      <c r="I6" s="226"/>
      <c r="J6" s="226"/>
      <c r="K6" s="227"/>
      <c r="M6" s="219"/>
      <c r="N6" s="219"/>
      <c r="O6" s="219"/>
    </row>
    <row r="7" spans="1:15" ht="12">
      <c r="A7" s="222">
        <f>+A6+1</f>
        <v>3</v>
      </c>
      <c r="B7" s="228"/>
      <c r="C7" s="229"/>
      <c r="D7" s="229"/>
      <c r="E7" s="229"/>
      <c r="F7" s="229" t="s">
        <v>1</v>
      </c>
      <c r="G7" s="57" t="s">
        <v>1</v>
      </c>
      <c r="H7" s="57"/>
      <c r="I7" s="57"/>
      <c r="J7" s="57"/>
      <c r="K7" s="230" t="s">
        <v>1</v>
      </c>
      <c r="L7" s="219"/>
      <c r="M7" s="231"/>
      <c r="N7" s="219"/>
      <c r="O7" s="219"/>
    </row>
    <row r="8" spans="1:15" ht="12">
      <c r="A8" s="222">
        <f>A7+1</f>
        <v>4</v>
      </c>
      <c r="B8" s="228"/>
      <c r="C8" s="232" t="s">
        <v>47</v>
      </c>
      <c r="D8" s="232" t="s">
        <v>102</v>
      </c>
      <c r="E8" s="232" t="s">
        <v>47</v>
      </c>
      <c r="F8" s="232" t="s">
        <v>119</v>
      </c>
      <c r="G8" s="57"/>
      <c r="H8" s="57"/>
      <c r="I8" s="57"/>
      <c r="J8" s="57"/>
      <c r="K8" s="230"/>
      <c r="L8" s="233"/>
      <c r="M8" s="219"/>
      <c r="N8" s="219"/>
      <c r="O8" s="219"/>
    </row>
    <row r="9" spans="1:15" ht="12">
      <c r="A9" s="222">
        <f>A8+1</f>
        <v>5</v>
      </c>
      <c r="B9" s="228"/>
      <c r="C9" s="234" t="s">
        <v>135</v>
      </c>
      <c r="D9" s="234" t="s">
        <v>35</v>
      </c>
      <c r="E9" s="234" t="s">
        <v>87</v>
      </c>
      <c r="F9" s="234" t="s">
        <v>136</v>
      </c>
      <c r="G9" s="235"/>
      <c r="H9" s="235"/>
      <c r="I9" s="57"/>
      <c r="J9" s="57"/>
      <c r="K9" s="230"/>
      <c r="L9" s="233"/>
      <c r="M9" s="236"/>
      <c r="N9" s="219"/>
      <c r="O9" s="219"/>
    </row>
    <row r="10" spans="1:15" ht="12">
      <c r="A10" s="222">
        <f>A9+1</f>
        <v>6</v>
      </c>
      <c r="B10" s="228"/>
      <c r="C10" s="237"/>
      <c r="D10" s="237"/>
      <c r="E10" s="237"/>
      <c r="F10" s="238"/>
      <c r="G10" s="57"/>
      <c r="H10" s="57"/>
      <c r="I10" s="57"/>
      <c r="J10" s="57"/>
      <c r="K10" s="230"/>
      <c r="L10" s="219"/>
      <c r="M10" s="219"/>
      <c r="O10" s="219"/>
    </row>
    <row r="11" spans="1:15" ht="12">
      <c r="A11" s="222">
        <f t="shared" ref="A11:A36" si="0">A10+1</f>
        <v>7</v>
      </c>
      <c r="B11" s="228" t="s">
        <v>33</v>
      </c>
      <c r="C11" s="239">
        <v>208103347.94999999</v>
      </c>
      <c r="D11" s="239">
        <v>5007937.57</v>
      </c>
      <c r="E11" s="240">
        <f>IF(C11=0,"NA",(D11/C11))</f>
        <v>2.4064666038930014E-2</v>
      </c>
      <c r="F11" s="241">
        <v>0</v>
      </c>
      <c r="G11" s="242"/>
      <c r="I11" s="57"/>
      <c r="J11" s="57"/>
      <c r="K11" s="230"/>
      <c r="L11" s="219"/>
      <c r="M11" s="243"/>
      <c r="O11" s="219"/>
    </row>
    <row r="12" spans="1:15" ht="12">
      <c r="A12" s="222">
        <f t="shared" si="0"/>
        <v>8</v>
      </c>
      <c r="B12" s="228" t="s">
        <v>103</v>
      </c>
      <c r="C12" s="239">
        <v>0</v>
      </c>
      <c r="D12" s="239">
        <v>0</v>
      </c>
      <c r="E12" s="240" t="str">
        <f>IF(C12=0,"NA",(D12/C12))</f>
        <v>NA</v>
      </c>
      <c r="F12" s="241">
        <v>0</v>
      </c>
      <c r="G12" s="242"/>
      <c r="H12" s="244"/>
      <c r="I12" s="57"/>
      <c r="J12" s="57"/>
      <c r="K12" s="230"/>
      <c r="L12" s="219"/>
      <c r="M12" s="243"/>
      <c r="O12" s="219"/>
    </row>
    <row r="13" spans="1:15" ht="12">
      <c r="A13" s="222">
        <v>9</v>
      </c>
      <c r="B13" s="228" t="s">
        <v>162</v>
      </c>
      <c r="C13" s="239">
        <v>0</v>
      </c>
      <c r="D13" s="239">
        <v>0</v>
      </c>
      <c r="E13" s="240" t="str">
        <f>IF(C13=0,"NA",(D13/C13))</f>
        <v>NA</v>
      </c>
      <c r="F13" s="245">
        <f>J26</f>
        <v>0</v>
      </c>
      <c r="G13" s="242"/>
      <c r="H13" s="246"/>
      <c r="I13" s="57"/>
      <c r="J13" s="57"/>
      <c r="K13" s="230"/>
      <c r="L13" s="219"/>
      <c r="M13" s="243"/>
      <c r="O13" s="219"/>
    </row>
    <row r="14" spans="1:15" ht="12">
      <c r="A14" s="222">
        <f>A13+1</f>
        <v>10</v>
      </c>
      <c r="B14" s="228" t="s">
        <v>186</v>
      </c>
      <c r="C14" s="239">
        <v>767123.29</v>
      </c>
      <c r="D14" s="239">
        <v>23347.96</v>
      </c>
      <c r="E14" s="240">
        <f>IF(C14=0,"NA",(D14/C14))</f>
        <v>3.0435733479034378E-2</v>
      </c>
      <c r="F14" s="245">
        <f>J27</f>
        <v>1418083.3333000001</v>
      </c>
      <c r="G14" s="242"/>
      <c r="H14" s="244"/>
      <c r="I14" s="57"/>
      <c r="J14" s="57"/>
      <c r="K14" s="230"/>
      <c r="L14" s="219"/>
      <c r="M14" s="247"/>
      <c r="N14" s="219"/>
      <c r="O14" s="219"/>
    </row>
    <row r="15" spans="1:15" ht="12">
      <c r="A15" s="222">
        <f t="shared" si="0"/>
        <v>11</v>
      </c>
      <c r="B15" s="228" t="s">
        <v>142</v>
      </c>
      <c r="C15" s="239">
        <v>0</v>
      </c>
      <c r="D15" s="239">
        <v>0</v>
      </c>
      <c r="E15" s="240" t="str">
        <f>IF(C15=0,"NA",(D15/C15))</f>
        <v>NA</v>
      </c>
      <c r="F15" s="245">
        <f>J32</f>
        <v>30918.933194444446</v>
      </c>
      <c r="G15" s="57"/>
      <c r="H15" s="57"/>
      <c r="I15" s="57"/>
      <c r="J15" s="57"/>
      <c r="K15" s="230"/>
      <c r="L15" s="219"/>
      <c r="M15" s="219"/>
      <c r="N15" s="219"/>
      <c r="O15" s="219"/>
    </row>
    <row r="16" spans="1:15" ht="12.75" thickBot="1">
      <c r="A16" s="222">
        <f t="shared" si="0"/>
        <v>12</v>
      </c>
      <c r="B16" s="248" t="s">
        <v>146</v>
      </c>
      <c r="C16" s="249">
        <f>SUM(C10:C15)</f>
        <v>208870471.23999998</v>
      </c>
      <c r="D16" s="250">
        <f>SUM(D10:D15)</f>
        <v>5031285.53</v>
      </c>
      <c r="E16" s="251">
        <f>D16/C16</f>
        <v>2.4088065201992411E-2</v>
      </c>
      <c r="F16" s="250">
        <f>SUM(F10:F15)</f>
        <v>1449002.2664944446</v>
      </c>
      <c r="G16" s="57"/>
      <c r="H16" s="57"/>
      <c r="I16" s="57"/>
      <c r="J16" s="57"/>
      <c r="K16" s="230"/>
      <c r="L16" s="219"/>
      <c r="M16" s="219"/>
      <c r="N16" s="219"/>
      <c r="O16" s="219"/>
    </row>
    <row r="17" spans="1:15" ht="12.75" thickTop="1">
      <c r="A17" s="222"/>
      <c r="B17" s="248"/>
      <c r="C17" s="252"/>
      <c r="D17" s="253"/>
      <c r="E17" s="254"/>
      <c r="F17" s="253"/>
      <c r="G17" s="57"/>
      <c r="H17" s="57"/>
      <c r="I17" s="57"/>
      <c r="J17" s="57"/>
      <c r="K17" s="230"/>
      <c r="L17" s="219"/>
      <c r="M17" s="219"/>
      <c r="N17" s="219"/>
      <c r="O17" s="219"/>
    </row>
    <row r="18" spans="1:15" ht="12">
      <c r="A18" s="222"/>
      <c r="B18" s="255" t="s">
        <v>180</v>
      </c>
      <c r="C18" s="256"/>
      <c r="D18" s="257"/>
      <c r="E18" s="229"/>
      <c r="F18" s="258">
        <f>'Pg 1 Summary'!C30</f>
        <v>7860865544</v>
      </c>
      <c r="G18" s="57"/>
      <c r="H18" s="57"/>
      <c r="I18" s="57"/>
      <c r="J18" s="57"/>
      <c r="K18" s="230"/>
      <c r="L18" s="219"/>
      <c r="M18" s="219"/>
      <c r="N18" s="219"/>
      <c r="O18" s="219"/>
    </row>
    <row r="19" spans="1:15" ht="12">
      <c r="A19" s="222"/>
      <c r="B19" s="228"/>
      <c r="C19" s="256"/>
      <c r="D19" s="257"/>
      <c r="E19" s="229"/>
      <c r="F19" s="256"/>
      <c r="G19" s="57"/>
      <c r="H19" s="57"/>
      <c r="I19" s="57"/>
      <c r="J19" s="57"/>
      <c r="K19" s="230"/>
      <c r="L19" s="219"/>
      <c r="M19" s="219"/>
      <c r="N19" s="219"/>
      <c r="O19" s="219"/>
    </row>
    <row r="20" spans="1:15" ht="12">
      <c r="A20" s="222"/>
      <c r="B20" s="255" t="s">
        <v>182</v>
      </c>
      <c r="C20" s="256"/>
      <c r="D20" s="257"/>
      <c r="E20" s="229"/>
      <c r="F20" s="259">
        <f>ROUND(F16/F18,4)</f>
        <v>2.0000000000000001E-4</v>
      </c>
      <c r="G20" s="57"/>
      <c r="H20" s="57"/>
      <c r="I20" s="57"/>
      <c r="J20" s="57"/>
      <c r="K20" s="230"/>
      <c r="L20" s="219"/>
      <c r="M20" s="219"/>
      <c r="N20" s="219"/>
      <c r="O20" s="219"/>
    </row>
    <row r="21" spans="1:15" ht="12.75" thickBot="1">
      <c r="A21" s="222">
        <f>A16+1</f>
        <v>13</v>
      </c>
      <c r="B21" s="260"/>
      <c r="C21" s="261"/>
      <c r="D21" s="261"/>
      <c r="E21" s="261"/>
      <c r="F21" s="261"/>
      <c r="G21" s="262"/>
      <c r="H21" s="262"/>
      <c r="I21" s="262"/>
      <c r="J21" s="262"/>
      <c r="K21" s="263"/>
      <c r="L21" s="57"/>
      <c r="M21" s="219"/>
      <c r="N21" s="219"/>
      <c r="O21" s="219"/>
    </row>
    <row r="22" spans="1:15" ht="12">
      <c r="A22" s="222">
        <f t="shared" si="0"/>
        <v>14</v>
      </c>
      <c r="B22" s="412" t="s">
        <v>85</v>
      </c>
      <c r="C22" s="413"/>
      <c r="D22" s="226"/>
      <c r="E22" s="226"/>
      <c r="F22" s="226"/>
      <c r="G22" s="226"/>
      <c r="H22" s="264"/>
      <c r="I22" s="264"/>
      <c r="J22" s="264"/>
      <c r="K22" s="265"/>
      <c r="L22" s="57" t="s">
        <v>1</v>
      </c>
      <c r="M22" s="219"/>
      <c r="N22" s="219"/>
      <c r="O22" s="219"/>
    </row>
    <row r="23" spans="1:15" ht="12">
      <c r="A23" s="222">
        <f t="shared" si="0"/>
        <v>15</v>
      </c>
      <c r="B23" s="410" t="s">
        <v>94</v>
      </c>
      <c r="C23" s="411"/>
      <c r="D23" s="57"/>
      <c r="E23" s="57"/>
      <c r="F23" s="57"/>
      <c r="G23" s="266" t="s">
        <v>163</v>
      </c>
      <c r="H23" s="266" t="s">
        <v>163</v>
      </c>
      <c r="I23" s="267"/>
      <c r="J23" s="267"/>
      <c r="K23" s="268"/>
      <c r="L23" s="57"/>
      <c r="M23" s="219"/>
      <c r="N23" s="219"/>
      <c r="O23" s="219"/>
    </row>
    <row r="24" spans="1:15" ht="12">
      <c r="A24" s="222">
        <f t="shared" si="0"/>
        <v>16</v>
      </c>
      <c r="B24" s="269"/>
      <c r="C24" s="270"/>
      <c r="D24" s="57"/>
      <c r="E24" s="57"/>
      <c r="F24" s="57"/>
      <c r="G24" s="266" t="s">
        <v>138</v>
      </c>
      <c r="H24" s="266" t="s">
        <v>139</v>
      </c>
      <c r="I24" s="267"/>
      <c r="J24" s="267"/>
      <c r="K24" s="268"/>
      <c r="L24" s="57"/>
      <c r="M24" s="219"/>
      <c r="N24" s="219"/>
      <c r="O24" s="219"/>
    </row>
    <row r="25" spans="1:15" ht="12">
      <c r="A25" s="222">
        <f t="shared" si="0"/>
        <v>17</v>
      </c>
      <c r="B25" s="271"/>
      <c r="C25" s="272" t="s">
        <v>45</v>
      </c>
      <c r="D25" s="272" t="s">
        <v>46</v>
      </c>
      <c r="E25" s="235" t="s">
        <v>48</v>
      </c>
      <c r="F25" s="235" t="s">
        <v>119</v>
      </c>
      <c r="G25" s="235" t="s">
        <v>137</v>
      </c>
      <c r="H25" s="235" t="s">
        <v>119</v>
      </c>
      <c r="I25" s="235" t="s">
        <v>57</v>
      </c>
      <c r="J25" s="235" t="s">
        <v>58</v>
      </c>
      <c r="K25" s="273"/>
      <c r="L25" s="57"/>
      <c r="M25" s="219"/>
      <c r="N25" s="219"/>
      <c r="O25" s="219"/>
    </row>
    <row r="26" spans="1:15" ht="12">
      <c r="A26" s="222">
        <v>18</v>
      </c>
      <c r="B26" s="228" t="s">
        <v>162</v>
      </c>
      <c r="C26" s="244"/>
      <c r="D26" s="244"/>
      <c r="E26" s="274">
        <f>D26-C26</f>
        <v>0</v>
      </c>
      <c r="F26" s="275">
        <v>650000000</v>
      </c>
      <c r="G26" s="276">
        <f>C13+H32</f>
        <v>0</v>
      </c>
      <c r="H26" s="276">
        <f>F26-G26</f>
        <v>650000000</v>
      </c>
      <c r="I26" s="277">
        <v>1.75E-3</v>
      </c>
      <c r="J26" s="245">
        <f>ROUND(H26*I26*E26/360,4)</f>
        <v>0</v>
      </c>
      <c r="K26" s="268"/>
      <c r="L26" s="57"/>
      <c r="M26" s="219"/>
      <c r="N26" s="219"/>
      <c r="O26" s="219"/>
    </row>
    <row r="27" spans="1:15" ht="12">
      <c r="A27" s="222">
        <f>A26+1</f>
        <v>19</v>
      </c>
      <c r="B27" s="228" t="s">
        <v>186</v>
      </c>
      <c r="C27" s="244">
        <v>43101</v>
      </c>
      <c r="D27" s="244">
        <v>43465</v>
      </c>
      <c r="E27" s="274">
        <f>D27-C27+1</f>
        <v>365</v>
      </c>
      <c r="F27" s="275">
        <v>800000000</v>
      </c>
      <c r="G27" s="276">
        <f>C14+H33</f>
        <v>767123.29</v>
      </c>
      <c r="H27" s="276">
        <f>F27-G27</f>
        <v>799232876.71000004</v>
      </c>
      <c r="I27" s="277">
        <v>1.75E-3</v>
      </c>
      <c r="J27" s="245">
        <f>ROUND(H27*I27*E27/360,4)</f>
        <v>1418083.3333000001</v>
      </c>
      <c r="K27" s="278"/>
      <c r="L27" s="57"/>
      <c r="M27" s="219"/>
      <c r="N27" s="219"/>
      <c r="O27" s="219"/>
    </row>
    <row r="28" spans="1:15" ht="12.75" thickBot="1">
      <c r="A28" s="222">
        <f t="shared" si="0"/>
        <v>20</v>
      </c>
      <c r="B28" s="279" t="s">
        <v>118</v>
      </c>
      <c r="C28" s="280"/>
      <c r="D28" s="238"/>
      <c r="E28" s="274"/>
      <c r="F28" s="281"/>
      <c r="G28" s="237"/>
      <c r="H28" s="237"/>
      <c r="I28" s="238"/>
      <c r="J28" s="282">
        <f>+J26+J27</f>
        <v>1418083.3333000001</v>
      </c>
      <c r="K28" s="278"/>
      <c r="L28" s="57"/>
      <c r="M28" s="219"/>
      <c r="N28" s="219"/>
      <c r="O28" s="219"/>
    </row>
    <row r="29" spans="1:15" ht="12.75" thickTop="1">
      <c r="A29" s="222">
        <f t="shared" si="0"/>
        <v>21</v>
      </c>
      <c r="B29" s="283"/>
      <c r="C29" s="280"/>
      <c r="D29" s="238"/>
      <c r="E29" s="274"/>
      <c r="F29" s="274"/>
      <c r="G29" s="238"/>
      <c r="H29" s="284"/>
      <c r="I29" s="284"/>
      <c r="J29" s="284"/>
      <c r="K29" s="278"/>
      <c r="L29" s="57"/>
      <c r="M29" s="219"/>
      <c r="N29" s="219"/>
      <c r="O29" s="219"/>
    </row>
    <row r="30" spans="1:15" ht="12">
      <c r="A30" s="222">
        <f t="shared" si="0"/>
        <v>22</v>
      </c>
      <c r="B30" s="285" t="s">
        <v>120</v>
      </c>
      <c r="C30" s="280"/>
      <c r="D30" s="237"/>
      <c r="E30" s="237"/>
      <c r="F30" s="235" t="s">
        <v>156</v>
      </c>
      <c r="G30" s="235" t="s">
        <v>48</v>
      </c>
      <c r="H30" s="235" t="s">
        <v>143</v>
      </c>
      <c r="I30" s="238"/>
      <c r="J30" s="284"/>
      <c r="K30" s="278"/>
      <c r="L30" s="57"/>
      <c r="M30" s="219"/>
      <c r="N30" s="219"/>
      <c r="O30" s="219"/>
    </row>
    <row r="31" spans="1:15" ht="12">
      <c r="A31" s="222">
        <f t="shared" si="0"/>
        <v>23</v>
      </c>
      <c r="B31" s="279" t="s">
        <v>144</v>
      </c>
      <c r="C31" s="237"/>
      <c r="D31" s="237"/>
      <c r="E31" s="237"/>
      <c r="F31" s="286" t="s">
        <v>157</v>
      </c>
      <c r="G31" s="287">
        <v>365</v>
      </c>
      <c r="H31" s="239">
        <v>3034247</v>
      </c>
      <c r="I31" s="277">
        <v>0.01</v>
      </c>
      <c r="J31" s="276">
        <f>(I31*H31)*(G31/360)+(12.92*12)</f>
        <v>30918.933194444446</v>
      </c>
      <c r="K31" s="278"/>
      <c r="L31" s="57"/>
      <c r="M31" s="219"/>
      <c r="N31" s="219"/>
      <c r="O31" s="219"/>
    </row>
    <row r="32" spans="1:15" ht="12.75" customHeight="1" thickBot="1">
      <c r="A32" s="222">
        <f>A31+1</f>
        <v>24</v>
      </c>
      <c r="B32" s="279"/>
      <c r="C32" s="237"/>
      <c r="D32" s="237"/>
      <c r="E32" s="237"/>
      <c r="F32" s="286"/>
      <c r="G32" s="287"/>
      <c r="H32" s="239"/>
      <c r="I32" s="277"/>
      <c r="J32" s="288">
        <f>SUM(J31)</f>
        <v>30918.933194444446</v>
      </c>
      <c r="K32" s="268"/>
      <c r="L32" s="57"/>
      <c r="M32" s="219"/>
      <c r="N32" s="219"/>
      <c r="O32" s="219"/>
    </row>
    <row r="33" spans="1:19" ht="12.75" customHeight="1" thickTop="1">
      <c r="A33" s="222">
        <f t="shared" si="0"/>
        <v>25</v>
      </c>
      <c r="B33" s="289" t="s">
        <v>145</v>
      </c>
      <c r="C33" s="237"/>
      <c r="D33" s="237"/>
      <c r="E33" s="290"/>
      <c r="F33" s="275"/>
      <c r="G33" s="274"/>
      <c r="H33" s="267"/>
      <c r="I33" s="267"/>
      <c r="K33" s="268"/>
      <c r="L33" s="57"/>
      <c r="M33" s="219"/>
      <c r="N33" s="219"/>
      <c r="O33" s="219"/>
    </row>
    <row r="34" spans="1:19" ht="12.75" customHeight="1">
      <c r="A34" s="222">
        <f t="shared" si="0"/>
        <v>26</v>
      </c>
      <c r="B34" s="279"/>
      <c r="C34" s="237"/>
      <c r="D34" s="237"/>
      <c r="E34" s="237"/>
      <c r="F34" s="291"/>
      <c r="G34" s="292"/>
      <c r="H34" s="267"/>
      <c r="I34" s="267"/>
      <c r="J34" s="267"/>
      <c r="K34" s="268"/>
      <c r="L34" s="57"/>
      <c r="M34" s="219"/>
      <c r="N34" s="219"/>
      <c r="O34" s="219"/>
    </row>
    <row r="35" spans="1:19" ht="12">
      <c r="A35" s="222">
        <f t="shared" si="0"/>
        <v>27</v>
      </c>
      <c r="B35" s="269"/>
      <c r="C35" s="270"/>
      <c r="D35" s="270"/>
      <c r="E35" s="237"/>
      <c r="F35" s="237"/>
      <c r="G35" s="237"/>
      <c r="H35" s="293"/>
      <c r="I35" s="293"/>
      <c r="J35" s="293"/>
      <c r="K35" s="268"/>
    </row>
    <row r="36" spans="1:19" ht="12.75" thickBot="1">
      <c r="A36" s="222">
        <f t="shared" si="0"/>
        <v>28</v>
      </c>
      <c r="B36" s="294" t="s">
        <v>80</v>
      </c>
      <c r="C36" s="295"/>
      <c r="D36" s="295"/>
      <c r="E36" s="296"/>
      <c r="F36" s="296"/>
      <c r="G36" s="296"/>
      <c r="H36" s="297"/>
      <c r="I36" s="297"/>
      <c r="J36" s="297"/>
      <c r="K36" s="298"/>
      <c r="S36" s="299"/>
    </row>
  </sheetData>
  <mergeCells count="5">
    <mergeCell ref="B23:C23"/>
    <mergeCell ref="B22:C22"/>
    <mergeCell ref="A1:K1"/>
    <mergeCell ref="A2:K2"/>
    <mergeCell ref="A3:K3"/>
  </mergeCells>
  <phoneticPr fontId="13" type="noConversion"/>
  <printOptions horizontalCentered="1"/>
  <pageMargins left="0.25" right="0.25" top="1.25" bottom="0.75" header="0.3" footer="0.3"/>
  <pageSetup orientation="landscape" r:id="rId1"/>
  <headerFooter scaleWithDoc="0" alignWithMargins="0">
    <oddFooter>&amp;R&amp;"Times New Roman,Regular"&amp;12Exh. MDM-3
Page 4 of 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Normal="100" workbookViewId="0">
      <selection activeCell="K13" sqref="K13"/>
    </sheetView>
  </sheetViews>
  <sheetFormatPr defaultColWidth="9.1640625" defaultRowHeight="11.25"/>
  <cols>
    <col min="1" max="1" width="4.83203125" style="103" customWidth="1"/>
    <col min="2" max="2" width="47.5" style="103" customWidth="1"/>
    <col min="3" max="3" width="20.1640625" style="103" bestFit="1" customWidth="1"/>
    <col min="4" max="4" width="12.5" style="103" bestFit="1" customWidth="1"/>
    <col min="5" max="5" width="13.33203125" style="103" bestFit="1" customWidth="1"/>
    <col min="6" max="6" width="19.5" style="103" bestFit="1" customWidth="1"/>
    <col min="7" max="7" width="13.33203125" style="103" bestFit="1" customWidth="1"/>
    <col min="8" max="8" width="19.5" style="103" bestFit="1" customWidth="1"/>
    <col min="9" max="9" width="19" style="103" bestFit="1" customWidth="1"/>
    <col min="10" max="11" width="12" style="299" customWidth="1"/>
    <col min="12" max="16384" width="9.1640625" style="103"/>
  </cols>
  <sheetData>
    <row r="1" spans="1:9" ht="15.75">
      <c r="A1" s="416" t="s">
        <v>43</v>
      </c>
      <c r="B1" s="416"/>
      <c r="C1" s="416"/>
      <c r="D1" s="416"/>
      <c r="E1" s="416"/>
      <c r="F1" s="416"/>
      <c r="G1" s="416"/>
      <c r="H1" s="416"/>
      <c r="I1" s="416"/>
    </row>
    <row r="2" spans="1:9" ht="10.15" customHeight="1">
      <c r="A2" s="417" t="s">
        <v>93</v>
      </c>
      <c r="B2" s="417"/>
      <c r="C2" s="417"/>
      <c r="D2" s="417"/>
      <c r="E2" s="417"/>
      <c r="F2" s="417"/>
      <c r="G2" s="417"/>
      <c r="H2" s="417"/>
      <c r="I2" s="417"/>
    </row>
    <row r="3" spans="1:9" ht="10.15" customHeight="1">
      <c r="A3" s="418" t="str">
        <f>'Pg 1 Summary'!A5</f>
        <v>For The 12 Months Ending December 31, 2018</v>
      </c>
      <c r="B3" s="418"/>
      <c r="C3" s="418"/>
      <c r="D3" s="418"/>
      <c r="E3" s="418"/>
      <c r="F3" s="418"/>
      <c r="G3" s="418"/>
      <c r="H3" s="418"/>
      <c r="I3" s="418"/>
    </row>
    <row r="4" spans="1:9" ht="12">
      <c r="A4" s="57"/>
      <c r="B4" s="220"/>
      <c r="C4" s="219"/>
      <c r="D4" s="219"/>
      <c r="E4" s="219"/>
      <c r="F4" s="219"/>
      <c r="G4" s="219"/>
      <c r="H4" s="219"/>
      <c r="I4" s="219"/>
    </row>
    <row r="5" spans="1:9" ht="12">
      <c r="A5" s="301" t="s">
        <v>3</v>
      </c>
      <c r="B5" s="301" t="s">
        <v>24</v>
      </c>
      <c r="C5" s="301" t="s">
        <v>49</v>
      </c>
      <c r="D5" s="301" t="s">
        <v>61</v>
      </c>
      <c r="E5" s="301" t="s">
        <v>61</v>
      </c>
      <c r="F5" s="301" t="s">
        <v>62</v>
      </c>
      <c r="G5" s="301" t="s">
        <v>63</v>
      </c>
      <c r="H5" s="301" t="s">
        <v>64</v>
      </c>
      <c r="I5" s="301" t="s">
        <v>65</v>
      </c>
    </row>
    <row r="6" spans="1:9" ht="11.25" customHeight="1">
      <c r="A6" s="219"/>
      <c r="B6" s="302"/>
      <c r="C6" s="302"/>
      <c r="D6" s="302"/>
      <c r="E6" s="302"/>
      <c r="F6" s="302"/>
      <c r="G6" s="302"/>
      <c r="H6" s="302"/>
      <c r="I6" s="302"/>
    </row>
    <row r="7" spans="1:9" ht="11.25" customHeight="1">
      <c r="A7" s="222"/>
      <c r="B7" s="303"/>
      <c r="C7" s="304"/>
      <c r="D7" s="304"/>
      <c r="E7" s="304"/>
      <c r="F7" s="304"/>
      <c r="G7" s="304"/>
      <c r="H7" s="304"/>
    </row>
    <row r="8" spans="1:9" ht="11.25" customHeight="1">
      <c r="A8" s="222">
        <v>1</v>
      </c>
      <c r="B8" s="56" t="s">
        <v>7</v>
      </c>
      <c r="C8" s="305" t="s">
        <v>149</v>
      </c>
      <c r="D8" s="305" t="s">
        <v>149</v>
      </c>
      <c r="E8" s="305" t="s">
        <v>164</v>
      </c>
      <c r="F8" s="305" t="s">
        <v>164</v>
      </c>
      <c r="G8" s="305" t="s">
        <v>185</v>
      </c>
      <c r="H8" s="305" t="s">
        <v>164</v>
      </c>
      <c r="I8" s="219"/>
    </row>
    <row r="9" spans="1:9" ht="11.25" customHeight="1">
      <c r="A9" s="222">
        <f>A8+1</f>
        <v>2</v>
      </c>
      <c r="B9" s="56"/>
      <c r="C9" s="306" t="s">
        <v>150</v>
      </c>
      <c r="D9" s="306" t="s">
        <v>168</v>
      </c>
      <c r="E9" s="306" t="s">
        <v>165</v>
      </c>
      <c r="F9" s="306" t="s">
        <v>170</v>
      </c>
      <c r="G9" s="306" t="s">
        <v>165</v>
      </c>
      <c r="H9" s="306" t="s">
        <v>170</v>
      </c>
      <c r="I9" s="307" t="s">
        <v>151</v>
      </c>
    </row>
    <row r="10" spans="1:9" ht="11.25" customHeight="1">
      <c r="A10" s="222">
        <f t="shared" ref="A10:A35" si="0">A9+1</f>
        <v>3</v>
      </c>
      <c r="B10" s="300" t="s">
        <v>134</v>
      </c>
      <c r="C10" s="308" t="s">
        <v>169</v>
      </c>
      <c r="D10" s="308">
        <v>18900423</v>
      </c>
      <c r="E10" s="308">
        <v>18100673</v>
      </c>
      <c r="F10" s="308">
        <v>18900443</v>
      </c>
      <c r="G10" s="308">
        <v>18100683</v>
      </c>
      <c r="H10" s="308">
        <v>18900473</v>
      </c>
      <c r="I10" s="308" t="s">
        <v>152</v>
      </c>
    </row>
    <row r="11" spans="1:9" ht="11.25" customHeight="1">
      <c r="A11" s="222">
        <f t="shared" si="0"/>
        <v>4</v>
      </c>
      <c r="B11" s="300"/>
      <c r="C11" s="309"/>
      <c r="D11" s="309"/>
      <c r="E11" s="219"/>
      <c r="F11" s="219"/>
      <c r="G11" s="219"/>
      <c r="I11" s="219"/>
    </row>
    <row r="12" spans="1:9" ht="12">
      <c r="A12" s="222">
        <f t="shared" si="0"/>
        <v>5</v>
      </c>
      <c r="B12" s="229" t="s">
        <v>59</v>
      </c>
      <c r="C12" s="219"/>
      <c r="D12" s="219"/>
      <c r="E12" s="219"/>
      <c r="F12" s="219"/>
      <c r="G12" s="219"/>
      <c r="H12" s="219"/>
      <c r="I12" s="310"/>
    </row>
    <row r="13" spans="1:9" ht="12">
      <c r="A13" s="222">
        <f t="shared" si="0"/>
        <v>6</v>
      </c>
      <c r="B13" s="311" t="s">
        <v>188</v>
      </c>
      <c r="C13" s="312">
        <f>22343.27+5275.39</f>
        <v>27618.66</v>
      </c>
      <c r="D13" s="312">
        <v>27619.17</v>
      </c>
      <c r="E13" s="312">
        <v>594685.77</v>
      </c>
      <c r="F13" s="312">
        <v>36561.47</v>
      </c>
      <c r="G13" s="312">
        <v>2672991.2599999998</v>
      </c>
      <c r="H13" s="312">
        <v>91643.5</v>
      </c>
      <c r="I13" s="310"/>
    </row>
    <row r="14" spans="1:9" ht="12">
      <c r="A14" s="222">
        <f t="shared" si="0"/>
        <v>7</v>
      </c>
      <c r="B14" s="219"/>
      <c r="C14" s="313"/>
      <c r="D14" s="313"/>
      <c r="E14" s="313"/>
      <c r="F14" s="313"/>
      <c r="G14" s="313"/>
      <c r="H14" s="313"/>
      <c r="I14" s="310"/>
    </row>
    <row r="15" spans="1:9" ht="12">
      <c r="A15" s="222">
        <f t="shared" si="0"/>
        <v>8</v>
      </c>
      <c r="B15" s="314">
        <v>43101</v>
      </c>
      <c r="C15" s="313">
        <f>-22343.27-5275.39</f>
        <v>-27618.66</v>
      </c>
      <c r="D15" s="313">
        <v>-27619.17</v>
      </c>
      <c r="E15" s="313">
        <v>-10211.44</v>
      </c>
      <c r="F15" s="313">
        <v>-2285.1</v>
      </c>
      <c r="G15" s="313">
        <v>-46204.63</v>
      </c>
      <c r="H15" s="313">
        <v>-1580.06</v>
      </c>
      <c r="I15" s="310"/>
    </row>
    <row r="16" spans="1:9" ht="12">
      <c r="A16" s="222">
        <f t="shared" si="0"/>
        <v>9</v>
      </c>
      <c r="B16" s="314">
        <v>43132</v>
      </c>
      <c r="C16" s="313">
        <v>0</v>
      </c>
      <c r="D16" s="313">
        <v>0</v>
      </c>
      <c r="E16" s="313">
        <v>-10211.44</v>
      </c>
      <c r="F16" s="313">
        <v>-2285.1</v>
      </c>
      <c r="G16" s="313">
        <v>-46204.63</v>
      </c>
      <c r="H16" s="313">
        <v>-1580.06</v>
      </c>
      <c r="I16" s="310"/>
    </row>
    <row r="17" spans="1:10" ht="12">
      <c r="A17" s="222">
        <f t="shared" si="0"/>
        <v>10</v>
      </c>
      <c r="B17" s="314">
        <v>43160</v>
      </c>
      <c r="C17" s="313">
        <v>0</v>
      </c>
      <c r="D17" s="313">
        <v>0</v>
      </c>
      <c r="E17" s="313">
        <v>-10211.44</v>
      </c>
      <c r="F17" s="313">
        <v>-2285.1</v>
      </c>
      <c r="G17" s="313">
        <v>-46204.63</v>
      </c>
      <c r="H17" s="313">
        <v>-1580.06</v>
      </c>
      <c r="I17" s="310"/>
    </row>
    <row r="18" spans="1:10" ht="12">
      <c r="A18" s="222">
        <f t="shared" si="0"/>
        <v>11</v>
      </c>
      <c r="B18" s="314">
        <v>43191</v>
      </c>
      <c r="C18" s="313">
        <v>0</v>
      </c>
      <c r="D18" s="313">
        <v>0</v>
      </c>
      <c r="E18" s="313">
        <v>-10211.44</v>
      </c>
      <c r="F18" s="313">
        <v>-2285.1</v>
      </c>
      <c r="G18" s="313">
        <v>-46204.62</v>
      </c>
      <c r="H18" s="313">
        <v>-1580.06</v>
      </c>
      <c r="I18" s="310"/>
    </row>
    <row r="19" spans="1:10" ht="12">
      <c r="A19" s="222">
        <f t="shared" si="0"/>
        <v>12</v>
      </c>
      <c r="B19" s="314">
        <v>43221</v>
      </c>
      <c r="C19" s="313">
        <v>0</v>
      </c>
      <c r="D19" s="313">
        <v>0</v>
      </c>
      <c r="E19" s="313">
        <v>-10211.44</v>
      </c>
      <c r="F19" s="313">
        <v>-2285.1</v>
      </c>
      <c r="G19" s="313">
        <v>-46204.63</v>
      </c>
      <c r="H19" s="313">
        <v>-1580.06</v>
      </c>
      <c r="I19" s="315"/>
      <c r="J19" s="316"/>
    </row>
    <row r="20" spans="1:10" ht="12">
      <c r="A20" s="222">
        <f t="shared" si="0"/>
        <v>13</v>
      </c>
      <c r="B20" s="314">
        <v>43252</v>
      </c>
      <c r="C20" s="313">
        <v>0</v>
      </c>
      <c r="D20" s="313">
        <v>0</v>
      </c>
      <c r="E20" s="313">
        <v>-10211.44</v>
      </c>
      <c r="F20" s="313">
        <v>-2285.1</v>
      </c>
      <c r="G20" s="313">
        <v>-46831.96</v>
      </c>
      <c r="H20" s="313">
        <v>-1580.06</v>
      </c>
      <c r="I20" s="310"/>
    </row>
    <row r="21" spans="1:10" ht="12">
      <c r="A21" s="222">
        <f t="shared" si="0"/>
        <v>14</v>
      </c>
      <c r="B21" s="314">
        <v>43282</v>
      </c>
      <c r="C21" s="313">
        <v>0</v>
      </c>
      <c r="D21" s="313">
        <v>0</v>
      </c>
      <c r="E21" s="313">
        <v>-10211.44</v>
      </c>
      <c r="F21" s="313">
        <v>-2285.1</v>
      </c>
      <c r="G21" s="313">
        <v>-46831.96</v>
      </c>
      <c r="H21" s="313">
        <v>-1580.06</v>
      </c>
      <c r="I21" s="310"/>
    </row>
    <row r="22" spans="1:10" ht="12">
      <c r="A22" s="222">
        <f t="shared" si="0"/>
        <v>15</v>
      </c>
      <c r="B22" s="314">
        <v>43313</v>
      </c>
      <c r="C22" s="313">
        <v>0</v>
      </c>
      <c r="D22" s="313">
        <v>0</v>
      </c>
      <c r="E22" s="313">
        <v>-10211.44</v>
      </c>
      <c r="F22" s="313">
        <v>-2285.1</v>
      </c>
      <c r="G22" s="313">
        <v>-46955.48</v>
      </c>
      <c r="H22" s="313">
        <v>-1580.06</v>
      </c>
      <c r="I22" s="310"/>
    </row>
    <row r="23" spans="1:10" ht="12">
      <c r="A23" s="222">
        <f t="shared" si="0"/>
        <v>16</v>
      </c>
      <c r="B23" s="314">
        <v>43344</v>
      </c>
      <c r="C23" s="313">
        <v>0</v>
      </c>
      <c r="D23" s="313">
        <v>0</v>
      </c>
      <c r="E23" s="313">
        <v>-10211.44</v>
      </c>
      <c r="F23" s="313">
        <v>-2285.1</v>
      </c>
      <c r="G23" s="313">
        <v>-46955.48</v>
      </c>
      <c r="H23" s="313">
        <v>-1580.06</v>
      </c>
      <c r="I23" s="310"/>
    </row>
    <row r="24" spans="1:10" ht="12">
      <c r="A24" s="222">
        <f t="shared" si="0"/>
        <v>17</v>
      </c>
      <c r="B24" s="314">
        <v>43374</v>
      </c>
      <c r="C24" s="313">
        <v>0</v>
      </c>
      <c r="D24" s="313">
        <v>0</v>
      </c>
      <c r="E24" s="313">
        <v>-10211.44</v>
      </c>
      <c r="F24" s="313">
        <v>-2285.1</v>
      </c>
      <c r="G24" s="313">
        <v>-46955.48</v>
      </c>
      <c r="H24" s="313">
        <v>-1580.06</v>
      </c>
      <c r="I24" s="310"/>
    </row>
    <row r="25" spans="1:10" ht="12">
      <c r="A25" s="222">
        <v>18</v>
      </c>
      <c r="B25" s="314">
        <v>43405</v>
      </c>
      <c r="C25" s="313">
        <v>0</v>
      </c>
      <c r="D25" s="313">
        <v>0</v>
      </c>
      <c r="E25" s="313">
        <v>-10211.44</v>
      </c>
      <c r="F25" s="313">
        <v>-2285.1</v>
      </c>
      <c r="G25" s="313">
        <v>-46955.48</v>
      </c>
      <c r="H25" s="313">
        <v>-1580.06</v>
      </c>
      <c r="I25" s="310"/>
    </row>
    <row r="26" spans="1:10" ht="12.75" thickBot="1">
      <c r="A26" s="222">
        <v>19</v>
      </c>
      <c r="B26" s="314">
        <v>43435</v>
      </c>
      <c r="C26" s="313">
        <v>0</v>
      </c>
      <c r="D26" s="313">
        <v>0</v>
      </c>
      <c r="E26" s="313">
        <v>-10211.44</v>
      </c>
      <c r="F26" s="313">
        <v>-2285.1</v>
      </c>
      <c r="G26" s="313">
        <v>-46962.45</v>
      </c>
      <c r="H26" s="313">
        <v>-1580.06</v>
      </c>
      <c r="I26" s="310"/>
    </row>
    <row r="27" spans="1:10" ht="12.75" thickBot="1">
      <c r="A27" s="222">
        <f>A26+1</f>
        <v>20</v>
      </c>
      <c r="B27" s="317" t="s">
        <v>189</v>
      </c>
      <c r="C27" s="318">
        <f t="shared" ref="C27:H27" si="1">SUM(C15:C26)</f>
        <v>-27618.66</v>
      </c>
      <c r="D27" s="318">
        <f t="shared" si="1"/>
        <v>-27619.17</v>
      </c>
      <c r="E27" s="318">
        <f t="shared" si="1"/>
        <v>-122537.28000000001</v>
      </c>
      <c r="F27" s="318">
        <f t="shared" si="1"/>
        <v>-27421.199999999993</v>
      </c>
      <c r="G27" s="318">
        <f t="shared" si="1"/>
        <v>-559471.42999999993</v>
      </c>
      <c r="H27" s="318">
        <f t="shared" si="1"/>
        <v>-18960.719999999998</v>
      </c>
      <c r="I27" s="319">
        <f>SUM(C27:H27)</f>
        <v>-783628.46</v>
      </c>
    </row>
    <row r="28" spans="1:10" ht="12">
      <c r="A28" s="222">
        <f t="shared" si="0"/>
        <v>21</v>
      </c>
      <c r="B28" s="229"/>
      <c r="C28" s="320"/>
      <c r="D28" s="320"/>
      <c r="E28" s="320"/>
      <c r="F28" s="320"/>
      <c r="G28" s="320"/>
      <c r="H28" s="320"/>
      <c r="I28" s="310"/>
    </row>
    <row r="29" spans="1:10" ht="12">
      <c r="A29" s="222">
        <f t="shared" si="0"/>
        <v>22</v>
      </c>
      <c r="B29" s="321" t="s">
        <v>147</v>
      </c>
      <c r="C29" s="313"/>
      <c r="D29" s="313"/>
      <c r="E29" s="313"/>
      <c r="F29" s="313"/>
      <c r="G29" s="313">
        <f>6877+33249+6299.37+327.5</f>
        <v>46752.87</v>
      </c>
      <c r="H29" s="313"/>
      <c r="I29" s="310"/>
    </row>
    <row r="30" spans="1:10" ht="12">
      <c r="A30" s="222">
        <f t="shared" si="0"/>
        <v>23</v>
      </c>
      <c r="B30" s="321" t="s">
        <v>148</v>
      </c>
      <c r="C30" s="313"/>
      <c r="D30" s="313"/>
      <c r="F30" s="313"/>
      <c r="G30" s="313"/>
      <c r="H30" s="313"/>
      <c r="I30" s="310"/>
    </row>
    <row r="31" spans="1:10" ht="12.75" thickBot="1">
      <c r="A31" s="222">
        <f t="shared" si="0"/>
        <v>24</v>
      </c>
      <c r="B31" s="229" t="s">
        <v>60</v>
      </c>
      <c r="C31" s="322">
        <f t="shared" ref="C31:H31" si="2">C13+C27+C29+C30</f>
        <v>0</v>
      </c>
      <c r="D31" s="322">
        <f t="shared" si="2"/>
        <v>0</v>
      </c>
      <c r="E31" s="322">
        <f>E13+E27+E29+E30</f>
        <v>472148.49</v>
      </c>
      <c r="F31" s="322">
        <f t="shared" si="2"/>
        <v>9140.2700000000077</v>
      </c>
      <c r="G31" s="322">
        <f t="shared" si="2"/>
        <v>2160272.7000000002</v>
      </c>
      <c r="H31" s="322">
        <f t="shared" si="2"/>
        <v>72682.78</v>
      </c>
      <c r="I31" s="310"/>
    </row>
    <row r="32" spans="1:10" ht="12.75" thickTop="1">
      <c r="A32" s="222">
        <f t="shared" si="0"/>
        <v>25</v>
      </c>
      <c r="B32" s="323"/>
      <c r="C32" s="219"/>
      <c r="D32" s="219"/>
      <c r="E32" s="219"/>
      <c r="F32" s="219"/>
      <c r="G32" s="219"/>
      <c r="H32" s="219"/>
      <c r="I32" s="219"/>
    </row>
    <row r="33" spans="1:10" ht="12">
      <c r="A33" s="222">
        <f t="shared" si="0"/>
        <v>26</v>
      </c>
      <c r="B33" s="220" t="s">
        <v>180</v>
      </c>
      <c r="C33" s="315"/>
      <c r="D33" s="315"/>
      <c r="E33" s="315"/>
      <c r="F33" s="315"/>
      <c r="G33" s="315"/>
      <c r="H33" s="315"/>
      <c r="I33" s="219">
        <f>'Pg 1 Summary'!C30</f>
        <v>7860865544</v>
      </c>
    </row>
    <row r="34" spans="1:10" ht="12">
      <c r="A34" s="222">
        <f t="shared" si="0"/>
        <v>27</v>
      </c>
      <c r="B34" s="219"/>
      <c r="C34" s="324"/>
      <c r="D34" s="324"/>
      <c r="E34" s="324"/>
      <c r="F34" s="324"/>
      <c r="G34" s="324"/>
      <c r="H34" s="324"/>
      <c r="I34" s="219"/>
    </row>
    <row r="35" spans="1:10" ht="12">
      <c r="A35" s="222">
        <f t="shared" si="0"/>
        <v>28</v>
      </c>
      <c r="B35" s="220" t="s">
        <v>181</v>
      </c>
      <c r="C35" s="219"/>
      <c r="D35" s="219"/>
      <c r="E35" s="219"/>
      <c r="F35" s="219"/>
      <c r="G35" s="219"/>
      <c r="H35" s="219"/>
      <c r="I35" s="77">
        <f>ROUND(-I27/I33,4)</f>
        <v>1E-4</v>
      </c>
      <c r="J35" s="325"/>
    </row>
    <row r="36" spans="1:10">
      <c r="A36" s="222"/>
    </row>
    <row r="37" spans="1:10">
      <c r="A37" s="222"/>
    </row>
    <row r="38" spans="1:10">
      <c r="A38" s="222"/>
      <c r="B38" s="326"/>
    </row>
    <row r="39" spans="1:10">
      <c r="A39" s="222"/>
    </row>
    <row r="40" spans="1:10">
      <c r="A40" s="222"/>
    </row>
    <row r="41" spans="1:10">
      <c r="A41" s="222"/>
    </row>
    <row r="42" spans="1:10">
      <c r="A42" s="222"/>
    </row>
    <row r="43" spans="1:10">
      <c r="A43" s="222"/>
    </row>
    <row r="44" spans="1:10">
      <c r="A44" s="222"/>
    </row>
    <row r="45" spans="1:10">
      <c r="A45" s="222"/>
    </row>
    <row r="46" spans="1:10">
      <c r="A46" s="222"/>
      <c r="B46" s="327"/>
    </row>
    <row r="47" spans="1:10">
      <c r="A47" s="222"/>
    </row>
    <row r="48" spans="1:10">
      <c r="A48" s="222"/>
    </row>
    <row r="49" spans="1:2">
      <c r="A49" s="222"/>
    </row>
    <row r="50" spans="1:2">
      <c r="A50" s="222"/>
    </row>
    <row r="51" spans="1:2">
      <c r="A51" s="222"/>
    </row>
    <row r="52" spans="1:2">
      <c r="A52" s="222"/>
    </row>
    <row r="53" spans="1:2">
      <c r="A53" s="222"/>
      <c r="B53" s="328"/>
    </row>
    <row r="54" spans="1:2">
      <c r="A54" s="222"/>
      <c r="B54" s="328"/>
    </row>
    <row r="55" spans="1:2">
      <c r="A55" s="222"/>
      <c r="B55" s="327"/>
    </row>
  </sheetData>
  <mergeCells count="3">
    <mergeCell ref="A1:I1"/>
    <mergeCell ref="A2:I2"/>
    <mergeCell ref="A3:I3"/>
  </mergeCells>
  <phoneticPr fontId="13" type="noConversion"/>
  <printOptions horizontalCentered="1"/>
  <pageMargins left="0.25" right="0.25" top="1.25" bottom="0.75" header="0.3" footer="0.3"/>
  <pageSetup orientation="landscape" r:id="rId1"/>
  <headerFooter scaleWithDoc="0" alignWithMargins="0">
    <oddFooter>&amp;R&amp;"Times New Roman,Regular"&amp;12Exh. MDM-3
Page 5 of 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C167"/>
  <sheetViews>
    <sheetView zoomScaleNormal="100" workbookViewId="0">
      <pane xSplit="5" ySplit="6" topLeftCell="F7" activePane="bottomRight" state="frozen"/>
      <selection activeCell="I9" sqref="I9"/>
      <selection pane="topRight" activeCell="I9" sqref="I9"/>
      <selection pane="bottomLeft" activeCell="I9" sqref="I9"/>
      <selection pane="bottomRight" activeCell="F32" sqref="F32"/>
    </sheetView>
  </sheetViews>
  <sheetFormatPr defaultColWidth="8.83203125" defaultRowHeight="12.75" outlineLevelCol="1"/>
  <cols>
    <col min="1" max="1" width="5.6640625" style="25" bestFit="1" customWidth="1"/>
    <col min="2" max="2" width="7" style="23" customWidth="1"/>
    <col min="3" max="3" width="8.33203125" style="23" customWidth="1"/>
    <col min="4" max="5" width="7.1640625" style="23" customWidth="1"/>
    <col min="6" max="6" width="10" style="26" customWidth="1"/>
    <col min="7" max="7" width="9.83203125" style="23" customWidth="1"/>
    <col min="8" max="8" width="8" style="23" customWidth="1"/>
    <col min="9" max="9" width="7.83203125" style="26" customWidth="1"/>
    <col min="10" max="11" width="9.1640625" style="23" customWidth="1"/>
    <col min="12" max="12" width="9.83203125" style="23" customWidth="1"/>
    <col min="13" max="13" width="9.1640625" style="23" customWidth="1"/>
    <col min="14" max="14" width="9.83203125" style="23" customWidth="1"/>
    <col min="15" max="23" width="8.83203125" style="23" customWidth="1"/>
    <col min="24" max="24" width="8.83203125" style="23" customWidth="1" outlineLevel="1"/>
    <col min="25" max="25" width="12.33203125" style="23" customWidth="1" outlineLevel="1"/>
    <col min="26" max="26" width="14.6640625" style="23" customWidth="1" outlineLevel="1"/>
    <col min="27" max="27" width="12.6640625" style="23" customWidth="1"/>
    <col min="28" max="28" width="8.83203125" style="23"/>
    <col min="29" max="30" width="10.83203125" style="23" bestFit="1" customWidth="1"/>
    <col min="31" max="16384" width="8.83203125" style="23"/>
  </cols>
  <sheetData>
    <row r="1" spans="1:25" ht="12.75" customHeight="1">
      <c r="A1" s="419" t="s">
        <v>195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</row>
    <row r="2" spans="1:25" ht="12.75" customHeight="1">
      <c r="A2" s="419" t="s">
        <v>198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</row>
    <row r="3" spans="1:25" s="46" customFormat="1" ht="12.75" customHeight="1">
      <c r="A3" s="420" t="str">
        <f>'Pg 1 Summary'!A5</f>
        <v>For The 12 Months Ending December 31, 2018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</row>
    <row r="4" spans="1:25" s="46" customFormat="1" ht="12.75" customHeight="1">
      <c r="A4" s="329"/>
      <c r="B4" s="330"/>
      <c r="C4" s="330"/>
      <c r="D4" s="330"/>
      <c r="E4" s="331"/>
      <c r="F4" s="330"/>
      <c r="G4" s="332"/>
      <c r="H4" s="331"/>
      <c r="I4" s="330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5" ht="11.1" customHeight="1">
      <c r="A5" s="333" t="s">
        <v>3</v>
      </c>
      <c r="B5" s="333" t="s">
        <v>24</v>
      </c>
      <c r="C5" s="333" t="s">
        <v>49</v>
      </c>
      <c r="D5" s="333" t="s">
        <v>61</v>
      </c>
      <c r="E5" s="333" t="s">
        <v>62</v>
      </c>
      <c r="F5" s="333" t="s">
        <v>63</v>
      </c>
      <c r="G5" s="333" t="s">
        <v>64</v>
      </c>
      <c r="H5" s="333" t="s">
        <v>65</v>
      </c>
      <c r="I5" s="333" t="s">
        <v>66</v>
      </c>
      <c r="J5" s="333" t="s">
        <v>65</v>
      </c>
      <c r="K5" s="333" t="s">
        <v>66</v>
      </c>
      <c r="L5" s="333" t="s">
        <v>65</v>
      </c>
      <c r="M5" s="333" t="s">
        <v>66</v>
      </c>
      <c r="N5" s="333" t="s">
        <v>65</v>
      </c>
      <c r="O5" s="333" t="s">
        <v>66</v>
      </c>
      <c r="P5" s="333" t="s">
        <v>65</v>
      </c>
      <c r="Q5" s="333" t="s">
        <v>66</v>
      </c>
      <c r="R5" s="333" t="s">
        <v>65</v>
      </c>
      <c r="S5" s="333" t="s">
        <v>66</v>
      </c>
      <c r="T5" s="333" t="s">
        <v>65</v>
      </c>
      <c r="U5" s="333" t="s">
        <v>66</v>
      </c>
      <c r="V5" s="333" t="s">
        <v>65</v>
      </c>
      <c r="W5" s="333"/>
      <c r="X5" s="334" t="s">
        <v>158</v>
      </c>
    </row>
    <row r="6" spans="1:25" ht="32.25">
      <c r="A6" s="335">
        <v>1</v>
      </c>
      <c r="B6" s="336" t="s">
        <v>115</v>
      </c>
      <c r="C6" s="336" t="s">
        <v>88</v>
      </c>
      <c r="D6" s="336" t="s">
        <v>54</v>
      </c>
      <c r="E6" s="336" t="s">
        <v>92</v>
      </c>
      <c r="F6" s="336" t="s">
        <v>105</v>
      </c>
      <c r="G6" s="336" t="s">
        <v>81</v>
      </c>
      <c r="H6" s="336" t="s">
        <v>83</v>
      </c>
      <c r="I6" s="336" t="s">
        <v>77</v>
      </c>
      <c r="J6" s="337">
        <f>'Pg 2 CapStructure'!C6</f>
        <v>43100</v>
      </c>
      <c r="K6" s="337">
        <f>'Pg 2 CapStructure'!D6</f>
        <v>43131</v>
      </c>
      <c r="L6" s="337">
        <f>'Pg 2 CapStructure'!E6</f>
        <v>43159</v>
      </c>
      <c r="M6" s="337">
        <f>'Pg 2 CapStructure'!F6</f>
        <v>43190</v>
      </c>
      <c r="N6" s="337">
        <f>'Pg 2 CapStructure'!G6</f>
        <v>43220</v>
      </c>
      <c r="O6" s="337">
        <f>'Pg 2 CapStructure'!H6</f>
        <v>43251</v>
      </c>
      <c r="P6" s="337">
        <f>'Pg 2 CapStructure'!I6</f>
        <v>43281</v>
      </c>
      <c r="Q6" s="337">
        <f>'Pg 2 CapStructure'!J6</f>
        <v>43312</v>
      </c>
      <c r="R6" s="337">
        <f>'Pg 2 CapStructure'!K6</f>
        <v>43343</v>
      </c>
      <c r="S6" s="337">
        <f>'Pg 2 CapStructure'!L6</f>
        <v>43373</v>
      </c>
      <c r="T6" s="337">
        <f>'Pg 2 CapStructure'!M6</f>
        <v>43404</v>
      </c>
      <c r="U6" s="337">
        <f>'Pg 2 CapStructure'!N6</f>
        <v>43434</v>
      </c>
      <c r="V6" s="337">
        <f>'Pg 2 CapStructure'!O6</f>
        <v>43465</v>
      </c>
      <c r="W6" s="337"/>
      <c r="X6" s="338" t="s">
        <v>35</v>
      </c>
      <c r="Y6" s="338" t="s">
        <v>159</v>
      </c>
    </row>
    <row r="7" spans="1:25" s="27" customFormat="1">
      <c r="A7" s="339">
        <v>6</v>
      </c>
      <c r="B7" s="340" t="s">
        <v>19</v>
      </c>
      <c r="C7" s="341">
        <v>6.7400000000000002E-2</v>
      </c>
      <c r="D7" s="342">
        <v>35961</v>
      </c>
      <c r="E7" s="342">
        <v>43266</v>
      </c>
      <c r="F7" s="343">
        <f>ROUND(((J7+V7)+(SUM(K7:U7)*2))/24,0)</f>
        <v>91666667</v>
      </c>
      <c r="G7" s="344">
        <v>98.98509159000001</v>
      </c>
      <c r="H7" s="345">
        <f t="shared" ref="H7:H11" si="0">ROUND(YIELD(D7,E7,C7,G7,100,2,2),4)</f>
        <v>6.83E-2</v>
      </c>
      <c r="I7" s="343">
        <f>ROUND(+H7*F7,0)</f>
        <v>6260833</v>
      </c>
      <c r="J7" s="343">
        <v>200000000</v>
      </c>
      <c r="K7" s="343">
        <v>200000000</v>
      </c>
      <c r="L7" s="343">
        <v>200000000</v>
      </c>
      <c r="M7" s="343">
        <v>200000000</v>
      </c>
      <c r="N7" s="343">
        <v>200000000</v>
      </c>
      <c r="O7" s="343">
        <v>200000000</v>
      </c>
      <c r="P7" s="343"/>
      <c r="Q7" s="343"/>
      <c r="R7" s="343"/>
      <c r="S7" s="343">
        <v>0</v>
      </c>
      <c r="T7" s="343"/>
      <c r="U7" s="343"/>
      <c r="V7" s="343"/>
      <c r="W7" s="343"/>
      <c r="X7" s="343">
        <f t="shared" ref="X7:X24" si="1">H7*S7</f>
        <v>0</v>
      </c>
    </row>
    <row r="8" spans="1:25" s="28" customFormat="1">
      <c r="A8" s="335">
        <v>7</v>
      </c>
      <c r="B8" s="340" t="s">
        <v>21</v>
      </c>
      <c r="C8" s="341">
        <v>7.1499999999999994E-2</v>
      </c>
      <c r="D8" s="342">
        <v>35053</v>
      </c>
      <c r="E8" s="342">
        <v>46010</v>
      </c>
      <c r="F8" s="343">
        <f t="shared" ref="F8:F24" si="2">ROUND(((J8+V8)+(SUM(K8:U8)*2))/24,0)</f>
        <v>15000000</v>
      </c>
      <c r="G8" s="344">
        <v>99.211911999999998</v>
      </c>
      <c r="H8" s="345">
        <f t="shared" si="0"/>
        <v>7.2099999999999997E-2</v>
      </c>
      <c r="I8" s="343">
        <f t="shared" ref="I8:I11" si="3">ROUND(+H8*F8,0)</f>
        <v>1081500</v>
      </c>
      <c r="J8" s="343">
        <v>15000000</v>
      </c>
      <c r="K8" s="343">
        <v>15000000</v>
      </c>
      <c r="L8" s="343">
        <v>15000000</v>
      </c>
      <c r="M8" s="343">
        <v>15000000</v>
      </c>
      <c r="N8" s="343">
        <v>15000000</v>
      </c>
      <c r="O8" s="343">
        <v>15000000</v>
      </c>
      <c r="P8" s="343">
        <v>15000000</v>
      </c>
      <c r="Q8" s="343">
        <v>15000000</v>
      </c>
      <c r="R8" s="343">
        <v>15000000</v>
      </c>
      <c r="S8" s="343">
        <v>15000000</v>
      </c>
      <c r="T8" s="343">
        <v>15000000</v>
      </c>
      <c r="U8" s="343">
        <v>15000000</v>
      </c>
      <c r="V8" s="343">
        <v>15000000</v>
      </c>
      <c r="W8" s="343"/>
      <c r="X8" s="343">
        <f t="shared" si="1"/>
        <v>1081500</v>
      </c>
      <c r="Y8" s="27"/>
    </row>
    <row r="9" spans="1:25" s="28" customFormat="1">
      <c r="A9" s="339">
        <v>8</v>
      </c>
      <c r="B9" s="340" t="s">
        <v>21</v>
      </c>
      <c r="C9" s="341">
        <v>7.1999999999999995E-2</v>
      </c>
      <c r="D9" s="342">
        <v>35054</v>
      </c>
      <c r="E9" s="342">
        <v>46013</v>
      </c>
      <c r="F9" s="343">
        <f t="shared" si="2"/>
        <v>2000000</v>
      </c>
      <c r="G9" s="344">
        <v>99.211600000000004</v>
      </c>
      <c r="H9" s="345">
        <f t="shared" si="0"/>
        <v>7.2599999999999998E-2</v>
      </c>
      <c r="I9" s="343">
        <f t="shared" si="3"/>
        <v>145200</v>
      </c>
      <c r="J9" s="343">
        <v>2000000</v>
      </c>
      <c r="K9" s="343">
        <v>2000000</v>
      </c>
      <c r="L9" s="343">
        <v>2000000</v>
      </c>
      <c r="M9" s="343">
        <v>2000000</v>
      </c>
      <c r="N9" s="343">
        <v>2000000</v>
      </c>
      <c r="O9" s="343">
        <v>2000000</v>
      </c>
      <c r="P9" s="343">
        <v>2000000</v>
      </c>
      <c r="Q9" s="343">
        <v>2000000</v>
      </c>
      <c r="R9" s="343">
        <v>2000000</v>
      </c>
      <c r="S9" s="343">
        <v>2000000</v>
      </c>
      <c r="T9" s="343">
        <v>2000000</v>
      </c>
      <c r="U9" s="343">
        <v>2000000</v>
      </c>
      <c r="V9" s="343">
        <v>2000000</v>
      </c>
      <c r="W9" s="343"/>
      <c r="X9" s="343">
        <f t="shared" si="1"/>
        <v>145200</v>
      </c>
    </row>
    <row r="10" spans="1:25" s="28" customFormat="1">
      <c r="A10" s="335">
        <v>9</v>
      </c>
      <c r="B10" s="340" t="s">
        <v>19</v>
      </c>
      <c r="C10" s="341">
        <v>7.0199999999999999E-2</v>
      </c>
      <c r="D10" s="342">
        <v>35786</v>
      </c>
      <c r="E10" s="342">
        <v>46722</v>
      </c>
      <c r="F10" s="343">
        <f t="shared" si="2"/>
        <v>300000000</v>
      </c>
      <c r="G10" s="344">
        <v>98.985735776666658</v>
      </c>
      <c r="H10" s="345">
        <f t="shared" si="0"/>
        <v>7.0999999999999994E-2</v>
      </c>
      <c r="I10" s="343">
        <f t="shared" si="3"/>
        <v>21300000</v>
      </c>
      <c r="J10" s="343">
        <v>300000000</v>
      </c>
      <c r="K10" s="343">
        <v>300000000</v>
      </c>
      <c r="L10" s="343">
        <v>300000000</v>
      </c>
      <c r="M10" s="343">
        <v>300000000</v>
      </c>
      <c r="N10" s="343">
        <v>300000000</v>
      </c>
      <c r="O10" s="343">
        <v>300000000</v>
      </c>
      <c r="P10" s="343">
        <v>300000000</v>
      </c>
      <c r="Q10" s="343">
        <v>300000000</v>
      </c>
      <c r="R10" s="343">
        <v>300000000</v>
      </c>
      <c r="S10" s="343">
        <v>300000000</v>
      </c>
      <c r="T10" s="343">
        <v>300000000</v>
      </c>
      <c r="U10" s="343">
        <v>300000000</v>
      </c>
      <c r="V10" s="343">
        <v>300000000</v>
      </c>
      <c r="W10" s="343"/>
      <c r="X10" s="343">
        <f t="shared" si="1"/>
        <v>21299999.999999996</v>
      </c>
    </row>
    <row r="11" spans="1:25">
      <c r="A11" s="339">
        <v>10</v>
      </c>
      <c r="B11" s="340" t="s">
        <v>20</v>
      </c>
      <c r="C11" s="341">
        <v>7.0000000000000007E-2</v>
      </c>
      <c r="D11" s="342">
        <v>36228</v>
      </c>
      <c r="E11" s="342">
        <v>47186</v>
      </c>
      <c r="F11" s="343">
        <f t="shared" si="2"/>
        <v>100000000</v>
      </c>
      <c r="G11" s="344">
        <v>99.042870549999989</v>
      </c>
      <c r="H11" s="345">
        <f t="shared" si="0"/>
        <v>7.0800000000000002E-2</v>
      </c>
      <c r="I11" s="343">
        <f t="shared" si="3"/>
        <v>7080000</v>
      </c>
      <c r="J11" s="343">
        <v>100000000</v>
      </c>
      <c r="K11" s="343">
        <v>100000000</v>
      </c>
      <c r="L11" s="343">
        <v>100000000</v>
      </c>
      <c r="M11" s="343">
        <v>100000000</v>
      </c>
      <c r="N11" s="343">
        <v>100000000</v>
      </c>
      <c r="O11" s="343">
        <v>100000000</v>
      </c>
      <c r="P11" s="343">
        <v>100000000</v>
      </c>
      <c r="Q11" s="343">
        <v>100000000</v>
      </c>
      <c r="R11" s="343">
        <v>100000000</v>
      </c>
      <c r="S11" s="343">
        <v>100000000</v>
      </c>
      <c r="T11" s="343">
        <v>100000000</v>
      </c>
      <c r="U11" s="343">
        <v>100000000</v>
      </c>
      <c r="V11" s="343">
        <v>100000000</v>
      </c>
      <c r="W11" s="343"/>
      <c r="X11" s="343">
        <f t="shared" si="1"/>
        <v>7080000</v>
      </c>
      <c r="Y11" s="28"/>
    </row>
    <row r="12" spans="1:25">
      <c r="A12" s="335">
        <v>11</v>
      </c>
      <c r="B12" s="346" t="s">
        <v>22</v>
      </c>
      <c r="C12" s="341">
        <v>3.9E-2</v>
      </c>
      <c r="D12" s="347">
        <v>41417</v>
      </c>
      <c r="E12" s="348">
        <v>47908</v>
      </c>
      <c r="F12" s="343">
        <f t="shared" si="2"/>
        <v>138460000</v>
      </c>
      <c r="G12" s="344">
        <v>98.939099999999996</v>
      </c>
      <c r="H12" s="345">
        <f t="shared" ref="H12:H25" si="4">ROUND(YIELD(D12,E12,C12,G12,100,2,2),4)</f>
        <v>3.9800000000000002E-2</v>
      </c>
      <c r="I12" s="343">
        <f t="shared" ref="I12:I25" si="5">ROUND(+H12*F12,0)</f>
        <v>5510708</v>
      </c>
      <c r="J12" s="343">
        <v>138460000</v>
      </c>
      <c r="K12" s="343">
        <v>138460000</v>
      </c>
      <c r="L12" s="343">
        <v>138460000</v>
      </c>
      <c r="M12" s="343">
        <v>138460000</v>
      </c>
      <c r="N12" s="343">
        <v>138460000</v>
      </c>
      <c r="O12" s="343">
        <v>138460000</v>
      </c>
      <c r="P12" s="343">
        <v>138460000</v>
      </c>
      <c r="Q12" s="343">
        <v>138460000</v>
      </c>
      <c r="R12" s="343">
        <v>138460000</v>
      </c>
      <c r="S12" s="343">
        <v>138460000</v>
      </c>
      <c r="T12" s="343">
        <v>138460000</v>
      </c>
      <c r="U12" s="343">
        <v>138460000</v>
      </c>
      <c r="V12" s="343">
        <v>138460000</v>
      </c>
      <c r="W12" s="343"/>
      <c r="X12" s="343">
        <f t="shared" si="1"/>
        <v>5510708</v>
      </c>
    </row>
    <row r="13" spans="1:25">
      <c r="A13" s="339">
        <v>12</v>
      </c>
      <c r="B13" s="346" t="s">
        <v>22</v>
      </c>
      <c r="C13" s="341">
        <v>0.04</v>
      </c>
      <c r="D13" s="347">
        <v>41417</v>
      </c>
      <c r="E13" s="348">
        <v>47908</v>
      </c>
      <c r="F13" s="343">
        <f t="shared" si="2"/>
        <v>23400000</v>
      </c>
      <c r="G13" s="344">
        <v>98.939099999999996</v>
      </c>
      <c r="H13" s="345">
        <f t="shared" si="4"/>
        <v>4.0800000000000003E-2</v>
      </c>
      <c r="I13" s="343">
        <f t="shared" si="5"/>
        <v>954720</v>
      </c>
      <c r="J13" s="343">
        <v>23400000</v>
      </c>
      <c r="K13" s="343">
        <v>23400000</v>
      </c>
      <c r="L13" s="343">
        <v>23400000</v>
      </c>
      <c r="M13" s="343">
        <v>23400000</v>
      </c>
      <c r="N13" s="343">
        <v>23400000</v>
      </c>
      <c r="O13" s="343">
        <v>23400000</v>
      </c>
      <c r="P13" s="343">
        <v>23400000</v>
      </c>
      <c r="Q13" s="343">
        <v>23400000</v>
      </c>
      <c r="R13" s="343">
        <v>23400000</v>
      </c>
      <c r="S13" s="343">
        <v>23400000</v>
      </c>
      <c r="T13" s="343">
        <v>23400000</v>
      </c>
      <c r="U13" s="343">
        <v>23400000</v>
      </c>
      <c r="V13" s="343">
        <v>23400000</v>
      </c>
      <c r="W13" s="343"/>
      <c r="X13" s="343">
        <f t="shared" si="1"/>
        <v>954720.00000000012</v>
      </c>
    </row>
    <row r="14" spans="1:25">
      <c r="A14" s="335">
        <v>13</v>
      </c>
      <c r="B14" s="340" t="s">
        <v>84</v>
      </c>
      <c r="C14" s="341">
        <v>5.4829999999999997E-2</v>
      </c>
      <c r="D14" s="342">
        <v>38499</v>
      </c>
      <c r="E14" s="342">
        <v>49461</v>
      </c>
      <c r="F14" s="343">
        <f t="shared" si="2"/>
        <v>250000000</v>
      </c>
      <c r="G14" s="344">
        <v>84.886606835999999</v>
      </c>
      <c r="H14" s="345">
        <f t="shared" si="4"/>
        <v>6.6500000000000004E-2</v>
      </c>
      <c r="I14" s="154">
        <f t="shared" si="5"/>
        <v>16625000</v>
      </c>
      <c r="J14" s="154">
        <v>250000000</v>
      </c>
      <c r="K14" s="154">
        <v>250000000</v>
      </c>
      <c r="L14" s="154">
        <v>250000000</v>
      </c>
      <c r="M14" s="154">
        <v>250000000</v>
      </c>
      <c r="N14" s="154">
        <v>250000000</v>
      </c>
      <c r="O14" s="154">
        <v>250000000</v>
      </c>
      <c r="P14" s="154">
        <v>250000000</v>
      </c>
      <c r="Q14" s="154">
        <v>250000000</v>
      </c>
      <c r="R14" s="154">
        <v>250000000</v>
      </c>
      <c r="S14" s="154">
        <v>250000000</v>
      </c>
      <c r="T14" s="154">
        <v>250000000</v>
      </c>
      <c r="U14" s="154">
        <v>250000000</v>
      </c>
      <c r="V14" s="154">
        <v>250000000</v>
      </c>
      <c r="W14" s="154"/>
      <c r="X14" s="343">
        <f t="shared" si="1"/>
        <v>16625000</v>
      </c>
    </row>
    <row r="15" spans="1:25">
      <c r="A15" s="339">
        <v>14</v>
      </c>
      <c r="B15" s="340" t="s">
        <v>84</v>
      </c>
      <c r="C15" s="341">
        <v>6.7239999999999994E-2</v>
      </c>
      <c r="D15" s="342">
        <v>38898</v>
      </c>
      <c r="E15" s="342">
        <v>49841</v>
      </c>
      <c r="F15" s="343">
        <f t="shared" si="2"/>
        <v>250000000</v>
      </c>
      <c r="G15" s="344">
        <v>107.515271756</v>
      </c>
      <c r="H15" s="345">
        <f t="shared" si="4"/>
        <v>6.1699999999999998E-2</v>
      </c>
      <c r="I15" s="154">
        <f t="shared" si="5"/>
        <v>15425000</v>
      </c>
      <c r="J15" s="154">
        <v>250000000</v>
      </c>
      <c r="K15" s="154">
        <v>250000000</v>
      </c>
      <c r="L15" s="154">
        <v>250000000</v>
      </c>
      <c r="M15" s="154">
        <v>250000000</v>
      </c>
      <c r="N15" s="154">
        <v>250000000</v>
      </c>
      <c r="O15" s="154">
        <v>250000000</v>
      </c>
      <c r="P15" s="154">
        <v>250000000</v>
      </c>
      <c r="Q15" s="154">
        <v>250000000</v>
      </c>
      <c r="R15" s="154">
        <v>250000000</v>
      </c>
      <c r="S15" s="154">
        <v>250000000</v>
      </c>
      <c r="T15" s="154">
        <v>250000000</v>
      </c>
      <c r="U15" s="154">
        <v>250000000</v>
      </c>
      <c r="V15" s="154">
        <v>250000000</v>
      </c>
      <c r="W15" s="154"/>
      <c r="X15" s="343">
        <f t="shared" si="1"/>
        <v>15425000</v>
      </c>
    </row>
    <row r="16" spans="1:25">
      <c r="A16" s="335">
        <v>15</v>
      </c>
      <c r="B16" s="340" t="s">
        <v>84</v>
      </c>
      <c r="C16" s="341">
        <v>6.2740000000000004E-2</v>
      </c>
      <c r="D16" s="342">
        <v>38978</v>
      </c>
      <c r="E16" s="342">
        <v>50114</v>
      </c>
      <c r="F16" s="343">
        <f t="shared" si="2"/>
        <v>300000000</v>
      </c>
      <c r="G16" s="344">
        <v>98.812700000000007</v>
      </c>
      <c r="H16" s="345">
        <f t="shared" si="4"/>
        <v>6.3600000000000004E-2</v>
      </c>
      <c r="I16" s="154">
        <f t="shared" si="5"/>
        <v>19080000</v>
      </c>
      <c r="J16" s="154">
        <v>300000000</v>
      </c>
      <c r="K16" s="154">
        <v>300000000</v>
      </c>
      <c r="L16" s="154">
        <v>300000000</v>
      </c>
      <c r="M16" s="154">
        <v>300000000</v>
      </c>
      <c r="N16" s="154">
        <v>300000000</v>
      </c>
      <c r="O16" s="154">
        <v>300000000</v>
      </c>
      <c r="P16" s="154">
        <v>300000000</v>
      </c>
      <c r="Q16" s="154">
        <v>300000000</v>
      </c>
      <c r="R16" s="154">
        <v>300000000</v>
      </c>
      <c r="S16" s="154">
        <v>300000000</v>
      </c>
      <c r="T16" s="154">
        <v>300000000</v>
      </c>
      <c r="U16" s="154">
        <v>300000000</v>
      </c>
      <c r="V16" s="154">
        <v>300000000</v>
      </c>
      <c r="W16" s="154"/>
      <c r="X16" s="343">
        <f t="shared" si="1"/>
        <v>19080000</v>
      </c>
    </row>
    <row r="17" spans="1:25">
      <c r="A17" s="339">
        <v>16</v>
      </c>
      <c r="B17" s="340" t="s">
        <v>84</v>
      </c>
      <c r="C17" s="341">
        <v>5.7570000000000003E-2</v>
      </c>
      <c r="D17" s="342">
        <v>40067</v>
      </c>
      <c r="E17" s="342">
        <v>51058</v>
      </c>
      <c r="F17" s="343">
        <f t="shared" si="2"/>
        <v>350000000</v>
      </c>
      <c r="G17" s="344">
        <v>98.983599999999996</v>
      </c>
      <c r="H17" s="345">
        <f t="shared" si="4"/>
        <v>5.8299999999999998E-2</v>
      </c>
      <c r="I17" s="154">
        <f t="shared" si="5"/>
        <v>20405000</v>
      </c>
      <c r="J17" s="154">
        <v>350000000</v>
      </c>
      <c r="K17" s="154">
        <v>350000000</v>
      </c>
      <c r="L17" s="154">
        <v>350000000</v>
      </c>
      <c r="M17" s="154">
        <v>350000000</v>
      </c>
      <c r="N17" s="154">
        <v>350000000</v>
      </c>
      <c r="O17" s="154">
        <v>350000000</v>
      </c>
      <c r="P17" s="154">
        <v>350000000</v>
      </c>
      <c r="Q17" s="154">
        <v>350000000</v>
      </c>
      <c r="R17" s="154">
        <v>350000000</v>
      </c>
      <c r="S17" s="154">
        <v>350000000</v>
      </c>
      <c r="T17" s="154">
        <v>350000000</v>
      </c>
      <c r="U17" s="154">
        <v>350000000</v>
      </c>
      <c r="V17" s="154">
        <v>350000000</v>
      </c>
      <c r="W17" s="154"/>
      <c r="X17" s="343">
        <f t="shared" si="1"/>
        <v>20405000</v>
      </c>
    </row>
    <row r="18" spans="1:25">
      <c r="A18" s="335">
        <v>17</v>
      </c>
      <c r="B18" s="340" t="s">
        <v>84</v>
      </c>
      <c r="C18" s="341">
        <v>5.7950000000000002E-2</v>
      </c>
      <c r="D18" s="342">
        <v>40245</v>
      </c>
      <c r="E18" s="342">
        <v>51210</v>
      </c>
      <c r="F18" s="343">
        <f t="shared" si="2"/>
        <v>325000000</v>
      </c>
      <c r="G18" s="344">
        <v>98.958799999999997</v>
      </c>
      <c r="H18" s="345">
        <f t="shared" si="4"/>
        <v>5.8700000000000002E-2</v>
      </c>
      <c r="I18" s="154">
        <f t="shared" si="5"/>
        <v>19077500</v>
      </c>
      <c r="J18" s="154">
        <v>325000000</v>
      </c>
      <c r="K18" s="154">
        <v>325000000</v>
      </c>
      <c r="L18" s="154">
        <v>325000000</v>
      </c>
      <c r="M18" s="154">
        <v>325000000</v>
      </c>
      <c r="N18" s="154">
        <v>325000000</v>
      </c>
      <c r="O18" s="154">
        <v>325000000</v>
      </c>
      <c r="P18" s="154">
        <v>325000000</v>
      </c>
      <c r="Q18" s="154">
        <v>325000000</v>
      </c>
      <c r="R18" s="154">
        <v>325000000</v>
      </c>
      <c r="S18" s="154">
        <v>325000000</v>
      </c>
      <c r="T18" s="154">
        <v>325000000</v>
      </c>
      <c r="U18" s="154">
        <v>325000000</v>
      </c>
      <c r="V18" s="154">
        <v>325000000</v>
      </c>
      <c r="W18" s="154"/>
      <c r="X18" s="343">
        <f t="shared" si="1"/>
        <v>19077500</v>
      </c>
    </row>
    <row r="19" spans="1:25">
      <c r="A19" s="339">
        <v>18</v>
      </c>
      <c r="B19" s="340" t="s">
        <v>84</v>
      </c>
      <c r="C19" s="341">
        <v>5.7639999999999997E-2</v>
      </c>
      <c r="D19" s="342">
        <v>40358</v>
      </c>
      <c r="E19" s="342">
        <v>51332</v>
      </c>
      <c r="F19" s="343">
        <f t="shared" si="2"/>
        <v>250000000</v>
      </c>
      <c r="G19" s="344">
        <v>98.965199999999996</v>
      </c>
      <c r="H19" s="345">
        <f t="shared" si="4"/>
        <v>5.8400000000000001E-2</v>
      </c>
      <c r="I19" s="154">
        <f t="shared" si="5"/>
        <v>14600000</v>
      </c>
      <c r="J19" s="154">
        <v>250000000</v>
      </c>
      <c r="K19" s="154">
        <v>250000000</v>
      </c>
      <c r="L19" s="154">
        <v>250000000</v>
      </c>
      <c r="M19" s="154">
        <v>250000000</v>
      </c>
      <c r="N19" s="154">
        <v>250000000</v>
      </c>
      <c r="O19" s="154">
        <v>250000000</v>
      </c>
      <c r="P19" s="154">
        <v>250000000</v>
      </c>
      <c r="Q19" s="154">
        <v>250000000</v>
      </c>
      <c r="R19" s="154">
        <v>250000000</v>
      </c>
      <c r="S19" s="154">
        <v>250000000</v>
      </c>
      <c r="T19" s="154">
        <v>250000000</v>
      </c>
      <c r="U19" s="154">
        <v>250000000</v>
      </c>
      <c r="V19" s="154">
        <v>250000000</v>
      </c>
      <c r="W19" s="154"/>
      <c r="X19" s="343">
        <f t="shared" si="1"/>
        <v>14600000</v>
      </c>
    </row>
    <row r="20" spans="1:25">
      <c r="A20" s="335">
        <v>19</v>
      </c>
      <c r="B20" s="340" t="s">
        <v>84</v>
      </c>
      <c r="C20" s="341">
        <v>5.638E-2</v>
      </c>
      <c r="D20" s="342">
        <v>40627</v>
      </c>
      <c r="E20" s="342">
        <v>51606</v>
      </c>
      <c r="F20" s="343">
        <f t="shared" si="2"/>
        <v>300000000</v>
      </c>
      <c r="G20" s="344">
        <v>98.971000000000004</v>
      </c>
      <c r="H20" s="345">
        <f t="shared" si="4"/>
        <v>5.7099999999999998E-2</v>
      </c>
      <c r="I20" s="154">
        <f t="shared" si="5"/>
        <v>17130000</v>
      </c>
      <c r="J20" s="154">
        <v>300000000</v>
      </c>
      <c r="K20" s="154">
        <v>300000000</v>
      </c>
      <c r="L20" s="154">
        <v>300000000</v>
      </c>
      <c r="M20" s="154">
        <v>300000000</v>
      </c>
      <c r="N20" s="154">
        <v>300000000</v>
      </c>
      <c r="O20" s="154">
        <v>300000000</v>
      </c>
      <c r="P20" s="154">
        <v>300000000</v>
      </c>
      <c r="Q20" s="154">
        <v>300000000</v>
      </c>
      <c r="R20" s="154">
        <v>300000000</v>
      </c>
      <c r="S20" s="154">
        <v>300000000</v>
      </c>
      <c r="T20" s="154">
        <v>300000000</v>
      </c>
      <c r="U20" s="154">
        <v>300000000</v>
      </c>
      <c r="V20" s="154">
        <v>300000000</v>
      </c>
      <c r="W20" s="154"/>
      <c r="X20" s="343">
        <f t="shared" si="1"/>
        <v>17130000</v>
      </c>
    </row>
    <row r="21" spans="1:25">
      <c r="A21" s="339">
        <v>20</v>
      </c>
      <c r="B21" s="340" t="s">
        <v>84</v>
      </c>
      <c r="C21" s="341">
        <v>4.4339999999999997E-2</v>
      </c>
      <c r="D21" s="342">
        <v>40863</v>
      </c>
      <c r="E21" s="342">
        <v>51820</v>
      </c>
      <c r="F21" s="343">
        <f t="shared" si="2"/>
        <v>250000000</v>
      </c>
      <c r="G21" s="344">
        <v>98.962999999999994</v>
      </c>
      <c r="H21" s="345">
        <f t="shared" si="4"/>
        <v>4.4999999999999998E-2</v>
      </c>
      <c r="I21" s="154">
        <f t="shared" si="5"/>
        <v>11250000</v>
      </c>
      <c r="J21" s="154">
        <v>250000000</v>
      </c>
      <c r="K21" s="154">
        <v>250000000</v>
      </c>
      <c r="L21" s="154">
        <v>250000000</v>
      </c>
      <c r="M21" s="154">
        <v>250000000</v>
      </c>
      <c r="N21" s="154">
        <v>250000000</v>
      </c>
      <c r="O21" s="154">
        <v>250000000</v>
      </c>
      <c r="P21" s="154">
        <v>250000000</v>
      </c>
      <c r="Q21" s="154">
        <v>250000000</v>
      </c>
      <c r="R21" s="154">
        <v>250000000</v>
      </c>
      <c r="S21" s="154">
        <v>250000000</v>
      </c>
      <c r="T21" s="154">
        <v>250000000</v>
      </c>
      <c r="U21" s="154">
        <v>250000000</v>
      </c>
      <c r="V21" s="154">
        <v>250000000</v>
      </c>
      <c r="W21" s="154"/>
      <c r="X21" s="343">
        <f t="shared" si="1"/>
        <v>11250000</v>
      </c>
    </row>
    <row r="22" spans="1:25">
      <c r="A22" s="335">
        <v>21</v>
      </c>
      <c r="B22" s="340" t="s">
        <v>84</v>
      </c>
      <c r="C22" s="341">
        <v>4.7E-2</v>
      </c>
      <c r="D22" s="342">
        <v>40869</v>
      </c>
      <c r="E22" s="342">
        <v>55472</v>
      </c>
      <c r="F22" s="343">
        <f t="shared" si="2"/>
        <v>45000000</v>
      </c>
      <c r="G22" s="344">
        <v>98.863900000000001</v>
      </c>
      <c r="H22" s="345">
        <f t="shared" si="4"/>
        <v>4.7600000000000003E-2</v>
      </c>
      <c r="I22" s="154">
        <f t="shared" si="5"/>
        <v>2142000</v>
      </c>
      <c r="J22" s="154">
        <v>45000000</v>
      </c>
      <c r="K22" s="154">
        <v>45000000</v>
      </c>
      <c r="L22" s="154">
        <v>45000000</v>
      </c>
      <c r="M22" s="154">
        <v>45000000</v>
      </c>
      <c r="N22" s="154">
        <v>45000000</v>
      </c>
      <c r="O22" s="154">
        <v>45000000</v>
      </c>
      <c r="P22" s="154">
        <v>45000000</v>
      </c>
      <c r="Q22" s="154">
        <v>45000000</v>
      </c>
      <c r="R22" s="154">
        <v>45000000</v>
      </c>
      <c r="S22" s="154">
        <v>45000000</v>
      </c>
      <c r="T22" s="154">
        <v>45000000</v>
      </c>
      <c r="U22" s="154">
        <v>45000000</v>
      </c>
      <c r="V22" s="154">
        <v>45000000</v>
      </c>
      <c r="W22" s="154"/>
      <c r="X22" s="343">
        <f t="shared" si="1"/>
        <v>2142000</v>
      </c>
    </row>
    <row r="23" spans="1:25" s="72" customFormat="1">
      <c r="A23" s="349">
        <v>22</v>
      </c>
      <c r="B23" s="350" t="s">
        <v>114</v>
      </c>
      <c r="C23" s="351">
        <v>6.9739999999999996E-2</v>
      </c>
      <c r="D23" s="352">
        <v>39237</v>
      </c>
      <c r="E23" s="352">
        <v>43217</v>
      </c>
      <c r="F23" s="343">
        <f t="shared" si="2"/>
        <v>56796083</v>
      </c>
      <c r="G23" s="344">
        <v>98.226200000000006</v>
      </c>
      <c r="H23" s="353">
        <f>ROUND(YIELD(D23,E23,C23,G23,100,2,2),4)</f>
        <v>7.2099999999999997E-2</v>
      </c>
      <c r="I23" s="154">
        <f>ROUND(((0.0721*250000000/12)*6)+((250000000*0.0401063/360)*90)+((250000000*0.0453625/360)*19)+((56553000*0.0453625/360)*38),0)</f>
        <v>12388467</v>
      </c>
      <c r="J23" s="343">
        <v>250000000</v>
      </c>
      <c r="K23" s="343">
        <v>250000000</v>
      </c>
      <c r="L23" s="343">
        <v>250000000</v>
      </c>
      <c r="M23" s="343">
        <v>56553000</v>
      </c>
      <c r="N23" s="343"/>
      <c r="O23" s="343"/>
      <c r="P23" s="343"/>
      <c r="Q23" s="343">
        <v>0</v>
      </c>
      <c r="R23" s="343">
        <v>0</v>
      </c>
      <c r="S23" s="343">
        <v>0</v>
      </c>
      <c r="T23" s="343"/>
      <c r="U23" s="343">
        <v>0</v>
      </c>
      <c r="V23" s="343">
        <v>0</v>
      </c>
      <c r="W23" s="343"/>
      <c r="X23" s="343">
        <f t="shared" si="1"/>
        <v>0</v>
      </c>
    </row>
    <row r="24" spans="1:25">
      <c r="A24" s="335">
        <v>23</v>
      </c>
      <c r="B24" s="340" t="s">
        <v>84</v>
      </c>
      <c r="C24" s="341">
        <v>4.2999999999999997E-2</v>
      </c>
      <c r="D24" s="342">
        <v>42150</v>
      </c>
      <c r="E24" s="342">
        <v>53102</v>
      </c>
      <c r="F24" s="343">
        <f t="shared" si="2"/>
        <v>425000000</v>
      </c>
      <c r="G24" s="344">
        <v>98.483019762352939</v>
      </c>
      <c r="H24" s="345">
        <f t="shared" si="4"/>
        <v>4.3900000000000002E-2</v>
      </c>
      <c r="I24" s="154">
        <f t="shared" si="5"/>
        <v>18657500</v>
      </c>
      <c r="J24" s="343">
        <v>425000000</v>
      </c>
      <c r="K24" s="343">
        <v>425000000</v>
      </c>
      <c r="L24" s="343">
        <v>425000000</v>
      </c>
      <c r="M24" s="343">
        <v>425000000</v>
      </c>
      <c r="N24" s="343">
        <v>425000000</v>
      </c>
      <c r="O24" s="343">
        <v>425000000</v>
      </c>
      <c r="P24" s="343">
        <v>425000000</v>
      </c>
      <c r="Q24" s="343">
        <v>425000000</v>
      </c>
      <c r="R24" s="343">
        <v>425000000</v>
      </c>
      <c r="S24" s="343">
        <v>425000000</v>
      </c>
      <c r="T24" s="343">
        <v>425000000</v>
      </c>
      <c r="U24" s="343">
        <v>425000000</v>
      </c>
      <c r="V24" s="343">
        <v>425000000</v>
      </c>
      <c r="W24" s="343"/>
      <c r="X24" s="343">
        <f t="shared" si="1"/>
        <v>18657500</v>
      </c>
    </row>
    <row r="25" spans="1:25">
      <c r="A25" s="349">
        <v>24</v>
      </c>
      <c r="B25" s="340" t="s">
        <v>84</v>
      </c>
      <c r="C25" s="341">
        <v>4.2229999999999997E-2</v>
      </c>
      <c r="D25" s="342">
        <v>43265</v>
      </c>
      <c r="E25" s="342">
        <v>54224</v>
      </c>
      <c r="F25" s="343">
        <f t="shared" ref="F25" si="6">ROUND(((J25+V25)+(SUM(K25:U25)*2))/24,0)</f>
        <v>325000000</v>
      </c>
      <c r="G25" s="344">
        <v>98.886799999999994</v>
      </c>
      <c r="H25" s="345">
        <f t="shared" si="4"/>
        <v>4.2900000000000001E-2</v>
      </c>
      <c r="I25" s="154">
        <f t="shared" si="5"/>
        <v>13942500</v>
      </c>
      <c r="J25" s="343"/>
      <c r="K25" s="343"/>
      <c r="L25" s="343"/>
      <c r="M25" s="343"/>
      <c r="N25" s="343"/>
      <c r="O25" s="343"/>
      <c r="P25" s="343">
        <v>600000000</v>
      </c>
      <c r="Q25" s="343">
        <v>600000000</v>
      </c>
      <c r="R25" s="343">
        <v>600000000</v>
      </c>
      <c r="S25" s="343">
        <v>600000000</v>
      </c>
      <c r="T25" s="343">
        <v>600000000</v>
      </c>
      <c r="U25" s="343">
        <v>600000000</v>
      </c>
      <c r="V25" s="343">
        <v>600000000</v>
      </c>
      <c r="W25" s="343"/>
      <c r="X25" s="343">
        <f>H25*V25/360*16</f>
        <v>1144000</v>
      </c>
    </row>
    <row r="26" spans="1:25">
      <c r="A26" s="335">
        <v>25</v>
      </c>
      <c r="B26" s="340"/>
      <c r="C26" s="341"/>
      <c r="D26" s="342"/>
      <c r="E26" s="342"/>
      <c r="F26" s="343"/>
      <c r="G26" s="354"/>
      <c r="H26" s="345"/>
      <c r="I26" s="154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55">
        <f>SUM(X7:X25)</f>
        <v>191608128</v>
      </c>
    </row>
    <row r="27" spans="1:25" ht="13.5" thickBot="1">
      <c r="A27" s="349">
        <v>26</v>
      </c>
      <c r="B27" s="340"/>
      <c r="C27" s="356" t="s">
        <v>104</v>
      </c>
      <c r="D27" s="342"/>
      <c r="E27" s="342"/>
      <c r="F27" s="343"/>
      <c r="G27" s="357"/>
      <c r="H27" s="345"/>
      <c r="I27" s="358">
        <f>'Pg 7 Reacquired Debt'!I31</f>
        <v>2133970.61</v>
      </c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54"/>
      <c r="X27" s="355">
        <f>I27</f>
        <v>2133970.61</v>
      </c>
    </row>
    <row r="28" spans="1:25" ht="13.5" thickBot="1">
      <c r="A28" s="335">
        <v>27</v>
      </c>
      <c r="B28" s="356" t="s">
        <v>117</v>
      </c>
      <c r="C28" s="341"/>
      <c r="D28" s="342"/>
      <c r="E28" s="342"/>
      <c r="F28" s="358">
        <f>SUM(F7:F27)</f>
        <v>3797322750</v>
      </c>
      <c r="G28" s="359"/>
      <c r="H28" s="371">
        <f>ROUND(+I28/F28,4)</f>
        <v>5.9299999999999999E-2</v>
      </c>
      <c r="I28" s="360">
        <f t="shared" ref="I28:V28" si="7">SUM(I7:I27)</f>
        <v>225189898.61000001</v>
      </c>
      <c r="J28" s="360">
        <f t="shared" si="7"/>
        <v>3773860000</v>
      </c>
      <c r="K28" s="360">
        <f t="shared" si="7"/>
        <v>3773860000</v>
      </c>
      <c r="L28" s="360">
        <f t="shared" si="7"/>
        <v>3773860000</v>
      </c>
      <c r="M28" s="360">
        <f t="shared" si="7"/>
        <v>3580413000</v>
      </c>
      <c r="N28" s="360">
        <f t="shared" si="7"/>
        <v>3523860000</v>
      </c>
      <c r="O28" s="360">
        <f t="shared" si="7"/>
        <v>3523860000</v>
      </c>
      <c r="P28" s="360">
        <f t="shared" si="7"/>
        <v>3923860000</v>
      </c>
      <c r="Q28" s="360">
        <f t="shared" si="7"/>
        <v>3923860000</v>
      </c>
      <c r="R28" s="360">
        <f t="shared" si="7"/>
        <v>3923860000</v>
      </c>
      <c r="S28" s="360">
        <f t="shared" si="7"/>
        <v>3923860000</v>
      </c>
      <c r="T28" s="360">
        <f t="shared" si="7"/>
        <v>3923860000</v>
      </c>
      <c r="U28" s="360">
        <f t="shared" si="7"/>
        <v>3923860000</v>
      </c>
      <c r="V28" s="360">
        <f t="shared" si="7"/>
        <v>3923860000</v>
      </c>
      <c r="W28" s="361"/>
      <c r="X28" s="360">
        <f>SUM(X26:X27)</f>
        <v>193742098.61000001</v>
      </c>
      <c r="Y28" s="371">
        <f>X28/S28</f>
        <v>4.9375385108031383E-2</v>
      </c>
    </row>
    <row r="29" spans="1:25" ht="13.5" thickBot="1">
      <c r="A29" s="349">
        <v>28</v>
      </c>
      <c r="B29" s="340"/>
      <c r="C29" s="341"/>
      <c r="D29" s="342"/>
      <c r="E29" s="342"/>
      <c r="F29" s="361"/>
      <c r="G29" s="357"/>
      <c r="H29" s="362"/>
      <c r="I29" s="361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4">
        <f>H29*S29</f>
        <v>0</v>
      </c>
    </row>
    <row r="30" spans="1:25" ht="13.5" thickBot="1">
      <c r="A30" s="335">
        <v>29</v>
      </c>
      <c r="B30" s="356" t="s">
        <v>184</v>
      </c>
      <c r="C30" s="341"/>
      <c r="D30" s="342"/>
      <c r="E30" s="342"/>
      <c r="F30" s="361">
        <f>F28</f>
        <v>3797322750</v>
      </c>
      <c r="G30" s="357"/>
      <c r="H30" s="371">
        <f>ROUND(+I30/F30,4)</f>
        <v>5.8700000000000002E-2</v>
      </c>
      <c r="I30" s="361">
        <f>SUM(I7:I25)</f>
        <v>223055928</v>
      </c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4"/>
    </row>
    <row r="31" spans="1:25">
      <c r="A31" s="349">
        <v>30</v>
      </c>
      <c r="B31" s="340"/>
      <c r="C31" s="341"/>
      <c r="D31" s="342"/>
      <c r="E31" s="342"/>
      <c r="F31" s="361"/>
      <c r="G31" s="357"/>
      <c r="H31" s="362"/>
      <c r="I31" s="361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4"/>
    </row>
    <row r="32" spans="1:25">
      <c r="A32" s="335">
        <v>31</v>
      </c>
      <c r="B32" s="340" t="s">
        <v>174</v>
      </c>
      <c r="C32" s="341"/>
      <c r="D32" s="342"/>
      <c r="E32" s="342"/>
      <c r="F32" s="361">
        <f>'Pg 3 STD Cost Rate'!C17</f>
        <v>208870471.23999998</v>
      </c>
      <c r="G32" s="357"/>
      <c r="H32" s="365">
        <f>ROUND(I32/F32,4)</f>
        <v>2.41E-2</v>
      </c>
      <c r="I32" s="361">
        <f>'Pg 3 STD Cost Rate'!E17</f>
        <v>5031285.53</v>
      </c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4"/>
    </row>
    <row r="33" spans="1:55">
      <c r="A33" s="349">
        <v>32</v>
      </c>
      <c r="B33" s="340"/>
      <c r="C33" s="341"/>
      <c r="D33" s="342"/>
      <c r="E33" s="342"/>
      <c r="F33" s="361"/>
      <c r="G33" s="357"/>
      <c r="H33" s="362"/>
      <c r="I33" s="361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4"/>
    </row>
    <row r="34" spans="1:55">
      <c r="A34" s="335">
        <v>33</v>
      </c>
      <c r="B34" s="366" t="s">
        <v>175</v>
      </c>
      <c r="C34" s="341"/>
      <c r="D34" s="342"/>
      <c r="E34" s="342"/>
      <c r="F34" s="361">
        <f>F32+F28</f>
        <v>4006193221.2399998</v>
      </c>
      <c r="G34" s="357"/>
      <c r="H34" s="365">
        <f>ROUND(I34/F34,4)</f>
        <v>5.6899999999999999E-2</v>
      </c>
      <c r="I34" s="361">
        <f>I32+I30</f>
        <v>228087213.53</v>
      </c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4"/>
    </row>
    <row r="35" spans="1:55">
      <c r="A35" s="349">
        <v>34</v>
      </c>
      <c r="B35" s="340"/>
      <c r="C35" s="341"/>
      <c r="D35" s="342"/>
      <c r="E35" s="342"/>
      <c r="F35" s="361"/>
      <c r="G35" s="357"/>
      <c r="H35" s="362"/>
      <c r="I35" s="361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4"/>
    </row>
    <row r="36" spans="1:55">
      <c r="A36" s="335">
        <v>35</v>
      </c>
      <c r="B36" s="367" t="s">
        <v>196</v>
      </c>
      <c r="C36" s="368"/>
      <c r="D36" s="368"/>
      <c r="E36" s="368"/>
      <c r="F36" s="368"/>
      <c r="G36" s="368"/>
      <c r="H36" s="368"/>
      <c r="I36" s="368"/>
      <c r="X36" s="361"/>
      <c r="Y36" s="362"/>
    </row>
    <row r="37" spans="1:55">
      <c r="A37" s="349">
        <v>36</v>
      </c>
      <c r="B37" s="367" t="s">
        <v>197</v>
      </c>
      <c r="C37" s="368"/>
      <c r="D37" s="368"/>
      <c r="E37" s="368"/>
      <c r="F37" s="368"/>
      <c r="G37" s="369"/>
      <c r="H37" s="368"/>
      <c r="I37" s="368"/>
    </row>
    <row r="38" spans="1:55">
      <c r="A38" s="339"/>
      <c r="B38" s="367"/>
      <c r="C38" s="368"/>
      <c r="D38" s="368"/>
      <c r="E38" s="368"/>
      <c r="F38" s="368"/>
      <c r="G38" s="369"/>
      <c r="H38" s="368"/>
      <c r="I38" s="368"/>
    </row>
    <row r="39" spans="1:55">
      <c r="A39" s="339"/>
      <c r="B39" s="367"/>
      <c r="C39" s="368"/>
      <c r="D39" s="368"/>
      <c r="E39" s="368"/>
      <c r="F39" s="368"/>
      <c r="G39" s="369"/>
      <c r="H39" s="368"/>
      <c r="I39" s="368"/>
    </row>
    <row r="40" spans="1:55">
      <c r="A40" s="339"/>
      <c r="B40" s="58"/>
      <c r="C40" s="58"/>
      <c r="D40" s="58"/>
      <c r="E40" s="73"/>
      <c r="G40" s="58"/>
      <c r="H40" s="368"/>
      <c r="I40" s="370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3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40"/>
      <c r="AL40" s="340"/>
      <c r="AM40" s="340"/>
      <c r="AN40" s="340"/>
      <c r="AO40" s="340"/>
      <c r="AP40" s="340"/>
      <c r="AQ40" s="340"/>
      <c r="AR40" s="340"/>
      <c r="AS40" s="340"/>
      <c r="AT40" s="340"/>
      <c r="AU40" s="340"/>
      <c r="AV40" s="340"/>
      <c r="AW40" s="340"/>
      <c r="AX40" s="340"/>
      <c r="AY40" s="340"/>
      <c r="AZ40" s="340"/>
      <c r="BA40" s="340"/>
      <c r="BB40" s="340"/>
      <c r="BC40" s="340"/>
    </row>
    <row r="41" spans="1:55">
      <c r="A41" s="33"/>
      <c r="B41" s="72"/>
      <c r="C41" s="72"/>
      <c r="D41" s="72"/>
      <c r="E41" s="72"/>
      <c r="F41" s="71"/>
      <c r="G41" s="72"/>
      <c r="H41" s="368"/>
      <c r="I41" s="370"/>
      <c r="J41" s="350"/>
      <c r="K41" s="340"/>
      <c r="L41" s="340"/>
      <c r="M41" s="340"/>
      <c r="N41" s="340"/>
      <c r="O41" s="340"/>
      <c r="P41" s="340"/>
      <c r="Q41" s="340"/>
      <c r="R41" s="340"/>
      <c r="S41" s="340"/>
      <c r="T41" s="340"/>
      <c r="U41" s="340"/>
      <c r="V41" s="340"/>
      <c r="W41" s="340"/>
    </row>
    <row r="42" spans="1:55">
      <c r="A42" s="33"/>
      <c r="B42" s="72"/>
      <c r="C42" s="72"/>
      <c r="D42" s="72"/>
      <c r="E42" s="72"/>
      <c r="F42" s="70"/>
      <c r="G42" s="72"/>
      <c r="H42" s="58"/>
      <c r="I42" s="370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</row>
    <row r="43" spans="1:55">
      <c r="A43" s="33"/>
      <c r="B43" s="28"/>
      <c r="C43" s="28"/>
      <c r="D43" s="28"/>
      <c r="E43" s="28"/>
      <c r="F43" s="71"/>
      <c r="G43" s="28"/>
      <c r="H43" s="28"/>
      <c r="I43" s="34"/>
      <c r="J43" s="60" t="str">
        <f t="shared" ref="J43:S43" si="8">IF(J42&lt;&gt;0,"ERROR","")</f>
        <v/>
      </c>
      <c r="K43" s="60" t="str">
        <f t="shared" si="8"/>
        <v/>
      </c>
      <c r="L43" s="60" t="str">
        <f t="shared" si="8"/>
        <v/>
      </c>
      <c r="M43" s="60" t="str">
        <f t="shared" si="8"/>
        <v/>
      </c>
      <c r="N43" s="60" t="str">
        <f t="shared" si="8"/>
        <v/>
      </c>
      <c r="O43" s="60" t="str">
        <f t="shared" si="8"/>
        <v/>
      </c>
      <c r="P43" s="60" t="str">
        <f t="shared" si="8"/>
        <v/>
      </c>
      <c r="Q43" s="60" t="str">
        <f t="shared" si="8"/>
        <v/>
      </c>
      <c r="R43" s="60" t="str">
        <f t="shared" si="8"/>
        <v/>
      </c>
      <c r="S43" s="33" t="str">
        <f t="shared" si="8"/>
        <v/>
      </c>
      <c r="T43" s="33"/>
      <c r="U43" s="33"/>
      <c r="V43" s="33"/>
      <c r="W43" s="33"/>
    </row>
    <row r="44" spans="1:55">
      <c r="A44" s="33"/>
      <c r="B44" s="28"/>
      <c r="C44" s="28"/>
      <c r="D44" s="28"/>
      <c r="E44" s="28"/>
      <c r="F44" s="34"/>
      <c r="G44" s="28"/>
      <c r="H44" s="345"/>
      <c r="Y44" s="79"/>
    </row>
    <row r="45" spans="1:55">
      <c r="A45" s="35"/>
      <c r="B45" s="36"/>
      <c r="C45" s="37"/>
      <c r="D45" s="38"/>
      <c r="E45" s="38"/>
      <c r="F45" s="182"/>
      <c r="G45" s="40"/>
      <c r="H45" s="345"/>
      <c r="I45" s="140"/>
      <c r="Y45" s="79"/>
    </row>
    <row r="46" spans="1:55">
      <c r="A46" s="35"/>
      <c r="B46" s="36"/>
      <c r="C46" s="37"/>
      <c r="D46" s="38"/>
      <c r="E46" s="38"/>
      <c r="F46" s="39"/>
      <c r="G46" s="40"/>
      <c r="H46" s="41"/>
      <c r="I46" s="42"/>
      <c r="Y46" s="79"/>
    </row>
    <row r="47" spans="1:55">
      <c r="A47" s="35"/>
      <c r="B47" s="36"/>
      <c r="C47" s="37"/>
      <c r="D47" s="38"/>
      <c r="E47" s="38"/>
      <c r="F47" s="39"/>
      <c r="G47" s="40"/>
      <c r="H47" s="41"/>
      <c r="I47" s="42"/>
      <c r="Y47" s="79"/>
    </row>
    <row r="48" spans="1:55" hidden="1">
      <c r="A48" s="43"/>
      <c r="B48" s="28"/>
      <c r="C48" s="28"/>
      <c r="D48" s="28"/>
      <c r="E48" s="28"/>
      <c r="F48" s="34"/>
      <c r="G48" s="28"/>
      <c r="H48" s="44"/>
      <c r="I48" s="34"/>
      <c r="Y48" s="79"/>
    </row>
    <row r="49" spans="1:25" hidden="1">
      <c r="A49" s="43"/>
      <c r="B49" s="28"/>
      <c r="C49" s="28"/>
      <c r="D49" s="28"/>
      <c r="E49" s="28"/>
      <c r="F49" s="34"/>
      <c r="G49" s="28"/>
      <c r="H49" s="45"/>
      <c r="I49" s="34"/>
      <c r="Y49" s="79"/>
    </row>
    <row r="50" spans="1:25" hidden="1">
      <c r="A50" s="43"/>
      <c r="B50" s="28"/>
      <c r="C50" s="28"/>
      <c r="D50" s="28"/>
      <c r="E50" s="28"/>
      <c r="F50" s="34"/>
      <c r="G50" s="28"/>
      <c r="H50" s="28"/>
      <c r="I50" s="34"/>
      <c r="Y50" s="79"/>
    </row>
    <row r="51" spans="1:25">
      <c r="A51" s="35"/>
      <c r="B51" s="36"/>
      <c r="C51" s="37"/>
      <c r="D51" s="38"/>
      <c r="E51" s="38"/>
      <c r="F51" s="39"/>
      <c r="G51" s="40"/>
      <c r="H51" s="41"/>
      <c r="I51" s="42"/>
      <c r="Y51" s="79"/>
    </row>
    <row r="52" spans="1:25">
      <c r="A52" s="35"/>
      <c r="B52" s="36"/>
      <c r="C52" s="37"/>
      <c r="D52" s="38"/>
      <c r="E52" s="38"/>
      <c r="F52" s="39"/>
      <c r="G52" s="40"/>
      <c r="H52" s="41"/>
      <c r="I52" s="42"/>
      <c r="Y52" s="79"/>
    </row>
    <row r="53" spans="1:25">
      <c r="A53" s="43"/>
      <c r="B53" s="28"/>
      <c r="C53" s="28"/>
      <c r="D53" s="28"/>
      <c r="E53" s="28"/>
      <c r="F53" s="34"/>
      <c r="G53" s="28"/>
      <c r="H53" s="28"/>
      <c r="I53" s="34"/>
      <c r="Y53" s="79"/>
    </row>
    <row r="54" spans="1:25">
      <c r="A54" s="43"/>
      <c r="B54" s="28"/>
      <c r="C54" s="28"/>
      <c r="D54" s="28"/>
      <c r="E54" s="28"/>
      <c r="F54" s="34"/>
      <c r="G54" s="28"/>
      <c r="H54" s="28"/>
      <c r="I54" s="34"/>
      <c r="Y54" s="79"/>
    </row>
    <row r="55" spans="1:25">
      <c r="A55" s="43"/>
      <c r="B55" s="28"/>
      <c r="C55" s="28"/>
      <c r="D55" s="28"/>
      <c r="E55" s="28"/>
      <c r="F55" s="34"/>
      <c r="G55" s="28"/>
      <c r="H55" s="28"/>
      <c r="I55" s="34"/>
      <c r="Y55" s="79"/>
    </row>
    <row r="56" spans="1:25">
      <c r="A56" s="43"/>
      <c r="B56" s="28"/>
      <c r="C56" s="28"/>
      <c r="D56" s="28"/>
      <c r="E56" s="28"/>
      <c r="F56" s="34"/>
      <c r="G56" s="28"/>
      <c r="H56" s="28"/>
      <c r="I56" s="34"/>
      <c r="Y56" s="79"/>
    </row>
    <row r="57" spans="1:25">
      <c r="A57" s="43"/>
      <c r="B57" s="28"/>
      <c r="C57" s="28"/>
      <c r="D57" s="28"/>
      <c r="E57" s="28"/>
      <c r="F57" s="34"/>
      <c r="G57" s="28"/>
      <c r="H57" s="28"/>
      <c r="I57" s="34"/>
      <c r="Y57" s="79"/>
    </row>
    <row r="58" spans="1:25">
      <c r="A58" s="43"/>
      <c r="B58" s="28"/>
      <c r="C58" s="28"/>
      <c r="D58" s="28"/>
      <c r="E58" s="28"/>
      <c r="F58" s="34"/>
      <c r="G58" s="28"/>
      <c r="H58" s="28"/>
      <c r="I58" s="34"/>
      <c r="Y58" s="79"/>
    </row>
    <row r="59" spans="1:25">
      <c r="A59" s="43"/>
      <c r="B59" s="28"/>
      <c r="C59" s="28"/>
      <c r="D59" s="28"/>
      <c r="E59" s="28"/>
      <c r="F59" s="34"/>
      <c r="G59" s="28"/>
      <c r="H59" s="28"/>
      <c r="I59" s="34"/>
      <c r="Y59" s="79"/>
    </row>
    <row r="60" spans="1:25">
      <c r="A60" s="43"/>
      <c r="B60" s="28"/>
      <c r="C60" s="28"/>
      <c r="D60" s="28"/>
      <c r="E60" s="28"/>
      <c r="F60" s="34"/>
      <c r="G60" s="28"/>
      <c r="H60" s="28"/>
      <c r="I60" s="34"/>
      <c r="Y60" s="79"/>
    </row>
    <row r="61" spans="1:25">
      <c r="A61" s="43"/>
      <c r="B61" s="28"/>
      <c r="C61" s="28"/>
      <c r="D61" s="28"/>
      <c r="E61" s="28"/>
      <c r="F61" s="34"/>
      <c r="G61" s="28"/>
      <c r="H61" s="28"/>
      <c r="I61" s="34"/>
      <c r="Y61" s="79"/>
    </row>
    <row r="62" spans="1:25">
      <c r="A62" s="33"/>
      <c r="B62" s="28"/>
      <c r="C62" s="36"/>
      <c r="D62" s="28"/>
      <c r="E62" s="28"/>
      <c r="F62" s="34"/>
      <c r="G62" s="28"/>
      <c r="H62" s="28"/>
      <c r="I62" s="34"/>
      <c r="Y62" s="79"/>
    </row>
    <row r="63" spans="1:25">
      <c r="C63" s="24"/>
      <c r="E63" s="30"/>
      <c r="Y63" s="79"/>
    </row>
    <row r="64" spans="1:25">
      <c r="C64" s="29"/>
      <c r="Y64" s="79"/>
    </row>
    <row r="65" spans="25:25">
      <c r="Y65" s="79"/>
    </row>
    <row r="66" spans="25:25">
      <c r="Y66" s="79"/>
    </row>
    <row r="67" spans="25:25">
      <c r="Y67" s="79"/>
    </row>
    <row r="68" spans="25:25">
      <c r="Y68" s="79"/>
    </row>
    <row r="69" spans="25:25">
      <c r="Y69" s="79"/>
    </row>
    <row r="70" spans="25:25">
      <c r="Y70" s="79"/>
    </row>
    <row r="71" spans="25:25">
      <c r="Y71" s="79"/>
    </row>
    <row r="72" spans="25:25">
      <c r="Y72" s="79"/>
    </row>
    <row r="73" spans="25:25">
      <c r="Y73" s="79"/>
    </row>
    <row r="74" spans="25:25">
      <c r="Y74" s="79"/>
    </row>
    <row r="75" spans="25:25">
      <c r="Y75" s="79"/>
    </row>
    <row r="76" spans="25:25">
      <c r="Y76" s="79"/>
    </row>
    <row r="77" spans="25:25">
      <c r="Y77" s="79"/>
    </row>
    <row r="78" spans="25:25">
      <c r="Y78" s="79"/>
    </row>
    <row r="79" spans="25:25">
      <c r="Y79" s="79"/>
    </row>
    <row r="80" spans="25:25">
      <c r="Y80" s="79"/>
    </row>
    <row r="81" spans="25:25">
      <c r="Y81" s="79"/>
    </row>
    <row r="82" spans="25:25">
      <c r="Y82" s="79"/>
    </row>
    <row r="83" spans="25:25">
      <c r="Y83" s="79"/>
    </row>
    <row r="84" spans="25:25">
      <c r="Y84" s="79"/>
    </row>
    <row r="85" spans="25:25">
      <c r="Y85" s="79"/>
    </row>
    <row r="86" spans="25:25">
      <c r="Y86" s="79"/>
    </row>
    <row r="87" spans="25:25">
      <c r="Y87" s="79"/>
    </row>
    <row r="88" spans="25:25">
      <c r="Y88" s="79"/>
    </row>
    <row r="89" spans="25:25">
      <c r="Y89" s="79"/>
    </row>
    <row r="90" spans="25:25">
      <c r="Y90" s="79"/>
    </row>
    <row r="91" spans="25:25">
      <c r="Y91" s="79"/>
    </row>
    <row r="92" spans="25:25">
      <c r="Y92" s="79"/>
    </row>
    <row r="93" spans="25:25">
      <c r="Y93" s="79"/>
    </row>
    <row r="94" spans="25:25">
      <c r="Y94" s="79"/>
    </row>
    <row r="95" spans="25:25">
      <c r="Y95" s="79"/>
    </row>
    <row r="96" spans="25:25">
      <c r="Y96" s="79"/>
    </row>
    <row r="97" spans="25:25">
      <c r="Y97" s="79"/>
    </row>
    <row r="98" spans="25:25">
      <c r="Y98" s="79"/>
    </row>
    <row r="99" spans="25:25">
      <c r="Y99" s="79"/>
    </row>
    <row r="100" spans="25:25">
      <c r="Y100" s="79"/>
    </row>
    <row r="101" spans="25:25">
      <c r="Y101" s="79"/>
    </row>
    <row r="102" spans="25:25">
      <c r="Y102" s="79"/>
    </row>
    <row r="103" spans="25:25">
      <c r="Y103" s="79"/>
    </row>
    <row r="104" spans="25:25">
      <c r="Y104" s="79"/>
    </row>
    <row r="107" spans="25:25">
      <c r="Y107" s="79"/>
    </row>
    <row r="108" spans="25:25">
      <c r="Y108" s="79"/>
    </row>
    <row r="109" spans="25:25">
      <c r="Y109" s="79"/>
    </row>
    <row r="110" spans="25:25">
      <c r="Y110" s="79"/>
    </row>
    <row r="111" spans="25:25">
      <c r="Y111" s="79"/>
    </row>
    <row r="112" spans="25:25">
      <c r="Y112" s="79"/>
    </row>
    <row r="113" spans="25:25">
      <c r="Y113" s="79"/>
    </row>
    <row r="114" spans="25:25">
      <c r="Y114" s="79"/>
    </row>
    <row r="115" spans="25:25">
      <c r="Y115" s="79"/>
    </row>
    <row r="116" spans="25:25">
      <c r="Y116" s="79"/>
    </row>
    <row r="117" spans="25:25">
      <c r="Y117" s="79"/>
    </row>
    <row r="118" spans="25:25">
      <c r="Y118" s="79"/>
    </row>
    <row r="119" spans="25:25">
      <c r="Y119" s="79"/>
    </row>
    <row r="120" spans="25:25">
      <c r="Y120" s="79"/>
    </row>
    <row r="121" spans="25:25">
      <c r="Y121" s="79"/>
    </row>
    <row r="122" spans="25:25">
      <c r="Y122" s="79"/>
    </row>
    <row r="123" spans="25:25">
      <c r="Y123" s="79"/>
    </row>
    <row r="124" spans="25:25">
      <c r="Y124" s="79"/>
    </row>
    <row r="125" spans="25:25">
      <c r="Y125" s="79"/>
    </row>
    <row r="126" spans="25:25">
      <c r="Y126" s="79"/>
    </row>
    <row r="127" spans="25:25">
      <c r="Y127" s="79"/>
    </row>
    <row r="128" spans="25:25">
      <c r="Y128" s="79"/>
    </row>
    <row r="129" spans="25:25">
      <c r="Y129" s="79"/>
    </row>
    <row r="130" spans="25:25">
      <c r="Y130" s="79"/>
    </row>
    <row r="131" spans="25:25">
      <c r="Y131" s="79"/>
    </row>
    <row r="132" spans="25:25">
      <c r="Y132" s="79"/>
    </row>
    <row r="133" spans="25:25">
      <c r="Y133" s="79"/>
    </row>
    <row r="134" spans="25:25">
      <c r="Y134" s="79"/>
    </row>
    <row r="135" spans="25:25">
      <c r="Y135" s="79"/>
    </row>
    <row r="136" spans="25:25">
      <c r="Y136" s="79"/>
    </row>
    <row r="138" spans="25:25">
      <c r="Y138" s="79"/>
    </row>
    <row r="139" spans="25:25">
      <c r="Y139" s="79"/>
    </row>
    <row r="140" spans="25:25">
      <c r="Y140" s="79"/>
    </row>
    <row r="141" spans="25:25">
      <c r="Y141" s="79"/>
    </row>
    <row r="142" spans="25:25">
      <c r="Y142" s="79"/>
    </row>
    <row r="143" spans="25:25">
      <c r="Y143" s="79"/>
    </row>
    <row r="144" spans="25:25">
      <c r="Y144" s="79"/>
    </row>
    <row r="145" spans="25:25">
      <c r="Y145" s="79"/>
    </row>
    <row r="146" spans="25:25">
      <c r="Y146" s="79"/>
    </row>
    <row r="147" spans="25:25">
      <c r="Y147" s="79"/>
    </row>
    <row r="148" spans="25:25">
      <c r="Y148" s="79"/>
    </row>
    <row r="149" spans="25:25">
      <c r="Y149" s="79"/>
    </row>
    <row r="150" spans="25:25">
      <c r="Y150" s="79"/>
    </row>
    <row r="151" spans="25:25">
      <c r="Y151" s="79"/>
    </row>
    <row r="152" spans="25:25">
      <c r="Y152" s="79"/>
    </row>
    <row r="153" spans="25:25">
      <c r="Y153" s="79"/>
    </row>
    <row r="154" spans="25:25">
      <c r="Y154" s="79"/>
    </row>
    <row r="155" spans="25:25">
      <c r="Y155" s="79"/>
    </row>
    <row r="156" spans="25:25">
      <c r="Y156" s="79"/>
    </row>
    <row r="157" spans="25:25">
      <c r="Y157" s="79"/>
    </row>
    <row r="158" spans="25:25">
      <c r="Y158" s="79"/>
    </row>
    <row r="159" spans="25:25">
      <c r="Y159" s="79"/>
    </row>
    <row r="160" spans="25:25">
      <c r="Y160" s="79"/>
    </row>
    <row r="161" spans="25:25">
      <c r="Y161" s="79"/>
    </row>
    <row r="162" spans="25:25">
      <c r="Y162" s="79"/>
    </row>
    <row r="163" spans="25:25">
      <c r="Y163" s="79"/>
    </row>
    <row r="164" spans="25:25">
      <c r="Y164" s="79"/>
    </row>
    <row r="165" spans="25:25">
      <c r="Y165" s="79"/>
    </row>
    <row r="166" spans="25:25">
      <c r="Y166" s="79"/>
    </row>
    <row r="167" spans="25:25">
      <c r="Y167" s="79"/>
    </row>
  </sheetData>
  <mergeCells count="3">
    <mergeCell ref="A1:Y1"/>
    <mergeCell ref="A2:Y2"/>
    <mergeCell ref="A3:Y3"/>
  </mergeCells>
  <phoneticPr fontId="13" type="noConversion"/>
  <printOptions horizontalCentered="1"/>
  <pageMargins left="0.25" right="0.25" top="1.25" bottom="0.75" header="0.3" footer="0.3"/>
  <pageSetup scale="77" orientation="landscape" r:id="rId1"/>
  <headerFooter scaleWithDoc="0" alignWithMargins="0">
    <oddFooter>&amp;R&amp;"Times New Roman,Regular"&amp;12Exh. MDM-3
Page 6 of 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S58"/>
  <sheetViews>
    <sheetView zoomScaleNormal="100" workbookViewId="0">
      <pane xSplit="2" ySplit="7" topLeftCell="C8" activePane="bottomRight" state="frozen"/>
      <selection activeCell="N27" sqref="N27"/>
      <selection pane="topRight" activeCell="N27" sqref="N27"/>
      <selection pane="bottomLeft" activeCell="N27" sqref="N27"/>
      <selection pane="bottomRight" activeCell="F32" sqref="F32"/>
    </sheetView>
  </sheetViews>
  <sheetFormatPr defaultColWidth="8.83203125" defaultRowHeight="15.75"/>
  <cols>
    <col min="1" max="1" width="4.6640625" style="31" customWidth="1"/>
    <col min="2" max="2" width="46" style="31" customWidth="1"/>
    <col min="3" max="3" width="10.83203125" style="31" customWidth="1"/>
    <col min="4" max="4" width="11.83203125" style="31" customWidth="1"/>
    <col min="5" max="5" width="12.83203125" style="31" customWidth="1"/>
    <col min="6" max="6" width="14.5" style="31" bestFit="1" customWidth="1"/>
    <col min="7" max="7" width="10.33203125" style="31" bestFit="1" customWidth="1"/>
    <col min="8" max="8" width="11.83203125" style="31" bestFit="1" customWidth="1"/>
    <col min="9" max="9" width="14.1640625" style="31" bestFit="1" customWidth="1"/>
    <col min="10" max="10" width="9.6640625" style="31" bestFit="1" customWidth="1"/>
    <col min="11" max="11" width="6.33203125" style="31" customWidth="1"/>
    <col min="12" max="12" width="12" style="103" customWidth="1"/>
    <col min="13" max="13" width="14.6640625" style="103" customWidth="1"/>
    <col min="14" max="14" width="15.1640625" style="103" customWidth="1"/>
    <col min="15" max="15" width="12.1640625" style="103" customWidth="1"/>
    <col min="16" max="16" width="9.6640625" style="103" customWidth="1"/>
    <col min="17" max="17" width="13.5" style="103" bestFit="1" customWidth="1"/>
    <col min="18" max="18" width="13.5" style="31" bestFit="1" customWidth="1"/>
    <col min="19" max="19" width="9.1640625" style="31" bestFit="1" customWidth="1"/>
    <col min="20" max="16384" width="8.83203125" style="31"/>
  </cols>
  <sheetData>
    <row r="1" spans="1:19">
      <c r="A1" s="421" t="s">
        <v>195</v>
      </c>
      <c r="B1" s="421"/>
      <c r="C1" s="421"/>
      <c r="D1" s="421"/>
      <c r="E1" s="421"/>
      <c r="F1" s="421"/>
      <c r="G1" s="421"/>
      <c r="H1" s="421"/>
      <c r="I1" s="421"/>
      <c r="J1" s="421"/>
      <c r="K1" s="54"/>
    </row>
    <row r="2" spans="1:19" ht="12.75" customHeight="1">
      <c r="A2" s="422" t="s">
        <v>23</v>
      </c>
      <c r="B2" s="422"/>
      <c r="C2" s="422"/>
      <c r="D2" s="422"/>
      <c r="E2" s="422"/>
      <c r="F2" s="422"/>
      <c r="G2" s="422"/>
      <c r="H2" s="422"/>
      <c r="I2" s="422"/>
      <c r="J2" s="422"/>
      <c r="K2" s="54"/>
    </row>
    <row r="3" spans="1:19" ht="12.75" customHeight="1">
      <c r="A3" s="423" t="str">
        <f>'Pg 1 Summary'!A5</f>
        <v>For The 12 Months Ending December 31, 2018</v>
      </c>
      <c r="B3" s="423"/>
      <c r="C3" s="423"/>
      <c r="D3" s="423"/>
      <c r="E3" s="423"/>
      <c r="F3" s="423"/>
      <c r="G3" s="423"/>
      <c r="H3" s="423"/>
      <c r="I3" s="423"/>
      <c r="J3" s="423"/>
      <c r="K3" s="54"/>
    </row>
    <row r="4" spans="1:19" ht="12.75" customHeight="1">
      <c r="B4" s="374"/>
      <c r="C4" s="374"/>
      <c r="D4" s="374"/>
      <c r="E4" s="372"/>
      <c r="F4" s="372"/>
      <c r="G4" s="372"/>
      <c r="H4" s="372"/>
      <c r="I4" s="372"/>
      <c r="J4" s="373"/>
      <c r="K4" s="54"/>
    </row>
    <row r="5" spans="1:19" ht="12.75" customHeight="1">
      <c r="A5" s="375">
        <v>1</v>
      </c>
      <c r="B5" s="83" t="s">
        <v>3</v>
      </c>
      <c r="C5" s="83" t="s">
        <v>24</v>
      </c>
      <c r="D5" s="83" t="s">
        <v>49</v>
      </c>
      <c r="E5" s="83" t="s">
        <v>61</v>
      </c>
      <c r="F5" s="83" t="s">
        <v>62</v>
      </c>
      <c r="G5" s="376" t="s">
        <v>63</v>
      </c>
      <c r="H5" s="83" t="s">
        <v>64</v>
      </c>
      <c r="I5" s="83" t="s">
        <v>65</v>
      </c>
      <c r="J5" s="83" t="s">
        <v>66</v>
      </c>
      <c r="K5" s="54"/>
    </row>
    <row r="6" spans="1:19" ht="12.75" customHeight="1">
      <c r="A6" s="375">
        <f t="shared" ref="A6:A40" si="0">A5+1</f>
        <v>2</v>
      </c>
      <c r="B6" s="377" t="s">
        <v>1</v>
      </c>
      <c r="C6" s="378" t="s">
        <v>15</v>
      </c>
      <c r="D6" s="379" t="s">
        <v>95</v>
      </c>
      <c r="E6" s="380" t="s">
        <v>130</v>
      </c>
      <c r="F6" s="380" t="s">
        <v>131</v>
      </c>
      <c r="G6" s="380" t="s">
        <v>131</v>
      </c>
      <c r="H6" s="380" t="s">
        <v>67</v>
      </c>
      <c r="I6" s="379" t="s">
        <v>16</v>
      </c>
      <c r="J6" s="373"/>
      <c r="K6" s="54"/>
    </row>
    <row r="7" spans="1:19" ht="12.75" customHeight="1">
      <c r="A7" s="375">
        <f t="shared" si="0"/>
        <v>3</v>
      </c>
      <c r="B7" s="381" t="s">
        <v>15</v>
      </c>
      <c r="C7" s="382" t="s">
        <v>96</v>
      </c>
      <c r="D7" s="382" t="s">
        <v>96</v>
      </c>
      <c r="E7" s="382" t="s">
        <v>96</v>
      </c>
      <c r="F7" s="382" t="s">
        <v>15</v>
      </c>
      <c r="G7" s="382" t="s">
        <v>96</v>
      </c>
      <c r="H7" s="382" t="s">
        <v>132</v>
      </c>
      <c r="I7" s="382" t="s">
        <v>129</v>
      </c>
      <c r="J7" s="383" t="s">
        <v>53</v>
      </c>
      <c r="K7" s="54"/>
    </row>
    <row r="8" spans="1:19" ht="12.75" customHeight="1">
      <c r="A8" s="375">
        <f t="shared" si="0"/>
        <v>4</v>
      </c>
      <c r="B8" s="384"/>
      <c r="C8" s="385"/>
      <c r="D8" s="385"/>
      <c r="E8" s="385"/>
      <c r="F8" s="385"/>
      <c r="G8" s="385"/>
      <c r="H8" s="386"/>
      <c r="I8" s="387"/>
      <c r="J8" s="388"/>
    </row>
    <row r="9" spans="1:19" ht="12.75" customHeight="1">
      <c r="A9" s="375">
        <f>A8+1</f>
        <v>5</v>
      </c>
      <c r="B9" s="384">
        <v>0.10249999999999999</v>
      </c>
      <c r="C9" s="385">
        <v>32140</v>
      </c>
      <c r="D9" s="385">
        <v>35779</v>
      </c>
      <c r="E9" s="385">
        <v>35048</v>
      </c>
      <c r="F9" s="385"/>
      <c r="G9" s="385"/>
      <c r="H9" s="386">
        <v>42684</v>
      </c>
      <c r="I9" s="389">
        <v>0</v>
      </c>
      <c r="J9" s="388">
        <v>18900013</v>
      </c>
      <c r="R9" s="389"/>
      <c r="S9" s="75"/>
    </row>
    <row r="10" spans="1:19" ht="12.75" customHeight="1">
      <c r="A10" s="375">
        <f t="shared" si="0"/>
        <v>6</v>
      </c>
      <c r="B10" s="384" t="s">
        <v>112</v>
      </c>
      <c r="C10" s="385">
        <v>35587</v>
      </c>
      <c r="D10" s="385">
        <v>46539</v>
      </c>
      <c r="E10" s="385">
        <v>39234</v>
      </c>
      <c r="F10" s="385" t="s">
        <v>121</v>
      </c>
      <c r="G10" s="385">
        <v>39237</v>
      </c>
      <c r="H10" s="386">
        <v>42887</v>
      </c>
      <c r="I10" s="389">
        <v>0</v>
      </c>
      <c r="J10" s="388">
        <v>18900383</v>
      </c>
      <c r="R10" s="390"/>
      <c r="S10" s="75"/>
    </row>
    <row r="11" spans="1:19" ht="12.75" customHeight="1">
      <c r="A11" s="375">
        <f t="shared" si="0"/>
        <v>7</v>
      </c>
      <c r="B11" s="384" t="s">
        <v>126</v>
      </c>
      <c r="C11" s="385">
        <v>33410</v>
      </c>
      <c r="D11" s="385">
        <v>37063</v>
      </c>
      <c r="E11" s="385">
        <v>35961</v>
      </c>
      <c r="F11" s="385" t="s">
        <v>122</v>
      </c>
      <c r="G11" s="385">
        <v>35961</v>
      </c>
      <c r="H11" s="386">
        <v>43266</v>
      </c>
      <c r="I11" s="389">
        <v>1748.99</v>
      </c>
      <c r="J11" s="388">
        <v>18900243</v>
      </c>
      <c r="R11" s="390"/>
      <c r="S11" s="75"/>
    </row>
    <row r="12" spans="1:19" ht="12.75" customHeight="1">
      <c r="A12" s="375">
        <f t="shared" si="0"/>
        <v>8</v>
      </c>
      <c r="B12" s="391" t="s">
        <v>41</v>
      </c>
      <c r="C12" s="385">
        <v>33616</v>
      </c>
      <c r="D12" s="385">
        <f>DATE(2022,1,12)</f>
        <v>44573</v>
      </c>
      <c r="E12" s="392">
        <v>37701</v>
      </c>
      <c r="F12" s="392"/>
      <c r="G12" s="392"/>
      <c r="H12" s="386">
        <f>DATE(2022,1,12)</f>
        <v>44573</v>
      </c>
      <c r="I12" s="389">
        <v>1141.08</v>
      </c>
      <c r="J12" s="388">
        <v>18900293</v>
      </c>
      <c r="R12" s="390"/>
      <c r="S12" s="75"/>
    </row>
    <row r="13" spans="1:19" ht="12.75" customHeight="1">
      <c r="A13" s="375">
        <f t="shared" si="0"/>
        <v>9</v>
      </c>
      <c r="B13" s="391" t="s">
        <v>42</v>
      </c>
      <c r="C13" s="385">
        <v>33616</v>
      </c>
      <c r="D13" s="385">
        <f>DATE(2022,1,13)</f>
        <v>44574</v>
      </c>
      <c r="E13" s="392">
        <v>37701</v>
      </c>
      <c r="F13" s="392"/>
      <c r="G13" s="392"/>
      <c r="H13" s="386">
        <f>DATE(2022,1,13)</f>
        <v>44574</v>
      </c>
      <c r="I13" s="389">
        <v>2662.56</v>
      </c>
      <c r="J13" s="388">
        <v>18900303</v>
      </c>
      <c r="K13" s="393"/>
      <c r="R13" s="390"/>
    </row>
    <row r="14" spans="1:19" ht="12.75" customHeight="1">
      <c r="A14" s="375">
        <f t="shared" si="0"/>
        <v>10</v>
      </c>
      <c r="B14" s="391" t="s">
        <v>113</v>
      </c>
      <c r="C14" s="385">
        <v>33828</v>
      </c>
      <c r="D14" s="385">
        <v>44785</v>
      </c>
      <c r="E14" s="392">
        <v>37770</v>
      </c>
      <c r="F14" s="392"/>
      <c r="G14" s="392"/>
      <c r="H14" s="386">
        <v>44785</v>
      </c>
      <c r="I14" s="389">
        <v>62485.68</v>
      </c>
      <c r="J14" s="388">
        <v>18900323</v>
      </c>
      <c r="R14" s="390"/>
    </row>
    <row r="15" spans="1:19" ht="12.75" customHeight="1">
      <c r="A15" s="375">
        <f t="shared" si="0"/>
        <v>11</v>
      </c>
      <c r="B15" s="391" t="s">
        <v>133</v>
      </c>
      <c r="C15" s="385">
        <v>34199</v>
      </c>
      <c r="D15" s="385">
        <v>45156</v>
      </c>
      <c r="E15" s="392">
        <v>37851</v>
      </c>
      <c r="H15" s="386">
        <v>45156</v>
      </c>
      <c r="I15" s="389">
        <v>10655.88</v>
      </c>
      <c r="J15" s="388">
        <v>18900353</v>
      </c>
      <c r="K15" s="393"/>
      <c r="R15" s="390"/>
    </row>
    <row r="16" spans="1:19" ht="12.75" customHeight="1">
      <c r="A16" s="375">
        <f t="shared" si="0"/>
        <v>12</v>
      </c>
      <c r="B16" s="384" t="s">
        <v>127</v>
      </c>
      <c r="C16" s="385">
        <v>33161</v>
      </c>
      <c r="D16" s="385">
        <v>35718</v>
      </c>
      <c r="E16" s="385">
        <v>34372</v>
      </c>
      <c r="F16" s="385" t="s">
        <v>123</v>
      </c>
      <c r="G16" s="385">
        <v>34366</v>
      </c>
      <c r="H16" s="386">
        <v>45323</v>
      </c>
      <c r="I16" s="389">
        <v>168880.08</v>
      </c>
      <c r="J16" s="388">
        <v>18900173</v>
      </c>
      <c r="R16" s="390"/>
    </row>
    <row r="17" spans="1:18" ht="12.75" customHeight="1">
      <c r="A17" s="375">
        <f t="shared" si="0"/>
        <v>13</v>
      </c>
      <c r="B17" s="384" t="s">
        <v>111</v>
      </c>
      <c r="C17" s="385">
        <v>35587</v>
      </c>
      <c r="D17" s="385">
        <v>46539</v>
      </c>
      <c r="E17" s="385">
        <v>38504</v>
      </c>
      <c r="F17" s="385"/>
      <c r="G17" s="385"/>
      <c r="H17" s="386">
        <v>46539</v>
      </c>
      <c r="I17" s="389">
        <v>229804.2</v>
      </c>
      <c r="J17" s="388">
        <v>18900193</v>
      </c>
      <c r="R17" s="390"/>
    </row>
    <row r="18" spans="1:18" ht="12.75" customHeight="1">
      <c r="A18" s="375">
        <f t="shared" si="0"/>
        <v>14</v>
      </c>
      <c r="B18" s="391" t="s">
        <v>37</v>
      </c>
      <c r="C18" s="385">
        <v>33457</v>
      </c>
      <c r="D18" s="385">
        <f>DATE(2021,8,1)</f>
        <v>44409</v>
      </c>
      <c r="E18" s="392">
        <v>37691</v>
      </c>
      <c r="F18" s="392" t="s">
        <v>124</v>
      </c>
      <c r="G18" s="392">
        <v>37691</v>
      </c>
      <c r="H18" s="386">
        <v>47908</v>
      </c>
      <c r="I18" s="389">
        <v>45480.480000000003</v>
      </c>
      <c r="J18" s="388">
        <v>18900253</v>
      </c>
      <c r="R18" s="389"/>
    </row>
    <row r="19" spans="1:18" ht="12.75" customHeight="1">
      <c r="A19" s="375">
        <f t="shared" si="0"/>
        <v>15</v>
      </c>
      <c r="B19" s="391" t="s">
        <v>38</v>
      </c>
      <c r="C19" s="385">
        <v>33457</v>
      </c>
      <c r="D19" s="385">
        <f>DATE(2021,8,1)</f>
        <v>44409</v>
      </c>
      <c r="E19" s="392">
        <v>37691</v>
      </c>
      <c r="F19" s="392" t="s">
        <v>124</v>
      </c>
      <c r="G19" s="392">
        <v>37691</v>
      </c>
      <c r="H19" s="386">
        <v>47908</v>
      </c>
      <c r="I19" s="389">
        <v>34561.440000000002</v>
      </c>
      <c r="J19" s="388">
        <v>18900263</v>
      </c>
      <c r="R19" s="389"/>
    </row>
    <row r="20" spans="1:18" ht="12.75" customHeight="1">
      <c r="A20" s="375">
        <f t="shared" si="0"/>
        <v>16</v>
      </c>
      <c r="B20" s="391" t="s">
        <v>39</v>
      </c>
      <c r="C20" s="385">
        <v>33664</v>
      </c>
      <c r="D20" s="385">
        <f>DATE(2022,3,1)</f>
        <v>44621</v>
      </c>
      <c r="E20" s="392">
        <v>37691</v>
      </c>
      <c r="F20" s="392" t="s">
        <v>124</v>
      </c>
      <c r="G20" s="392">
        <v>37691</v>
      </c>
      <c r="H20" s="386">
        <v>47908</v>
      </c>
      <c r="I20" s="389">
        <v>105825.48</v>
      </c>
      <c r="J20" s="388">
        <v>18900273</v>
      </c>
      <c r="R20" s="389"/>
    </row>
    <row r="21" spans="1:18" ht="12.75" customHeight="1">
      <c r="A21" s="375">
        <f t="shared" si="0"/>
        <v>17</v>
      </c>
      <c r="B21" s="391" t="s">
        <v>40</v>
      </c>
      <c r="C21" s="385">
        <v>33664</v>
      </c>
      <c r="D21" s="385">
        <f>DATE(2022,3,1)</f>
        <v>44621</v>
      </c>
      <c r="E21" s="392">
        <v>37691</v>
      </c>
      <c r="F21" s="392" t="s">
        <v>124</v>
      </c>
      <c r="G21" s="392">
        <v>37691</v>
      </c>
      <c r="H21" s="386">
        <v>47908</v>
      </c>
      <c r="I21" s="389">
        <v>32297.759999999998</v>
      </c>
      <c r="J21" s="388">
        <v>18900283</v>
      </c>
      <c r="R21" s="389"/>
    </row>
    <row r="22" spans="1:18" ht="12.75" customHeight="1">
      <c r="A22" s="375">
        <f t="shared" si="0"/>
        <v>18</v>
      </c>
      <c r="B22" s="391" t="s">
        <v>166</v>
      </c>
      <c r="C22" s="385">
        <v>37691</v>
      </c>
      <c r="D22" s="385">
        <v>47908</v>
      </c>
      <c r="E22" s="392">
        <v>41449</v>
      </c>
      <c r="F22" s="392" t="s">
        <v>167</v>
      </c>
      <c r="G22" s="392">
        <v>41417</v>
      </c>
      <c r="H22" s="386">
        <v>47908</v>
      </c>
      <c r="I22" s="389">
        <v>299128.68</v>
      </c>
      <c r="J22" s="388">
        <v>18900433</v>
      </c>
      <c r="R22" s="389"/>
    </row>
    <row r="23" spans="1:18" ht="12.75" customHeight="1">
      <c r="A23" s="375">
        <f t="shared" si="0"/>
        <v>19</v>
      </c>
      <c r="B23" s="391" t="s">
        <v>166</v>
      </c>
      <c r="C23" s="385">
        <v>37691</v>
      </c>
      <c r="D23" s="385">
        <v>47908</v>
      </c>
      <c r="E23" s="392">
        <v>41449</v>
      </c>
      <c r="F23" s="392" t="s">
        <v>167</v>
      </c>
      <c r="G23" s="392">
        <v>41417</v>
      </c>
      <c r="H23" s="386">
        <v>47908</v>
      </c>
      <c r="I23" s="389">
        <v>50553.24</v>
      </c>
      <c r="J23" s="388">
        <v>18900533</v>
      </c>
      <c r="R23" s="389"/>
    </row>
    <row r="24" spans="1:18" ht="12.75" customHeight="1">
      <c r="A24" s="375">
        <f>A23+1</f>
        <v>20</v>
      </c>
      <c r="B24" s="384" t="s">
        <v>89</v>
      </c>
      <c r="C24" s="385">
        <v>38183</v>
      </c>
      <c r="D24" s="385">
        <v>38913</v>
      </c>
      <c r="E24" s="385">
        <v>38499</v>
      </c>
      <c r="F24" s="385" t="s">
        <v>90</v>
      </c>
      <c r="G24" s="385">
        <v>38499</v>
      </c>
      <c r="H24" s="386">
        <v>49456</v>
      </c>
      <c r="I24" s="389">
        <f>17086.56</f>
        <v>17086.560000000001</v>
      </c>
      <c r="J24" s="388">
        <v>18900183</v>
      </c>
      <c r="R24" s="389"/>
    </row>
    <row r="25" spans="1:18" ht="12.75" customHeight="1">
      <c r="A25" s="375">
        <f t="shared" si="0"/>
        <v>21</v>
      </c>
      <c r="B25" s="384" t="s">
        <v>26</v>
      </c>
      <c r="C25" s="385">
        <v>37035</v>
      </c>
      <c r="D25" s="385">
        <v>51682</v>
      </c>
      <c r="E25" s="385">
        <v>38898</v>
      </c>
      <c r="F25" s="385" t="s">
        <v>125</v>
      </c>
      <c r="G25" s="385">
        <v>38898</v>
      </c>
      <c r="H25" s="386">
        <v>49841</v>
      </c>
      <c r="I25" s="389">
        <f>(16418.45*12)</f>
        <v>197021.40000000002</v>
      </c>
      <c r="J25" s="388">
        <v>18900373</v>
      </c>
      <c r="R25" s="389"/>
    </row>
    <row r="26" spans="1:18" ht="12.75" customHeight="1">
      <c r="A26" s="375">
        <f t="shared" si="0"/>
        <v>22</v>
      </c>
      <c r="B26" s="384" t="s">
        <v>160</v>
      </c>
      <c r="C26" s="385">
        <v>33117</v>
      </c>
      <c r="D26" s="385">
        <v>44075</v>
      </c>
      <c r="E26" s="385">
        <v>40900</v>
      </c>
      <c r="F26" s="385" t="s">
        <v>161</v>
      </c>
      <c r="G26" s="385">
        <v>40869</v>
      </c>
      <c r="H26" s="386">
        <v>55472</v>
      </c>
      <c r="I26" s="389">
        <v>400518.84</v>
      </c>
      <c r="J26" s="388">
        <v>18900393</v>
      </c>
      <c r="R26" s="389"/>
    </row>
    <row r="27" spans="1:18" ht="12.75" customHeight="1">
      <c r="A27" s="375">
        <f t="shared" si="0"/>
        <v>23</v>
      </c>
      <c r="B27" s="384" t="s">
        <v>171</v>
      </c>
      <c r="C27" s="385">
        <v>38637</v>
      </c>
      <c r="D27" s="385">
        <v>42278</v>
      </c>
      <c r="E27" s="385">
        <v>42160</v>
      </c>
      <c r="F27" s="385" t="s">
        <v>173</v>
      </c>
      <c r="G27" s="385">
        <v>42150</v>
      </c>
      <c r="H27" s="386">
        <v>53102</v>
      </c>
      <c r="I27" s="389">
        <v>82302.48</v>
      </c>
      <c r="J27" s="388">
        <v>18900203</v>
      </c>
      <c r="R27" s="389"/>
    </row>
    <row r="28" spans="1:18" ht="12.75" customHeight="1">
      <c r="A28" s="375">
        <f t="shared" si="0"/>
        <v>24</v>
      </c>
      <c r="B28" s="384" t="s">
        <v>172</v>
      </c>
      <c r="C28" s="385">
        <v>39836</v>
      </c>
      <c r="D28" s="385">
        <v>42384</v>
      </c>
      <c r="E28" s="385">
        <v>42160</v>
      </c>
      <c r="F28" s="385" t="s">
        <v>173</v>
      </c>
      <c r="G28" s="385">
        <v>42150</v>
      </c>
      <c r="H28" s="386">
        <v>53102</v>
      </c>
      <c r="I28" s="389">
        <v>316649.76</v>
      </c>
      <c r="J28" s="388">
        <v>18900213</v>
      </c>
      <c r="R28" s="389"/>
    </row>
    <row r="29" spans="1:18" ht="12.75" customHeight="1">
      <c r="A29" s="375">
        <f t="shared" si="0"/>
        <v>25</v>
      </c>
      <c r="B29" s="384" t="s">
        <v>110</v>
      </c>
      <c r="C29" s="385">
        <v>39237</v>
      </c>
      <c r="D29" s="385">
        <v>24624</v>
      </c>
      <c r="E29" s="385">
        <v>43217</v>
      </c>
      <c r="F29" s="385"/>
      <c r="G29" s="385"/>
      <c r="H29" s="386">
        <v>61149</v>
      </c>
      <c r="I29" s="389">
        <v>75166.02</v>
      </c>
      <c r="J29" s="388">
        <v>18900233</v>
      </c>
      <c r="R29" s="389"/>
    </row>
    <row r="30" spans="1:18" ht="12.75" customHeight="1">
      <c r="A30" s="375">
        <f t="shared" si="0"/>
        <v>26</v>
      </c>
      <c r="B30" s="384"/>
      <c r="C30" s="385"/>
      <c r="D30" s="385"/>
      <c r="E30" s="385"/>
      <c r="F30" s="385"/>
      <c r="G30" s="385"/>
      <c r="H30" s="386"/>
      <c r="I30" s="394"/>
      <c r="J30" s="388"/>
    </row>
    <row r="31" spans="1:18" ht="15" customHeight="1" thickBot="1">
      <c r="A31" s="375">
        <f t="shared" si="0"/>
        <v>27</v>
      </c>
      <c r="B31" s="395" t="s">
        <v>25</v>
      </c>
      <c r="C31" s="53"/>
      <c r="D31" s="53"/>
      <c r="E31" s="53"/>
      <c r="F31" s="53"/>
      <c r="G31" s="53"/>
      <c r="H31" s="53"/>
      <c r="I31" s="396">
        <f>SUM(I8:I30)</f>
        <v>2133970.61</v>
      </c>
      <c r="J31" s="55"/>
    </row>
    <row r="32" spans="1:18" ht="12.75" customHeight="1" thickTop="1">
      <c r="A32" s="375">
        <f t="shared" si="0"/>
        <v>28</v>
      </c>
      <c r="B32" s="56"/>
      <c r="C32" s="57"/>
      <c r="D32" s="57"/>
      <c r="E32" s="57"/>
      <c r="F32" s="57"/>
      <c r="G32" s="57"/>
      <c r="H32" s="57"/>
      <c r="I32" s="387"/>
      <c r="J32" s="54"/>
    </row>
    <row r="33" spans="1:10" ht="12.75" customHeight="1">
      <c r="A33" s="375">
        <f t="shared" si="0"/>
        <v>29</v>
      </c>
      <c r="B33" s="56" t="s">
        <v>180</v>
      </c>
      <c r="C33" s="57"/>
      <c r="D33" s="57"/>
      <c r="E33" s="57"/>
      <c r="F33" s="57"/>
      <c r="G33" s="57"/>
      <c r="H33" s="57"/>
      <c r="I33" s="389">
        <f>'Pg 1 Summary'!C30</f>
        <v>7860865544</v>
      </c>
      <c r="J33" s="54"/>
    </row>
    <row r="34" spans="1:10" ht="12.75" customHeight="1">
      <c r="A34" s="375">
        <f t="shared" si="0"/>
        <v>30</v>
      </c>
      <c r="B34" s="56"/>
      <c r="C34" s="57"/>
      <c r="D34" s="57"/>
      <c r="E34" s="57"/>
      <c r="F34" s="57"/>
      <c r="G34" s="57"/>
      <c r="H34" s="57"/>
      <c r="I34" s="387"/>
      <c r="J34" s="54"/>
    </row>
    <row r="35" spans="1:10" ht="12.75" customHeight="1">
      <c r="A35" s="375">
        <f t="shared" si="0"/>
        <v>31</v>
      </c>
      <c r="B35" s="56" t="s">
        <v>183</v>
      </c>
      <c r="C35" s="57"/>
      <c r="D35" s="57"/>
      <c r="E35" s="57"/>
      <c r="F35" s="57"/>
      <c r="G35" s="57"/>
      <c r="H35" s="57"/>
      <c r="I35" s="397">
        <f>ROUND(I31/I33,4)</f>
        <v>2.9999999999999997E-4</v>
      </c>
      <c r="J35" s="77"/>
    </row>
    <row r="36" spans="1:10" ht="12.75" customHeight="1">
      <c r="A36" s="375">
        <f t="shared" si="0"/>
        <v>32</v>
      </c>
      <c r="B36" s="56"/>
      <c r="C36" s="57"/>
      <c r="D36" s="57"/>
      <c r="E36" s="57"/>
      <c r="F36" s="57"/>
      <c r="G36" s="57"/>
      <c r="H36" s="57"/>
      <c r="I36" s="387"/>
      <c r="J36" s="54"/>
    </row>
    <row r="37" spans="1:10" ht="12.75" customHeight="1">
      <c r="A37" s="375">
        <f t="shared" si="0"/>
        <v>33</v>
      </c>
      <c r="C37" s="54"/>
      <c r="D37" s="54"/>
      <c r="E37" s="54"/>
      <c r="F37" s="54"/>
      <c r="G37" s="54"/>
      <c r="H37" s="398"/>
      <c r="I37" s="387"/>
      <c r="J37" s="54"/>
    </row>
    <row r="38" spans="1:10" ht="12.75" customHeight="1">
      <c r="A38" s="375">
        <f t="shared" si="0"/>
        <v>34</v>
      </c>
      <c r="B38" s="399"/>
      <c r="C38" s="64"/>
      <c r="D38" s="64"/>
      <c r="E38" s="64"/>
      <c r="F38" s="64"/>
      <c r="H38" s="32"/>
      <c r="I38" s="387"/>
    </row>
    <row r="39" spans="1:10" ht="12.75" customHeight="1">
      <c r="A39" s="375">
        <f t="shared" si="0"/>
        <v>35</v>
      </c>
      <c r="B39" s="54" t="s">
        <v>128</v>
      </c>
      <c r="H39" s="32"/>
      <c r="I39" s="387"/>
      <c r="J39" s="388"/>
    </row>
    <row r="40" spans="1:10" ht="12.75" customHeight="1">
      <c r="A40" s="375">
        <f t="shared" si="0"/>
        <v>36</v>
      </c>
      <c r="B40" s="400" t="s">
        <v>199</v>
      </c>
      <c r="H40" s="32"/>
      <c r="I40" s="32"/>
    </row>
    <row r="41" spans="1:10" ht="12.75" customHeight="1">
      <c r="A41" s="65"/>
      <c r="H41" s="32"/>
      <c r="I41" s="32"/>
    </row>
    <row r="42" spans="1:10" ht="12.75" customHeight="1">
      <c r="H42" s="32"/>
      <c r="I42" s="32"/>
    </row>
    <row r="43" spans="1:10" ht="12.75" customHeight="1">
      <c r="H43" s="32"/>
      <c r="I43" s="61"/>
    </row>
    <row r="44" spans="1:10" ht="12.75" customHeight="1">
      <c r="H44" s="32"/>
      <c r="I44" s="32"/>
    </row>
    <row r="45" spans="1:10" ht="12.75" customHeight="1">
      <c r="H45" s="32"/>
      <c r="I45" s="32"/>
    </row>
    <row r="46" spans="1:10" ht="12.75" customHeight="1">
      <c r="H46" s="32"/>
      <c r="I46" s="32"/>
    </row>
    <row r="47" spans="1:10" ht="12.75" customHeight="1">
      <c r="H47" s="32"/>
      <c r="I47" s="32"/>
    </row>
    <row r="48" spans="1:10" ht="12.75" customHeight="1">
      <c r="H48" s="32"/>
      <c r="I48" s="32"/>
    </row>
    <row r="49" spans="8:9" ht="12.75" customHeight="1">
      <c r="H49" s="32"/>
      <c r="I49" s="32"/>
    </row>
    <row r="50" spans="8:9" ht="12.75" customHeight="1">
      <c r="H50" s="32"/>
      <c r="I50" s="32"/>
    </row>
    <row r="51" spans="8:9" ht="12.75" customHeight="1">
      <c r="H51" s="32"/>
      <c r="I51" s="32"/>
    </row>
    <row r="52" spans="8:9" ht="12.75" customHeight="1"/>
    <row r="53" spans="8:9" ht="12.75" customHeight="1"/>
    <row r="54" spans="8:9" ht="12.75" customHeight="1"/>
    <row r="55" spans="8:9" ht="12.75" customHeight="1"/>
    <row r="56" spans="8:9" ht="12.75" customHeight="1"/>
    <row r="57" spans="8:9" ht="12.75" customHeight="1"/>
    <row r="58" spans="8:9" ht="12.75" customHeight="1"/>
  </sheetData>
  <mergeCells count="3">
    <mergeCell ref="A1:J1"/>
    <mergeCell ref="A2:J2"/>
    <mergeCell ref="A3:J3"/>
  </mergeCells>
  <phoneticPr fontId="13" type="noConversion"/>
  <printOptions horizontalCentered="1"/>
  <pageMargins left="0.25" right="0.25" top="1.25" bottom="0.75" header="0.3" footer="0.3"/>
  <pageSetup scale="91" orientation="landscape" r:id="rId1"/>
  <headerFooter scaleWithDoc="0" alignWithMargins="0">
    <oddFooter>&amp;R&amp;"Times New Roman,Regular"&amp;12Exh. MDM-3
Page 7 of 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2E86358-11A1-40C3-8D40-DA1C96D26A15}"/>
</file>

<file path=customXml/itemProps2.xml><?xml version="1.0" encoding="utf-8"?>
<ds:datastoreItem xmlns:ds="http://schemas.openxmlformats.org/officeDocument/2006/customXml" ds:itemID="{87C68D4A-3861-49BB-A939-9B9436B3E829}"/>
</file>

<file path=customXml/itemProps3.xml><?xml version="1.0" encoding="utf-8"?>
<ds:datastoreItem xmlns:ds="http://schemas.openxmlformats.org/officeDocument/2006/customXml" ds:itemID="{E7A44812-64A1-47FB-AD0E-139C5D4837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54A59C-B474-4495-8423-B2CA77E69CC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dc463f71-b30c-4ab2-9473-d307f9d35888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Pg 1 Summary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'Pg 1 Summary'!Print_Area</vt:lpstr>
      <vt:lpstr>'Pg 2 CapStructure'!Print_Area</vt:lpstr>
      <vt:lpstr>'Pg 4 STD OS &amp; Comm Fees'!Print_Area</vt:lpstr>
      <vt:lpstr>'Pg 5 STD Amort'!Print_Area</vt:lpstr>
      <vt:lpstr>'Pg 6 LTD Cost '!Print_Area</vt:lpstr>
      <vt:lpstr>'Pg 7 Reacquired Debt'!Print_Area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Dessalegn, Freh</dc:creator>
  <cp:lastModifiedBy>Puget Sound Energy</cp:lastModifiedBy>
  <dcterms:created xsi:type="dcterms:W3CDTF">2019-06-14T17:49:43Z</dcterms:created>
  <dcterms:modified xsi:type="dcterms:W3CDTF">2019-06-14T21:48:10Z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