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greg_hammond_utc_wa_gov/Documents/TG-180782 Freedom 2000 Compliance Filing/"/>
    </mc:Choice>
  </mc:AlternateContent>
  <xr:revisionPtr revIDLastSave="1" documentId="8_{26522A04-998E-44EA-B481-C3BB09B07DD3}" xr6:coauthVersionLast="45" xr6:coauthVersionMax="45" xr10:uidLastSave="{47AC8AAD-3385-467C-BFCE-50F19A640247}"/>
  <bookViews>
    <workbookView xWindow="-120" yWindow="-120" windowWidth="29040" windowHeight="15840" tabRatio="862" xr2:uid="{00000000-000D-0000-FFFF-FFFF00000000}"/>
  </bookViews>
  <sheets>
    <sheet name="Pro Forma IS" sheetId="45" r:id="rId1"/>
    <sheet name="Instructions" sheetId="66" r:id="rId2"/>
    <sheet name="Garbage LG 2019 " sheetId="39" r:id="rId3"/>
    <sheet name="Recycling LG 2019" sheetId="1" r:id="rId4"/>
    <sheet name="Assets" sheetId="23" r:id="rId5"/>
    <sheet name="Asset Verification" sheetId="58" r:id="rId6"/>
    <sheet name="Drive Hours Recap" sheetId="37" r:id="rId7"/>
    <sheet name="Price Out" sheetId="65" r:id="rId8"/>
    <sheet name="Tonnage and Disposal June 2020" sheetId="6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ACT1" localSheetId="5">[2]Hidden!#REF!</definedName>
    <definedName name="_ACT1" localSheetId="2">[2]Hidden!#REF!</definedName>
    <definedName name="_ACT1" localSheetId="7">[2]Hidden!#REF!</definedName>
    <definedName name="_ACT1">[2]Hidden!#REF!</definedName>
    <definedName name="_ACT1a" localSheetId="5">[2]Hidden!#REF!</definedName>
    <definedName name="_ACT1a" localSheetId="7">[2]Hidden!#REF!</definedName>
    <definedName name="_ACT1a">[2]Hidden!#REF!</definedName>
    <definedName name="_ACT1b" localSheetId="5">[2]Hidden!#REF!</definedName>
    <definedName name="_ACT1b" localSheetId="7">[2]Hidden!#REF!</definedName>
    <definedName name="_ACT1b">[2]Hidden!#REF!</definedName>
    <definedName name="_ACT2" localSheetId="5">[2]Hidden!#REF!</definedName>
    <definedName name="_ACT2" localSheetId="2">[2]Hidden!#REF!</definedName>
    <definedName name="_ACT2" localSheetId="7">[2]Hidden!#REF!</definedName>
    <definedName name="_ACT2">[2]Hidden!#REF!</definedName>
    <definedName name="_ACT3" localSheetId="5">[2]Hidden!#REF!</definedName>
    <definedName name="_ACT3" localSheetId="2">[2]Hidden!#REF!</definedName>
    <definedName name="_ACT3" localSheetId="7">[2]Hidden!#REF!</definedName>
    <definedName name="_ACT3">[2]Hidden!#REF!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LYA12">[1]Hidden!$O$11</definedName>
    <definedName name="a" localSheetId="5">#REF!</definedName>
    <definedName name="a" localSheetId="2">#REF!</definedName>
    <definedName name="a" localSheetId="7">#REF!</definedName>
    <definedName name="a">#REF!</definedName>
    <definedName name="ACCT" localSheetId="5">[2]Hidden!#REF!</definedName>
    <definedName name="ACCT" localSheetId="2">[2]Hidden!#REF!</definedName>
    <definedName name="ACCT" localSheetId="7">[2]Hidden!#REF!</definedName>
    <definedName name="ACCT">[2]Hidden!#REF!</definedName>
    <definedName name="ACCT.ConsolSum">[1]Hidden!$Q$11</definedName>
    <definedName name="ACT_CUR" localSheetId="5">[2]Hidden!#REF!</definedName>
    <definedName name="ACT_CUR" localSheetId="2">[2]Hidden!#REF!</definedName>
    <definedName name="ACT_CUR" localSheetId="7">[2]Hidden!#REF!</definedName>
    <definedName name="ACT_CUR">[2]Hidden!#REF!</definedName>
    <definedName name="ACT_YTD" localSheetId="5">[2]Hidden!#REF!</definedName>
    <definedName name="ACT_YTD" localSheetId="2">[2]Hidden!#REF!</definedName>
    <definedName name="ACT_YTD" localSheetId="7">[2]Hidden!#REF!</definedName>
    <definedName name="ACT_YTD">[2]Hidden!#REF!</definedName>
    <definedName name="AmountCount" localSheetId="5">#REF!</definedName>
    <definedName name="AmountCount" localSheetId="2">#REF!</definedName>
    <definedName name="AmountCount" localSheetId="7">#REF!</definedName>
    <definedName name="AmountCount">#REF!</definedName>
    <definedName name="AmountTotal" localSheetId="5">#REF!</definedName>
    <definedName name="AmountTotal" localSheetId="2">#REF!</definedName>
    <definedName name="AmountTotal" localSheetId="7">#REF!</definedName>
    <definedName name="AmountTotal">#REF!</definedName>
    <definedName name="BookRev">'[3]Pacific Regulated - Price Out'!$F$50</definedName>
    <definedName name="BookRev_com">'[3]Pacific Regulated - Price Out'!$F$214</definedName>
    <definedName name="BookRev_mfr">'[3]Pacific Regulated - Price Out'!$F$222</definedName>
    <definedName name="BookRev_ro">'[3]Pacific Regulated - Price Out'!$F$282</definedName>
    <definedName name="BookRev_rr">'[3]Pacific Regulated - Price Out'!$F$59</definedName>
    <definedName name="BookRev_yw">'[3]Pacific Regulated - Price Out'!$F$70</definedName>
    <definedName name="BREMAIR_COST_of_SERVICE_STUDY" localSheetId="5">#REF!</definedName>
    <definedName name="BREMAIR_COST_of_SERVICE_STUDY" localSheetId="2">#REF!</definedName>
    <definedName name="BREMAIR_COST_of_SERVICE_STUDY" localSheetId="7">#REF!</definedName>
    <definedName name="BREMAIR_COST_of_SERVICE_STUDY">#REF!</definedName>
    <definedName name="BUD_CUR" localSheetId="5">[2]Hidden!#REF!</definedName>
    <definedName name="BUD_CUR" localSheetId="2">[2]Hidden!#REF!</definedName>
    <definedName name="BUD_CUR" localSheetId="7">[2]Hidden!#REF!</definedName>
    <definedName name="BUD_CUR">[2]Hidden!#REF!</definedName>
    <definedName name="BUD_YTD" localSheetId="5">[2]Hidden!#REF!</definedName>
    <definedName name="BUD_YTD" localSheetId="2">[2]Hidden!#REF!</definedName>
    <definedName name="BUD_YTD" localSheetId="7">[2]Hidden!#REF!</definedName>
    <definedName name="BUD_YTD">[2]Hidden!#REF!</definedName>
    <definedName name="CheckTotals" localSheetId="5">#REF!</definedName>
    <definedName name="CheckTotals" localSheetId="2">#REF!</definedName>
    <definedName name="CheckTotals" localSheetId="7">#REF!</definedName>
    <definedName name="CheckTotals">#REF!</definedName>
    <definedName name="colgroup">[1]Orientation!$G$6</definedName>
    <definedName name="colsegment">[1]Orientation!$F$6</definedName>
    <definedName name="CRCTable" localSheetId="5">#REF!</definedName>
    <definedName name="CRCTable" localSheetId="2">#REF!</definedName>
    <definedName name="CRCTable" localSheetId="7">#REF!</definedName>
    <definedName name="CRCTable">#REF!</definedName>
    <definedName name="CRCTableOLD" localSheetId="5">#REF!</definedName>
    <definedName name="CRCTableOLD" localSheetId="2">#REF!</definedName>
    <definedName name="CRCTableOLD" localSheetId="7">#REF!</definedName>
    <definedName name="CRCTableOLD">#REF!</definedName>
    <definedName name="CriteriaType">[4]ControlPanel!$Z$2:$Z$5</definedName>
    <definedName name="Cutomers" localSheetId="5">#REF!</definedName>
    <definedName name="Cutomers" localSheetId="2">#REF!</definedName>
    <definedName name="Cutomers" localSheetId="7">#REF!</definedName>
    <definedName name="Cutomers">#REF!</definedName>
    <definedName name="_xlnm.Database" localSheetId="5">#REF!</definedName>
    <definedName name="_xlnm.Database" localSheetId="2">#REF!</definedName>
    <definedName name="_xlnm.Database" localSheetId="7">#REF!</definedName>
    <definedName name="_xlnm.Database">#REF!</definedName>
    <definedName name="Database1" localSheetId="5">#REF!</definedName>
    <definedName name="Database1" localSheetId="2">#REF!</definedName>
    <definedName name="Database1" localSheetId="7">#REF!</definedName>
    <definedName name="Database1">#REF!</definedName>
    <definedName name="Debt_Rate" localSheetId="2">'Garbage LG 2019 '!$K$27</definedName>
    <definedName name="Debt_Rate" localSheetId="3">'Recycling LG 2019'!$K$27</definedName>
    <definedName name="debtP" localSheetId="2">'Garbage LG 2019 '!$I$27</definedName>
    <definedName name="debtP" localSheetId="3">'Recycling LG 2019'!$I$27</definedName>
    <definedName name="DEPT" localSheetId="5">[2]Hidden!#REF!</definedName>
    <definedName name="DEPT" localSheetId="2">[2]Hidden!#REF!</definedName>
    <definedName name="DEPT" localSheetId="7">[2]Hidden!#REF!</definedName>
    <definedName name="DEPT">[2]Hidden!#REF!</definedName>
    <definedName name="District" localSheetId="5">'[5]Vashon BS'!#REF!</definedName>
    <definedName name="District" localSheetId="2">'[5]Vashon BS'!#REF!</definedName>
    <definedName name="District" localSheetId="7">'[5]Vashon BS'!#REF!</definedName>
    <definedName name="District">'[5]Vashon BS'!#REF!</definedName>
    <definedName name="DistrictNum" localSheetId="5">#REF!</definedName>
    <definedName name="DistrictNum" localSheetId="2">#REF!</definedName>
    <definedName name="DistrictNum" localSheetId="7">#REF!</definedName>
    <definedName name="DistrictNum">#REF!</definedName>
    <definedName name="drlFilter">[1]Settings!$D$27</definedName>
    <definedName name="End" localSheetId="5">#REF!</definedName>
    <definedName name="End" localSheetId="2">#REF!</definedName>
    <definedName name="End" localSheetId="7">#REF!</definedName>
    <definedName name="End">#REF!</definedName>
    <definedName name="Equity_percent" localSheetId="2">'Garbage LG 2019 '!$S$58</definedName>
    <definedName name="Equity_percent" localSheetId="3">'Recycling LG 2019'!$S$58</definedName>
    <definedName name="equityP" localSheetId="2">'Garbage LG 2019 '!$I$26</definedName>
    <definedName name="equityP" localSheetId="3">'Recycling LG 2019'!$I$26</definedName>
    <definedName name="ExcludeIC" localSheetId="5">'[5]Vashon BS'!#REF!</definedName>
    <definedName name="ExcludeIC" localSheetId="2">'[5]Vashon BS'!#REF!</definedName>
    <definedName name="ExcludeIC" localSheetId="7">'[5]Vashon BS'!#REF!</definedName>
    <definedName name="ExcludeIC">'[5]Vashon BS'!#REF!</definedName>
    <definedName name="expenses" localSheetId="2">'Garbage LG 2019 '!$I$8</definedName>
    <definedName name="expenses" localSheetId="3">'Recycling LG 2019'!$I$8</definedName>
    <definedName name="FBTable" localSheetId="5">#REF!</definedName>
    <definedName name="FBTable" localSheetId="2">#REF!</definedName>
    <definedName name="FBTable" localSheetId="7">#REF!</definedName>
    <definedName name="FBTable">#REF!</definedName>
    <definedName name="FBTableOld" localSheetId="5">#REF!</definedName>
    <definedName name="FBTableOld" localSheetId="2">#REF!</definedName>
    <definedName name="FBTableOld" localSheetId="7">#REF!</definedName>
    <definedName name="FBTableOld">#REF!</definedName>
    <definedName name="FICA">'[6]Tax &amp; Ben'!$H$6</definedName>
    <definedName name="filter">[1]Settings!$B$14:$H$25</definedName>
    <definedName name="GLMappingStart" localSheetId="5">#REF!</definedName>
    <definedName name="GLMappingStart" localSheetId="2">#REF!</definedName>
    <definedName name="GLMappingStart" localSheetId="7">#REF!</definedName>
    <definedName name="GLMappingStart">#REF!</definedName>
    <definedName name="IncomeStmnt" localSheetId="5">#REF!</definedName>
    <definedName name="IncomeStmnt" localSheetId="2">#REF!</definedName>
    <definedName name="IncomeStmnt" localSheetId="7">#REF!</definedName>
    <definedName name="IncomeStmnt">#REF!</definedName>
    <definedName name="INPUT" localSheetId="5">#REF!</definedName>
    <definedName name="INPUT" localSheetId="2">'Garbage LG 2019 '!#REF!</definedName>
    <definedName name="INPUT" localSheetId="1">#REF!</definedName>
    <definedName name="INPUT" localSheetId="7">#REF!</definedName>
    <definedName name="INPUT" localSheetId="3">'Recycling LG 2019'!#REF!</definedName>
    <definedName name="INPUT">#REF!</definedName>
    <definedName name="INPUTc" localSheetId="5">#REF!</definedName>
    <definedName name="INPUTc" localSheetId="2">#REF!</definedName>
    <definedName name="INPUTc" localSheetId="1">#REF!</definedName>
    <definedName name="INPUTc" localSheetId="7">#REF!</definedName>
    <definedName name="INPUTc">#REF!</definedName>
    <definedName name="Insurance" localSheetId="5">#REF!</definedName>
    <definedName name="Insurance" localSheetId="2">#REF!</definedName>
    <definedName name="Insurance" localSheetId="7">#REF!</definedName>
    <definedName name="Insurance">#REF!</definedName>
    <definedName name="Investment" localSheetId="2">'Garbage LG 2019 '!$J$28</definedName>
    <definedName name="Investment" localSheetId="3">'Recycling LG 2019'!$J$28</definedName>
    <definedName name="JEDetail" localSheetId="5">#REF!</definedName>
    <definedName name="JEDetail" localSheetId="2">#REF!</definedName>
    <definedName name="JEDetail" localSheetId="7">#REF!</definedName>
    <definedName name="JEDetail">#REF!</definedName>
    <definedName name="JEType" localSheetId="5">#REF!</definedName>
    <definedName name="JEType" localSheetId="2">#REF!</definedName>
    <definedName name="JEType" localSheetId="7">#REF!</definedName>
    <definedName name="JEType">#REF!</definedName>
    <definedName name="lblBillAreaStatus" localSheetId="5">#REF!</definedName>
    <definedName name="lblBillAreaStatus" localSheetId="2">#REF!</definedName>
    <definedName name="lblBillAreaStatus" localSheetId="7">#REF!</definedName>
    <definedName name="lblBillAreaStatus">#REF!</definedName>
    <definedName name="lblBillCycleStatus" localSheetId="5">#REF!</definedName>
    <definedName name="lblBillCycleStatus" localSheetId="2">#REF!</definedName>
    <definedName name="lblBillCycleStatus" localSheetId="7">#REF!</definedName>
    <definedName name="lblBillCycleStatus">#REF!</definedName>
    <definedName name="lblCategoryStatus" localSheetId="5">#REF!</definedName>
    <definedName name="lblCategoryStatus" localSheetId="2">#REF!</definedName>
    <definedName name="lblCategoryStatus" localSheetId="7">#REF!</definedName>
    <definedName name="lblCategoryStatus">#REF!</definedName>
    <definedName name="lblCompanyStatus" localSheetId="5">#REF!</definedName>
    <definedName name="lblCompanyStatus" localSheetId="2">#REF!</definedName>
    <definedName name="lblCompanyStatus" localSheetId="7">#REF!</definedName>
    <definedName name="lblCompanyStatus">#REF!</definedName>
    <definedName name="lblDatabaseStatus" localSheetId="5">#REF!</definedName>
    <definedName name="lblDatabaseStatus" localSheetId="2">#REF!</definedName>
    <definedName name="lblDatabaseStatus" localSheetId="7">#REF!</definedName>
    <definedName name="lblDatabaseStatus">#REF!</definedName>
    <definedName name="lblPullStatus" localSheetId="5">#REF!</definedName>
    <definedName name="lblPullStatus" localSheetId="2">#REF!</definedName>
    <definedName name="lblPullStatus" localSheetId="7">#REF!</definedName>
    <definedName name="lblPullStatus">#REF!</definedName>
    <definedName name="lllllllllllllllllllll" localSheetId="5">#REF!</definedName>
    <definedName name="lllllllllllllllllllll" localSheetId="2">#REF!</definedName>
    <definedName name="lllllllllllllllllllll" localSheetId="7">#REF!</definedName>
    <definedName name="lllllllllllllllllllll">#REF!</definedName>
    <definedName name="MainDataEnd" localSheetId="5">#REF!</definedName>
    <definedName name="MainDataEnd" localSheetId="2">#REF!</definedName>
    <definedName name="MainDataEnd" localSheetId="7">#REF!</definedName>
    <definedName name="MainDataEnd">#REF!</definedName>
    <definedName name="MainDataStart" localSheetId="5">#REF!</definedName>
    <definedName name="MainDataStart" localSheetId="2">#REF!</definedName>
    <definedName name="MainDataStart" localSheetId="7">#REF!</definedName>
    <definedName name="MainDataStart">#REF!</definedName>
    <definedName name="MapKeyStart" localSheetId="5">#REF!</definedName>
    <definedName name="MapKeyStart" localSheetId="2">#REF!</definedName>
    <definedName name="MapKeyStart" localSheetId="7">#REF!</definedName>
    <definedName name="MapKeyStart">#REF!</definedName>
    <definedName name="master_def" localSheetId="5">#REF!</definedName>
    <definedName name="master_def" localSheetId="2">#REF!</definedName>
    <definedName name="master_def" localSheetId="7">#REF!</definedName>
    <definedName name="master_def">#REF!</definedName>
    <definedName name="MemoAttachment" localSheetId="5">#REF!</definedName>
    <definedName name="MemoAttachment" localSheetId="2">#REF!</definedName>
    <definedName name="MemoAttachment" localSheetId="7">#REF!</definedName>
    <definedName name="MemoAttachment">#REF!</definedName>
    <definedName name="MetaSet">[1]Orientation!$C$22</definedName>
    <definedName name="NewOnlyOrg">#N/A</definedName>
    <definedName name="NOTES" localSheetId="5">#REF!</definedName>
    <definedName name="NOTES" localSheetId="2">#REF!</definedName>
    <definedName name="NOTES" localSheetId="7">#REF!</definedName>
    <definedName name="NOTES">#REF!</definedName>
    <definedName name="NR" localSheetId="5">#REF!</definedName>
    <definedName name="NR" localSheetId="2">#REF!</definedName>
    <definedName name="NR" localSheetId="7">#REF!</definedName>
    <definedName name="NR">#REF!</definedName>
    <definedName name="OfficerSalary">#N/A</definedName>
    <definedName name="OffsetAcctBil">[7]JEexport!$L$10</definedName>
    <definedName name="OffsetAcctPmt">[7]JEexport!$L$9</definedName>
    <definedName name="Org11_13">#N/A</definedName>
    <definedName name="Org7_10">#N/A</definedName>
    <definedName name="p" localSheetId="5">#REF!</definedName>
    <definedName name="p" localSheetId="2">#REF!</definedName>
    <definedName name="p" localSheetId="7">#REF!</definedName>
    <definedName name="p">#REF!</definedName>
    <definedName name="PAGE_1" localSheetId="5">#REF!</definedName>
    <definedName name="PAGE_1" localSheetId="2">#REF!</definedName>
    <definedName name="PAGE_1" localSheetId="7">#REF!</definedName>
    <definedName name="PAGE_1">#REF!</definedName>
    <definedName name="pBatchID" localSheetId="5">#REF!</definedName>
    <definedName name="pBatchID" localSheetId="2">#REF!</definedName>
    <definedName name="pBatchID" localSheetId="7">#REF!</definedName>
    <definedName name="pBatchID">#REF!</definedName>
    <definedName name="pBillArea" localSheetId="5">#REF!</definedName>
    <definedName name="pBillArea" localSheetId="2">#REF!</definedName>
    <definedName name="pBillArea" localSheetId="7">#REF!</definedName>
    <definedName name="pBillArea">#REF!</definedName>
    <definedName name="pBillCycle" localSheetId="5">#REF!</definedName>
    <definedName name="pBillCycle" localSheetId="2">#REF!</definedName>
    <definedName name="pBillCycle" localSheetId="7">#REF!</definedName>
    <definedName name="pBillCycle">#REF!</definedName>
    <definedName name="pCategory" localSheetId="5">#REF!</definedName>
    <definedName name="pCategory" localSheetId="2">#REF!</definedName>
    <definedName name="pCategory" localSheetId="7">#REF!</definedName>
    <definedName name="pCategory">#REF!</definedName>
    <definedName name="pCompany" localSheetId="5">#REF!</definedName>
    <definedName name="pCompany" localSheetId="2">#REF!</definedName>
    <definedName name="pCompany" localSheetId="7">#REF!</definedName>
    <definedName name="pCompany">#REF!</definedName>
    <definedName name="pCustomerNumber" localSheetId="5">#REF!</definedName>
    <definedName name="pCustomerNumber" localSheetId="2">#REF!</definedName>
    <definedName name="pCustomerNumber" localSheetId="7">#REF!</definedName>
    <definedName name="pCustomerNumber">#REF!</definedName>
    <definedName name="pDatabase" localSheetId="5">#REF!</definedName>
    <definedName name="pDatabase" localSheetId="2">#REF!</definedName>
    <definedName name="pDatabase" localSheetId="7">#REF!</definedName>
    <definedName name="pDatabase">#REF!</definedName>
    <definedName name="pEndPostDate" localSheetId="5">#REF!</definedName>
    <definedName name="pEndPostDate" localSheetId="2">#REF!</definedName>
    <definedName name="pEndPostDate" localSheetId="7">#REF!</definedName>
    <definedName name="pEndPostDate">#REF!</definedName>
    <definedName name="Period" localSheetId="5">#REF!</definedName>
    <definedName name="Period" localSheetId="2">#REF!</definedName>
    <definedName name="Period" localSheetId="7">#REF!</definedName>
    <definedName name="Period">#REF!</definedName>
    <definedName name="Pfd_weighted" localSheetId="2">'Garbage LG 2019 '!$U$57</definedName>
    <definedName name="Pfd_weighted" localSheetId="3">'Recycling LG 2019'!$U$57</definedName>
    <definedName name="pMonth" localSheetId="5">#REF!</definedName>
    <definedName name="pMonth" localSheetId="2">#REF!</definedName>
    <definedName name="pMonth" localSheetId="7">#REF!</definedName>
    <definedName name="pMonth">#REF!</definedName>
    <definedName name="pOnlyShowLastTranx" localSheetId="5">#REF!</definedName>
    <definedName name="pOnlyShowLastTranx" localSheetId="2">#REF!</definedName>
    <definedName name="pOnlyShowLastTranx" localSheetId="7">#REF!</definedName>
    <definedName name="pOnlyShowLastTranx">#REF!</definedName>
    <definedName name="primtbl">[1]Orientation!$C$23</definedName>
    <definedName name="_xlnm.Print_Area" localSheetId="5">#REF!</definedName>
    <definedName name="_xlnm.Print_Area" localSheetId="2">'Garbage LG 2019 '!$F$2:$N$49</definedName>
    <definedName name="_xlnm.Print_Area" localSheetId="7">#REF!</definedName>
    <definedName name="_xlnm.Print_Area" localSheetId="3">'Recycling LG 2019'!$F$2:$N$49</definedName>
    <definedName name="_xlnm.Print_Area">#REF!</definedName>
    <definedName name="Print_Area_MI" localSheetId="5">#REF!</definedName>
    <definedName name="Print_Area_MI" localSheetId="2">#REF!</definedName>
    <definedName name="Print_Area_MI" localSheetId="1">#REF!</definedName>
    <definedName name="Print_Area_MI" localSheetId="7">#REF!</definedName>
    <definedName name="Print_Area_MI">#REF!</definedName>
    <definedName name="Print_Area_MIc" localSheetId="5">#REF!</definedName>
    <definedName name="Print_Area_MIc" localSheetId="2">#REF!</definedName>
    <definedName name="Print_Area_MIc" localSheetId="1">#REF!</definedName>
    <definedName name="Print_Area_MIc" localSheetId="7">#REF!</definedName>
    <definedName name="Print_Area_MIc">#REF!</definedName>
    <definedName name="Print_Area1" localSheetId="5">#REF!</definedName>
    <definedName name="Print_Area1" localSheetId="2">#REF!</definedName>
    <definedName name="Print_Area1" localSheetId="7">#REF!</definedName>
    <definedName name="Print_Area1">#REF!</definedName>
    <definedName name="Print_Area2" localSheetId="5">#REF!</definedName>
    <definedName name="Print_Area2" localSheetId="2">#REF!</definedName>
    <definedName name="Print_Area2" localSheetId="7">#REF!</definedName>
    <definedName name="Print_Area2">#REF!</definedName>
    <definedName name="Print_Area3" localSheetId="5">#REF!</definedName>
    <definedName name="Print_Area3" localSheetId="2">#REF!</definedName>
    <definedName name="Print_Area3" localSheetId="7">#REF!</definedName>
    <definedName name="Print_Area3">#REF!</definedName>
    <definedName name="Print_Area5" localSheetId="5">#REF!</definedName>
    <definedName name="Print_Area5" localSheetId="2">#REF!</definedName>
    <definedName name="Print_Area5" localSheetId="7">#REF!</definedName>
    <definedName name="Print_Area5">#REF!</definedName>
    <definedName name="Print1" localSheetId="5">#REF!</definedName>
    <definedName name="Print1" localSheetId="2">#REF!</definedName>
    <definedName name="Print1" localSheetId="7">#REF!</definedName>
    <definedName name="Print1">#REF!</definedName>
    <definedName name="Print2" localSheetId="5">#REF!</definedName>
    <definedName name="Print2" localSheetId="2">#REF!</definedName>
    <definedName name="Print2" localSheetId="7">#REF!</definedName>
    <definedName name="Print2">#REF!</definedName>
    <definedName name="Print5" localSheetId="5">#REF!</definedName>
    <definedName name="Print5" localSheetId="2">#REF!</definedName>
    <definedName name="Print5" localSheetId="7">#REF!</definedName>
    <definedName name="Print5">#REF!</definedName>
    <definedName name="ProRev">'[3]Pacific Regulated - Price Out'!$M$49</definedName>
    <definedName name="ProRev_com">'[3]Pacific Regulated - Price Out'!$M$213</definedName>
    <definedName name="ProRev_mfr">'[3]Pacific Regulated - Price Out'!$M$221</definedName>
    <definedName name="ProRev_ro">'[3]Pacific Regulated - Price Out'!$M$281</definedName>
    <definedName name="ProRev_rr">'[3]Pacific Regulated - Price Out'!$M$58</definedName>
    <definedName name="ProRev_yw">'[3]Pacific Regulated - Price Out'!$M$69</definedName>
    <definedName name="pServer" localSheetId="5">#REF!</definedName>
    <definedName name="pServer" localSheetId="2">#REF!</definedName>
    <definedName name="pServer" localSheetId="7">#REF!</definedName>
    <definedName name="pServer">#REF!</definedName>
    <definedName name="pServiceCode" localSheetId="5">#REF!</definedName>
    <definedName name="pServiceCode" localSheetId="2">#REF!</definedName>
    <definedName name="pServiceCode" localSheetId="7">#REF!</definedName>
    <definedName name="pServiceCode">#REF!</definedName>
    <definedName name="pShowAllUnposted" localSheetId="5">#REF!</definedName>
    <definedName name="pShowAllUnposted" localSheetId="2">#REF!</definedName>
    <definedName name="pShowAllUnposted" localSheetId="7">#REF!</definedName>
    <definedName name="pShowAllUnposted">#REF!</definedName>
    <definedName name="pShowCustomerDetail" localSheetId="5">#REF!</definedName>
    <definedName name="pShowCustomerDetail" localSheetId="2">#REF!</definedName>
    <definedName name="pShowCustomerDetail" localSheetId="7">#REF!</definedName>
    <definedName name="pShowCustomerDetail">#REF!</definedName>
    <definedName name="pSortOption" localSheetId="5">#REF!</definedName>
    <definedName name="pSortOption" localSheetId="2">#REF!</definedName>
    <definedName name="pSortOption" localSheetId="7">#REF!</definedName>
    <definedName name="pSortOption">#REF!</definedName>
    <definedName name="pStartPostDate" localSheetId="5">#REF!</definedName>
    <definedName name="pStartPostDate" localSheetId="2">#REF!</definedName>
    <definedName name="pStartPostDate" localSheetId="7">#REF!</definedName>
    <definedName name="pStartPostDate">#REF!</definedName>
    <definedName name="pTransType" localSheetId="5">#REF!</definedName>
    <definedName name="pTransType" localSheetId="2">#REF!</definedName>
    <definedName name="pTransType" localSheetId="7">#REF!</definedName>
    <definedName name="pTransType">#REF!</definedName>
    <definedName name="RCW_81.04.080">#N/A</definedName>
    <definedName name="RecyDisposal">#N/A</definedName>
    <definedName name="regDebt_weighted" localSheetId="2">'Garbage LG 2019 '!$U$56</definedName>
    <definedName name="regDebt_weighted" localSheetId="3">'Recycling LG 2019'!$U$56</definedName>
    <definedName name="RelatedSalary">#N/A</definedName>
    <definedName name="report_type">[1]Orientation!$C$24</definedName>
    <definedName name="ReportNames">[4]ControlPanel!$X$2:$X$8</definedName>
    <definedName name="ReportVersion">[1]Settings!$D$5</definedName>
    <definedName name="RetainedEarnings" localSheetId="5">#REF!</definedName>
    <definedName name="RetainedEarnings" localSheetId="2">#REF!</definedName>
    <definedName name="RetainedEarnings" localSheetId="7">#REF!</definedName>
    <definedName name="RetainedEarnings">#REF!</definedName>
    <definedName name="RevCust" localSheetId="5">[8]RevenuesCust!#REF!</definedName>
    <definedName name="RevCust" localSheetId="2">[8]RevenuesCust!#REF!</definedName>
    <definedName name="RevCust" localSheetId="7">[8]RevenuesCust!#REF!</definedName>
    <definedName name="RevCust">[8]RevenuesCust!#REF!</definedName>
    <definedName name="Revenue" localSheetId="2">'Garbage LG 2019 '!$I$7</definedName>
    <definedName name="Revenue" localSheetId="3">'Recycling LG 2019'!$I$7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lope" localSheetId="2">'Garbage LG 2019 '!$Y$58</definedName>
    <definedName name="slope" localSheetId="1">'[13]LG Nonpublic 2018 V5.0'!$X$58</definedName>
    <definedName name="slope" localSheetId="7">#REF!</definedName>
    <definedName name="slope">'Recycling LG 2019'!$Y$58</definedName>
    <definedName name="sortcol" localSheetId="5">#REF!</definedName>
    <definedName name="sortcol" localSheetId="2">#REF!</definedName>
    <definedName name="sortcol" localSheetId="7">#REF!</definedName>
    <definedName name="sortcol">#REF!</definedName>
    <definedName name="sSRCDate" localSheetId="5">'[9]Feb''12 FAR Data'!#REF!</definedName>
    <definedName name="sSRCDate" localSheetId="2">'[9]Feb''12 FAR Data'!#REF!</definedName>
    <definedName name="sSRCDate" localSheetId="7">'[9]Feb''12 FAR Data'!#REF!</definedName>
    <definedName name="sSRCDate">'[9]Feb''12 FAR Data'!#REF!</definedName>
    <definedName name="Supplemental_filter">[1]Settings!$C$31</definedName>
    <definedName name="SWDisposal">#N/A</definedName>
    <definedName name="System">[10]BS_Close!$V$8</definedName>
    <definedName name="taxrate" localSheetId="2">'Garbage LG 2019 '!$J$38</definedName>
    <definedName name="taxrate" localSheetId="3">'Recycling LG 2019'!$J$38</definedName>
    <definedName name="TemplateEnd" localSheetId="5">#REF!</definedName>
    <definedName name="TemplateEnd" localSheetId="2">#REF!</definedName>
    <definedName name="TemplateEnd" localSheetId="7">#REF!</definedName>
    <definedName name="TemplateEnd">#REF!</definedName>
    <definedName name="TemplateStart" localSheetId="5">#REF!</definedName>
    <definedName name="TemplateStart" localSheetId="2">#REF!</definedName>
    <definedName name="TemplateStart" localSheetId="7">#REF!</definedName>
    <definedName name="TemplateStart">#REF!</definedName>
    <definedName name="TheTable" localSheetId="5">#REF!</definedName>
    <definedName name="TheTable" localSheetId="2">#REF!</definedName>
    <definedName name="TheTable" localSheetId="7">#REF!</definedName>
    <definedName name="TheTable">#REF!</definedName>
    <definedName name="TheTableOLD" localSheetId="5">#REF!</definedName>
    <definedName name="TheTableOLD" localSheetId="2">#REF!</definedName>
    <definedName name="TheTableOLD" localSheetId="7">#REF!</definedName>
    <definedName name="TheTableOLD">#REF!</definedName>
    <definedName name="timeseries">[1]Orientation!$B$6:$C$13</definedName>
    <definedName name="Transactions" localSheetId="5">#REF!</definedName>
    <definedName name="Transactions" localSheetId="2">#REF!</definedName>
    <definedName name="Transactions" localSheetId="7">#REF!</definedName>
    <definedName name="Transactions">#REF!</definedName>
    <definedName name="WTable" localSheetId="5">#REF!</definedName>
    <definedName name="WTable" localSheetId="2">#REF!</definedName>
    <definedName name="WTable" localSheetId="7">#REF!</definedName>
    <definedName name="WTable">#REF!</definedName>
    <definedName name="WTableOld" localSheetId="5">#REF!</definedName>
    <definedName name="WTableOld" localSheetId="2">#REF!</definedName>
    <definedName name="WTableOld" localSheetId="7">#REF!</definedName>
    <definedName name="WTableOld">#REF!</definedName>
    <definedName name="ww" localSheetId="5">#REF!</definedName>
    <definedName name="ww" localSheetId="2">#REF!</definedName>
    <definedName name="ww" localSheetId="7">#REF!</definedName>
    <definedName name="ww">#REF!</definedName>
    <definedName name="xperiod">[1]Orientation!$G$15</definedName>
    <definedName name="xtabin" localSheetId="5">[2]Hidden!#REF!</definedName>
    <definedName name="xtabin" localSheetId="2">[2]Hidden!#REF!</definedName>
    <definedName name="xtabin" localSheetId="7">[2]Hidden!#REF!</definedName>
    <definedName name="xtabin">[2]Hidden!#REF!</definedName>
    <definedName name="xx" localSheetId="5">#REF!</definedName>
    <definedName name="xx" localSheetId="2">#REF!</definedName>
    <definedName name="xx" localSheetId="7">#REF!</definedName>
    <definedName name="xx">#REF!</definedName>
    <definedName name="xxx" localSheetId="5">#REF!</definedName>
    <definedName name="xxx" localSheetId="2">#REF!</definedName>
    <definedName name="xxx" localSheetId="7">#REF!</definedName>
    <definedName name="xxx">#REF!</definedName>
    <definedName name="xxxx" localSheetId="5">#REF!</definedName>
    <definedName name="xxxx" localSheetId="2">#REF!</definedName>
    <definedName name="xxxx" localSheetId="7">#REF!</definedName>
    <definedName name="xxxx">#REF!</definedName>
    <definedName name="y_inter1" localSheetId="2">'Garbage LG 2019 '!$X$55</definedName>
    <definedName name="y_inter1" localSheetId="1">'[13]LG Nonpublic 2018 V5.0'!$W$55</definedName>
    <definedName name="y_inter1" localSheetId="7">#REF!</definedName>
    <definedName name="y_inter1">'Recycling LG 2019'!$X$55</definedName>
    <definedName name="y_inter2" localSheetId="2">'Garbage LG 2019 '!$X$56</definedName>
    <definedName name="y_inter2" localSheetId="1">'[13]LG Nonpublic 2018 V5.0'!$W$56</definedName>
    <definedName name="y_inter2" localSheetId="7">#REF!</definedName>
    <definedName name="y_inter2">'Recycling LG 2019'!$X$56</definedName>
    <definedName name="y_inter3" localSheetId="2">'Garbage LG 2019 '!$Z$55</definedName>
    <definedName name="y_inter3" localSheetId="1">'[13]LG Nonpublic 2018 V5.0'!$Y$55</definedName>
    <definedName name="y_inter3" localSheetId="7">#REF!</definedName>
    <definedName name="y_inter3">'Recycling LG 2019'!$Z$55</definedName>
    <definedName name="y_inter4" localSheetId="2">'Garbage LG 2019 '!$Z$56</definedName>
    <definedName name="y_inter4" localSheetId="1">'[13]LG Nonpublic 2018 V5.0'!$Y$56</definedName>
    <definedName name="y_inter4" localSheetId="7">#REF!</definedName>
    <definedName name="y_inter4">'Recycling LG 2019'!$Z$56</definedName>
    <definedName name="YearMonth" localSheetId="5">'[5]Vashon BS'!#REF!</definedName>
    <definedName name="YearMonth" localSheetId="2">'[5]Vashon BS'!#REF!</definedName>
    <definedName name="YearMonth" localSheetId="7">'[5]Vashon BS'!#REF!</definedName>
    <definedName name="YearMonth">'[5]Vashon BS'!#REF!</definedName>
    <definedName name="YWMedWasteDisp">#N/A</definedName>
  </definedNames>
  <calcPr calcId="191029" iterate="1" iterateCount="2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5" i="45" l="1"/>
  <c r="V15" i="45"/>
  <c r="C5" i="39"/>
  <c r="S20" i="45" l="1"/>
  <c r="S40" i="45"/>
  <c r="S41" i="45"/>
  <c r="E48" i="65" l="1"/>
  <c r="E47" i="65"/>
  <c r="I6" i="65"/>
  <c r="I8" i="65"/>
  <c r="I9" i="65"/>
  <c r="H7" i="65" l="1"/>
  <c r="I7" i="65" s="1"/>
  <c r="G11" i="60" l="1"/>
  <c r="G12" i="60"/>
  <c r="G13" i="60"/>
  <c r="G14" i="60"/>
  <c r="G15" i="60"/>
  <c r="G10" i="60"/>
  <c r="F15" i="60" l="1"/>
  <c r="L11" i="60" l="1"/>
  <c r="L15" i="60"/>
  <c r="F10" i="60"/>
  <c r="L10" i="60" s="1"/>
  <c r="G9" i="60"/>
  <c r="F9" i="60"/>
  <c r="L9" i="60" s="1"/>
  <c r="G8" i="60"/>
  <c r="L8" i="60" s="1"/>
  <c r="F8" i="60"/>
  <c r="G7" i="60"/>
  <c r="F7" i="60"/>
  <c r="L7" i="60" s="1"/>
  <c r="F6" i="60"/>
  <c r="L6" i="60" s="1"/>
  <c r="G6" i="60"/>
  <c r="I6" i="60"/>
  <c r="H6" i="60"/>
  <c r="H5" i="60"/>
  <c r="G5" i="60"/>
  <c r="L5" i="60" s="1"/>
  <c r="F4" i="60"/>
  <c r="G4" i="60"/>
  <c r="H12" i="60" l="1"/>
  <c r="L12" i="60" s="1"/>
  <c r="H13" i="60"/>
  <c r="F13" i="60"/>
  <c r="L13" i="60" s="1"/>
  <c r="H14" i="60"/>
  <c r="L14" i="60" s="1"/>
  <c r="P26" i="45" l="1"/>
  <c r="P25" i="45"/>
  <c r="P39" i="45"/>
  <c r="P27" i="45"/>
  <c r="P37" i="45"/>
  <c r="P21" i="45"/>
  <c r="H4" i="60" l="1"/>
  <c r="L4" i="60" s="1"/>
  <c r="I16" i="60"/>
  <c r="G16" i="65"/>
  <c r="L63" i="23" l="1"/>
  <c r="L64" i="23"/>
  <c r="H64" i="23"/>
  <c r="I64" i="23" s="1"/>
  <c r="O6" i="37"/>
  <c r="O7" i="37"/>
  <c r="O13" i="37"/>
  <c r="O14" i="37"/>
  <c r="O15" i="37"/>
  <c r="O16" i="37"/>
  <c r="O5" i="37"/>
  <c r="H6" i="37"/>
  <c r="H7" i="37"/>
  <c r="T7" i="37" s="1"/>
  <c r="H10" i="37"/>
  <c r="H12" i="37"/>
  <c r="H13" i="37"/>
  <c r="T13" i="37" s="1"/>
  <c r="H14" i="37"/>
  <c r="T14" i="37" s="1"/>
  <c r="H15" i="37"/>
  <c r="H16" i="37"/>
  <c r="H5" i="37"/>
  <c r="T5" i="37" s="1"/>
  <c r="K12" i="37"/>
  <c r="O12" i="37" s="1"/>
  <c r="T6" i="37" l="1"/>
  <c r="T16" i="37"/>
  <c r="T15" i="37"/>
  <c r="T12" i="37"/>
  <c r="J64" i="23"/>
  <c r="N64" i="23" s="1"/>
  <c r="N11" i="37"/>
  <c r="O11" i="37" s="1"/>
  <c r="F11" i="37"/>
  <c r="E11" i="37"/>
  <c r="D11" i="37"/>
  <c r="Q10" i="37"/>
  <c r="K10" i="37"/>
  <c r="J10" i="37"/>
  <c r="L10" i="37"/>
  <c r="K9" i="37"/>
  <c r="L9" i="37"/>
  <c r="J9" i="37"/>
  <c r="D9" i="37"/>
  <c r="C9" i="37"/>
  <c r="H9" i="37" s="1"/>
  <c r="Q9" i="37"/>
  <c r="Q8" i="37"/>
  <c r="J8" i="37"/>
  <c r="O8" i="37" s="1"/>
  <c r="F8" i="37"/>
  <c r="E8" i="37"/>
  <c r="D8" i="37"/>
  <c r="D19" i="37" s="1"/>
  <c r="D21" i="37" s="1"/>
  <c r="C8" i="37"/>
  <c r="K19" i="37" l="1"/>
  <c r="H8" i="37"/>
  <c r="T8" i="37" s="1"/>
  <c r="H11" i="37"/>
  <c r="T11" i="37" s="1"/>
  <c r="O9" i="37"/>
  <c r="T9" i="37" s="1"/>
  <c r="O10" i="37"/>
  <c r="T10" i="37" s="1"/>
  <c r="O64" i="23"/>
  <c r="Q64" i="23" s="1"/>
  <c r="C16" i="60"/>
  <c r="D16" i="60"/>
  <c r="E16" i="60"/>
  <c r="F16" i="60"/>
  <c r="G16" i="60"/>
  <c r="H16" i="60"/>
  <c r="B16" i="60"/>
  <c r="P9" i="45"/>
  <c r="E49" i="65" s="1"/>
  <c r="J16" i="60" l="1"/>
  <c r="S8" i="45" l="1"/>
  <c r="S43" i="45" l="1"/>
  <c r="I12" i="65" l="1"/>
  <c r="E42" i="65" l="1"/>
  <c r="I42" i="65" s="1"/>
  <c r="F52" i="65" s="1"/>
  <c r="P4" i="45" s="1"/>
  <c r="E52" i="65" s="1"/>
  <c r="G52" i="65" s="1"/>
  <c r="H52" i="65" s="1"/>
  <c r="S9" i="45"/>
  <c r="I16" i="65"/>
  <c r="G36" i="65" l="1"/>
  <c r="I35" i="65"/>
  <c r="I34" i="65"/>
  <c r="G33" i="65"/>
  <c r="I32" i="65"/>
  <c r="I31" i="65"/>
  <c r="I30" i="65"/>
  <c r="I29" i="65"/>
  <c r="I28" i="65"/>
  <c r="I27" i="65"/>
  <c r="G26" i="65"/>
  <c r="I25" i="65"/>
  <c r="I24" i="65"/>
  <c r="I23" i="65"/>
  <c r="I22" i="65"/>
  <c r="I21" i="65"/>
  <c r="I20" i="65"/>
  <c r="I19" i="65"/>
  <c r="I18" i="65"/>
  <c r="I17" i="65"/>
  <c r="G15" i="65"/>
  <c r="E15" i="65"/>
  <c r="I14" i="65"/>
  <c r="I13" i="65"/>
  <c r="I11" i="65"/>
  <c r="E10" i="65"/>
  <c r="G9" i="65"/>
  <c r="G8" i="65"/>
  <c r="G7" i="65"/>
  <c r="G6" i="65"/>
  <c r="I26" i="65" l="1"/>
  <c r="F48" i="65" s="1"/>
  <c r="G48" i="65" s="1"/>
  <c r="H48" i="65" s="1"/>
  <c r="I33" i="65"/>
  <c r="I15" i="65"/>
  <c r="F47" i="65" s="1"/>
  <c r="G47" i="65" s="1"/>
  <c r="H47" i="65" s="1"/>
  <c r="I10" i="65"/>
  <c r="I36" i="65"/>
  <c r="G42" i="65"/>
  <c r="G10" i="65"/>
  <c r="G37" i="65" s="1"/>
  <c r="I37" i="65" l="1"/>
  <c r="F46" i="65"/>
  <c r="F49" i="65"/>
  <c r="G49" i="65" s="1"/>
  <c r="H49" i="65" s="1"/>
  <c r="J19" i="37"/>
  <c r="F50" i="65" l="1"/>
  <c r="I55" i="23"/>
  <c r="I58" i="23"/>
  <c r="J58" i="23" s="1"/>
  <c r="I59" i="23"/>
  <c r="J59" i="23" s="1"/>
  <c r="I60" i="23"/>
  <c r="J60" i="23" s="1"/>
  <c r="I56" i="23"/>
  <c r="J56" i="23" s="1"/>
  <c r="I57" i="23"/>
  <c r="J57" i="23" s="1"/>
  <c r="P3" i="45" l="1"/>
  <c r="F53" i="65"/>
  <c r="J55" i="23"/>
  <c r="O55" i="23" s="1"/>
  <c r="O59" i="23"/>
  <c r="O56" i="23"/>
  <c r="O60" i="23"/>
  <c r="O58" i="23"/>
  <c r="O57" i="23"/>
  <c r="R11" i="45" l="1"/>
  <c r="C18" i="60"/>
  <c r="G18" i="60"/>
  <c r="B18" i="60"/>
  <c r="C19" i="37"/>
  <c r="F18" i="60" l="1"/>
  <c r="I18" i="60"/>
  <c r="E18" i="60"/>
  <c r="G25" i="60" s="1"/>
  <c r="B21" i="60"/>
  <c r="H18" i="60"/>
  <c r="D18" i="60"/>
  <c r="I21" i="60"/>
  <c r="C21" i="60" l="1"/>
  <c r="C25" i="60" s="1"/>
  <c r="G26" i="60"/>
  <c r="I26" i="60"/>
  <c r="G21" i="60"/>
  <c r="I25" i="60"/>
  <c r="H21" i="60"/>
  <c r="D21" i="60"/>
  <c r="J18" i="60"/>
  <c r="E21" i="60"/>
  <c r="F21" i="60"/>
  <c r="C21" i="37"/>
  <c r="L25" i="60" l="1"/>
  <c r="L27" i="60" s="1"/>
  <c r="C26" i="60"/>
  <c r="AD7" i="45" s="1"/>
  <c r="J26" i="60"/>
  <c r="J23" i="37" s="1"/>
  <c r="J24" i="37" s="1"/>
  <c r="AD6" i="45"/>
  <c r="J25" i="60"/>
  <c r="G28" i="60"/>
  <c r="F35" i="23"/>
  <c r="I35" i="23" s="1"/>
  <c r="F19" i="23"/>
  <c r="F61" i="23" s="1"/>
  <c r="F17" i="23"/>
  <c r="F15" i="23"/>
  <c r="E28" i="58"/>
  <c r="F14" i="23" s="1"/>
  <c r="E9" i="58"/>
  <c r="F12" i="23" l="1"/>
  <c r="K23" i="37"/>
  <c r="J35" i="23"/>
  <c r="O35" i="23" s="1"/>
  <c r="K24" i="37" l="1"/>
  <c r="M35" i="23"/>
  <c r="N35" i="23"/>
  <c r="P35" i="23" l="1"/>
  <c r="Q35" i="23"/>
  <c r="P44" i="45" l="1"/>
  <c r="S42" i="45"/>
  <c r="S39" i="45"/>
  <c r="S38" i="45"/>
  <c r="S37" i="45"/>
  <c r="S36" i="45"/>
  <c r="S35" i="45"/>
  <c r="S34" i="45"/>
  <c r="S33" i="45"/>
  <c r="S31" i="45"/>
  <c r="S30" i="45"/>
  <c r="S29" i="45"/>
  <c r="S27" i="45"/>
  <c r="S25" i="45"/>
  <c r="S24" i="45"/>
  <c r="S23" i="45"/>
  <c r="S22" i="45"/>
  <c r="S21" i="45"/>
  <c r="S19" i="45"/>
  <c r="S18" i="45"/>
  <c r="S17" i="45"/>
  <c r="S16" i="45"/>
  <c r="S15" i="45"/>
  <c r="S4" i="45"/>
  <c r="O42" i="65" s="1"/>
  <c r="S5" i="45"/>
  <c r="V5" i="45" s="1"/>
  <c r="S6" i="45"/>
  <c r="T6" i="45" s="1"/>
  <c r="S7" i="45"/>
  <c r="T7" i="45" s="1"/>
  <c r="S10" i="45"/>
  <c r="U15" i="45" l="1"/>
  <c r="T11" i="45"/>
  <c r="F39" i="23"/>
  <c r="Q11" i="45"/>
  <c r="C33" i="45" l="1"/>
  <c r="C38" i="45"/>
  <c r="C27" i="45"/>
  <c r="C35" i="45"/>
  <c r="I15" i="45" l="1"/>
  <c r="C4" i="45" l="1"/>
  <c r="B23" i="45" l="1"/>
  <c r="G11" i="45" l="1"/>
  <c r="B16" i="45" l="1"/>
  <c r="D16" i="45" s="1"/>
  <c r="B17" i="45"/>
  <c r="D17" i="45" s="1"/>
  <c r="B18" i="45"/>
  <c r="D18" i="45" s="1"/>
  <c r="B19" i="45"/>
  <c r="D19" i="45" s="1"/>
  <c r="B20" i="45"/>
  <c r="B21" i="45"/>
  <c r="D21" i="45" s="1"/>
  <c r="B22" i="45"/>
  <c r="D22" i="45" s="1"/>
  <c r="D23" i="45"/>
  <c r="B24" i="45"/>
  <c r="D24" i="45" s="1"/>
  <c r="B25" i="45"/>
  <c r="D25" i="45" s="1"/>
  <c r="B27" i="45"/>
  <c r="B28" i="45"/>
  <c r="D28" i="45" s="1"/>
  <c r="B29" i="45"/>
  <c r="D29" i="45" s="1"/>
  <c r="B30" i="45"/>
  <c r="D30" i="45" s="1"/>
  <c r="B31" i="45"/>
  <c r="D31" i="45" s="1"/>
  <c r="B32" i="45"/>
  <c r="D32" i="45" s="1"/>
  <c r="B33" i="45"/>
  <c r="D33" i="45" s="1"/>
  <c r="B34" i="45"/>
  <c r="B35" i="45"/>
  <c r="D35" i="45" s="1"/>
  <c r="B36" i="45"/>
  <c r="D36" i="45" s="1"/>
  <c r="B37" i="45"/>
  <c r="B38" i="45"/>
  <c r="D38" i="45" s="1"/>
  <c r="B39" i="45"/>
  <c r="B42" i="45"/>
  <c r="D42" i="45" s="1"/>
  <c r="B43" i="45"/>
  <c r="D43" i="45" s="1"/>
  <c r="B15" i="45"/>
  <c r="B4" i="45"/>
  <c r="D4" i="45" s="1"/>
  <c r="F4" i="45" s="1"/>
  <c r="B5" i="45"/>
  <c r="B6" i="45"/>
  <c r="C6" i="45" s="1"/>
  <c r="B7" i="45"/>
  <c r="D7" i="45" s="1"/>
  <c r="B8" i="45"/>
  <c r="D8" i="45" s="1"/>
  <c r="F8" i="45" s="1"/>
  <c r="B9" i="45"/>
  <c r="D9" i="45" s="1"/>
  <c r="F9" i="45" s="1"/>
  <c r="B10" i="45"/>
  <c r="D10" i="45" s="1"/>
  <c r="F10" i="45" s="1"/>
  <c r="B3" i="45"/>
  <c r="D15" i="45" l="1"/>
  <c r="B44" i="45"/>
  <c r="C39" i="45"/>
  <c r="D39" i="45" s="1"/>
  <c r="C37" i="45"/>
  <c r="D37" i="45" s="1"/>
  <c r="D27" i="45"/>
  <c r="D6" i="45"/>
  <c r="F6" i="45" s="1"/>
  <c r="H6" i="45" s="1"/>
  <c r="D40" i="45"/>
  <c r="H4" i="45"/>
  <c r="E7" i="45"/>
  <c r="E11" i="45" s="1"/>
  <c r="H10" i="45"/>
  <c r="L10" i="45" s="1"/>
  <c r="H9" i="45"/>
  <c r="L9" i="45" s="1"/>
  <c r="H8" i="45"/>
  <c r="L8" i="45" s="1"/>
  <c r="B11" i="45"/>
  <c r="I6" i="45" l="1"/>
  <c r="N6" i="45" s="1"/>
  <c r="N8" i="45"/>
  <c r="U8" i="45"/>
  <c r="Y8" i="45" s="1"/>
  <c r="N9" i="45"/>
  <c r="J4" i="45"/>
  <c r="N10" i="45"/>
  <c r="U10" i="45"/>
  <c r="Y10" i="45" s="1"/>
  <c r="B48" i="45"/>
  <c r="F7" i="45"/>
  <c r="N4" i="45" l="1"/>
  <c r="J11" i="45"/>
  <c r="H7" i="45"/>
  <c r="L7" i="45" s="1"/>
  <c r="J33" i="45" l="1"/>
  <c r="J32" i="45"/>
  <c r="N7" i="45"/>
  <c r="U7" i="45"/>
  <c r="Y7" i="45" s="1"/>
  <c r="S59" i="39" l="1"/>
  <c r="U57" i="39"/>
  <c r="U56" i="39"/>
  <c r="V38" i="39" s="1"/>
  <c r="J46" i="39"/>
  <c r="J45" i="39"/>
  <c r="J44" i="39"/>
  <c r="J43" i="39"/>
  <c r="J38" i="39"/>
  <c r="Y68" i="39" s="1"/>
  <c r="K27" i="39"/>
  <c r="I27" i="39"/>
  <c r="F8" i="39"/>
  <c r="F9" i="39" s="1"/>
  <c r="F10" i="39" s="1"/>
  <c r="F11" i="39" s="1"/>
  <c r="F12" i="39" s="1"/>
  <c r="F13" i="39" s="1"/>
  <c r="F14" i="39" s="1"/>
  <c r="F15" i="39" s="1"/>
  <c r="F16" i="39" s="1"/>
  <c r="F17" i="39" s="1"/>
  <c r="F18" i="39" s="1"/>
  <c r="F19" i="39" s="1"/>
  <c r="F20" i="39" s="1"/>
  <c r="F21" i="39" s="1"/>
  <c r="F22" i="39" s="1"/>
  <c r="F23" i="39" s="1"/>
  <c r="F24" i="39" s="1"/>
  <c r="F25" i="39" s="1"/>
  <c r="F26" i="39" s="1"/>
  <c r="F27" i="39" s="1"/>
  <c r="F28" i="39" s="1"/>
  <c r="F29" i="39" s="1"/>
  <c r="F30" i="39" s="1"/>
  <c r="F31" i="39" s="1"/>
  <c r="F32" i="39" s="1"/>
  <c r="F33" i="39" s="1"/>
  <c r="F34" i="39" s="1"/>
  <c r="F35" i="39" s="1"/>
  <c r="F36" i="39" s="1"/>
  <c r="F37" i="39" s="1"/>
  <c r="F38" i="39" s="1"/>
  <c r="F39" i="39" s="1"/>
  <c r="F40" i="39" s="1"/>
  <c r="F41" i="39" s="1"/>
  <c r="F42" i="39" s="1"/>
  <c r="F43" i="39" s="1"/>
  <c r="F44" i="39" s="1"/>
  <c r="F45" i="39" s="1"/>
  <c r="F46" i="39" s="1"/>
  <c r="F47" i="39" s="1"/>
  <c r="F48" i="39" s="1"/>
  <c r="F49" i="39" s="1"/>
  <c r="I10" i="23"/>
  <c r="I12" i="23"/>
  <c r="I13" i="23"/>
  <c r="J13" i="23" s="1"/>
  <c r="M13" i="23" s="1"/>
  <c r="I14" i="23"/>
  <c r="I15" i="23"/>
  <c r="I16" i="23"/>
  <c r="I17" i="23"/>
  <c r="I18" i="23"/>
  <c r="J18" i="23" s="1"/>
  <c r="O18" i="23" s="1"/>
  <c r="I26" i="23"/>
  <c r="I27" i="23"/>
  <c r="J27" i="23" s="1"/>
  <c r="I28" i="23"/>
  <c r="J28" i="23" s="1"/>
  <c r="O28" i="23" s="1"/>
  <c r="I30" i="23"/>
  <c r="I32" i="23"/>
  <c r="J32" i="23" s="1"/>
  <c r="I8" i="23"/>
  <c r="V16" i="39" l="1"/>
  <c r="V36" i="39"/>
  <c r="O32" i="23"/>
  <c r="V11" i="39"/>
  <c r="V22" i="39"/>
  <c r="V32" i="39"/>
  <c r="V39" i="39"/>
  <c r="V17" i="39"/>
  <c r="V37" i="39"/>
  <c r="V7" i="39"/>
  <c r="V9" i="39"/>
  <c r="V21" i="39"/>
  <c r="V29" i="39"/>
  <c r="V12" i="39"/>
  <c r="V18" i="39"/>
  <c r="V24" i="39"/>
  <c r="V27" i="39"/>
  <c r="V33" i="39"/>
  <c r="V8" i="39"/>
  <c r="V14" i="39"/>
  <c r="V19" i="39"/>
  <c r="V26" i="39"/>
  <c r="V28" i="39"/>
  <c r="V34" i="39"/>
  <c r="K38" i="39"/>
  <c r="Z68" i="39" s="1"/>
  <c r="J10" i="23"/>
  <c r="M10" i="23" s="1"/>
  <c r="J17" i="23"/>
  <c r="M17" i="23" s="1"/>
  <c r="J26" i="23"/>
  <c r="O26" i="23" s="1"/>
  <c r="O27" i="23"/>
  <c r="J8" i="23"/>
  <c r="O13" i="23"/>
  <c r="J15" i="23"/>
  <c r="O15" i="23" s="1"/>
  <c r="V6" i="39"/>
  <c r="V13" i="39"/>
  <c r="V23" i="39"/>
  <c r="V31" i="39"/>
  <c r="J30" i="23"/>
  <c r="M30" i="23" s="1"/>
  <c r="J14" i="23"/>
  <c r="O14" i="23" s="1"/>
  <c r="P14" i="23" s="1"/>
  <c r="J12" i="23"/>
  <c r="O12" i="23" s="1"/>
  <c r="J16" i="23"/>
  <c r="O16" i="23" s="1"/>
  <c r="AA18" i="39"/>
  <c r="AA24" i="39"/>
  <c r="AA6" i="39"/>
  <c r="AA16" i="39"/>
  <c r="AA19" i="39"/>
  <c r="AA33" i="39"/>
  <c r="AA9" i="39"/>
  <c r="AA22" i="39"/>
  <c r="AA31" i="39"/>
  <c r="AA7" i="39"/>
  <c r="AA8" i="39"/>
  <c r="AA14" i="39"/>
  <c r="AA17" i="39"/>
  <c r="AA32" i="39"/>
  <c r="AA26" i="39"/>
  <c r="AA12" i="39"/>
  <c r="L27" i="39"/>
  <c r="AA34" i="39"/>
  <c r="AA23" i="39"/>
  <c r="AA21" i="39"/>
  <c r="AA13" i="39"/>
  <c r="AA11" i="39"/>
  <c r="AA38" i="39"/>
  <c r="AA37" i="39"/>
  <c r="AA36" i="39"/>
  <c r="AA29" i="39"/>
  <c r="AA27" i="39"/>
  <c r="I26" i="39"/>
  <c r="AA39" i="39"/>
  <c r="AA28" i="39"/>
  <c r="J47" i="39"/>
  <c r="O10" i="23" l="1"/>
  <c r="P10" i="23" s="1"/>
  <c r="O17" i="23"/>
  <c r="P17" i="23" s="1"/>
  <c r="O30" i="23"/>
  <c r="M8" i="23"/>
  <c r="I28" i="39"/>
  <c r="O8" i="23" l="1"/>
  <c r="R19" i="37"/>
  <c r="R21" i="37" s="1"/>
  <c r="P8" i="23" l="1"/>
  <c r="N19" i="37"/>
  <c r="N21" i="37" s="1"/>
  <c r="E19" i="37"/>
  <c r="Q19" i="37"/>
  <c r="Q21" i="37" s="1"/>
  <c r="W9" i="37" s="1"/>
  <c r="F19" i="37"/>
  <c r="L19" i="37"/>
  <c r="H28" i="37" s="1"/>
  <c r="K21" i="37"/>
  <c r="G19" i="37"/>
  <c r="M19" i="37"/>
  <c r="M21" i="37" s="1"/>
  <c r="E27" i="37" l="1"/>
  <c r="H27" i="37"/>
  <c r="F21" i="37"/>
  <c r="E28" i="37"/>
  <c r="E21" i="37"/>
  <c r="L21" i="37"/>
  <c r="T21" i="37"/>
  <c r="C34" i="45" s="1"/>
  <c r="J21" i="37"/>
  <c r="G21" i="37"/>
  <c r="W7" i="37" l="1"/>
  <c r="X7" i="37"/>
  <c r="W8" i="37"/>
  <c r="Y8" i="37" s="1"/>
  <c r="W6" i="37"/>
  <c r="O21" i="37"/>
  <c r="D32" i="37"/>
  <c r="D33" i="37"/>
  <c r="H29" i="37"/>
  <c r="J28" i="37" s="1"/>
  <c r="AB7" i="45" s="1"/>
  <c r="H21" i="37"/>
  <c r="J20" i="45"/>
  <c r="E29" i="37"/>
  <c r="E32" i="37" s="1"/>
  <c r="I20" i="45"/>
  <c r="T41" i="45" l="1"/>
  <c r="U41" i="45" s="1"/>
  <c r="T40" i="45"/>
  <c r="U40" i="45" s="1"/>
  <c r="T39" i="45"/>
  <c r="T16" i="45"/>
  <c r="K22" i="23"/>
  <c r="K21" i="23"/>
  <c r="F32" i="37"/>
  <c r="K63" i="23"/>
  <c r="K62" i="23"/>
  <c r="K64" i="23"/>
  <c r="U21" i="37"/>
  <c r="X6" i="37"/>
  <c r="W10" i="37"/>
  <c r="Y7" i="37"/>
  <c r="J27" i="37"/>
  <c r="T29" i="45"/>
  <c r="T30" i="45"/>
  <c r="T33" i="45"/>
  <c r="T31" i="45"/>
  <c r="T17" i="45"/>
  <c r="T23" i="45"/>
  <c r="T36" i="45"/>
  <c r="T25" i="45"/>
  <c r="T27" i="45"/>
  <c r="T22" i="45"/>
  <c r="T38" i="45"/>
  <c r="T35" i="45"/>
  <c r="T21" i="45"/>
  <c r="T18" i="45"/>
  <c r="T37" i="45"/>
  <c r="T34" i="45"/>
  <c r="T42" i="45"/>
  <c r="T24" i="45"/>
  <c r="K19" i="23"/>
  <c r="E33" i="37"/>
  <c r="F28" i="37"/>
  <c r="AB10" i="45" s="1"/>
  <c r="F27" i="37"/>
  <c r="AB9" i="45" s="1"/>
  <c r="E36" i="45"/>
  <c r="F36" i="45" s="1"/>
  <c r="E20" i="45"/>
  <c r="D34" i="45"/>
  <c r="F15" i="45"/>
  <c r="N32" i="23"/>
  <c r="Q32" i="23"/>
  <c r="N27" i="23"/>
  <c r="Q27" i="23"/>
  <c r="N18" i="23"/>
  <c r="Q18" i="23"/>
  <c r="N15" i="23"/>
  <c r="Q15" i="23"/>
  <c r="N17" i="23"/>
  <c r="Q17" i="23"/>
  <c r="N10" i="23"/>
  <c r="Q10" i="23"/>
  <c r="N8" i="23"/>
  <c r="Q8" i="23"/>
  <c r="N13" i="23"/>
  <c r="Q13" i="23"/>
  <c r="N30" i="23"/>
  <c r="Q30" i="23"/>
  <c r="N28" i="23"/>
  <c r="Q28" i="23"/>
  <c r="N26" i="23"/>
  <c r="Q26" i="23"/>
  <c r="N16" i="23"/>
  <c r="Q16" i="23"/>
  <c r="N14" i="23"/>
  <c r="Q14" i="23"/>
  <c r="P30" i="23"/>
  <c r="M16" i="23"/>
  <c r="P16" i="23"/>
  <c r="P13" i="23"/>
  <c r="M28" i="23"/>
  <c r="P28" i="23"/>
  <c r="M14" i="23"/>
  <c r="M15" i="23"/>
  <c r="P15" i="23"/>
  <c r="M27" i="23"/>
  <c r="P27" i="23"/>
  <c r="M32" i="23"/>
  <c r="P32" i="23"/>
  <c r="M18" i="23"/>
  <c r="P18" i="23"/>
  <c r="M26" i="23"/>
  <c r="P26" i="23"/>
  <c r="H22" i="23" l="1"/>
  <c r="I22" i="23" s="1"/>
  <c r="X9" i="37"/>
  <c r="V40" i="45"/>
  <c r="W40" i="45"/>
  <c r="V41" i="45"/>
  <c r="W41" i="45"/>
  <c r="F33" i="37"/>
  <c r="L22" i="23"/>
  <c r="L21" i="23"/>
  <c r="J22" i="23"/>
  <c r="O22" i="23" s="1"/>
  <c r="P64" i="23"/>
  <c r="M64" i="23"/>
  <c r="H21" i="23"/>
  <c r="AB6" i="45"/>
  <c r="Q27" i="37"/>
  <c r="R27" i="37"/>
  <c r="H20" i="23"/>
  <c r="Y6" i="37"/>
  <c r="G33" i="37"/>
  <c r="H33" i="37" s="1"/>
  <c r="L61" i="23"/>
  <c r="L19" i="23"/>
  <c r="H19" i="23"/>
  <c r="H61" i="23" s="1"/>
  <c r="I61" i="23" s="1"/>
  <c r="J61" i="23" s="1"/>
  <c r="N12" i="23"/>
  <c r="L20" i="23"/>
  <c r="L56" i="23"/>
  <c r="L57" i="23"/>
  <c r="L58" i="23"/>
  <c r="L60" i="23"/>
  <c r="L55" i="23"/>
  <c r="L59" i="23"/>
  <c r="K58" i="23"/>
  <c r="K60" i="23"/>
  <c r="K56" i="23"/>
  <c r="K61" i="23"/>
  <c r="K55" i="23"/>
  <c r="K59" i="23"/>
  <c r="K57" i="23"/>
  <c r="E19" i="45"/>
  <c r="F19" i="45" s="1"/>
  <c r="H19" i="45" s="1"/>
  <c r="E42" i="45"/>
  <c r="F42" i="45" s="1"/>
  <c r="H42" i="45" s="1"/>
  <c r="U42" i="45" s="1"/>
  <c r="E25" i="45"/>
  <c r="F25" i="45" s="1"/>
  <c r="H25" i="45" s="1"/>
  <c r="E31" i="45"/>
  <c r="F31" i="45" s="1"/>
  <c r="H31" i="45" s="1"/>
  <c r="E38" i="45"/>
  <c r="F38" i="45" s="1"/>
  <c r="H38" i="45" s="1"/>
  <c r="U38" i="45" s="1"/>
  <c r="E21" i="45"/>
  <c r="F21" i="45" s="1"/>
  <c r="H21" i="45" s="1"/>
  <c r="E27" i="45"/>
  <c r="F27" i="45" s="1"/>
  <c r="H27" i="45" s="1"/>
  <c r="E35" i="45"/>
  <c r="F35" i="45" s="1"/>
  <c r="H35" i="45" s="1"/>
  <c r="U35" i="45" s="1"/>
  <c r="E23" i="45"/>
  <c r="F23" i="45" s="1"/>
  <c r="E22" i="45"/>
  <c r="F22" i="45" s="1"/>
  <c r="H22" i="45" s="1"/>
  <c r="U22" i="45" s="1"/>
  <c r="E39" i="45"/>
  <c r="F39" i="45" s="1"/>
  <c r="H39" i="45" s="1"/>
  <c r="E18" i="45"/>
  <c r="F18" i="45" s="1"/>
  <c r="H18" i="45" s="1"/>
  <c r="E17" i="45"/>
  <c r="F17" i="45" s="1"/>
  <c r="H17" i="45" s="1"/>
  <c r="U17" i="45" s="1"/>
  <c r="V17" i="45" s="1"/>
  <c r="E24" i="45"/>
  <c r="F24" i="45" s="1"/>
  <c r="H24" i="45" s="1"/>
  <c r="E43" i="45"/>
  <c r="F43" i="45" s="1"/>
  <c r="H43" i="45" s="1"/>
  <c r="U43" i="45" s="1"/>
  <c r="E30" i="45"/>
  <c r="F30" i="45" s="1"/>
  <c r="H30" i="45" s="1"/>
  <c r="E16" i="45"/>
  <c r="F16" i="45" s="1"/>
  <c r="H16" i="45" s="1"/>
  <c r="E33" i="45"/>
  <c r="F33" i="45" s="1"/>
  <c r="E40" i="45"/>
  <c r="F40" i="45" s="1"/>
  <c r="H40" i="45" s="1"/>
  <c r="E37" i="45"/>
  <c r="F37" i="45" s="1"/>
  <c r="H37" i="45" s="1"/>
  <c r="E32" i="45"/>
  <c r="F32" i="45" s="1"/>
  <c r="E29" i="45"/>
  <c r="F29" i="45" s="1"/>
  <c r="H29" i="45" s="1"/>
  <c r="E28" i="45"/>
  <c r="F28" i="45" s="1"/>
  <c r="E34" i="37"/>
  <c r="L62" i="23" s="1"/>
  <c r="K20" i="23"/>
  <c r="E34" i="45"/>
  <c r="F34" i="45" s="1"/>
  <c r="H34" i="45" s="1"/>
  <c r="G32" i="37"/>
  <c r="H32" i="37" s="1"/>
  <c r="U37" i="45"/>
  <c r="U39" i="45"/>
  <c r="D20" i="45"/>
  <c r="F20" i="45" s="1"/>
  <c r="C44" i="45"/>
  <c r="H36" i="45"/>
  <c r="U36" i="45" s="1"/>
  <c r="AA9" i="37" l="1"/>
  <c r="X15" i="37" s="1"/>
  <c r="Y9" i="37"/>
  <c r="Z9" i="37"/>
  <c r="X14" i="37" s="1"/>
  <c r="X16" i="37" s="1"/>
  <c r="T20" i="45" s="1"/>
  <c r="Y41" i="45"/>
  <c r="Y40" i="45"/>
  <c r="Q22" i="23"/>
  <c r="P22" i="23"/>
  <c r="W20" i="45"/>
  <c r="M22" i="23"/>
  <c r="N22" i="23"/>
  <c r="H63" i="23"/>
  <c r="I63" i="23" s="1"/>
  <c r="J63" i="23" s="1"/>
  <c r="O63" i="23" s="1"/>
  <c r="I21" i="23"/>
  <c r="H62" i="23"/>
  <c r="I62" i="23" s="1"/>
  <c r="X10" i="37"/>
  <c r="I20" i="23"/>
  <c r="J20" i="23" s="1"/>
  <c r="N20" i="23" s="1"/>
  <c r="O61" i="23"/>
  <c r="Q61" i="23" s="1"/>
  <c r="N61" i="23"/>
  <c r="Y10" i="37"/>
  <c r="I19" i="23"/>
  <c r="J19" i="23" s="1"/>
  <c r="M19" i="23" s="1"/>
  <c r="Q12" i="23"/>
  <c r="M57" i="23"/>
  <c r="P57" i="23"/>
  <c r="P59" i="23"/>
  <c r="M59" i="23"/>
  <c r="N59" i="23"/>
  <c r="Q59" i="23"/>
  <c r="P55" i="23"/>
  <c r="M55" i="23"/>
  <c r="M60" i="23"/>
  <c r="P60" i="23"/>
  <c r="N55" i="23"/>
  <c r="Q55" i="23"/>
  <c r="N57" i="23"/>
  <c r="Q57" i="23"/>
  <c r="N60" i="23"/>
  <c r="Q60" i="23"/>
  <c r="P56" i="23"/>
  <c r="M56" i="23"/>
  <c r="N58" i="23"/>
  <c r="Q58" i="23"/>
  <c r="M61" i="23"/>
  <c r="P58" i="23"/>
  <c r="M58" i="23"/>
  <c r="N56" i="23"/>
  <c r="Q56" i="23"/>
  <c r="J23" i="45"/>
  <c r="P12" i="23"/>
  <c r="M12" i="23"/>
  <c r="V36" i="45"/>
  <c r="W36" i="45"/>
  <c r="V37" i="45"/>
  <c r="W37" i="45"/>
  <c r="V39" i="45"/>
  <c r="W39" i="45"/>
  <c r="W17" i="45"/>
  <c r="Y17" i="45" s="1"/>
  <c r="V22" i="45"/>
  <c r="W22" i="45"/>
  <c r="V43" i="45"/>
  <c r="W43" i="45"/>
  <c r="V38" i="45"/>
  <c r="W38" i="45"/>
  <c r="V42" i="45"/>
  <c r="W42" i="45"/>
  <c r="V35" i="45"/>
  <c r="W35" i="45"/>
  <c r="U19" i="45"/>
  <c r="U31" i="45"/>
  <c r="U29" i="45"/>
  <c r="U30" i="45"/>
  <c r="U16" i="45"/>
  <c r="U21" i="45"/>
  <c r="E44" i="45"/>
  <c r="U18" i="45"/>
  <c r="U24" i="45"/>
  <c r="U25" i="45"/>
  <c r="U27" i="45"/>
  <c r="J34" i="45"/>
  <c r="I17" i="45"/>
  <c r="J17" i="45"/>
  <c r="J42" i="45"/>
  <c r="I42" i="45"/>
  <c r="I24" i="45"/>
  <c r="J24" i="45"/>
  <c r="I16" i="45"/>
  <c r="J16" i="45"/>
  <c r="I22" i="45"/>
  <c r="J22" i="45"/>
  <c r="I39" i="45"/>
  <c r="J39" i="45"/>
  <c r="J38" i="45"/>
  <c r="I38" i="45"/>
  <c r="I31" i="45"/>
  <c r="J31" i="45"/>
  <c r="I21" i="45"/>
  <c r="J21" i="45"/>
  <c r="I30" i="45"/>
  <c r="J30" i="45"/>
  <c r="J27" i="45"/>
  <c r="I27" i="45"/>
  <c r="J37" i="45"/>
  <c r="I37" i="45"/>
  <c r="I29" i="45"/>
  <c r="J29" i="45"/>
  <c r="J18" i="45"/>
  <c r="I18" i="45"/>
  <c r="I36" i="45"/>
  <c r="J36" i="45"/>
  <c r="I25" i="45"/>
  <c r="J25" i="45"/>
  <c r="I40" i="45"/>
  <c r="J40" i="45"/>
  <c r="J43" i="45"/>
  <c r="I43" i="45"/>
  <c r="I35" i="45"/>
  <c r="J35" i="45"/>
  <c r="J19" i="45"/>
  <c r="I19" i="45"/>
  <c r="D44" i="45"/>
  <c r="V20" i="45" l="1"/>
  <c r="V16" i="45"/>
  <c r="W16" i="45"/>
  <c r="M20" i="23"/>
  <c r="J21" i="23"/>
  <c r="J39" i="23" s="1"/>
  <c r="Q28" i="45" s="1"/>
  <c r="S28" i="45" s="1"/>
  <c r="Q63" i="23"/>
  <c r="P63" i="23"/>
  <c r="J62" i="23"/>
  <c r="O62" i="23" s="1"/>
  <c r="O65" i="23" s="1"/>
  <c r="M63" i="23"/>
  <c r="N63" i="23"/>
  <c r="O20" i="23"/>
  <c r="Q20" i="23" s="1"/>
  <c r="P61" i="23"/>
  <c r="N19" i="23"/>
  <c r="U20" i="45"/>
  <c r="Y20" i="45" s="1"/>
  <c r="O19" i="23"/>
  <c r="Y35" i="45"/>
  <c r="Y38" i="45"/>
  <c r="Y22" i="45"/>
  <c r="Y39" i="45"/>
  <c r="Y36" i="45"/>
  <c r="Y42" i="45"/>
  <c r="Y43" i="45"/>
  <c r="Y37" i="45"/>
  <c r="V24" i="45"/>
  <c r="W24" i="45"/>
  <c r="W18" i="45"/>
  <c r="V18" i="45"/>
  <c r="V29" i="45"/>
  <c r="W29" i="45"/>
  <c r="V31" i="45"/>
  <c r="W31" i="45"/>
  <c r="V27" i="45"/>
  <c r="W27" i="45"/>
  <c r="V30" i="45"/>
  <c r="W30" i="45"/>
  <c r="V25" i="45"/>
  <c r="W25" i="45"/>
  <c r="V21" i="45"/>
  <c r="W21" i="45"/>
  <c r="W19" i="45"/>
  <c r="V19" i="45"/>
  <c r="U23" i="45"/>
  <c r="I34" i="45"/>
  <c r="N34" i="45" s="1"/>
  <c r="N25" i="45"/>
  <c r="N21" i="45"/>
  <c r="N22" i="45"/>
  <c r="N35" i="45"/>
  <c r="N40" i="45"/>
  <c r="N36" i="45"/>
  <c r="N29" i="45"/>
  <c r="N30" i="45"/>
  <c r="N31" i="45"/>
  <c r="N39" i="45"/>
  <c r="N16" i="45"/>
  <c r="N24" i="45"/>
  <c r="N17" i="45"/>
  <c r="N43" i="45"/>
  <c r="N18" i="45"/>
  <c r="N27" i="45"/>
  <c r="N38" i="45"/>
  <c r="N42" i="45"/>
  <c r="N19" i="45"/>
  <c r="N37" i="45"/>
  <c r="H20" i="45"/>
  <c r="F44" i="45"/>
  <c r="P20" i="23" l="1"/>
  <c r="M21" i="23"/>
  <c r="M39" i="23" s="1"/>
  <c r="M43" i="23" s="1"/>
  <c r="N21" i="23"/>
  <c r="N39" i="23" s="1"/>
  <c r="O21" i="23"/>
  <c r="O39" i="23" s="1"/>
  <c r="N62" i="23"/>
  <c r="M62" i="23"/>
  <c r="J65" i="23"/>
  <c r="J67" i="23" s="1"/>
  <c r="Q62" i="23"/>
  <c r="P62" i="23"/>
  <c r="T44" i="45"/>
  <c r="P19" i="23"/>
  <c r="Q19" i="23"/>
  <c r="Y19" i="45"/>
  <c r="Y18" i="45"/>
  <c r="Y27" i="45"/>
  <c r="Y24" i="45"/>
  <c r="Y25" i="45"/>
  <c r="Y29" i="45"/>
  <c r="Y16" i="45"/>
  <c r="Y21" i="45"/>
  <c r="Y30" i="45"/>
  <c r="Y31" i="45"/>
  <c r="G23" i="45"/>
  <c r="H23" i="45" s="1"/>
  <c r="I23" i="45"/>
  <c r="V23" i="45"/>
  <c r="W23" i="45"/>
  <c r="I28" i="45"/>
  <c r="U34" i="45"/>
  <c r="N20" i="45"/>
  <c r="N43" i="23" l="1"/>
  <c r="G28" i="45" s="1"/>
  <c r="H28" i="45" s="1"/>
  <c r="W28" i="45"/>
  <c r="M45" i="23"/>
  <c r="V28" i="45"/>
  <c r="Q21" i="23"/>
  <c r="Q39" i="23" s="1"/>
  <c r="Q43" i="23" s="1"/>
  <c r="C7" i="1" s="1"/>
  <c r="P21" i="23"/>
  <c r="P39" i="23" s="1"/>
  <c r="P43" i="23" s="1"/>
  <c r="N23" i="45"/>
  <c r="Y23" i="45"/>
  <c r="V34" i="45"/>
  <c r="W34" i="45"/>
  <c r="N45" i="23" l="1"/>
  <c r="J28" i="45"/>
  <c r="N28" i="45" s="1"/>
  <c r="C7" i="39"/>
  <c r="J28" i="39" s="1"/>
  <c r="R43" i="23"/>
  <c r="O45" i="23"/>
  <c r="Q44" i="45"/>
  <c r="Y34" i="45"/>
  <c r="U28" i="45"/>
  <c r="Y28" i="45" s="1"/>
  <c r="J27" i="39" l="1"/>
  <c r="M27" i="39" s="1"/>
  <c r="K11" i="39" s="1"/>
  <c r="J26" i="39"/>
  <c r="W15" i="45" l="1"/>
  <c r="I11" i="39"/>
  <c r="M11" i="39"/>
  <c r="C3" i="45"/>
  <c r="J28" i="1"/>
  <c r="J44" i="1"/>
  <c r="J45" i="1"/>
  <c r="J46" i="1"/>
  <c r="J43" i="1"/>
  <c r="K27" i="1"/>
  <c r="I27" i="1"/>
  <c r="Y15" i="45" l="1"/>
  <c r="D3" i="45"/>
  <c r="J38" i="1"/>
  <c r="F3" i="45" l="1"/>
  <c r="C5" i="45" l="1"/>
  <c r="H3" i="45"/>
  <c r="AA39" i="1"/>
  <c r="AA34" i="1"/>
  <c r="AA29" i="1"/>
  <c r="AA24" i="1"/>
  <c r="AA19" i="1"/>
  <c r="AA14" i="1"/>
  <c r="AA38" i="1"/>
  <c r="AA33" i="1"/>
  <c r="AA28" i="1"/>
  <c r="AA23" i="1"/>
  <c r="AA18" i="1"/>
  <c r="AA13" i="1"/>
  <c r="AA37" i="1"/>
  <c r="AA32" i="1"/>
  <c r="AA27" i="1"/>
  <c r="AA22" i="1"/>
  <c r="AA17" i="1"/>
  <c r="AA12" i="1"/>
  <c r="AA36" i="1"/>
  <c r="AA31" i="1"/>
  <c r="AA26" i="1"/>
  <c r="AA21" i="1"/>
  <c r="AA16" i="1"/>
  <c r="AA11" i="1"/>
  <c r="AA9" i="1"/>
  <c r="AA8" i="1"/>
  <c r="AA7" i="1"/>
  <c r="AA6" i="1"/>
  <c r="U57" i="1"/>
  <c r="U56" i="1"/>
  <c r="I3" i="45" l="1"/>
  <c r="D5" i="45"/>
  <c r="C11" i="45"/>
  <c r="V39" i="1"/>
  <c r="V34" i="1"/>
  <c r="V29" i="1"/>
  <c r="V24" i="1"/>
  <c r="V19" i="1"/>
  <c r="V14" i="1"/>
  <c r="V13" i="1"/>
  <c r="V37" i="1"/>
  <c r="V27" i="1"/>
  <c r="V17" i="1"/>
  <c r="V12" i="1"/>
  <c r="V31" i="1"/>
  <c r="V21" i="1"/>
  <c r="V11" i="1"/>
  <c r="V38" i="1"/>
  <c r="V33" i="1"/>
  <c r="V28" i="1"/>
  <c r="V23" i="1"/>
  <c r="V18" i="1"/>
  <c r="V32" i="1"/>
  <c r="V22" i="1"/>
  <c r="V36" i="1"/>
  <c r="V26" i="1"/>
  <c r="V16" i="1"/>
  <c r="V9" i="1"/>
  <c r="V7" i="1"/>
  <c r="V6" i="1"/>
  <c r="V8" i="1"/>
  <c r="N3" i="45" l="1"/>
  <c r="F5" i="45"/>
  <c r="D11" i="45"/>
  <c r="D48" i="45" s="1"/>
  <c r="F8" i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I26" i="1"/>
  <c r="J27" i="1"/>
  <c r="M27" i="1" s="1"/>
  <c r="K11" i="1" s="1"/>
  <c r="M11" i="1" s="1"/>
  <c r="L27" i="1"/>
  <c r="K38" i="1"/>
  <c r="J47" i="1"/>
  <c r="S59" i="1"/>
  <c r="Y68" i="1"/>
  <c r="H5" i="45" l="1"/>
  <c r="F11" i="45"/>
  <c r="I28" i="1"/>
  <c r="Z68" i="1"/>
  <c r="J26" i="1"/>
  <c r="I11" i="1"/>
  <c r="G33" i="45" l="1"/>
  <c r="H33" i="45" s="1"/>
  <c r="G32" i="45"/>
  <c r="F48" i="45"/>
  <c r="I5" i="45"/>
  <c r="I32" i="45" s="1"/>
  <c r="H11" i="45"/>
  <c r="N5" i="45" l="1"/>
  <c r="I11" i="45"/>
  <c r="H32" i="45"/>
  <c r="N11" i="45" l="1"/>
  <c r="I33" i="45"/>
  <c r="N33" i="45" s="1"/>
  <c r="U9" i="45"/>
  <c r="V9" i="45" l="1"/>
  <c r="Y9" i="45" s="1"/>
  <c r="N32" i="45"/>
  <c r="I44" i="45"/>
  <c r="I48" i="45" l="1"/>
  <c r="U33" i="45" l="1"/>
  <c r="J15" i="45"/>
  <c r="J44" i="45" s="1"/>
  <c r="J48" i="45" s="1"/>
  <c r="G15" i="45"/>
  <c r="U6" i="45"/>
  <c r="V6" i="45" s="1"/>
  <c r="Y6" i="45" l="1"/>
  <c r="V33" i="45"/>
  <c r="W33" i="45"/>
  <c r="H15" i="45"/>
  <c r="G44" i="45"/>
  <c r="Y33" i="45" l="1"/>
  <c r="N15" i="45"/>
  <c r="H44" i="45"/>
  <c r="H48" i="45" s="1"/>
  <c r="U4" i="45"/>
  <c r="W4" i="45"/>
  <c r="W11" i="45" s="1"/>
  <c r="C5" i="1" s="1"/>
  <c r="U5" i="45"/>
  <c r="Y5" i="45" s="1"/>
  <c r="Y4" i="45" l="1"/>
  <c r="I7" i="1"/>
  <c r="S6" i="1" l="1"/>
  <c r="S7" i="1"/>
  <c r="S9" i="1"/>
  <c r="S8" i="1"/>
  <c r="J19" i="1"/>
  <c r="S32" i="45" l="1"/>
  <c r="R44" i="45"/>
  <c r="T9" i="1"/>
  <c r="U9" i="1" s="1"/>
  <c r="W9" i="1" s="1"/>
  <c r="X9" i="1" s="1"/>
  <c r="Y9" i="1" s="1"/>
  <c r="Z9" i="1" s="1"/>
  <c r="AB9" i="1" s="1"/>
  <c r="AC9" i="1" s="1"/>
  <c r="AD9" i="1" s="1"/>
  <c r="T8" i="1"/>
  <c r="U8" i="1" s="1"/>
  <c r="W8" i="1" s="1"/>
  <c r="X8" i="1" s="1"/>
  <c r="Y8" i="1" s="1"/>
  <c r="Z8" i="1" s="1"/>
  <c r="AB8" i="1" s="1"/>
  <c r="AC8" i="1" s="1"/>
  <c r="AD8" i="1" s="1"/>
  <c r="T7" i="1"/>
  <c r="U7" i="1" s="1"/>
  <c r="W7" i="1" s="1"/>
  <c r="X7" i="1" s="1"/>
  <c r="Y7" i="1" s="1"/>
  <c r="Z7" i="1" s="1"/>
  <c r="AB7" i="1" s="1"/>
  <c r="AC7" i="1" s="1"/>
  <c r="AD7" i="1" s="1"/>
  <c r="T6" i="1"/>
  <c r="U6" i="1" s="1"/>
  <c r="W6" i="1" s="1"/>
  <c r="X6" i="1" s="1"/>
  <c r="Y6" i="1" s="1"/>
  <c r="Z6" i="1" s="1"/>
  <c r="AB6" i="1" s="1"/>
  <c r="AC6" i="1" s="1"/>
  <c r="AD6" i="1" s="1"/>
  <c r="S44" i="45" l="1"/>
  <c r="U32" i="45"/>
  <c r="U44" i="45" l="1"/>
  <c r="V32" i="45"/>
  <c r="V44" i="45" s="1"/>
  <c r="C6" i="39" s="1"/>
  <c r="I8" i="39" s="1"/>
  <c r="W32" i="45"/>
  <c r="Y32" i="45" l="1"/>
  <c r="W44" i="45"/>
  <c r="C6" i="1" s="1"/>
  <c r="I8" i="1" s="1"/>
  <c r="K8" i="39"/>
  <c r="K5" i="45"/>
  <c r="L5" i="45" s="1"/>
  <c r="AE7" i="1" l="1"/>
  <c r="AF7" i="1" s="1"/>
  <c r="I9" i="1"/>
  <c r="AE6" i="1"/>
  <c r="AF6" i="1" s="1"/>
  <c r="AE9" i="1"/>
  <c r="AF9" i="1" s="1"/>
  <c r="AE8" i="1"/>
  <c r="AF8" i="1" s="1"/>
  <c r="K8" i="1"/>
  <c r="I16" i="1"/>
  <c r="K6" i="45"/>
  <c r="L6" i="45" s="1"/>
  <c r="K3" i="45" l="1"/>
  <c r="L3" i="45" l="1"/>
  <c r="L11" i="45" s="1"/>
  <c r="L13" i="45" s="1"/>
  <c r="K11" i="45"/>
  <c r="K4" i="45" l="1"/>
  <c r="L4" i="45" s="1"/>
  <c r="P11" i="45" l="1"/>
  <c r="P47" i="45" s="1"/>
  <c r="E46" i="65"/>
  <c r="G46" i="65" s="1"/>
  <c r="H46" i="65" s="1"/>
  <c r="S3" i="45"/>
  <c r="V3" i="45" s="1"/>
  <c r="V11" i="45" s="1"/>
  <c r="I7" i="39" s="1"/>
  <c r="E50" i="65" l="1"/>
  <c r="E53" i="65" s="1"/>
  <c r="J19" i="39"/>
  <c r="I16" i="39"/>
  <c r="I9" i="39"/>
  <c r="I14" i="39" s="1"/>
  <c r="S8" i="39"/>
  <c r="S7" i="39"/>
  <c r="S9" i="39"/>
  <c r="S6" i="39"/>
  <c r="U3" i="45"/>
  <c r="S11" i="45"/>
  <c r="G50" i="65"/>
  <c r="T6" i="39" l="1"/>
  <c r="U6" i="39" s="1"/>
  <c r="W6" i="39" s="1"/>
  <c r="X6" i="39" s="1"/>
  <c r="Y6" i="39" s="1"/>
  <c r="Z6" i="39" s="1"/>
  <c r="AB6" i="39" s="1"/>
  <c r="AC6" i="39" s="1"/>
  <c r="AD6" i="39" s="1"/>
  <c r="AE6" i="39" s="1"/>
  <c r="AF6" i="39" s="1"/>
  <c r="T7" i="39"/>
  <c r="U7" i="39" s="1"/>
  <c r="W7" i="39" s="1"/>
  <c r="X7" i="39" s="1"/>
  <c r="Y7" i="39" s="1"/>
  <c r="Z7" i="39" s="1"/>
  <c r="AB7" i="39" s="1"/>
  <c r="AC7" i="39" s="1"/>
  <c r="AD7" i="39" s="1"/>
  <c r="AE7" i="39" s="1"/>
  <c r="AF7" i="39" s="1"/>
  <c r="H50" i="65"/>
  <c r="G53" i="65"/>
  <c r="H53" i="65" s="1"/>
  <c r="Y3" i="45"/>
  <c r="U11" i="45"/>
  <c r="T9" i="39"/>
  <c r="U9" i="39" s="1"/>
  <c r="W9" i="39" s="1"/>
  <c r="X9" i="39" s="1"/>
  <c r="Y9" i="39" s="1"/>
  <c r="Z9" i="39" s="1"/>
  <c r="AB9" i="39" s="1"/>
  <c r="AC9" i="39" s="1"/>
  <c r="AD9" i="39" s="1"/>
  <c r="AE9" i="39" s="1"/>
  <c r="AF9" i="39" s="1"/>
  <c r="T8" i="39"/>
  <c r="U8" i="39" s="1"/>
  <c r="W8" i="39" s="1"/>
  <c r="X8" i="39" s="1"/>
  <c r="Y8" i="39" s="1"/>
  <c r="Z8" i="39" s="1"/>
  <c r="AB8" i="39" s="1"/>
  <c r="AC8" i="39" s="1"/>
  <c r="AD8" i="39" s="1"/>
  <c r="AE8" i="39" s="1"/>
  <c r="AF8" i="39" s="1"/>
  <c r="AG6" i="39"/>
  <c r="AH6" i="39"/>
  <c r="AI6" i="39"/>
  <c r="J7" i="39"/>
  <c r="K7" i="39"/>
  <c r="L7" i="39"/>
  <c r="M7" i="39"/>
  <c r="AG7" i="39"/>
  <c r="AH7" i="39"/>
  <c r="AI7" i="39"/>
  <c r="L8" i="39"/>
  <c r="M8" i="39"/>
  <c r="AG8" i="39"/>
  <c r="AH8" i="39"/>
  <c r="AI8" i="39"/>
  <c r="K9" i="39"/>
  <c r="M9" i="39"/>
  <c r="AG9" i="39"/>
  <c r="AH9" i="39"/>
  <c r="AI9" i="39"/>
  <c r="S11" i="39"/>
  <c r="T11" i="39"/>
  <c r="U11" i="39"/>
  <c r="W11" i="39"/>
  <c r="X11" i="39"/>
  <c r="Y11" i="39"/>
  <c r="Z11" i="39"/>
  <c r="AB11" i="39"/>
  <c r="AC11" i="39"/>
  <c r="AD11" i="39"/>
  <c r="AE11" i="39"/>
  <c r="AF11" i="39"/>
  <c r="AG11" i="39"/>
  <c r="AH11" i="39"/>
  <c r="AI11" i="39"/>
  <c r="J12" i="39"/>
  <c r="K12" i="39"/>
  <c r="M12" i="39"/>
  <c r="S12" i="39"/>
  <c r="T12" i="39"/>
  <c r="U12" i="39"/>
  <c r="W12" i="39"/>
  <c r="X12" i="39"/>
  <c r="Y12" i="39"/>
  <c r="Z12" i="39"/>
  <c r="AB12" i="39"/>
  <c r="AC12" i="39"/>
  <c r="AD12" i="39"/>
  <c r="AE12" i="39"/>
  <c r="AF12" i="39"/>
  <c r="AG12" i="39"/>
  <c r="AH12" i="39"/>
  <c r="AI12" i="39"/>
  <c r="S13" i="39"/>
  <c r="T13" i="39"/>
  <c r="U13" i="39"/>
  <c r="W13" i="39"/>
  <c r="X13" i="39"/>
  <c r="Y13" i="39"/>
  <c r="Z13" i="39"/>
  <c r="AB13" i="39"/>
  <c r="AC13" i="39"/>
  <c r="AD13" i="39"/>
  <c r="AE13" i="39"/>
  <c r="AF13" i="39"/>
  <c r="AG13" i="39"/>
  <c r="AH13" i="39"/>
  <c r="AI13" i="39"/>
  <c r="K14" i="39"/>
  <c r="M14" i="39"/>
  <c r="S14" i="39"/>
  <c r="T14" i="39"/>
  <c r="U14" i="39"/>
  <c r="W14" i="39"/>
  <c r="X14" i="39"/>
  <c r="Y14" i="39"/>
  <c r="Z14" i="39"/>
  <c r="AB14" i="39"/>
  <c r="AC14" i="39"/>
  <c r="AD14" i="39"/>
  <c r="AE14" i="39"/>
  <c r="AF14" i="39"/>
  <c r="AG14" i="39"/>
  <c r="AH14" i="39"/>
  <c r="AI14" i="39"/>
  <c r="K16" i="39"/>
  <c r="M16" i="39"/>
  <c r="S16" i="39"/>
  <c r="T16" i="39"/>
  <c r="U16" i="39"/>
  <c r="W16" i="39"/>
  <c r="X16" i="39"/>
  <c r="Y16" i="39"/>
  <c r="Z16" i="39"/>
  <c r="AB16" i="39"/>
  <c r="AC16" i="39"/>
  <c r="AD16" i="39"/>
  <c r="AE16" i="39"/>
  <c r="AF16" i="39"/>
  <c r="AG16" i="39"/>
  <c r="AH16" i="39"/>
  <c r="AI16" i="39"/>
  <c r="S17" i="39"/>
  <c r="T17" i="39"/>
  <c r="U17" i="39"/>
  <c r="W17" i="39"/>
  <c r="X17" i="39"/>
  <c r="Y17" i="39"/>
  <c r="Z17" i="39"/>
  <c r="AB17" i="39"/>
  <c r="AC17" i="39"/>
  <c r="AD17" i="39"/>
  <c r="AE17" i="39"/>
  <c r="AF17" i="39"/>
  <c r="AG17" i="39"/>
  <c r="AH17" i="39"/>
  <c r="AI17" i="39"/>
  <c r="N18" i="39"/>
  <c r="S18" i="39"/>
  <c r="T18" i="39"/>
  <c r="U18" i="39"/>
  <c r="W18" i="39"/>
  <c r="X18" i="39"/>
  <c r="Y18" i="39"/>
  <c r="Z18" i="39"/>
  <c r="AB18" i="39"/>
  <c r="AC18" i="39"/>
  <c r="AD18" i="39"/>
  <c r="AE18" i="39"/>
  <c r="AF18" i="39"/>
  <c r="AG18" i="39"/>
  <c r="AH18" i="39"/>
  <c r="AI18" i="39"/>
  <c r="M19" i="39"/>
  <c r="S19" i="39"/>
  <c r="T19" i="39"/>
  <c r="U19" i="39"/>
  <c r="W19" i="39"/>
  <c r="X19" i="39"/>
  <c r="Y19" i="39"/>
  <c r="Z19" i="39"/>
  <c r="AB19" i="39"/>
  <c r="AC19" i="39"/>
  <c r="AD19" i="39"/>
  <c r="AE19" i="39"/>
  <c r="AF19" i="39"/>
  <c r="AG19" i="39"/>
  <c r="AH19" i="39"/>
  <c r="AI19" i="39"/>
  <c r="J20" i="39"/>
  <c r="M20" i="39"/>
  <c r="J21" i="39"/>
  <c r="M21" i="39"/>
  <c r="N21" i="39"/>
  <c r="S21" i="39"/>
  <c r="T21" i="39"/>
  <c r="U21" i="39"/>
  <c r="W21" i="39"/>
  <c r="X21" i="39"/>
  <c r="Y21" i="39"/>
  <c r="Z21" i="39"/>
  <c r="AB21" i="39"/>
  <c r="AC21" i="39"/>
  <c r="AD21" i="39"/>
  <c r="AE21" i="39"/>
  <c r="AF21" i="39"/>
  <c r="AG21" i="39"/>
  <c r="AH21" i="39"/>
  <c r="AI21" i="39"/>
  <c r="K22" i="39"/>
  <c r="S22" i="39"/>
  <c r="T22" i="39"/>
  <c r="U22" i="39"/>
  <c r="W22" i="39"/>
  <c r="X22" i="39"/>
  <c r="Y22" i="39"/>
  <c r="Z22" i="39"/>
  <c r="AB22" i="39"/>
  <c r="AC22" i="39"/>
  <c r="AD22" i="39"/>
  <c r="AE22" i="39"/>
  <c r="AF22" i="39"/>
  <c r="AG22" i="39"/>
  <c r="AH22" i="39"/>
  <c r="AI22" i="39"/>
  <c r="S23" i="39"/>
  <c r="T23" i="39"/>
  <c r="U23" i="39"/>
  <c r="W23" i="39"/>
  <c r="X23" i="39"/>
  <c r="Y23" i="39"/>
  <c r="Z23" i="39"/>
  <c r="AB23" i="39"/>
  <c r="AC23" i="39"/>
  <c r="AD23" i="39"/>
  <c r="AE23" i="39"/>
  <c r="AF23" i="39"/>
  <c r="AG23" i="39"/>
  <c r="AH23" i="39"/>
  <c r="AI23" i="39"/>
  <c r="S24" i="39"/>
  <c r="T24" i="39"/>
  <c r="U24" i="39"/>
  <c r="W24" i="39"/>
  <c r="X24" i="39"/>
  <c r="Y24" i="39"/>
  <c r="Z24" i="39"/>
  <c r="AB24" i="39"/>
  <c r="AC24" i="39"/>
  <c r="AD24" i="39"/>
  <c r="AE24" i="39"/>
  <c r="AF24" i="39"/>
  <c r="AG24" i="39"/>
  <c r="AH24" i="39"/>
  <c r="AI24" i="39"/>
  <c r="K26" i="39"/>
  <c r="L26" i="39"/>
  <c r="M26" i="39"/>
  <c r="S26" i="39"/>
  <c r="T26" i="39"/>
  <c r="U26" i="39"/>
  <c r="W26" i="39"/>
  <c r="X26" i="39"/>
  <c r="Y26" i="39"/>
  <c r="Z26" i="39"/>
  <c r="AB26" i="39"/>
  <c r="AC26" i="39"/>
  <c r="AD26" i="39"/>
  <c r="AE26" i="39"/>
  <c r="AF26" i="39"/>
  <c r="AG26" i="39"/>
  <c r="AH26" i="39"/>
  <c r="AI26" i="39"/>
  <c r="S27" i="39"/>
  <c r="T27" i="39"/>
  <c r="U27" i="39"/>
  <c r="W27" i="39"/>
  <c r="X27" i="39"/>
  <c r="Y27" i="39"/>
  <c r="Z27" i="39"/>
  <c r="AB27" i="39"/>
  <c r="AC27" i="39"/>
  <c r="AD27" i="39"/>
  <c r="AE27" i="39"/>
  <c r="AF27" i="39"/>
  <c r="AG27" i="39"/>
  <c r="AH27" i="39"/>
  <c r="AI27" i="39"/>
  <c r="L28" i="39"/>
  <c r="M28" i="39"/>
  <c r="S28" i="39"/>
  <c r="T28" i="39"/>
  <c r="U28" i="39"/>
  <c r="W28" i="39"/>
  <c r="X28" i="39"/>
  <c r="Y28" i="39"/>
  <c r="Z28" i="39"/>
  <c r="AB28" i="39"/>
  <c r="AC28" i="39"/>
  <c r="AD28" i="39"/>
  <c r="AE28" i="39"/>
  <c r="AF28" i="39"/>
  <c r="AG28" i="39"/>
  <c r="AH28" i="39"/>
  <c r="AI28" i="39"/>
  <c r="S29" i="39"/>
  <c r="T29" i="39"/>
  <c r="U29" i="39"/>
  <c r="W29" i="39"/>
  <c r="X29" i="39"/>
  <c r="Y29" i="39"/>
  <c r="Z29" i="39"/>
  <c r="AB29" i="39"/>
  <c r="AC29" i="39"/>
  <c r="AD29" i="39"/>
  <c r="AE29" i="39"/>
  <c r="AF29" i="39"/>
  <c r="AG29" i="39"/>
  <c r="AH29" i="39"/>
  <c r="AI29" i="39"/>
  <c r="S31" i="39"/>
  <c r="T31" i="39"/>
  <c r="U31" i="39"/>
  <c r="W31" i="39"/>
  <c r="X31" i="39"/>
  <c r="Y31" i="39"/>
  <c r="Z31" i="39"/>
  <c r="AB31" i="39"/>
  <c r="AC31" i="39"/>
  <c r="AD31" i="39"/>
  <c r="AE31" i="39"/>
  <c r="AF31" i="39"/>
  <c r="AG31" i="39"/>
  <c r="AH31" i="39"/>
  <c r="AI31" i="39"/>
  <c r="S32" i="39"/>
  <c r="T32" i="39"/>
  <c r="U32" i="39"/>
  <c r="W32" i="39"/>
  <c r="X32" i="39"/>
  <c r="Y32" i="39"/>
  <c r="Z32" i="39"/>
  <c r="AB32" i="39"/>
  <c r="AC32" i="39"/>
  <c r="AD32" i="39"/>
  <c r="AE32" i="39"/>
  <c r="AF32" i="39"/>
  <c r="AG32" i="39"/>
  <c r="AH32" i="39"/>
  <c r="AI32" i="39"/>
  <c r="J33" i="39"/>
  <c r="K33" i="39"/>
  <c r="S33" i="39"/>
  <c r="T33" i="39"/>
  <c r="U33" i="39"/>
  <c r="W33" i="39"/>
  <c r="X33" i="39"/>
  <c r="Y33" i="39"/>
  <c r="Z33" i="39"/>
  <c r="AB33" i="39"/>
  <c r="AC33" i="39"/>
  <c r="AD33" i="39"/>
  <c r="AE33" i="39"/>
  <c r="AF33" i="39"/>
  <c r="AG33" i="39"/>
  <c r="AH33" i="39"/>
  <c r="AI33" i="39"/>
  <c r="J34" i="39"/>
  <c r="K34" i="39"/>
  <c r="S34" i="39"/>
  <c r="T34" i="39"/>
  <c r="U34" i="39"/>
  <c r="W34" i="39"/>
  <c r="X34" i="39"/>
  <c r="Y34" i="39"/>
  <c r="Z34" i="39"/>
  <c r="AB34" i="39"/>
  <c r="AC34" i="39"/>
  <c r="AD34" i="39"/>
  <c r="AE34" i="39"/>
  <c r="AF34" i="39"/>
  <c r="AG34" i="39"/>
  <c r="AH34" i="39"/>
  <c r="AI34" i="39"/>
  <c r="J35" i="39"/>
  <c r="K35" i="39"/>
  <c r="J36" i="39"/>
  <c r="K36" i="39"/>
  <c r="S36" i="39"/>
  <c r="T36" i="39"/>
  <c r="U36" i="39"/>
  <c r="W36" i="39"/>
  <c r="X36" i="39"/>
  <c r="Y36" i="39"/>
  <c r="Z36" i="39"/>
  <c r="AB36" i="39"/>
  <c r="AC36" i="39"/>
  <c r="AD36" i="39"/>
  <c r="AE36" i="39"/>
  <c r="AF36" i="39"/>
  <c r="AG36" i="39"/>
  <c r="AH36" i="39"/>
  <c r="AI36" i="39"/>
  <c r="J37" i="39"/>
  <c r="K37" i="39"/>
  <c r="S37" i="39"/>
  <c r="T37" i="39"/>
  <c r="U37" i="39"/>
  <c r="W37" i="39"/>
  <c r="X37" i="39"/>
  <c r="Y37" i="39"/>
  <c r="Z37" i="39"/>
  <c r="AB37" i="39"/>
  <c r="AC37" i="39"/>
  <c r="AD37" i="39"/>
  <c r="AE37" i="39"/>
  <c r="AF37" i="39"/>
  <c r="AG37" i="39"/>
  <c r="AH37" i="39"/>
  <c r="AI37" i="39"/>
  <c r="S38" i="39"/>
  <c r="T38" i="39"/>
  <c r="U38" i="39"/>
  <c r="W38" i="39"/>
  <c r="X38" i="39"/>
  <c r="Y38" i="39"/>
  <c r="Z38" i="39"/>
  <c r="AB38" i="39"/>
  <c r="AC38" i="39"/>
  <c r="AD38" i="39"/>
  <c r="AE38" i="39"/>
  <c r="AF38" i="39"/>
  <c r="AG38" i="39"/>
  <c r="AH38" i="39"/>
  <c r="AI38" i="39"/>
  <c r="S39" i="39"/>
  <c r="T39" i="39"/>
  <c r="U39" i="39"/>
  <c r="W39" i="39"/>
  <c r="X39" i="39"/>
  <c r="Y39" i="39"/>
  <c r="Z39" i="39"/>
  <c r="AB39" i="39"/>
  <c r="AC39" i="39"/>
  <c r="AD39" i="39"/>
  <c r="AE39" i="39"/>
  <c r="AF39" i="39"/>
  <c r="AG39" i="39"/>
  <c r="AH39" i="39"/>
  <c r="AI39" i="39"/>
  <c r="K43" i="39"/>
  <c r="V43" i="39"/>
  <c r="K44" i="39"/>
  <c r="V44" i="39"/>
  <c r="K45" i="39"/>
  <c r="V45" i="39"/>
  <c r="K46" i="39"/>
  <c r="K47" i="39"/>
  <c r="R48" i="39"/>
  <c r="J49" i="39"/>
  <c r="R49" i="39"/>
  <c r="R51" i="39"/>
  <c r="Y63" i="39"/>
  <c r="Z63" i="39"/>
  <c r="Y64" i="39"/>
  <c r="Z64" i="39"/>
  <c r="Y65" i="39"/>
  <c r="Z65" i="39"/>
  <c r="Y66" i="39"/>
  <c r="Z66" i="39"/>
  <c r="Y67" i="39"/>
  <c r="Z67" i="39"/>
  <c r="J3" i="65"/>
  <c r="J4" i="65"/>
  <c r="J6" i="65"/>
  <c r="K6" i="65"/>
  <c r="L6" i="65"/>
  <c r="M6" i="65"/>
  <c r="J7" i="65"/>
  <c r="K7" i="65"/>
  <c r="L7" i="65"/>
  <c r="M7" i="65"/>
  <c r="J8" i="65"/>
  <c r="K8" i="65"/>
  <c r="L8" i="65"/>
  <c r="M8" i="65"/>
  <c r="J9" i="65"/>
  <c r="K9" i="65"/>
  <c r="L9" i="65"/>
  <c r="M9" i="65"/>
  <c r="L10" i="65"/>
  <c r="M10" i="65"/>
  <c r="J11" i="65"/>
  <c r="K11" i="65"/>
  <c r="L11" i="65"/>
  <c r="M11" i="65"/>
  <c r="J12" i="65"/>
  <c r="K12" i="65"/>
  <c r="L12" i="65"/>
  <c r="M12" i="65"/>
  <c r="J13" i="65"/>
  <c r="K13" i="65"/>
  <c r="L13" i="65"/>
  <c r="M13" i="65"/>
  <c r="J14" i="65"/>
  <c r="K14" i="65"/>
  <c r="L14" i="65"/>
  <c r="M14" i="65"/>
  <c r="L15" i="65"/>
  <c r="M15" i="65"/>
  <c r="J16" i="65"/>
  <c r="K16" i="65"/>
  <c r="L16" i="65"/>
  <c r="M16" i="65"/>
  <c r="J17" i="65"/>
  <c r="K17" i="65"/>
  <c r="L17" i="65"/>
  <c r="M17" i="65"/>
  <c r="J18" i="65"/>
  <c r="K18" i="65"/>
  <c r="L18" i="65"/>
  <c r="M18" i="65"/>
  <c r="J19" i="65"/>
  <c r="K19" i="65"/>
  <c r="L19" i="65"/>
  <c r="M19" i="65"/>
  <c r="J20" i="65"/>
  <c r="K20" i="65"/>
  <c r="L20" i="65"/>
  <c r="M20" i="65"/>
  <c r="J21" i="65"/>
  <c r="K21" i="65"/>
  <c r="L21" i="65"/>
  <c r="M21" i="65"/>
  <c r="J22" i="65"/>
  <c r="K22" i="65"/>
  <c r="L22" i="65"/>
  <c r="M22" i="65"/>
  <c r="J23" i="65"/>
  <c r="K23" i="65"/>
  <c r="L23" i="65"/>
  <c r="M23" i="65"/>
  <c r="J24" i="65"/>
  <c r="K24" i="65"/>
  <c r="L24" i="65"/>
  <c r="M24" i="65"/>
  <c r="J25" i="65"/>
  <c r="K25" i="65"/>
  <c r="L25" i="65"/>
  <c r="M25" i="65"/>
  <c r="L26" i="65"/>
  <c r="M26" i="65"/>
  <c r="J27" i="65"/>
  <c r="K27" i="65"/>
  <c r="L27" i="65"/>
  <c r="M27" i="65"/>
  <c r="J28" i="65"/>
  <c r="K28" i="65"/>
  <c r="L28" i="65"/>
  <c r="M28" i="65"/>
  <c r="J29" i="65"/>
  <c r="K29" i="65"/>
  <c r="L29" i="65"/>
  <c r="M29" i="65"/>
  <c r="J30" i="65"/>
  <c r="K30" i="65"/>
  <c r="L30" i="65"/>
  <c r="M30" i="65"/>
  <c r="J31" i="65"/>
  <c r="K31" i="65"/>
  <c r="L31" i="65"/>
  <c r="M31" i="65"/>
  <c r="J32" i="65"/>
  <c r="K32" i="65"/>
  <c r="L32" i="65"/>
  <c r="M32" i="65"/>
  <c r="L33" i="65"/>
  <c r="M33" i="65"/>
  <c r="J34" i="65"/>
  <c r="K34" i="65"/>
  <c r="L34" i="65"/>
  <c r="M34" i="65"/>
  <c r="J35" i="65"/>
  <c r="K35" i="65"/>
  <c r="L35" i="65"/>
  <c r="M35" i="65"/>
  <c r="L36" i="65"/>
  <c r="M36" i="65"/>
  <c r="L37" i="65"/>
  <c r="M37" i="65"/>
  <c r="J42" i="65"/>
  <c r="K42" i="65"/>
  <c r="L42" i="65"/>
  <c r="M42" i="65"/>
  <c r="X12" i="45"/>
  <c r="AG6" i="1"/>
  <c r="AH6" i="1"/>
  <c r="AI6" i="1"/>
  <c r="J7" i="1"/>
  <c r="K7" i="1"/>
  <c r="L7" i="1"/>
  <c r="M7" i="1"/>
  <c r="AG7" i="1"/>
  <c r="AH7" i="1"/>
  <c r="AI7" i="1"/>
  <c r="L8" i="1"/>
  <c r="M8" i="1"/>
  <c r="AG8" i="1"/>
  <c r="AH8" i="1"/>
  <c r="AI8" i="1"/>
  <c r="K9" i="1"/>
  <c r="M9" i="1"/>
  <c r="AG9" i="1"/>
  <c r="AH9" i="1"/>
  <c r="AI9" i="1"/>
  <c r="S11" i="1"/>
  <c r="T11" i="1"/>
  <c r="U11" i="1"/>
  <c r="W11" i="1"/>
  <c r="X11" i="1"/>
  <c r="Y11" i="1"/>
  <c r="Z11" i="1"/>
  <c r="AB11" i="1"/>
  <c r="AC11" i="1"/>
  <c r="AD11" i="1"/>
  <c r="AE11" i="1"/>
  <c r="AF11" i="1"/>
  <c r="AG11" i="1"/>
  <c r="AH11" i="1"/>
  <c r="AI11" i="1"/>
  <c r="I12" i="1"/>
  <c r="J12" i="1"/>
  <c r="K12" i="1"/>
  <c r="M12" i="1"/>
  <c r="S12" i="1"/>
  <c r="T12" i="1"/>
  <c r="U12" i="1"/>
  <c r="W12" i="1"/>
  <c r="X12" i="1"/>
  <c r="Y12" i="1"/>
  <c r="Z12" i="1"/>
  <c r="AB12" i="1"/>
  <c r="AC12" i="1"/>
  <c r="AD12" i="1"/>
  <c r="AE12" i="1"/>
  <c r="AF12" i="1"/>
  <c r="AG12" i="1"/>
  <c r="AH12" i="1"/>
  <c r="AI12" i="1"/>
  <c r="S13" i="1"/>
  <c r="T13" i="1"/>
  <c r="U13" i="1"/>
  <c r="W13" i="1"/>
  <c r="X13" i="1"/>
  <c r="Y13" i="1"/>
  <c r="Z13" i="1"/>
  <c r="AB13" i="1"/>
  <c r="AC13" i="1"/>
  <c r="AD13" i="1"/>
  <c r="AE13" i="1"/>
  <c r="AF13" i="1"/>
  <c r="AG13" i="1"/>
  <c r="AH13" i="1"/>
  <c r="AI13" i="1"/>
  <c r="I14" i="1"/>
  <c r="K14" i="1"/>
  <c r="M14" i="1"/>
  <c r="S14" i="1"/>
  <c r="T14" i="1"/>
  <c r="U14" i="1"/>
  <c r="W14" i="1"/>
  <c r="X14" i="1"/>
  <c r="Y14" i="1"/>
  <c r="Z14" i="1"/>
  <c r="AB14" i="1"/>
  <c r="AC14" i="1"/>
  <c r="AD14" i="1"/>
  <c r="AE14" i="1"/>
  <c r="AF14" i="1"/>
  <c r="AG14" i="1"/>
  <c r="AH14" i="1"/>
  <c r="AI14" i="1"/>
  <c r="K16" i="1"/>
  <c r="M16" i="1"/>
  <c r="S16" i="1"/>
  <c r="T16" i="1"/>
  <c r="U16" i="1"/>
  <c r="W16" i="1"/>
  <c r="X16" i="1"/>
  <c r="Y16" i="1"/>
  <c r="Z16" i="1"/>
  <c r="AB16" i="1"/>
  <c r="AC16" i="1"/>
  <c r="AD16" i="1"/>
  <c r="AE16" i="1"/>
  <c r="AF16" i="1"/>
  <c r="AG16" i="1"/>
  <c r="AH16" i="1"/>
  <c r="AI16" i="1"/>
  <c r="S17" i="1"/>
  <c r="T17" i="1"/>
  <c r="U17" i="1"/>
  <c r="W17" i="1"/>
  <c r="X17" i="1"/>
  <c r="Y17" i="1"/>
  <c r="Z17" i="1"/>
  <c r="AB17" i="1"/>
  <c r="AC17" i="1"/>
  <c r="AD17" i="1"/>
  <c r="AE17" i="1"/>
  <c r="AF17" i="1"/>
  <c r="AG17" i="1"/>
  <c r="AH17" i="1"/>
  <c r="AI17" i="1"/>
  <c r="S18" i="1"/>
  <c r="T18" i="1"/>
  <c r="U18" i="1"/>
  <c r="W18" i="1"/>
  <c r="X18" i="1"/>
  <c r="Y18" i="1"/>
  <c r="Z18" i="1"/>
  <c r="AB18" i="1"/>
  <c r="AC18" i="1"/>
  <c r="AD18" i="1"/>
  <c r="AE18" i="1"/>
  <c r="AF18" i="1"/>
  <c r="AG18" i="1"/>
  <c r="AH18" i="1"/>
  <c r="AI18" i="1"/>
  <c r="M19" i="1"/>
  <c r="S19" i="1"/>
  <c r="T19" i="1"/>
  <c r="U19" i="1"/>
  <c r="W19" i="1"/>
  <c r="X19" i="1"/>
  <c r="Y19" i="1"/>
  <c r="Z19" i="1"/>
  <c r="AB19" i="1"/>
  <c r="AC19" i="1"/>
  <c r="AD19" i="1"/>
  <c r="AE19" i="1"/>
  <c r="AF19" i="1"/>
  <c r="AG19" i="1"/>
  <c r="AH19" i="1"/>
  <c r="AI19" i="1"/>
  <c r="J20" i="1"/>
  <c r="M20" i="1"/>
  <c r="J21" i="1"/>
  <c r="M21" i="1"/>
  <c r="N21" i="1"/>
  <c r="S21" i="1"/>
  <c r="T21" i="1"/>
  <c r="U21" i="1"/>
  <c r="W21" i="1"/>
  <c r="X21" i="1"/>
  <c r="Y21" i="1"/>
  <c r="Z21" i="1"/>
  <c r="AB21" i="1"/>
  <c r="AC21" i="1"/>
  <c r="AD21" i="1"/>
  <c r="AE21" i="1"/>
  <c r="AF21" i="1"/>
  <c r="AG21" i="1"/>
  <c r="AH21" i="1"/>
  <c r="AI21" i="1"/>
  <c r="K22" i="1"/>
  <c r="S22" i="1"/>
  <c r="T22" i="1"/>
  <c r="U22" i="1"/>
  <c r="W22" i="1"/>
  <c r="X22" i="1"/>
  <c r="Y22" i="1"/>
  <c r="Z22" i="1"/>
  <c r="AB22" i="1"/>
  <c r="AC22" i="1"/>
  <c r="AD22" i="1"/>
  <c r="AE22" i="1"/>
  <c r="AF22" i="1"/>
  <c r="AG22" i="1"/>
  <c r="AH22" i="1"/>
  <c r="AI22" i="1"/>
  <c r="S23" i="1"/>
  <c r="T23" i="1"/>
  <c r="U23" i="1"/>
  <c r="W23" i="1"/>
  <c r="X23" i="1"/>
  <c r="Y23" i="1"/>
  <c r="Z23" i="1"/>
  <c r="AB23" i="1"/>
  <c r="AC23" i="1"/>
  <c r="AD23" i="1"/>
  <c r="AE23" i="1"/>
  <c r="AF23" i="1"/>
  <c r="AG23" i="1"/>
  <c r="AH23" i="1"/>
  <c r="AI23" i="1"/>
  <c r="S24" i="1"/>
  <c r="T24" i="1"/>
  <c r="U24" i="1"/>
  <c r="W24" i="1"/>
  <c r="X24" i="1"/>
  <c r="Y24" i="1"/>
  <c r="Z24" i="1"/>
  <c r="AB24" i="1"/>
  <c r="AC24" i="1"/>
  <c r="AD24" i="1"/>
  <c r="AE24" i="1"/>
  <c r="AF24" i="1"/>
  <c r="AG24" i="1"/>
  <c r="AH24" i="1"/>
  <c r="AI24" i="1"/>
  <c r="K26" i="1"/>
  <c r="L26" i="1"/>
  <c r="M26" i="1"/>
  <c r="S26" i="1"/>
  <c r="T26" i="1"/>
  <c r="U26" i="1"/>
  <c r="W26" i="1"/>
  <c r="X26" i="1"/>
  <c r="Y26" i="1"/>
  <c r="Z26" i="1"/>
  <c r="AB26" i="1"/>
  <c r="AC26" i="1"/>
  <c r="AD26" i="1"/>
  <c r="AE26" i="1"/>
  <c r="AF26" i="1"/>
  <c r="AG26" i="1"/>
  <c r="AH26" i="1"/>
  <c r="AI26" i="1"/>
  <c r="S27" i="1"/>
  <c r="T27" i="1"/>
  <c r="U27" i="1"/>
  <c r="W27" i="1"/>
  <c r="X27" i="1"/>
  <c r="Y27" i="1"/>
  <c r="Z27" i="1"/>
  <c r="AB27" i="1"/>
  <c r="AC27" i="1"/>
  <c r="AD27" i="1"/>
  <c r="AE27" i="1"/>
  <c r="AF27" i="1"/>
  <c r="AG27" i="1"/>
  <c r="AH27" i="1"/>
  <c r="AI27" i="1"/>
  <c r="L28" i="1"/>
  <c r="M28" i="1"/>
  <c r="S28" i="1"/>
  <c r="T28" i="1"/>
  <c r="U28" i="1"/>
  <c r="W28" i="1"/>
  <c r="X28" i="1"/>
  <c r="Y28" i="1"/>
  <c r="Z28" i="1"/>
  <c r="AB28" i="1"/>
  <c r="AC28" i="1"/>
  <c r="AD28" i="1"/>
  <c r="AE28" i="1"/>
  <c r="AF28" i="1"/>
  <c r="AG28" i="1"/>
  <c r="AH28" i="1"/>
  <c r="AI28" i="1"/>
  <c r="S29" i="1"/>
  <c r="T29" i="1"/>
  <c r="U29" i="1"/>
  <c r="W29" i="1"/>
  <c r="X29" i="1"/>
  <c r="Y29" i="1"/>
  <c r="Z29" i="1"/>
  <c r="AB29" i="1"/>
  <c r="AC29" i="1"/>
  <c r="AD29" i="1"/>
  <c r="AE29" i="1"/>
  <c r="AF29" i="1"/>
  <c r="AG29" i="1"/>
  <c r="AH29" i="1"/>
  <c r="AI29" i="1"/>
  <c r="S31" i="1"/>
  <c r="T31" i="1"/>
  <c r="U31" i="1"/>
  <c r="W31" i="1"/>
  <c r="X31" i="1"/>
  <c r="Y31" i="1"/>
  <c r="Z31" i="1"/>
  <c r="AB31" i="1"/>
  <c r="AC31" i="1"/>
  <c r="AD31" i="1"/>
  <c r="AE31" i="1"/>
  <c r="AF31" i="1"/>
  <c r="AG31" i="1"/>
  <c r="AH31" i="1"/>
  <c r="AI31" i="1"/>
  <c r="S32" i="1"/>
  <c r="T32" i="1"/>
  <c r="U32" i="1"/>
  <c r="W32" i="1"/>
  <c r="X32" i="1"/>
  <c r="Y32" i="1"/>
  <c r="Z32" i="1"/>
  <c r="AB32" i="1"/>
  <c r="AC32" i="1"/>
  <c r="AD32" i="1"/>
  <c r="AE32" i="1"/>
  <c r="AF32" i="1"/>
  <c r="AG32" i="1"/>
  <c r="AH32" i="1"/>
  <c r="AI32" i="1"/>
  <c r="J33" i="1"/>
  <c r="K33" i="1"/>
  <c r="S33" i="1"/>
  <c r="T33" i="1"/>
  <c r="U33" i="1"/>
  <c r="W33" i="1"/>
  <c r="X33" i="1"/>
  <c r="Y33" i="1"/>
  <c r="Z33" i="1"/>
  <c r="AB33" i="1"/>
  <c r="AC33" i="1"/>
  <c r="AD33" i="1"/>
  <c r="AE33" i="1"/>
  <c r="AF33" i="1"/>
  <c r="AG33" i="1"/>
  <c r="AH33" i="1"/>
  <c r="AI33" i="1"/>
  <c r="J34" i="1"/>
  <c r="K34" i="1"/>
  <c r="S34" i="1"/>
  <c r="T34" i="1"/>
  <c r="U34" i="1"/>
  <c r="W34" i="1"/>
  <c r="X34" i="1"/>
  <c r="Y34" i="1"/>
  <c r="Z34" i="1"/>
  <c r="AB34" i="1"/>
  <c r="AC34" i="1"/>
  <c r="AD34" i="1"/>
  <c r="AE34" i="1"/>
  <c r="AF34" i="1"/>
  <c r="AG34" i="1"/>
  <c r="AH34" i="1"/>
  <c r="AI34" i="1"/>
  <c r="J35" i="1"/>
  <c r="K35" i="1"/>
  <c r="J36" i="1"/>
  <c r="K36" i="1"/>
  <c r="S36" i="1"/>
  <c r="T36" i="1"/>
  <c r="U36" i="1"/>
  <c r="W36" i="1"/>
  <c r="X36" i="1"/>
  <c r="Y36" i="1"/>
  <c r="Z36" i="1"/>
  <c r="AB36" i="1"/>
  <c r="AC36" i="1"/>
  <c r="AD36" i="1"/>
  <c r="AE36" i="1"/>
  <c r="AF36" i="1"/>
  <c r="AG36" i="1"/>
  <c r="AH36" i="1"/>
  <c r="AI36" i="1"/>
  <c r="J37" i="1"/>
  <c r="K37" i="1"/>
  <c r="S37" i="1"/>
  <c r="T37" i="1"/>
  <c r="U37" i="1"/>
  <c r="W37" i="1"/>
  <c r="X37" i="1"/>
  <c r="Y37" i="1"/>
  <c r="Z37" i="1"/>
  <c r="AB37" i="1"/>
  <c r="AC37" i="1"/>
  <c r="AD37" i="1"/>
  <c r="AE37" i="1"/>
  <c r="AF37" i="1"/>
  <c r="AG37" i="1"/>
  <c r="AH37" i="1"/>
  <c r="AI37" i="1"/>
  <c r="S38" i="1"/>
  <c r="T38" i="1"/>
  <c r="U38" i="1"/>
  <c r="W38" i="1"/>
  <c r="X38" i="1"/>
  <c r="Y38" i="1"/>
  <c r="Z38" i="1"/>
  <c r="AB38" i="1"/>
  <c r="AC38" i="1"/>
  <c r="AD38" i="1"/>
  <c r="AE38" i="1"/>
  <c r="AF38" i="1"/>
  <c r="AG38" i="1"/>
  <c r="AH38" i="1"/>
  <c r="AI38" i="1"/>
  <c r="S39" i="1"/>
  <c r="T39" i="1"/>
  <c r="U39" i="1"/>
  <c r="W39" i="1"/>
  <c r="X39" i="1"/>
  <c r="Y39" i="1"/>
  <c r="Z39" i="1"/>
  <c r="AB39" i="1"/>
  <c r="AC39" i="1"/>
  <c r="AD39" i="1"/>
  <c r="AE39" i="1"/>
  <c r="AF39" i="1"/>
  <c r="AG39" i="1"/>
  <c r="AH39" i="1"/>
  <c r="AI39" i="1"/>
  <c r="K43" i="1"/>
  <c r="V43" i="1"/>
  <c r="K44" i="1"/>
  <c r="V44" i="1"/>
  <c r="K45" i="1"/>
  <c r="V45" i="1"/>
  <c r="K46" i="1"/>
  <c r="K47" i="1"/>
  <c r="R48" i="1"/>
  <c r="J49" i="1"/>
  <c r="R49" i="1"/>
  <c r="R51" i="1"/>
  <c r="Y63" i="1"/>
  <c r="Z63" i="1"/>
  <c r="Y64" i="1"/>
  <c r="Z64" i="1"/>
  <c r="Y65" i="1"/>
  <c r="Z65" i="1"/>
  <c r="Y66" i="1"/>
  <c r="Z66" i="1"/>
  <c r="Y67" i="1"/>
  <c r="Z6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Hammond, Greg (UTC)</author>
    <author>tc={2BD4251B-FBE0-4133-A703-250C9D9E6D83}</author>
    <author>tc={52C3F3C5-04FD-44AB-9767-14F8B43C52F9}</author>
    <author>tc={16975DF6-24B8-4539-8015-FDF7BE1B8C50}</author>
  </authors>
  <commentList>
    <comment ref="F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Hammond, Greg (UTC):</t>
        </r>
        <r>
          <rPr>
            <sz val="9"/>
            <color indexed="81"/>
            <rFont val="Tahoma"/>
            <family val="2"/>
          </rPr>
          <t xml:space="preserve">
$34,030 of this revenue is attributable to passthrough disposal fees</t>
        </r>
      </text>
    </comment>
    <comment ref="W15" authorId="1" shapeId="0" xr:uid="{00000000-0006-0000-00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These should be allocated directly using the costs for long-haul/disposal</t>
      </text>
    </comment>
    <comment ref="B2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Hammond, Greg (UTC):</t>
        </r>
        <r>
          <rPr>
            <sz val="9"/>
            <color indexed="81"/>
            <rFont val="Tahoma"/>
            <family val="2"/>
          </rPr>
          <t xml:space="preserve">
Ties to Direct Labor and Casual labor</t>
        </r>
      </text>
    </comment>
    <comment ref="W20" authorId="2" shapeId="0" xr:uid="{00000000-0006-0000-0000-000004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the percentages on the Driver Hours Recap Worksheet, and allocated using these amounts</t>
      </text>
    </comment>
    <comment ref="B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Hammond, Greg (UTC):
</t>
        </r>
        <r>
          <rPr>
            <sz val="9"/>
            <color indexed="81"/>
            <rFont val="Tahoma"/>
            <family val="2"/>
          </rPr>
          <t>Includes Facility Insurance and Vehicle - Insurance accounts</t>
        </r>
      </text>
    </comment>
    <comment ref="C2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Hammond, Greg (UTC):</t>
        </r>
        <r>
          <rPr>
            <sz val="9"/>
            <color indexed="81"/>
            <rFont val="Tahoma"/>
            <family val="2"/>
          </rPr>
          <t xml:space="preserve">
See adjustments on "Permits" Worksheet</t>
        </r>
      </text>
    </comment>
    <comment ref="B2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Hammond, Greg (UTC):</t>
        </r>
        <r>
          <rPr>
            <sz val="9"/>
            <color indexed="81"/>
            <rFont val="Tahoma"/>
            <family val="2"/>
          </rPr>
          <t xml:space="preserve">
Added from Annual Report - Negate With adjustment</t>
        </r>
      </text>
    </comment>
    <comment ref="W28" authorId="3" shapeId="0" xr:uid="{00000000-0006-0000-0000-000008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These two were pulling from the 6 month adjusted totals - updated links to pull from the 12 month totals</t>
      </text>
    </comment>
    <comment ref="C3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Hammond, Greg (UTC):</t>
        </r>
        <r>
          <rPr>
            <sz val="9"/>
            <color indexed="81"/>
            <rFont val="Tahoma"/>
            <family val="2"/>
          </rPr>
          <t xml:space="preserve">
Remove federal income taxes, these are recovered through LG</t>
        </r>
      </text>
    </comment>
    <comment ref="B3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Hammond, Greg (UTC):</t>
        </r>
        <r>
          <rPr>
            <sz val="9"/>
            <color indexed="81"/>
            <rFont val="Tahoma"/>
            <family val="2"/>
          </rPr>
          <t xml:space="preserve">
Includes $500 donation to food bank</t>
        </r>
      </text>
    </comment>
    <comment ref="C3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Hammond, Greg (UTC):</t>
        </r>
        <r>
          <rPr>
            <sz val="9"/>
            <color indexed="81"/>
            <rFont val="Tahoma"/>
            <family val="2"/>
          </rPr>
          <t xml:space="preserve">
Removed Charitable Donation</t>
        </r>
      </text>
    </comment>
    <comment ref="C3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Hammond, Greg (UTC):</t>
        </r>
        <r>
          <rPr>
            <sz val="9"/>
            <color indexed="81"/>
            <rFont val="Tahoma"/>
            <family val="2"/>
          </rPr>
          <t xml:space="preserve">
Restate to GL Supported amount</t>
        </r>
      </text>
    </comment>
    <comment ref="C38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Hammond, Greg (UTC):</t>
        </r>
        <r>
          <rPr>
            <sz val="9"/>
            <color indexed="81"/>
            <rFont val="Tahoma"/>
            <family val="2"/>
          </rPr>
          <t xml:space="preserve">
Remove Non-Allowabe Meals and Entertainment Expenses</t>
        </r>
      </text>
    </comment>
    <comment ref="C39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Hammond, Greg (UTC):</t>
        </r>
        <r>
          <rPr>
            <sz val="9"/>
            <color indexed="81"/>
            <rFont val="Tahoma"/>
            <family val="2"/>
          </rPr>
          <t xml:space="preserve">
Restated to general ledger amount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Hammond, Greg (UTC)</author>
  </authors>
  <commentList>
    <comment ref="D3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Hammond, Greg (UTC):</t>
        </r>
        <r>
          <rPr>
            <sz val="9"/>
            <color indexed="81"/>
            <rFont val="Tahoma"/>
            <family val="2"/>
          </rPr>
          <t xml:space="preserve">
1200 total bins, 400 sets of 3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Hammond, Greg (UTC)</author>
  </authors>
  <commentList>
    <comment ref="J3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Hammond, Greg (UTC):</t>
        </r>
        <r>
          <rPr>
            <sz val="9"/>
            <color indexed="81"/>
            <rFont val="Tahoma"/>
            <charset val="1"/>
          </rPr>
          <t xml:space="preserve">
These are costs of recycling disposal - currently uncharged to regulated side - including portion of these as regulated costs and hours for allocation purposes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Hammond, Greg (UTC)</author>
  </authors>
  <commentList>
    <comment ref="H7" authorId="0" shapeId="0" xr:uid="{00000000-0006-0000-0600-000001000000}">
      <text>
        <r>
          <rPr>
            <b/>
            <sz val="9"/>
            <color indexed="81"/>
            <rFont val="Tahoma"/>
            <charset val="1"/>
          </rPr>
          <t>Hammond, Greg (UTC):</t>
        </r>
        <r>
          <rPr>
            <sz val="9"/>
            <color indexed="81"/>
            <rFont val="Tahoma"/>
            <charset val="1"/>
          </rPr>
          <t xml:space="preserve">
Since these customers are also part of the 1915 customers on EOW, using the amount in excess of EOW rate. Tariff rate for weekly is 22.60</t>
        </r>
      </text>
    </comment>
  </commentList>
</comments>
</file>

<file path=xl/sharedStrings.xml><?xml version="1.0" encoding="utf-8"?>
<sst xmlns="http://schemas.openxmlformats.org/spreadsheetml/2006/main" count="893" uniqueCount="401">
  <si>
    <t>2018 Version Update Changes</t>
  </si>
  <si>
    <t>CALCULATION TABLES</t>
  </si>
  <si>
    <t>(a)</t>
  </si>
  <si>
    <t>(b)</t>
  </si>
  <si>
    <t>(c)</t>
  </si>
  <si>
    <t>(d)</t>
  </si>
  <si>
    <t>(e)</t>
  </si>
  <si>
    <t>(f)</t>
  </si>
  <si>
    <t>Regession</t>
  </si>
  <si>
    <t>Hauler</t>
  </si>
  <si>
    <t>Line</t>
  </si>
  <si>
    <t>Historical</t>
  </si>
  <si>
    <t>Revenue</t>
  </si>
  <si>
    <t>Proforma</t>
  </si>
  <si>
    <t>Before Tax</t>
  </si>
  <si>
    <t>Less</t>
  </si>
  <si>
    <t>Adjusted</t>
  </si>
  <si>
    <t>After Tax</t>
  </si>
  <si>
    <t>Weighted Cost</t>
  </si>
  <si>
    <t>No.</t>
  </si>
  <si>
    <t>Taxes</t>
  </si>
  <si>
    <t>Requirment</t>
  </si>
  <si>
    <t>Profit Ratio</t>
  </si>
  <si>
    <t>BTROI</t>
  </si>
  <si>
    <t>WCDebt</t>
  </si>
  <si>
    <t>BTROE</t>
  </si>
  <si>
    <t>ROE</t>
  </si>
  <si>
    <t>Equity</t>
  </si>
  <si>
    <t>Equity BFT</t>
  </si>
  <si>
    <t>Debt</t>
  </si>
  <si>
    <t>BTROR</t>
  </si>
  <si>
    <t>Operating Ratio</t>
  </si>
  <si>
    <t>Operating Revenue</t>
  </si>
  <si>
    <t>Operating Expenses</t>
  </si>
  <si>
    <t>Operating Income</t>
  </si>
  <si>
    <t>Interest Expense</t>
  </si>
  <si>
    <t>2nd Iteration</t>
  </si>
  <si>
    <t>Income Tax Expense</t>
  </si>
  <si>
    <t>Net Income</t>
  </si>
  <si>
    <t xml:space="preserve">Operating Ratio </t>
  </si>
  <si>
    <t>3rd Iteration</t>
  </si>
  <si>
    <t>Rev Sensitive Taxes</t>
  </si>
  <si>
    <t>Rate Increase</t>
  </si>
  <si>
    <t>4th Iteration</t>
  </si>
  <si>
    <t>Financing Cost</t>
  </si>
  <si>
    <t>Type</t>
  </si>
  <si>
    <t>Percent</t>
  </si>
  <si>
    <t>Amount</t>
  </si>
  <si>
    <t>Rate</t>
  </si>
  <si>
    <t>Weighted</t>
  </si>
  <si>
    <t>5th Iteration</t>
  </si>
  <si>
    <t>Operating Statistics</t>
  </si>
  <si>
    <t>Pre-tax</t>
  </si>
  <si>
    <t>6th Iteration</t>
  </si>
  <si>
    <t>Return on Investment</t>
  </si>
  <si>
    <t>Return on Equity</t>
  </si>
  <si>
    <t>Profit Margin</t>
  </si>
  <si>
    <t>Final turnover</t>
  </si>
  <si>
    <t>Tax Rate</t>
  </si>
  <si>
    <t>Curve</t>
  </si>
  <si>
    <t>Lookup Table</t>
  </si>
  <si>
    <t>Revenue Sensitive Taxes Charges</t>
  </si>
  <si>
    <t xml:space="preserve"> B &amp; O Tax</t>
  </si>
  <si>
    <t xml:space="preserve"> WUTC Fee</t>
  </si>
  <si>
    <t>Curve turnover</t>
  </si>
  <si>
    <t>@EXP(5.72260-(.68367*@LN(T)))</t>
  </si>
  <si>
    <t xml:space="preserve"> City Tax</t>
  </si>
  <si>
    <t>Curve No. used</t>
  </si>
  <si>
    <t>@EXP(5.70827-(.68367*@LN(T)))</t>
  </si>
  <si>
    <t xml:space="preserve"> Bad Debts</t>
  </si>
  <si>
    <t>@EXP(5.69850-(.68367*@LN(T)))</t>
  </si>
  <si>
    <t>Revenue Sensitive</t>
  </si>
  <si>
    <t>@EXP(5.69220-(.68367*@LN(T)))</t>
  </si>
  <si>
    <t>Conversion Factor</t>
  </si>
  <si>
    <t>Base Utility from LG Sample Study</t>
  </si>
  <si>
    <t>Regression Results</t>
  </si>
  <si>
    <t>Cost</t>
  </si>
  <si>
    <t>Y intercept (1)</t>
  </si>
  <si>
    <t>Y intercept (3)</t>
  </si>
  <si>
    <t>Y intercept (2)</t>
  </si>
  <si>
    <t>Y intercept (4)</t>
  </si>
  <si>
    <t>Pfd.</t>
  </si>
  <si>
    <t>Slope</t>
  </si>
  <si>
    <t>Revenue Requirement</t>
  </si>
  <si>
    <t>7th Iteration</t>
  </si>
  <si>
    <t>RevS Taxes</t>
  </si>
  <si>
    <t>Revenue Req</t>
  </si>
  <si>
    <t xml:space="preserve">Total </t>
  </si>
  <si>
    <t xml:space="preserve"> Increase Before</t>
  </si>
  <si>
    <t xml:space="preserve">Revenue </t>
  </si>
  <si>
    <t>Increase After</t>
  </si>
  <si>
    <t xml:space="preserve">RevS </t>
  </si>
  <si>
    <t>Revenue Senstive Taxes (RevS)</t>
  </si>
  <si>
    <t>Before RevS</t>
  </si>
  <si>
    <t>Before</t>
  </si>
  <si>
    <t>Income Tax</t>
  </si>
  <si>
    <t>After</t>
  </si>
  <si>
    <t>B&amp;O Tax Rate</t>
  </si>
  <si>
    <t>Federal Income Tax Rate</t>
  </si>
  <si>
    <t>WUTC Fee</t>
  </si>
  <si>
    <t>City Tax</t>
  </si>
  <si>
    <t>Bad Debts</t>
  </si>
  <si>
    <t>No</t>
  </si>
  <si>
    <t>Total</t>
  </si>
  <si>
    <t>Investment</t>
  </si>
  <si>
    <t>Captial Structure Financing Investment</t>
  </si>
  <si>
    <t>Non-Public Companies</t>
  </si>
  <si>
    <t>Percent Chg</t>
  </si>
  <si>
    <t>● Minimizes impact of changes in test-year revenue from</t>
  </si>
  <si>
    <t>● Allows Income Tax Rate Changes,</t>
  </si>
  <si>
    <t xml:space="preserve">   resulting revenue requirment,</t>
  </si>
  <si>
    <t>● Corrects interest rate transposition in LG.</t>
  </si>
  <si>
    <t>nonpubco</t>
  </si>
  <si>
    <t>Capital Structure - Debt Cost</t>
  </si>
  <si>
    <t>Capital Structure - Debt %</t>
  </si>
  <si>
    <t>INPUTS - Test Year</t>
  </si>
  <si>
    <t>Cost of Capital</t>
  </si>
  <si>
    <t>Change</t>
  </si>
  <si>
    <t>Add: Revenue</t>
  </si>
  <si>
    <t xml:space="preserve"> Sensitive Taxes</t>
  </si>
  <si>
    <t>(d) + (e)</t>
  </si>
  <si>
    <t>(b) + (c)</t>
  </si>
  <si>
    <t>Historical Revenue</t>
  </si>
  <si>
    <r>
      <t xml:space="preserve">LURITO - GALLAGHER FORMULA  MODEL 2018  </t>
    </r>
    <r>
      <rPr>
        <sz val="8"/>
        <color indexed="9"/>
        <rFont val="Calibri"/>
        <family val="2"/>
      </rPr>
      <t>V5.0a</t>
    </r>
  </si>
  <si>
    <t>Check when input is complete</t>
  </si>
  <si>
    <t>For Intial input: Uncheck Checkbox Until Completed</t>
  </si>
  <si>
    <t>Revenue Increase before taxes</t>
  </si>
  <si>
    <t>Freedom 2000 LLC dba Cando Recycling</t>
  </si>
  <si>
    <t>Price Out</t>
  </si>
  <si>
    <t>Whatcom County-all customers</t>
  </si>
  <si>
    <t xml:space="preserve">Item No. </t>
  </si>
  <si>
    <t>Tariff Page</t>
  </si>
  <si>
    <t>Scheduled Service</t>
  </si>
  <si>
    <t>Monthly Customers</t>
  </si>
  <si>
    <t>Monthly Frequency</t>
  </si>
  <si>
    <t>Annual PU's</t>
  </si>
  <si>
    <t>Residential</t>
  </si>
  <si>
    <t>1 minican EOW</t>
  </si>
  <si>
    <t>1 can EOW</t>
  </si>
  <si>
    <t>Commercial</t>
  </si>
  <si>
    <t>Extra cans (32 Gal)</t>
  </si>
  <si>
    <t>Prepaid Tags (32 Gal)</t>
  </si>
  <si>
    <t>Overweight/Overfull (32Gal)</t>
  </si>
  <si>
    <t>Totals</t>
  </si>
  <si>
    <t>Depreciation</t>
  </si>
  <si>
    <t>Commercial Revenue</t>
  </si>
  <si>
    <t>Drop Box &amp; Compactor Revenue</t>
  </si>
  <si>
    <t>Recycling &amp; Sale of Commodities</t>
  </si>
  <si>
    <t>Miscellaneous Garbage Revenue</t>
  </si>
  <si>
    <t>Fuel Surcharge</t>
  </si>
  <si>
    <t>Disposal Fees</t>
  </si>
  <si>
    <t>Shop Labor Cost Allocation</t>
  </si>
  <si>
    <t>Tires &amp; Tubes</t>
  </si>
  <si>
    <t>Employee Benefits</t>
  </si>
  <si>
    <t>Payroll Taxes</t>
  </si>
  <si>
    <t>Fuel &amp; Oil</t>
  </si>
  <si>
    <t>Truck Depreciation</t>
  </si>
  <si>
    <t>Regulatory Expense</t>
  </si>
  <si>
    <t>Admin Labor Cost Allocation</t>
  </si>
  <si>
    <t>Advertising &amp; Promotion</t>
  </si>
  <si>
    <t>Bad Debt</t>
  </si>
  <si>
    <t>Legal &amp; Accounting</t>
  </si>
  <si>
    <t>Meals &amp; Entertainment</t>
  </si>
  <si>
    <t>Office Expense</t>
  </si>
  <si>
    <t>G&amp;A Allocation</t>
  </si>
  <si>
    <t>Total Operating Expense</t>
  </si>
  <si>
    <t>Garbage</t>
  </si>
  <si>
    <t>Recycling</t>
  </si>
  <si>
    <t>Regulated</t>
  </si>
  <si>
    <t>Non Regulated</t>
  </si>
  <si>
    <t>Shared</t>
  </si>
  <si>
    <t>GT D</t>
  </si>
  <si>
    <t>RT D</t>
  </si>
  <si>
    <t>GT S</t>
  </si>
  <si>
    <t>RT S</t>
  </si>
  <si>
    <t>Roll Off</t>
  </si>
  <si>
    <t>Yard</t>
  </si>
  <si>
    <t>Window</t>
  </si>
  <si>
    <t>Admin</t>
  </si>
  <si>
    <t>Truck</t>
  </si>
  <si>
    <t>Hours %</t>
  </si>
  <si>
    <t>Overhead</t>
  </si>
  <si>
    <t>G=garbage</t>
  </si>
  <si>
    <t>R=Recycling</t>
  </si>
  <si>
    <t>S=swampers (helpers)</t>
  </si>
  <si>
    <t>Driver Hours</t>
  </si>
  <si>
    <t>Asset Category</t>
  </si>
  <si>
    <t>List</t>
  </si>
  <si>
    <t>Roll-off Truck</t>
  </si>
  <si>
    <t>Garbage/Yardwaste/Recycle Truck</t>
  </si>
  <si>
    <t>Commercial Container</t>
  </si>
  <si>
    <t>Roll-off Container</t>
  </si>
  <si>
    <t>Office Equipment</t>
  </si>
  <si>
    <t>Machinery &amp; Yard Equipment</t>
  </si>
  <si>
    <t>Leasehold Improvements-Land</t>
  </si>
  <si>
    <t>Commercial container</t>
  </si>
  <si>
    <t>Recycling Containers</t>
  </si>
  <si>
    <t>Roll off container</t>
  </si>
  <si>
    <t>Forklift</t>
  </si>
  <si>
    <t>Freedom 2000</t>
  </si>
  <si>
    <t>proposed</t>
  </si>
  <si>
    <t>existing</t>
  </si>
  <si>
    <t>ordered</t>
  </si>
  <si>
    <t>Asset Description</t>
  </si>
  <si>
    <t>2007 Sterling (used)</t>
  </si>
  <si>
    <t xml:space="preserve">2004 International Recycle Truck </t>
  </si>
  <si>
    <t>2001 International Garbage Truck (used)</t>
  </si>
  <si>
    <t>1999 CCC Recycling Truck (used)</t>
  </si>
  <si>
    <t>6 Yard Wayne Garbage Truck (used)</t>
  </si>
  <si>
    <t>1 1/2 yard dumpsters (5)</t>
  </si>
  <si>
    <t>20 yard Container</t>
  </si>
  <si>
    <t>1 1/2 Yard dumpsters (25)</t>
  </si>
  <si>
    <t>Computers</t>
  </si>
  <si>
    <t>Software</t>
  </si>
  <si>
    <t>Komatsu Excavator</t>
  </si>
  <si>
    <t>Kubota Tractor</t>
  </si>
  <si>
    <t>Temporary fencing</t>
  </si>
  <si>
    <t>6-4 Yard dumpsters</t>
  </si>
  <si>
    <t>112 sets of 3</t>
  </si>
  <si>
    <t>Nissan Forklift</t>
  </si>
  <si>
    <t>14 yard Container</t>
  </si>
  <si>
    <t>1 yard self tipping bins</t>
  </si>
  <si>
    <t>Yr</t>
  </si>
  <si>
    <t>$</t>
  </si>
  <si>
    <t>Date</t>
  </si>
  <si>
    <t>Service Life</t>
  </si>
  <si>
    <t>%</t>
  </si>
  <si>
    <t>Allocation</t>
  </si>
  <si>
    <t>Annual</t>
  </si>
  <si>
    <t>Asset Listing</t>
  </si>
  <si>
    <t>**Note: Percentages are based on driver hours</t>
  </si>
  <si>
    <t>see tab "Driver Hours Recap"</t>
  </si>
  <si>
    <t>Residential Recycling</t>
  </si>
  <si>
    <t>Indirect Labor</t>
  </si>
  <si>
    <t>Total Revenue</t>
  </si>
  <si>
    <t>Allocated</t>
  </si>
  <si>
    <t>Residential Garbage Revenue</t>
  </si>
  <si>
    <t xml:space="preserve">Residential Recycling Revenue </t>
  </si>
  <si>
    <t>Monthly cont. rent 1.5 yd</t>
  </si>
  <si>
    <t>Management Fee</t>
  </si>
  <si>
    <t>Non-Regulated</t>
  </si>
  <si>
    <t>non reg</t>
  </si>
  <si>
    <t>shared</t>
  </si>
  <si>
    <t>Non-reg</t>
  </si>
  <si>
    <t>Future</t>
  </si>
  <si>
    <t>Tons</t>
  </si>
  <si>
    <t>Revenue Increase/  (Decrease)</t>
  </si>
  <si>
    <t>Regulated OH</t>
  </si>
  <si>
    <t>Whatcom County Fee @ $0.50 per customer</t>
  </si>
  <si>
    <t>Less: Non-Regulated</t>
  </si>
  <si>
    <t>Test Year Total</t>
  </si>
  <si>
    <t>Restating Adjustments</t>
  </si>
  <si>
    <t>Restated Total</t>
  </si>
  <si>
    <t>Pro Forma Adjustments</t>
  </si>
  <si>
    <t>Regulated Pro Forma Total</t>
  </si>
  <si>
    <t>Current Customer Count</t>
  </si>
  <si>
    <t>Regulated Total</t>
  </si>
  <si>
    <t>Total Garbage</t>
  </si>
  <si>
    <t>Total Recycling</t>
  </si>
  <si>
    <t>Depreciation Exp.</t>
  </si>
  <si>
    <t>Allocation Method</t>
  </si>
  <si>
    <t>Direct</t>
  </si>
  <si>
    <t>check</t>
  </si>
  <si>
    <t>Direct/Driver Hours</t>
  </si>
  <si>
    <t>Driver Hours (New)</t>
  </si>
  <si>
    <t>Direct/Driver Hours (New)</t>
  </si>
  <si>
    <t>Regulated Truck Hours</t>
  </si>
  <si>
    <t>Total Truck Hours</t>
  </si>
  <si>
    <t>1 minican weekly</t>
  </si>
  <si>
    <t>MiniCan Overweight</t>
  </si>
  <si>
    <t>Mini Cans Extra (20 Gal)</t>
  </si>
  <si>
    <t>1 32 gal can EOW</t>
  </si>
  <si>
    <t>Prepaid Tags (MiniCan)</t>
  </si>
  <si>
    <t>1.5 Yd Overfill</t>
  </si>
  <si>
    <t>1.5 Yd Additional Pickup</t>
  </si>
  <si>
    <t>1.5 Yd First Pickup</t>
  </si>
  <si>
    <t>1.5 Yd Special Container PU</t>
  </si>
  <si>
    <t>Rolloff</t>
  </si>
  <si>
    <t>RollOut Charge</t>
  </si>
  <si>
    <t>12 Yard Delivery</t>
  </si>
  <si>
    <t>12 Yard Pickup</t>
  </si>
  <si>
    <t>16 Yard Daily Rent</t>
  </si>
  <si>
    <t>12 Yd Daily Rent</t>
  </si>
  <si>
    <t>16 Yard Delivery</t>
  </si>
  <si>
    <t>16 Yard Pickup</t>
  </si>
  <si>
    <t>20 Yard Daily Rent</t>
  </si>
  <si>
    <t>20 Yard Pickup</t>
  </si>
  <si>
    <t>1 32 gal can weekly</t>
  </si>
  <si>
    <t>Effect of Proposed Rates</t>
  </si>
  <si>
    <t>Pro Forma w/Proposed Rates</t>
  </si>
  <si>
    <t>Rate Increase/ (Decrease)</t>
  </si>
  <si>
    <t>State B&amp;O Tax (and Fed Tax)</t>
  </si>
  <si>
    <t>Pro Forma Total</t>
  </si>
  <si>
    <t>Current Rate</t>
  </si>
  <si>
    <t>Proposed Rate</t>
  </si>
  <si>
    <t>Company Calculated Revenue</t>
  </si>
  <si>
    <t>Residential Total</t>
  </si>
  <si>
    <t>Total Roll-Off</t>
  </si>
  <si>
    <t>Total Commercial</t>
  </si>
  <si>
    <t>Total Extras</t>
  </si>
  <si>
    <t>2 yard self tipping bins</t>
  </si>
  <si>
    <t>Recycle Bin Depreciation</t>
  </si>
  <si>
    <t>Dumpster Depreciation</t>
  </si>
  <si>
    <t>Other Depreciation</t>
  </si>
  <si>
    <t>Allocation Factors</t>
  </si>
  <si>
    <t>Truck Hours</t>
  </si>
  <si>
    <t>Asset Type</t>
  </si>
  <si>
    <t>Asset</t>
  </si>
  <si>
    <t>1999 Ford F550 6RL Rear Loader</t>
  </si>
  <si>
    <t>Notes</t>
  </si>
  <si>
    <t>2001 International W/ McNeilus Packer</t>
  </si>
  <si>
    <t>1200 14 Gal. Bins</t>
  </si>
  <si>
    <t>Cost (from Compliance Filing)</t>
  </si>
  <si>
    <t>Invoice Provided - OK</t>
  </si>
  <si>
    <t xml:space="preserve">Question </t>
  </si>
  <si>
    <t>No Invoice Provided</t>
  </si>
  <si>
    <t>Recyc. Long Haul</t>
  </si>
  <si>
    <t>Operating Expenses (Includes Transfer Station)</t>
  </si>
  <si>
    <t>Is F550 Below</t>
  </si>
  <si>
    <t>Transfer Station</t>
  </si>
  <si>
    <t>1000 sets of 3</t>
  </si>
  <si>
    <t>Includes tax</t>
  </si>
  <si>
    <t>Same as 6 Yd Wayne listed above</t>
  </si>
  <si>
    <t>6 Yard Wayne Garbage Truck F550 (used)</t>
  </si>
  <si>
    <t>2001 International Garbage Truck w/McNeilus Packer (used)</t>
  </si>
  <si>
    <t>Komatsu Excavator - Non-Regulated</t>
  </si>
  <si>
    <t>Kubota Tractor - Non-Regulated</t>
  </si>
  <si>
    <t>Temporary fencing - Non-Regulated</t>
  </si>
  <si>
    <t>Nissan Forklift - Non-Regulated</t>
  </si>
  <si>
    <t>2 yard self tipping bins - Non-Regulated</t>
  </si>
  <si>
    <t>1 yard self tipping bins - Non-Regulated</t>
  </si>
  <si>
    <t>Adjust for 6 Month Test Period</t>
  </si>
  <si>
    <t>Curbside Residential</t>
  </si>
  <si>
    <t>Curbside Recycling</t>
  </si>
  <si>
    <t>Self Haul Garbage</t>
  </si>
  <si>
    <t>Comm. Garbage</t>
  </si>
  <si>
    <t>Self Haul Recycling</t>
  </si>
  <si>
    <t>Comm. Recycling</t>
  </si>
  <si>
    <t>Total lbs</t>
  </si>
  <si>
    <t>Total lbs Disposed</t>
  </si>
  <si>
    <t xml:space="preserve">Regulated </t>
  </si>
  <si>
    <t>Total Tons</t>
  </si>
  <si>
    <t>Regulated Tons</t>
  </si>
  <si>
    <t>Regulated %</t>
  </si>
  <si>
    <t>Repairs and Maintenance</t>
  </si>
  <si>
    <t>Insurance - Vehicle</t>
  </si>
  <si>
    <t>Vehicle License, Registration Fees, Permits (Includes Business)</t>
  </si>
  <si>
    <t>Percent Increase</t>
  </si>
  <si>
    <t>Transfer Station Assets</t>
  </si>
  <si>
    <t>Recyling Long Haul - Repackaging</t>
  </si>
  <si>
    <t>Regulated Hours</t>
  </si>
  <si>
    <t>Regulated Recycling Tons Percentage</t>
  </si>
  <si>
    <t>20 Yard Delivery Fee</t>
  </si>
  <si>
    <t>Roll-Off Disposal Fee</t>
  </si>
  <si>
    <t>TF Stn</t>
  </si>
  <si>
    <t>Dump Fee Revenue (Self Haul)</t>
  </si>
  <si>
    <t>Salaries and Wages</t>
  </si>
  <si>
    <t>Bins</t>
  </si>
  <si>
    <t>Not On Prior Asset List - Invoice Provided</t>
  </si>
  <si>
    <t xml:space="preserve">Purchased </t>
  </si>
  <si>
    <t>2006 Sterling (Used)</t>
  </si>
  <si>
    <t>For Partial Test Year - July 1, 2019 through June 30, 2020</t>
  </si>
  <si>
    <t>July 2019 - June 2020</t>
  </si>
  <si>
    <t>2006 Sterling (used</t>
  </si>
  <si>
    <t>Harry  Transfer Station</t>
  </si>
  <si>
    <t>David</t>
  </si>
  <si>
    <t>Jordan/Sierra/Kaitlyn</t>
  </si>
  <si>
    <t>Jordan Transf Station</t>
  </si>
  <si>
    <t>Dee/Linda/Sierra</t>
  </si>
  <si>
    <t>2001 International w/ McNeilus Packer (used)</t>
  </si>
  <si>
    <t>Bins for thin plastic &amp; film</t>
  </si>
  <si>
    <t>Workstations</t>
  </si>
  <si>
    <t>purchased</t>
  </si>
  <si>
    <t>Company Current Revenue (12 Month)</t>
  </si>
  <si>
    <t>Equipment rental</t>
  </si>
  <si>
    <t>Vehicle Repairs and Maintenance</t>
  </si>
  <si>
    <t>Curbside Commercial</t>
  </si>
  <si>
    <t>Garbage LG</t>
  </si>
  <si>
    <t>Recycling LG</t>
  </si>
  <si>
    <t>Per PFIS</t>
  </si>
  <si>
    <t>Residential Garbage</t>
  </si>
  <si>
    <t>Commercial Garbage</t>
  </si>
  <si>
    <t>Drop Box</t>
  </si>
  <si>
    <t>Miscellaneous</t>
  </si>
  <si>
    <t xml:space="preserve">Recycling </t>
  </si>
  <si>
    <t>Revenue Reconciliation</t>
  </si>
  <si>
    <t>Per Price Out</t>
  </si>
  <si>
    <t>Variance</t>
  </si>
  <si>
    <t>Disposal Costs</t>
  </si>
  <si>
    <t>July 2019 to June 2020</t>
  </si>
  <si>
    <t xml:space="preserve">   When data has been entered into the Inputs box, recheck.</t>
  </si>
  <si>
    <r>
      <t xml:space="preserve">   For the </t>
    </r>
    <r>
      <rPr>
        <b/>
        <u/>
        <sz val="14"/>
        <rFont val="Times New Roman"/>
        <family val="1"/>
      </rPr>
      <t>initial</t>
    </r>
    <r>
      <rPr>
        <b/>
        <sz val="14"/>
        <rFont val="Times New Roman"/>
        <family val="1"/>
      </rPr>
      <t xml:space="preserve"> input of numbers uncheck the "Input competed" box.</t>
    </r>
  </si>
  <si>
    <t>File&gt;Options&gt;Formulas</t>
  </si>
  <si>
    <t>the new model uses an "INPUTS" box for initially entering the company data.</t>
  </si>
  <si>
    <t xml:space="preserve">Check the "Enable iterative calculation" box. </t>
  </si>
  <si>
    <t>To prevent a model "error cascade" caused by large changes in numbers,</t>
  </si>
  <si>
    <t>Circular Reference Error</t>
  </si>
  <si>
    <t>Error Cascade</t>
  </si>
  <si>
    <t>It uses the same computational data and method reflected in the original model and therefore should produce the same Revenue Requirements that the original model.</t>
  </si>
  <si>
    <t>This model has been designed to replace the original LG model because of the original model's inability to use lower income tax rates.</t>
  </si>
  <si>
    <t>Lurito Gallagher Model Replacement V5.0c -  Use the inputs box to enter company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</si>
</sst>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#,##0.0000_);\(#,##0.0000\)"/>
    <numFmt numFmtId="166" formatCode="#,##0.00000_);\(#,##0.00000\)"/>
    <numFmt numFmtId="167" formatCode="0.00000"/>
    <numFmt numFmtId="168" formatCode="0.000%"/>
    <numFmt numFmtId="169" formatCode="_(* #,##0_);_(* \(#,##0\);_(* &quot;-&quot;??_);_(@_)"/>
    <numFmt numFmtId="170" formatCode="General_)"/>
    <numFmt numFmtId="171" formatCode="_(&quot;$&quot;* #,##0_);_(&quot;$&quot;* \(#,##0\);_(&quot;$&quot;* &quot;-&quot;??_);_(@_)"/>
    <numFmt numFmtId="172" formatCode="_(&quot;$&quot;* #,##0.000_);_(&quot;$&quot;* \(#,##0.000\);_(&quot;$&quot;* &quot;-&quot;??_);_(@_)"/>
    <numFmt numFmtId="173" formatCode="#,###,##0.00;\(#,###,##0.00\)"/>
    <numFmt numFmtId="174" formatCode="&quot;$&quot;#,##0.00"/>
    <numFmt numFmtId="175" formatCode="&quot;$&quot;#,##0"/>
    <numFmt numFmtId="176" formatCode="0.0%"/>
    <numFmt numFmtId="177" formatCode="0.0"/>
    <numFmt numFmtId="178" formatCode="_(* #,##0.0000_);_(* \(#,##0.0000\);_(* &quot;-&quot;_);_(@_)"/>
  </numFmts>
  <fonts count="77">
    <font>
      <sz val="12"/>
      <name val="SWIS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39"/>
      <name val="Times New Roman"/>
      <family val="1"/>
    </font>
    <font>
      <sz val="12"/>
      <color indexed="39"/>
      <name val="SWISS"/>
    </font>
    <font>
      <sz val="12"/>
      <color indexed="10"/>
      <name val="SWISS"/>
    </font>
    <font>
      <sz val="12"/>
      <color indexed="8"/>
      <name val="SWISS"/>
    </font>
    <font>
      <sz val="10"/>
      <color indexed="18"/>
      <name val="Times New Roman"/>
      <family val="1"/>
    </font>
    <font>
      <sz val="12"/>
      <color indexed="18"/>
      <name val="SWISS"/>
    </font>
    <font>
      <sz val="12"/>
      <color indexed="32"/>
      <name val="SWISS"/>
    </font>
    <font>
      <b/>
      <sz val="14"/>
      <name val="SWISS"/>
    </font>
    <font>
      <sz val="12"/>
      <color indexed="12"/>
      <name val="SWISS"/>
    </font>
    <font>
      <i/>
      <sz val="12"/>
      <name val="SWISS"/>
    </font>
    <font>
      <sz val="12"/>
      <color indexed="56"/>
      <name val="SWISS"/>
    </font>
    <font>
      <b/>
      <sz val="12"/>
      <name val="SWISS"/>
    </font>
    <font>
      <sz val="11"/>
      <color indexed="8"/>
      <name val="Calibri"/>
      <family val="2"/>
    </font>
    <font>
      <sz val="12"/>
      <name val="Times New Roman"/>
      <family val="1"/>
    </font>
    <font>
      <sz val="12"/>
      <color indexed="18"/>
      <name val="Times New Roman"/>
      <family val="1"/>
    </font>
    <font>
      <sz val="12"/>
      <color indexed="8"/>
      <name val="Times New Roman"/>
      <family val="1"/>
    </font>
    <font>
      <sz val="12"/>
      <color indexed="39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39"/>
      <name val="Times New Roman"/>
      <family val="1"/>
    </font>
    <font>
      <u/>
      <sz val="12"/>
      <color indexed="12"/>
      <name val="Times New Roman"/>
      <family val="1"/>
    </font>
    <font>
      <u/>
      <sz val="12"/>
      <color indexed="8"/>
      <name val="Times New Roman"/>
      <family val="1"/>
    </font>
    <font>
      <sz val="14"/>
      <color indexed="9"/>
      <name val="Calibri"/>
      <family val="2"/>
    </font>
    <font>
      <b/>
      <u/>
      <sz val="12"/>
      <color indexed="39"/>
      <name val="Times New Roman"/>
      <family val="1"/>
    </font>
    <font>
      <sz val="9"/>
      <color indexed="39"/>
      <name val="Times New Roman"/>
      <family val="1"/>
    </font>
    <font>
      <sz val="11"/>
      <color theme="0"/>
      <name val="Calibri"/>
      <family val="2"/>
      <scheme val="minor"/>
    </font>
    <font>
      <sz val="11"/>
      <name val="Times New Roman"/>
      <family val="1"/>
    </font>
    <font>
      <sz val="12"/>
      <name val="SWISS"/>
    </font>
    <font>
      <sz val="8"/>
      <color indexed="9"/>
      <name val="Calibri"/>
      <family val="2"/>
    </font>
    <font>
      <b/>
      <sz val="10"/>
      <name val="SWISS"/>
    </font>
    <font>
      <sz val="9"/>
      <color rgb="FF0070C0"/>
      <name val="SWISS"/>
    </font>
    <font>
      <sz val="12"/>
      <name val="Helv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ARIAL"/>
      <family val="2"/>
    </font>
    <font>
      <u val="singleAccounting"/>
      <sz val="12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rgb="FF7030A0"/>
      <name val="Times New Roman"/>
      <family val="1"/>
    </font>
    <font>
      <sz val="11"/>
      <color theme="2" tint="-0.249977111117893"/>
      <name val="Calibri"/>
      <family val="2"/>
      <scheme val="minor"/>
    </font>
    <font>
      <sz val="12"/>
      <color rgb="FFFFFF00"/>
      <name val="Calibri"/>
      <family val="2"/>
      <scheme val="minor"/>
    </font>
    <font>
      <sz val="12"/>
      <color indexed="0"/>
      <name val="Calibri"/>
      <family val="2"/>
      <scheme val="minor"/>
    </font>
    <font>
      <b/>
      <sz val="12"/>
      <color indexed="0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Calibri"/>
      <family val="2"/>
      <scheme val="minor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sz val="16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8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66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2" borderId="0"/>
    <xf numFmtId="0" fontId="39" fillId="6" borderId="0" applyNumberFormat="0" applyBorder="0" applyAlignment="0" applyProtection="0"/>
    <xf numFmtId="41" fontId="14" fillId="3" borderId="0">
      <alignment horizontal="left"/>
    </xf>
    <xf numFmtId="10" fontId="51" fillId="3" borderId="0" applyFill="0"/>
    <xf numFmtId="9" fontId="27" fillId="0" borderId="0" applyFont="0" applyFill="0" applyBorder="0" applyAlignment="0" applyProtection="0"/>
    <xf numFmtId="0" fontId="41" fillId="2" borderId="0"/>
    <xf numFmtId="170" fontId="45" fillId="0" borderId="0"/>
    <xf numFmtId="41" fontId="14" fillId="3" borderId="0">
      <alignment horizontal="left"/>
    </xf>
    <xf numFmtId="0" fontId="13" fillId="0" borderId="0"/>
    <xf numFmtId="0" fontId="46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8" borderId="0" applyNumberFormat="0" applyBorder="0" applyAlignment="0" applyProtection="0"/>
    <xf numFmtId="0" fontId="53" fillId="0" borderId="0"/>
    <xf numFmtId="173" fontId="53" fillId="0" borderId="0"/>
    <xf numFmtId="0" fontId="54" fillId="0" borderId="0">
      <alignment vertical="top"/>
    </xf>
    <xf numFmtId="9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45" fillId="0" borderId="0"/>
    <xf numFmtId="44" fontId="46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6" fillId="0" borderId="0"/>
    <xf numFmtId="44" fontId="4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67" fillId="0" borderId="0"/>
    <xf numFmtId="43" fontId="46" fillId="0" borderId="0" applyFont="0" applyFill="0" applyBorder="0" applyAlignment="0" applyProtection="0"/>
    <xf numFmtId="0" fontId="9" fillId="0" borderId="0"/>
    <xf numFmtId="0" fontId="8" fillId="0" borderId="0"/>
    <xf numFmtId="0" fontId="7" fillId="8" borderId="0" applyNumberFormat="0" applyBorder="0" applyAlignment="0" applyProtection="0"/>
    <xf numFmtId="44" fontId="41" fillId="0" borderId="0" applyFont="0" applyFill="0" applyBorder="0" applyAlignment="0" applyProtection="0"/>
    <xf numFmtId="10" fontId="14" fillId="3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82">
    <xf numFmtId="0" fontId="0" fillId="2" borderId="0" xfId="0" applyNumberFormat="1"/>
    <xf numFmtId="0" fontId="0" fillId="2" borderId="0" xfId="0" applyNumberFormat="1" applyAlignment="1">
      <alignment horizontal="center"/>
    </xf>
    <xf numFmtId="0" fontId="14" fillId="2" borderId="0" xfId="0" applyNumberFormat="1" applyFont="1"/>
    <xf numFmtId="0" fontId="0" fillId="2" borderId="2" xfId="0" applyNumberFormat="1" applyBorder="1" applyAlignment="1">
      <alignment horizontal="center"/>
    </xf>
    <xf numFmtId="10" fontId="17" fillId="2" borderId="0" xfId="0" applyNumberFormat="1" applyFont="1" applyBorder="1"/>
    <xf numFmtId="0" fontId="0" fillId="2" borderId="5" xfId="0" applyNumberFormat="1" applyBorder="1" applyAlignment="1">
      <alignment horizontal="center"/>
    </xf>
    <xf numFmtId="165" fontId="0" fillId="2" borderId="0" xfId="0" applyNumberFormat="1" applyBorder="1"/>
    <xf numFmtId="0" fontId="0" fillId="2" borderId="8" xfId="0" applyNumberFormat="1" applyBorder="1" applyAlignment="1">
      <alignment horizontal="center"/>
    </xf>
    <xf numFmtId="165" fontId="0" fillId="2" borderId="9" xfId="0" applyNumberFormat="1" applyBorder="1"/>
    <xf numFmtId="37" fontId="0" fillId="2" borderId="0" xfId="0" applyNumberFormat="1"/>
    <xf numFmtId="165" fontId="0" fillId="2" borderId="0" xfId="0" applyNumberFormat="1"/>
    <xf numFmtId="41" fontId="0" fillId="2" borderId="0" xfId="0" applyNumberFormat="1"/>
    <xf numFmtId="10" fontId="51" fillId="3" borderId="0" xfId="3"/>
    <xf numFmtId="39" fontId="0" fillId="2" borderId="0" xfId="0" applyNumberFormat="1"/>
    <xf numFmtId="164" fontId="0" fillId="2" borderId="0" xfId="0" applyNumberFormat="1"/>
    <xf numFmtId="0" fontId="0" fillId="2" borderId="3" xfId="0" applyNumberFormat="1" applyBorder="1"/>
    <xf numFmtId="0" fontId="0" fillId="2" borderId="4" xfId="0" applyNumberFormat="1" applyBorder="1"/>
    <xf numFmtId="0" fontId="0" fillId="2" borderId="0" xfId="0" applyNumberFormat="1" applyBorder="1"/>
    <xf numFmtId="0" fontId="0" fillId="2" borderId="6" xfId="0" applyNumberFormat="1" applyBorder="1"/>
    <xf numFmtId="0" fontId="0" fillId="2" borderId="0" xfId="0" quotePrefix="1" applyNumberFormat="1" applyBorder="1" applyAlignment="1">
      <alignment horizontal="right"/>
    </xf>
    <xf numFmtId="10" fontId="0" fillId="2" borderId="6" xfId="0" applyNumberFormat="1" applyBorder="1"/>
    <xf numFmtId="0" fontId="0" fillId="2" borderId="9" xfId="0" applyNumberFormat="1" applyBorder="1"/>
    <xf numFmtId="0" fontId="0" fillId="2" borderId="10" xfId="0" applyNumberFormat="1" applyBorder="1"/>
    <xf numFmtId="166" fontId="0" fillId="2" borderId="0" xfId="0" applyNumberFormat="1"/>
    <xf numFmtId="0" fontId="0" fillId="2" borderId="2" xfId="0" applyNumberFormat="1" applyBorder="1"/>
    <xf numFmtId="0" fontId="0" fillId="2" borderId="5" xfId="0" applyNumberFormat="1" applyBorder="1"/>
    <xf numFmtId="0" fontId="20" fillId="2" borderId="10" xfId="0" applyNumberFormat="1" applyFont="1" applyBorder="1"/>
    <xf numFmtId="0" fontId="0" fillId="2" borderId="8" xfId="0" applyNumberFormat="1" applyBorder="1"/>
    <xf numFmtId="0" fontId="0" fillId="2" borderId="2" xfId="0" applyNumberFormat="1" applyBorder="1" applyAlignment="1">
      <alignment horizontal="centerContinuous"/>
    </xf>
    <xf numFmtId="0" fontId="0" fillId="2" borderId="4" xfId="0" applyNumberFormat="1" applyBorder="1" applyAlignment="1">
      <alignment horizontal="centerContinuous"/>
    </xf>
    <xf numFmtId="0" fontId="0" fillId="2" borderId="5" xfId="0" applyNumberFormat="1" applyBorder="1" applyAlignment="1">
      <alignment horizontal="centerContinuous"/>
    </xf>
    <xf numFmtId="0" fontId="0" fillId="2" borderId="6" xfId="0" applyNumberFormat="1" applyBorder="1" applyAlignment="1">
      <alignment horizontal="centerContinuous"/>
    </xf>
    <xf numFmtId="0" fontId="0" fillId="2" borderId="6" xfId="0" applyNumberFormat="1" applyBorder="1" applyAlignment="1">
      <alignment horizontal="center"/>
    </xf>
    <xf numFmtId="0" fontId="0" fillId="2" borderId="10" xfId="0" applyNumberFormat="1" applyBorder="1" applyAlignment="1">
      <alignment horizontal="center"/>
    </xf>
    <xf numFmtId="165" fontId="18" fillId="2" borderId="0" xfId="0" applyNumberFormat="1" applyFont="1" applyBorder="1"/>
    <xf numFmtId="0" fontId="18" fillId="2" borderId="5" xfId="0" applyNumberFormat="1" applyFont="1" applyBorder="1" applyAlignment="1">
      <alignment horizontal="center"/>
    </xf>
    <xf numFmtId="0" fontId="22" fillId="2" borderId="11" xfId="0" applyNumberFormat="1" applyFont="1" applyBorder="1" applyAlignment="1">
      <alignment horizontal="centerContinuous"/>
    </xf>
    <xf numFmtId="0" fontId="22" fillId="2" borderId="12" xfId="0" applyNumberFormat="1" applyFont="1" applyBorder="1" applyAlignment="1">
      <alignment horizontal="centerContinuous"/>
    </xf>
    <xf numFmtId="0" fontId="0" fillId="2" borderId="12" xfId="0" applyNumberFormat="1" applyBorder="1" applyAlignment="1">
      <alignment horizontal="centerContinuous"/>
    </xf>
    <xf numFmtId="0" fontId="23" fillId="0" borderId="0" xfId="0" applyNumberFormat="1" applyFont="1" applyFill="1"/>
    <xf numFmtId="0" fontId="23" fillId="0" borderId="0" xfId="0" applyNumberFormat="1" applyFont="1" applyFill="1" applyAlignment="1">
      <alignment horizontal="center"/>
    </xf>
    <xf numFmtId="0" fontId="23" fillId="4" borderId="0" xfId="0" applyNumberFormat="1" applyFont="1" applyFill="1"/>
    <xf numFmtId="0" fontId="23" fillId="4" borderId="13" xfId="0" applyNumberFormat="1" applyFont="1" applyFill="1" applyBorder="1"/>
    <xf numFmtId="0" fontId="0" fillId="4" borderId="0" xfId="0" applyNumberFormat="1" applyFill="1"/>
    <xf numFmtId="0" fontId="20" fillId="4" borderId="0" xfId="0" applyNumberFormat="1" applyFont="1" applyFill="1"/>
    <xf numFmtId="0" fontId="16" fillId="4" borderId="0" xfId="0" applyNumberFormat="1" applyFont="1" applyFill="1"/>
    <xf numFmtId="10" fontId="0" fillId="4" borderId="0" xfId="0" applyNumberFormat="1" applyFill="1"/>
    <xf numFmtId="0" fontId="21" fillId="4" borderId="0" xfId="0" applyNumberFormat="1" applyFont="1" applyFill="1"/>
    <xf numFmtId="2" fontId="21" fillId="4" borderId="0" xfId="0" applyNumberFormat="1" applyFont="1" applyFill="1"/>
    <xf numFmtId="41" fontId="0" fillId="4" borderId="0" xfId="0" applyNumberFormat="1" applyFill="1"/>
    <xf numFmtId="0" fontId="0" fillId="4" borderId="0" xfId="0" applyNumberFormat="1" applyFill="1" applyAlignment="1">
      <alignment horizontal="right"/>
    </xf>
    <xf numFmtId="0" fontId="20" fillId="4" borderId="0" xfId="0" applyNumberFormat="1" applyFont="1" applyFill="1" applyAlignment="1">
      <alignment horizontal="fill"/>
    </xf>
    <xf numFmtId="0" fontId="0" fillId="3" borderId="0" xfId="0" applyNumberFormat="1" applyFill="1"/>
    <xf numFmtId="167" fontId="0" fillId="2" borderId="0" xfId="0" applyNumberFormat="1"/>
    <xf numFmtId="0" fontId="0" fillId="2" borderId="2" xfId="0" applyNumberFormat="1" applyBorder="1" applyAlignment="1">
      <alignment horizontal="left"/>
    </xf>
    <xf numFmtId="0" fontId="0" fillId="2" borderId="5" xfId="0" applyNumberFormat="1" applyBorder="1" applyAlignment="1">
      <alignment horizontal="left"/>
    </xf>
    <xf numFmtId="167" fontId="0" fillId="2" borderId="6" xfId="0" applyNumberFormat="1" applyBorder="1" applyAlignment="1">
      <alignment horizontal="center"/>
    </xf>
    <xf numFmtId="0" fontId="0" fillId="2" borderId="9" xfId="0" applyNumberFormat="1" applyBorder="1" applyAlignment="1">
      <alignment horizontal="right"/>
    </xf>
    <xf numFmtId="167" fontId="0" fillId="2" borderId="10" xfId="0" applyNumberFormat="1" applyBorder="1" applyAlignment="1">
      <alignment horizontal="center"/>
    </xf>
    <xf numFmtId="0" fontId="0" fillId="2" borderId="0" xfId="0" applyNumberFormat="1" applyAlignment="1">
      <alignment horizontal="centerContinuous"/>
    </xf>
    <xf numFmtId="0" fontId="24" fillId="2" borderId="0" xfId="0" applyNumberFormat="1" applyFont="1" applyBorder="1" applyAlignment="1">
      <alignment horizontal="centerContinuous"/>
    </xf>
    <xf numFmtId="0" fontId="0" fillId="2" borderId="0" xfId="0" applyNumberFormat="1" applyBorder="1" applyAlignment="1">
      <alignment horizontal="left"/>
    </xf>
    <xf numFmtId="0" fontId="0" fillId="2" borderId="3" xfId="0" applyNumberFormat="1" applyBorder="1" applyAlignment="1">
      <alignment horizontal="left"/>
    </xf>
    <xf numFmtId="167" fontId="25" fillId="2" borderId="3" xfId="0" applyNumberFormat="1" applyFont="1" applyBorder="1" applyAlignment="1">
      <alignment horizontal="center"/>
    </xf>
    <xf numFmtId="167" fontId="25" fillId="2" borderId="0" xfId="0" applyNumberFormat="1" applyFont="1" applyBorder="1" applyAlignment="1">
      <alignment horizontal="center"/>
    </xf>
    <xf numFmtId="167" fontId="25" fillId="2" borderId="4" xfId="0" applyNumberFormat="1" applyFont="1" applyBorder="1" applyAlignment="1">
      <alignment horizontal="center"/>
    </xf>
    <xf numFmtId="10" fontId="0" fillId="2" borderId="0" xfId="0" applyNumberFormat="1" applyAlignment="1">
      <alignment horizontal="center"/>
    </xf>
    <xf numFmtId="167" fontId="25" fillId="2" borderId="6" xfId="0" applyNumberFormat="1" applyFont="1" applyBorder="1" applyAlignment="1">
      <alignment horizontal="center"/>
    </xf>
    <xf numFmtId="0" fontId="26" fillId="2" borderId="0" xfId="0" applyNumberFormat="1" applyFont="1" applyBorder="1" applyAlignment="1">
      <alignment horizontal="centerContinuous"/>
    </xf>
    <xf numFmtId="167" fontId="25" fillId="2" borderId="9" xfId="0" applyNumberFormat="1" applyFont="1" applyBorder="1" applyAlignment="1">
      <alignment horizontal="left"/>
    </xf>
    <xf numFmtId="0" fontId="23" fillId="0" borderId="5" xfId="0" applyNumberFormat="1" applyFont="1" applyFill="1" applyBorder="1"/>
    <xf numFmtId="0" fontId="0" fillId="2" borderId="14" xfId="0" applyNumberFormat="1" applyBorder="1"/>
    <xf numFmtId="0" fontId="28" fillId="2" borderId="0" xfId="0" applyNumberFormat="1" applyFont="1"/>
    <xf numFmtId="41" fontId="28" fillId="2" borderId="0" xfId="0" applyNumberFormat="1" applyFont="1"/>
    <xf numFmtId="0" fontId="29" fillId="2" borderId="0" xfId="0" applyNumberFormat="1" applyFont="1"/>
    <xf numFmtId="0" fontId="30" fillId="2" borderId="0" xfId="0" applyNumberFormat="1" applyFont="1"/>
    <xf numFmtId="0" fontId="31" fillId="2" borderId="0" xfId="0" applyNumberFormat="1" applyFont="1"/>
    <xf numFmtId="0" fontId="32" fillId="5" borderId="0" xfId="0" applyNumberFormat="1" applyFont="1" applyFill="1" applyAlignment="1">
      <alignment horizontal="center"/>
    </xf>
    <xf numFmtId="0" fontId="33" fillId="5" borderId="0" xfId="0" applyNumberFormat="1" applyFont="1" applyFill="1" applyAlignment="1">
      <alignment horizontal="center"/>
    </xf>
    <xf numFmtId="0" fontId="31" fillId="2" borderId="0" xfId="0" applyNumberFormat="1" applyFont="1" applyAlignment="1">
      <alignment horizontal="right"/>
    </xf>
    <xf numFmtId="41" fontId="31" fillId="2" borderId="0" xfId="0" applyNumberFormat="1" applyFont="1"/>
    <xf numFmtId="41" fontId="31" fillId="2" borderId="7" xfId="0" applyNumberFormat="1" applyFont="1" applyBorder="1"/>
    <xf numFmtId="5" fontId="31" fillId="2" borderId="7" xfId="0" applyNumberFormat="1" applyFont="1" applyBorder="1"/>
    <xf numFmtId="10" fontId="31" fillId="2" borderId="0" xfId="0" applyNumberFormat="1" applyFont="1" applyAlignment="1">
      <alignment horizontal="right"/>
    </xf>
    <xf numFmtId="0" fontId="34" fillId="2" borderId="0" xfId="0" applyNumberFormat="1" applyFont="1" applyAlignment="1">
      <alignment horizontal="right"/>
    </xf>
    <xf numFmtId="41" fontId="34" fillId="2" borderId="0" xfId="0" applyNumberFormat="1" applyFont="1" applyAlignment="1">
      <alignment horizontal="center"/>
    </xf>
    <xf numFmtId="0" fontId="34" fillId="2" borderId="0" xfId="0" applyNumberFormat="1" applyFont="1" applyAlignment="1">
      <alignment horizontal="center"/>
    </xf>
    <xf numFmtId="41" fontId="31" fillId="2" borderId="0" xfId="0" applyNumberFormat="1" applyFont="1" applyBorder="1" applyProtection="1">
      <protection locked="0"/>
    </xf>
    <xf numFmtId="10" fontId="31" fillId="2" borderId="0" xfId="0" applyNumberFormat="1" applyFont="1" applyAlignment="1">
      <alignment horizontal="center"/>
    </xf>
    <xf numFmtId="10" fontId="31" fillId="2" borderId="0" xfId="0" applyNumberFormat="1" applyFont="1"/>
    <xf numFmtId="41" fontId="31" fillId="2" borderId="9" xfId="0" applyNumberFormat="1" applyFont="1" applyBorder="1" applyProtection="1">
      <protection locked="0"/>
    </xf>
    <xf numFmtId="9" fontId="31" fillId="2" borderId="0" xfId="0" applyNumberFormat="1" applyFont="1" applyAlignment="1">
      <alignment horizontal="center"/>
    </xf>
    <xf numFmtId="0" fontId="31" fillId="2" borderId="0" xfId="0" quotePrefix="1" applyNumberFormat="1" applyFont="1" applyAlignment="1">
      <alignment horizontal="left"/>
    </xf>
    <xf numFmtId="39" fontId="31" fillId="2" borderId="0" xfId="0" applyNumberFormat="1" applyFont="1"/>
    <xf numFmtId="0" fontId="35" fillId="2" borderId="0" xfId="0" applyNumberFormat="1" applyFont="1"/>
    <xf numFmtId="0" fontId="32" fillId="5" borderId="9" xfId="0" applyNumberFormat="1" applyFont="1" applyFill="1" applyBorder="1"/>
    <xf numFmtId="0" fontId="33" fillId="5" borderId="9" xfId="0" applyNumberFormat="1" applyFont="1" applyFill="1" applyBorder="1"/>
    <xf numFmtId="0" fontId="33" fillId="5" borderId="9" xfId="0" applyNumberFormat="1" applyFont="1" applyFill="1" applyBorder="1" applyAlignment="1">
      <alignment horizontal="center"/>
    </xf>
    <xf numFmtId="0" fontId="36" fillId="6" borderId="16" xfId="1" applyNumberFormat="1" applyFont="1" applyBorder="1" applyAlignment="1">
      <alignment horizontal="centerContinuous"/>
    </xf>
    <xf numFmtId="0" fontId="36" fillId="6" borderId="16" xfId="1" applyNumberFormat="1" applyFont="1" applyBorder="1" applyAlignment="1">
      <alignment horizontal="left"/>
    </xf>
    <xf numFmtId="0" fontId="28" fillId="2" borderId="0" xfId="0" applyNumberFormat="1" applyFont="1" applyBorder="1"/>
    <xf numFmtId="0" fontId="32" fillId="3" borderId="0" xfId="0" applyNumberFormat="1" applyFont="1" applyFill="1" applyBorder="1" applyAlignment="1">
      <alignment horizontal="centerContinuous"/>
    </xf>
    <xf numFmtId="0" fontId="37" fillId="2" borderId="0" xfId="0" applyNumberFormat="1" applyFont="1"/>
    <xf numFmtId="0" fontId="33" fillId="2" borderId="0" xfId="0" applyNumberFormat="1" applyFont="1"/>
    <xf numFmtId="0" fontId="37" fillId="2" borderId="0" xfId="0" applyNumberFormat="1" applyFont="1" applyAlignment="1">
      <alignment horizontal="right"/>
    </xf>
    <xf numFmtId="41" fontId="31" fillId="2" borderId="0" xfId="0" applyNumberFormat="1" applyFont="1" applyBorder="1"/>
    <xf numFmtId="41" fontId="31" fillId="2" borderId="1" xfId="0" applyNumberFormat="1" applyFont="1" applyBorder="1"/>
    <xf numFmtId="0" fontId="33" fillId="2" borderId="0" xfId="0" applyNumberFormat="1" applyFont="1" applyAlignment="1">
      <alignment horizontal="center"/>
    </xf>
    <xf numFmtId="0" fontId="33" fillId="2" borderId="9" xfId="0" applyNumberFormat="1" applyFont="1" applyBorder="1" applyAlignment="1">
      <alignment horizontal="right"/>
    </xf>
    <xf numFmtId="0" fontId="15" fillId="2" borderId="0" xfId="0" applyNumberFormat="1" applyFont="1" applyBorder="1"/>
    <xf numFmtId="0" fontId="14" fillId="2" borderId="0" xfId="0" applyNumberFormat="1" applyFont="1" applyBorder="1"/>
    <xf numFmtId="10" fontId="40" fillId="3" borderId="0" xfId="3" applyFont="1" applyBorder="1"/>
    <xf numFmtId="168" fontId="40" fillId="3" borderId="6" xfId="3" applyNumberFormat="1" applyFont="1" applyBorder="1"/>
    <xf numFmtId="10" fontId="40" fillId="3" borderId="9" xfId="3" applyFont="1" applyBorder="1"/>
    <xf numFmtId="10" fontId="40" fillId="3" borderId="10" xfId="3" applyFont="1" applyBorder="1"/>
    <xf numFmtId="0" fontId="26" fillId="4" borderId="0" xfId="0" applyNumberFormat="1" applyFont="1" applyFill="1"/>
    <xf numFmtId="0" fontId="0" fillId="7" borderId="0" xfId="0" applyNumberFormat="1" applyFill="1" applyBorder="1"/>
    <xf numFmtId="2" fontId="0" fillId="2" borderId="19" xfId="0" applyNumberFormat="1" applyBorder="1" applyAlignment="1">
      <alignment horizontal="center"/>
    </xf>
    <xf numFmtId="165" fontId="0" fillId="2" borderId="20" xfId="0" applyNumberFormat="1" applyBorder="1"/>
    <xf numFmtId="10" fontId="17" fillId="2" borderId="20" xfId="0" applyNumberFormat="1" applyFont="1" applyBorder="1"/>
    <xf numFmtId="41" fontId="0" fillId="2" borderId="21" xfId="0" applyNumberFormat="1" applyBorder="1"/>
    <xf numFmtId="41" fontId="0" fillId="2" borderId="19" xfId="0" applyNumberFormat="1" applyBorder="1"/>
    <xf numFmtId="41" fontId="0" fillId="2" borderId="20" xfId="0" applyNumberFormat="1" applyBorder="1"/>
    <xf numFmtId="2" fontId="0" fillId="2" borderId="5" xfId="0" applyNumberFormat="1" applyBorder="1" applyAlignment="1">
      <alignment horizontal="center"/>
    </xf>
    <xf numFmtId="41" fontId="0" fillId="2" borderId="6" xfId="0" applyNumberFormat="1" applyBorder="1"/>
    <xf numFmtId="41" fontId="0" fillId="2" borderId="5" xfId="0" applyNumberFormat="1" applyBorder="1"/>
    <xf numFmtId="41" fontId="0" fillId="2" borderId="0" xfId="0" applyNumberFormat="1" applyBorder="1"/>
    <xf numFmtId="168" fontId="31" fillId="2" borderId="0" xfId="0" applyNumberFormat="1" applyFont="1"/>
    <xf numFmtId="169" fontId="31" fillId="2" borderId="0" xfId="0" applyNumberFormat="1" applyFont="1" applyBorder="1" applyProtection="1">
      <protection locked="0"/>
    </xf>
    <xf numFmtId="41" fontId="28" fillId="0" borderId="10" xfId="2" applyFont="1" applyFill="1" applyBorder="1">
      <alignment horizontal="left"/>
    </xf>
    <xf numFmtId="41" fontId="28" fillId="0" borderId="22" xfId="2" applyFont="1" applyFill="1" applyBorder="1">
      <alignment horizontal="left"/>
    </xf>
    <xf numFmtId="10" fontId="28" fillId="0" borderId="22" xfId="3" applyFont="1" applyFill="1" applyBorder="1"/>
    <xf numFmtId="168" fontId="28" fillId="0" borderId="22" xfId="3" applyNumberFormat="1" applyFont="1" applyFill="1" applyBorder="1"/>
    <xf numFmtId="0" fontId="36" fillId="6" borderId="23" xfId="1" applyNumberFormat="1" applyFont="1" applyBorder="1" applyAlignment="1">
      <alignment horizontal="left"/>
    </xf>
    <xf numFmtId="0" fontId="31" fillId="2" borderId="14" xfId="0" applyNumberFormat="1" applyFont="1" applyBorder="1" applyAlignment="1">
      <alignment horizontal="right"/>
    </xf>
    <xf numFmtId="0" fontId="31" fillId="2" borderId="18" xfId="0" applyNumberFormat="1" applyFont="1" applyBorder="1" applyAlignment="1">
      <alignment horizontal="right"/>
    </xf>
    <xf numFmtId="41" fontId="31" fillId="2" borderId="24" xfId="0" applyNumberFormat="1" applyFont="1" applyBorder="1"/>
    <xf numFmtId="168" fontId="31" fillId="2" borderId="24" xfId="0" applyNumberFormat="1" applyFont="1" applyBorder="1"/>
    <xf numFmtId="0" fontId="28" fillId="2" borderId="25" xfId="0" applyNumberFormat="1" applyFont="1" applyBorder="1"/>
    <xf numFmtId="0" fontId="31" fillId="2" borderId="5" xfId="0" applyNumberFormat="1" applyFont="1" applyBorder="1"/>
    <xf numFmtId="0" fontId="31" fillId="2" borderId="8" xfId="0" applyNumberFormat="1" applyFont="1" applyBorder="1"/>
    <xf numFmtId="0" fontId="31" fillId="2" borderId="26" xfId="0" applyNumberFormat="1" applyFont="1" applyBorder="1" applyAlignment="1">
      <alignment horizontal="center"/>
    </xf>
    <xf numFmtId="0" fontId="31" fillId="2" borderId="14" xfId="0" applyNumberFormat="1" applyFont="1" applyBorder="1" applyAlignment="1">
      <alignment horizontal="center"/>
    </xf>
    <xf numFmtId="10" fontId="31" fillId="2" borderId="24" xfId="0" applyNumberFormat="1" applyFont="1" applyBorder="1" applyAlignment="1">
      <alignment horizontal="center"/>
    </xf>
    <xf numFmtId="0" fontId="28" fillId="2" borderId="0" xfId="0" applyNumberFormat="1" applyFont="1" applyAlignment="1">
      <alignment horizontal="right"/>
    </xf>
    <xf numFmtId="0" fontId="32" fillId="5" borderId="0" xfId="0" applyNumberFormat="1" applyFont="1" applyFill="1" applyBorder="1" applyAlignment="1">
      <alignment horizontal="right"/>
    </xf>
    <xf numFmtId="0" fontId="0" fillId="2" borderId="9" xfId="0" applyNumberFormat="1" applyFont="1" applyBorder="1"/>
    <xf numFmtId="39" fontId="0" fillId="2" borderId="2" xfId="0" applyNumberFormat="1" applyFont="1" applyBorder="1" applyAlignment="1">
      <alignment horizontal="center"/>
    </xf>
    <xf numFmtId="0" fontId="0" fillId="2" borderId="3" xfId="0" quotePrefix="1" applyNumberFormat="1" applyFont="1" applyBorder="1" applyAlignment="1">
      <alignment horizontal="left"/>
    </xf>
    <xf numFmtId="0" fontId="0" fillId="2" borderId="5" xfId="0" applyNumberFormat="1" applyFont="1" applyBorder="1" applyAlignment="1">
      <alignment horizontal="center"/>
    </xf>
    <xf numFmtId="0" fontId="0" fillId="2" borderId="0" xfId="0" quotePrefix="1" applyNumberFormat="1" applyFont="1" applyBorder="1" applyAlignment="1">
      <alignment horizontal="left"/>
    </xf>
    <xf numFmtId="0" fontId="0" fillId="2" borderId="0" xfId="0" applyNumberFormat="1" applyFont="1" applyBorder="1"/>
    <xf numFmtId="10" fontId="0" fillId="2" borderId="8" xfId="0" applyNumberFormat="1" applyFont="1" applyBorder="1" applyAlignment="1">
      <alignment horizontal="center"/>
    </xf>
    <xf numFmtId="0" fontId="0" fillId="2" borderId="21" xfId="0" applyNumberFormat="1" applyBorder="1"/>
    <xf numFmtId="0" fontId="0" fillId="2" borderId="19" xfId="0" applyNumberFormat="1" applyBorder="1"/>
    <xf numFmtId="0" fontId="15" fillId="2" borderId="20" xfId="0" applyNumberFormat="1" applyFont="1" applyBorder="1"/>
    <xf numFmtId="0" fontId="15" fillId="2" borderId="5" xfId="0" applyNumberFormat="1" applyFont="1" applyBorder="1"/>
    <xf numFmtId="0" fontId="15" fillId="2" borderId="6" xfId="0" applyNumberFormat="1" applyFont="1" applyBorder="1"/>
    <xf numFmtId="10" fontId="40" fillId="3" borderId="6" xfId="3" applyFont="1" applyBorder="1"/>
    <xf numFmtId="0" fontId="19" fillId="2" borderId="0" xfId="0" applyNumberFormat="1" applyFont="1" applyBorder="1"/>
    <xf numFmtId="39" fontId="0" fillId="2" borderId="9" xfId="0" applyNumberFormat="1" applyBorder="1"/>
    <xf numFmtId="164" fontId="0" fillId="2" borderId="9" xfId="0" applyNumberFormat="1" applyBorder="1"/>
    <xf numFmtId="165" fontId="0" fillId="2" borderId="10" xfId="0" applyNumberFormat="1" applyBorder="1"/>
    <xf numFmtId="0" fontId="0" fillId="2" borderId="20" xfId="0" applyNumberFormat="1" applyBorder="1"/>
    <xf numFmtId="10" fontId="0" fillId="2" borderId="0" xfId="0" applyNumberFormat="1" applyBorder="1"/>
    <xf numFmtId="10" fontId="0" fillId="2" borderId="9" xfId="0" applyNumberFormat="1" applyBorder="1"/>
    <xf numFmtId="0" fontId="43" fillId="2" borderId="3" xfId="0" applyNumberFormat="1" applyFont="1" applyBorder="1" applyAlignment="1">
      <alignment horizontal="center"/>
    </xf>
    <xf numFmtId="0" fontId="43" fillId="2" borderId="4" xfId="0" applyNumberFormat="1" applyFont="1" applyBorder="1" applyAlignment="1">
      <alignment horizontal="center"/>
    </xf>
    <xf numFmtId="10" fontId="0" fillId="2" borderId="6" xfId="0" applyNumberFormat="1" applyBorder="1" applyAlignment="1">
      <alignment horizontal="right"/>
    </xf>
    <xf numFmtId="0" fontId="42" fillId="6" borderId="17" xfId="1" applyNumberFormat="1" applyFont="1" applyBorder="1" applyAlignment="1">
      <alignment horizontal="centerContinuous"/>
    </xf>
    <xf numFmtId="0" fontId="36" fillId="6" borderId="11" xfId="1" applyNumberFormat="1" applyFont="1" applyBorder="1" applyAlignment="1">
      <alignment horizontal="left"/>
    </xf>
    <xf numFmtId="168" fontId="31" fillId="2" borderId="0" xfId="0" applyNumberFormat="1" applyFont="1" applyBorder="1"/>
    <xf numFmtId="0" fontId="0" fillId="2" borderId="0" xfId="0" applyNumberFormat="1" applyBorder="1" applyAlignment="1">
      <alignment horizontal="center"/>
    </xf>
    <xf numFmtId="0" fontId="41" fillId="2" borderId="0" xfId="5" applyNumberFormat="1"/>
    <xf numFmtId="0" fontId="31" fillId="2" borderId="0" xfId="5" applyNumberFormat="1" applyFont="1" applyBorder="1" applyAlignment="1">
      <alignment horizontal="right"/>
    </xf>
    <xf numFmtId="41" fontId="31" fillId="2" borderId="0" xfId="5" applyNumberFormat="1" applyFont="1" applyBorder="1"/>
    <xf numFmtId="0" fontId="38" fillId="2" borderId="0" xfId="5" applyNumberFormat="1" applyFont="1" applyBorder="1" applyAlignment="1">
      <alignment horizontal="left"/>
    </xf>
    <xf numFmtId="0" fontId="41" fillId="2" borderId="0" xfId="5" applyNumberFormat="1" applyBorder="1"/>
    <xf numFmtId="0" fontId="28" fillId="2" borderId="5" xfId="0" applyNumberFormat="1" applyFont="1" applyBorder="1"/>
    <xf numFmtId="0" fontId="44" fillId="2" borderId="0" xfId="0" applyNumberFormat="1" applyFont="1" applyAlignment="1">
      <alignment horizontal="center"/>
    </xf>
    <xf numFmtId="0" fontId="31" fillId="2" borderId="0" xfId="5" applyNumberFormat="1" applyFont="1" applyAlignment="1">
      <alignment horizontal="right"/>
    </xf>
    <xf numFmtId="10" fontId="31" fillId="2" borderId="0" xfId="5" applyNumberFormat="1" applyFont="1" applyAlignment="1">
      <alignment horizontal="right"/>
    </xf>
    <xf numFmtId="41" fontId="28" fillId="3" borderId="0" xfId="7" applyFont="1" applyAlignment="1">
      <alignment horizontal="right"/>
    </xf>
    <xf numFmtId="0" fontId="41" fillId="2" borderId="0" xfId="5" applyNumberFormat="1" applyAlignment="1">
      <alignment horizontal="right"/>
    </xf>
    <xf numFmtId="0" fontId="28" fillId="2" borderId="0" xfId="5" applyNumberFormat="1" applyFont="1"/>
    <xf numFmtId="0" fontId="32" fillId="5" borderId="19" xfId="5" applyNumberFormat="1" applyFont="1" applyFill="1" applyBorder="1" applyAlignment="1">
      <alignment horizontal="left"/>
    </xf>
    <xf numFmtId="0" fontId="41" fillId="2" borderId="20" xfId="5" applyNumberFormat="1" applyBorder="1"/>
    <xf numFmtId="0" fontId="41" fillId="2" borderId="21" xfId="5" applyNumberFormat="1" applyBorder="1"/>
    <xf numFmtId="0" fontId="28" fillId="2" borderId="5" xfId="5" applyNumberFormat="1" applyFont="1" applyBorder="1"/>
    <xf numFmtId="41" fontId="31" fillId="2" borderId="6" xfId="5" applyNumberFormat="1" applyFont="1" applyBorder="1"/>
    <xf numFmtId="0" fontId="33" fillId="2" borderId="0" xfId="5" applyNumberFormat="1" applyFont="1" applyBorder="1" applyAlignment="1">
      <alignment horizontal="right"/>
    </xf>
    <xf numFmtId="41" fontId="33" fillId="2" borderId="27" xfId="5" applyNumberFormat="1" applyFont="1" applyBorder="1"/>
    <xf numFmtId="0" fontId="41" fillId="2" borderId="8" xfId="5" applyNumberFormat="1" applyBorder="1"/>
    <xf numFmtId="0" fontId="41" fillId="2" borderId="9" xfId="5" applyNumberFormat="1" applyBorder="1"/>
    <xf numFmtId="0" fontId="33" fillId="2" borderId="9" xfId="0" applyNumberFormat="1" applyFont="1" applyBorder="1" applyAlignment="1">
      <alignment horizontal="center"/>
    </xf>
    <xf numFmtId="0" fontId="31" fillId="2" borderId="0" xfId="0" applyNumberFormat="1" applyFont="1" applyBorder="1"/>
    <xf numFmtId="10" fontId="31" fillId="2" borderId="0" xfId="0" applyNumberFormat="1" applyFont="1" applyBorder="1"/>
    <xf numFmtId="0" fontId="33" fillId="2" borderId="14" xfId="0" applyNumberFormat="1" applyFont="1" applyBorder="1" applyAlignment="1">
      <alignment horizontal="right"/>
    </xf>
    <xf numFmtId="0" fontId="31" fillId="2" borderId="28" xfId="5" applyNumberFormat="1" applyFont="1" applyBorder="1" applyAlignment="1">
      <alignment horizontal="right"/>
    </xf>
    <xf numFmtId="0" fontId="51" fillId="0" borderId="0" xfId="9" applyFont="1" applyFill="1" applyBorder="1" applyAlignment="1">
      <alignment horizontal="left"/>
    </xf>
    <xf numFmtId="0" fontId="51" fillId="0" borderId="9" xfId="9" applyFont="1" applyFill="1" applyBorder="1" applyAlignment="1">
      <alignment horizontal="left"/>
    </xf>
    <xf numFmtId="0" fontId="52" fillId="0" borderId="27" xfId="9" applyFont="1" applyFill="1" applyBorder="1" applyAlignment="1">
      <alignment horizontal="left"/>
    </xf>
    <xf numFmtId="0" fontId="52" fillId="0" borderId="0" xfId="9" applyFont="1" applyFill="1" applyBorder="1" applyAlignment="1">
      <alignment horizontal="center" vertical="center"/>
    </xf>
    <xf numFmtId="0" fontId="54" fillId="0" borderId="0" xfId="16">
      <alignment vertical="top"/>
    </xf>
    <xf numFmtId="0" fontId="12" fillId="0" borderId="30" xfId="19" applyBorder="1"/>
    <xf numFmtId="0" fontId="12" fillId="0" borderId="31" xfId="19" applyBorder="1"/>
    <xf numFmtId="0" fontId="12" fillId="0" borderId="32" xfId="19" applyBorder="1"/>
    <xf numFmtId="0" fontId="12" fillId="0" borderId="0" xfId="19"/>
    <xf numFmtId="0" fontId="12" fillId="0" borderId="5" xfId="19" applyBorder="1"/>
    <xf numFmtId="0" fontId="12" fillId="0" borderId="14" xfId="19" applyBorder="1"/>
    <xf numFmtId="0" fontId="12" fillId="0" borderId="0" xfId="19" applyBorder="1"/>
    <xf numFmtId="0" fontId="12" fillId="0" borderId="26" xfId="19" applyBorder="1"/>
    <xf numFmtId="0" fontId="12" fillId="0" borderId="33" xfId="19" applyBorder="1"/>
    <xf numFmtId="0" fontId="12" fillId="0" borderId="0" xfId="19" applyAlignment="1">
      <alignment horizontal="center"/>
    </xf>
    <xf numFmtId="0" fontId="12" fillId="0" borderId="14" xfId="19" applyBorder="1" applyAlignment="1">
      <alignment horizontal="center"/>
    </xf>
    <xf numFmtId="0" fontId="12" fillId="0" borderId="33" xfId="19" applyFill="1" applyBorder="1" applyAlignment="1">
      <alignment horizontal="center"/>
    </xf>
    <xf numFmtId="0" fontId="12" fillId="0" borderId="27" xfId="19" applyBorder="1"/>
    <xf numFmtId="0" fontId="12" fillId="0" borderId="34" xfId="19" applyBorder="1"/>
    <xf numFmtId="0" fontId="12" fillId="0" borderId="35" xfId="19" applyBorder="1"/>
    <xf numFmtId="174" fontId="12" fillId="0" borderId="0" xfId="19" applyNumberFormat="1"/>
    <xf numFmtId="0" fontId="12" fillId="0" borderId="0" xfId="19" applyFill="1" applyBorder="1"/>
    <xf numFmtId="2" fontId="12" fillId="0" borderId="0" xfId="19" applyNumberFormat="1"/>
    <xf numFmtId="2" fontId="12" fillId="0" borderId="27" xfId="19" applyNumberFormat="1" applyBorder="1"/>
    <xf numFmtId="174" fontId="12" fillId="7" borderId="0" xfId="19" applyNumberFormat="1" applyFill="1"/>
    <xf numFmtId="174" fontId="12" fillId="9" borderId="0" xfId="19" applyNumberFormat="1" applyFill="1"/>
    <xf numFmtId="174" fontId="12" fillId="10" borderId="0" xfId="19" applyNumberFormat="1" applyFill="1"/>
    <xf numFmtId="174" fontId="12" fillId="11" borderId="0" xfId="19" applyNumberFormat="1" applyFill="1"/>
    <xf numFmtId="174" fontId="12" fillId="12" borderId="0" xfId="19" applyNumberFormat="1" applyFill="1"/>
    <xf numFmtId="0" fontId="56" fillId="0" borderId="0" xfId="19" applyFont="1"/>
    <xf numFmtId="174" fontId="56" fillId="0" borderId="0" xfId="19" applyNumberFormat="1" applyFont="1"/>
    <xf numFmtId="0" fontId="54" fillId="0" borderId="0" xfId="16" applyFill="1">
      <alignment vertical="top"/>
    </xf>
    <xf numFmtId="0" fontId="55" fillId="0" borderId="0" xfId="16" applyFont="1">
      <alignment vertical="top"/>
    </xf>
    <xf numFmtId="0" fontId="12" fillId="14" borderId="19" xfId="13" applyNumberFormat="1" applyFill="1" applyBorder="1" applyAlignment="1"/>
    <xf numFmtId="0" fontId="60" fillId="0" borderId="0" xfId="19" applyFont="1"/>
    <xf numFmtId="9" fontId="12" fillId="0" borderId="0" xfId="19" applyNumberFormat="1"/>
    <xf numFmtId="0" fontId="62" fillId="15" borderId="19" xfId="13" applyNumberFormat="1" applyFont="1" applyFill="1" applyBorder="1" applyAlignment="1"/>
    <xf numFmtId="0" fontId="55" fillId="16" borderId="0" xfId="16" applyFont="1" applyFill="1">
      <alignment vertical="top"/>
    </xf>
    <xf numFmtId="44" fontId="54" fillId="0" borderId="0" xfId="16" applyNumberFormat="1">
      <alignment vertical="top"/>
    </xf>
    <xf numFmtId="175" fontId="56" fillId="0" borderId="0" xfId="19" applyNumberFormat="1" applyFont="1"/>
    <xf numFmtId="171" fontId="51" fillId="0" borderId="0" xfId="27" applyNumberFormat="1" applyFont="1" applyFill="1" applyBorder="1"/>
    <xf numFmtId="0" fontId="0" fillId="0" borderId="0" xfId="0" applyNumberFormat="1" applyFill="1"/>
    <xf numFmtId="0" fontId="51" fillId="0" borderId="0" xfId="0" applyNumberFormat="1" applyFont="1" applyFill="1"/>
    <xf numFmtId="0" fontId="64" fillId="0" borderId="0" xfId="14" applyFont="1" applyAlignment="1">
      <alignment horizontal="left"/>
    </xf>
    <xf numFmtId="0" fontId="64" fillId="0" borderId="0" xfId="14" applyFont="1"/>
    <xf numFmtId="0" fontId="65" fillId="0" borderId="0" xfId="14" applyFont="1" applyAlignment="1">
      <alignment horizontal="left"/>
    </xf>
    <xf numFmtId="0" fontId="64" fillId="0" borderId="0" xfId="14" applyFont="1" applyFill="1" applyAlignment="1">
      <alignment horizontal="left"/>
    </xf>
    <xf numFmtId="0" fontId="52" fillId="0" borderId="0" xfId="14" applyFont="1"/>
    <xf numFmtId="171" fontId="51" fillId="0" borderId="0" xfId="27" applyNumberFormat="1" applyFont="1" applyFill="1"/>
    <xf numFmtId="171" fontId="51" fillId="0" borderId="9" xfId="27" applyNumberFormat="1" applyFont="1" applyFill="1" applyBorder="1"/>
    <xf numFmtId="0" fontId="52" fillId="0" borderId="0" xfId="14" applyFont="1" applyFill="1" applyAlignment="1">
      <alignment horizontal="left"/>
    </xf>
    <xf numFmtId="0" fontId="64" fillId="0" borderId="0" xfId="14" applyFont="1" applyFill="1"/>
    <xf numFmtId="0" fontId="51" fillId="0" borderId="0" xfId="14" applyFont="1" applyFill="1" applyAlignment="1">
      <alignment horizontal="left"/>
    </xf>
    <xf numFmtId="0" fontId="51" fillId="0" borderId="9" xfId="0" applyNumberFormat="1" applyFont="1" applyFill="1" applyBorder="1" applyAlignment="1">
      <alignment horizontal="center"/>
    </xf>
    <xf numFmtId="0" fontId="51" fillId="0" borderId="0" xfId="0" applyNumberFormat="1" applyFont="1" applyFill="1" applyAlignment="1"/>
    <xf numFmtId="0" fontId="51" fillId="0" borderId="9" xfId="0" applyNumberFormat="1" applyFont="1" applyFill="1" applyBorder="1" applyAlignment="1">
      <alignment horizontal="center" wrapText="1"/>
    </xf>
    <xf numFmtId="0" fontId="51" fillId="0" borderId="0" xfId="0" applyNumberFormat="1" applyFont="1" applyFill="1" applyBorder="1" applyAlignment="1">
      <alignment horizontal="center" wrapText="1"/>
    </xf>
    <xf numFmtId="0" fontId="51" fillId="0" borderId="0" xfId="0" applyNumberFormat="1" applyFont="1" applyFill="1" applyBorder="1"/>
    <xf numFmtId="0" fontId="51" fillId="0" borderId="0" xfId="0" applyNumberFormat="1" applyFont="1" applyFill="1" applyAlignment="1">
      <alignment horizontal="center" wrapText="1"/>
    </xf>
    <xf numFmtId="171" fontId="51" fillId="7" borderId="0" xfId="27" applyNumberFormat="1" applyFont="1" applyFill="1"/>
    <xf numFmtId="0" fontId="54" fillId="0" borderId="28" xfId="16" applyBorder="1">
      <alignment vertical="top"/>
    </xf>
    <xf numFmtId="44" fontId="54" fillId="19" borderId="28" xfId="16" applyNumberFormat="1" applyFill="1" applyBorder="1">
      <alignment vertical="top"/>
    </xf>
    <xf numFmtId="0" fontId="12" fillId="0" borderId="28" xfId="13" applyNumberFormat="1" applyFill="1" applyBorder="1" applyAlignment="1">
      <alignment horizontal="center" wrapText="1"/>
    </xf>
    <xf numFmtId="0" fontId="12" fillId="0" borderId="36" xfId="13" applyNumberFormat="1" applyFill="1" applyBorder="1" applyAlignment="1">
      <alignment vertical="top"/>
    </xf>
    <xf numFmtId="0" fontId="12" fillId="0" borderId="19" xfId="13" applyNumberFormat="1" applyFill="1" applyBorder="1" applyAlignment="1">
      <alignment horizontal="center" wrapText="1"/>
    </xf>
    <xf numFmtId="0" fontId="12" fillId="0" borderId="19" xfId="13" applyNumberFormat="1" applyFill="1" applyBorder="1" applyAlignment="1">
      <alignment horizontal="center"/>
    </xf>
    <xf numFmtId="0" fontId="12" fillId="0" borderId="19" xfId="13" applyNumberFormat="1" applyFill="1" applyBorder="1" applyAlignment="1">
      <alignment wrapText="1"/>
    </xf>
    <xf numFmtId="0" fontId="12" fillId="0" borderId="26" xfId="13" applyNumberFormat="1" applyFill="1" applyBorder="1" applyAlignment="1">
      <alignment horizontal="center" wrapText="1"/>
    </xf>
    <xf numFmtId="0" fontId="12" fillId="0" borderId="0" xfId="13" applyNumberFormat="1" applyFill="1" applyBorder="1" applyAlignment="1">
      <alignment vertical="top"/>
    </xf>
    <xf numFmtId="0" fontId="54" fillId="0" borderId="0" xfId="16" applyFill="1" applyBorder="1">
      <alignment vertical="top"/>
    </xf>
    <xf numFmtId="44" fontId="54" fillId="0" borderId="0" xfId="16" applyNumberFormat="1" applyFill="1" applyBorder="1">
      <alignment vertical="top"/>
    </xf>
    <xf numFmtId="0" fontId="54" fillId="0" borderId="0" xfId="16" applyAlignment="1">
      <alignment horizontal="right" vertical="top"/>
    </xf>
    <xf numFmtId="171" fontId="51" fillId="12" borderId="0" xfId="27" applyNumberFormat="1" applyFont="1" applyFill="1"/>
    <xf numFmtId="0" fontId="12" fillId="0" borderId="0" xfId="19" applyAlignment="1">
      <alignment horizontal="right"/>
    </xf>
    <xf numFmtId="171" fontId="12" fillId="0" borderId="0" xfId="27" applyNumberFormat="1" applyFont="1"/>
    <xf numFmtId="171" fontId="12" fillId="0" borderId="9" xfId="27" applyNumberFormat="1" applyFont="1" applyBorder="1"/>
    <xf numFmtId="171" fontId="12" fillId="0" borderId="0" xfId="19" applyNumberFormat="1"/>
    <xf numFmtId="0" fontId="51" fillId="0" borderId="5" xfId="0" applyNumberFormat="1" applyFont="1" applyFill="1" applyBorder="1" applyAlignment="1">
      <alignment horizontal="center" wrapText="1"/>
    </xf>
    <xf numFmtId="171" fontId="51" fillId="0" borderId="5" xfId="27" applyNumberFormat="1" applyFont="1" applyFill="1" applyBorder="1"/>
    <xf numFmtId="44" fontId="51" fillId="0" borderId="0" xfId="27" applyNumberFormat="1" applyFont="1" applyFill="1"/>
    <xf numFmtId="171" fontId="51" fillId="18" borderId="0" xfId="27" applyNumberFormat="1" applyFont="1" applyFill="1" applyBorder="1"/>
    <xf numFmtId="171" fontId="51" fillId="20" borderId="0" xfId="27" applyNumberFormat="1" applyFont="1" applyFill="1" applyBorder="1"/>
    <xf numFmtId="171" fontId="51" fillId="21" borderId="0" xfId="27" applyNumberFormat="1" applyFont="1" applyFill="1" applyBorder="1"/>
    <xf numFmtId="171" fontId="51" fillId="0" borderId="20" xfId="27" applyNumberFormat="1" applyFont="1" applyFill="1" applyBorder="1"/>
    <xf numFmtId="171" fontId="51" fillId="0" borderId="19" xfId="27" applyNumberFormat="1" applyFont="1" applyFill="1" applyBorder="1"/>
    <xf numFmtId="0" fontId="12" fillId="0" borderId="0" xfId="19" applyFill="1"/>
    <xf numFmtId="41" fontId="57" fillId="0" borderId="0" xfId="2" applyFont="1" applyFill="1" applyBorder="1">
      <alignment horizontal="left"/>
    </xf>
    <xf numFmtId="171" fontId="49" fillId="0" borderId="0" xfId="27" applyNumberFormat="1" applyFont="1" applyFill="1"/>
    <xf numFmtId="0" fontId="52" fillId="0" borderId="9" xfId="9" applyFont="1" applyFill="1" applyBorder="1" applyAlignment="1">
      <alignment horizontal="left"/>
    </xf>
    <xf numFmtId="171" fontId="49" fillId="0" borderId="0" xfId="27" applyNumberFormat="1" applyFont="1" applyFill="1" applyBorder="1"/>
    <xf numFmtId="0" fontId="0" fillId="0" borderId="0" xfId="0" applyNumberFormat="1" applyFill="1" applyBorder="1"/>
    <xf numFmtId="10" fontId="52" fillId="0" borderId="0" xfId="3" applyFont="1" applyFill="1"/>
    <xf numFmtId="41" fontId="31" fillId="0" borderId="0" xfId="0" applyNumberFormat="1" applyFont="1" applyFill="1"/>
    <xf numFmtId="43" fontId="51" fillId="0" borderId="0" xfId="0" applyNumberFormat="1" applyFont="1" applyFill="1"/>
    <xf numFmtId="171" fontId="51" fillId="22" borderId="0" xfId="27" applyNumberFormat="1" applyFont="1" applyFill="1"/>
    <xf numFmtId="172" fontId="51" fillId="0" borderId="0" xfId="27" applyNumberFormat="1" applyFont="1" applyFill="1"/>
    <xf numFmtId="10" fontId="51" fillId="2" borderId="0" xfId="3" applyFill="1"/>
    <xf numFmtId="44" fontId="51" fillId="0" borderId="0" xfId="27" applyNumberFormat="1" applyFont="1" applyFill="1" applyBorder="1"/>
    <xf numFmtId="44" fontId="58" fillId="0" borderId="18" xfId="16" applyNumberFormat="1" applyFont="1" applyBorder="1">
      <alignment vertical="top"/>
    </xf>
    <xf numFmtId="44" fontId="58" fillId="0" borderId="8" xfId="16" applyNumberFormat="1" applyFont="1" applyBorder="1">
      <alignment vertical="top"/>
    </xf>
    <xf numFmtId="0" fontId="26" fillId="0" borderId="0" xfId="0" applyNumberFormat="1" applyFont="1" applyFill="1" applyBorder="1" applyAlignment="1"/>
    <xf numFmtId="10" fontId="51" fillId="0" borderId="0" xfId="3" applyFont="1" applyFill="1" applyBorder="1"/>
    <xf numFmtId="171" fontId="51" fillId="0" borderId="0" xfId="0" applyNumberFormat="1" applyFont="1" applyFill="1" applyBorder="1"/>
    <xf numFmtId="0" fontId="41" fillId="0" borderId="0" xfId="0" applyNumberFormat="1" applyFont="1" applyFill="1" applyBorder="1"/>
    <xf numFmtId="171" fontId="0" fillId="0" borderId="0" xfId="0" applyNumberFormat="1" applyFill="1" applyBorder="1"/>
    <xf numFmtId="10" fontId="51" fillId="0" borderId="0" xfId="3" applyFill="1" applyBorder="1"/>
    <xf numFmtId="0" fontId="0" fillId="0" borderId="0" xfId="0" applyNumberFormat="1" applyFill="1" applyBorder="1" applyAlignment="1">
      <alignment horizontal="right"/>
    </xf>
    <xf numFmtId="176" fontId="51" fillId="0" borderId="0" xfId="3" applyNumberFormat="1" applyFill="1" applyBorder="1"/>
    <xf numFmtId="0" fontId="12" fillId="0" borderId="0" xfId="13" applyNumberFormat="1" applyFill="1" applyBorder="1" applyAlignment="1"/>
    <xf numFmtId="1" fontId="12" fillId="0" borderId="0" xfId="13" applyNumberFormat="1" applyFill="1" applyBorder="1" applyAlignment="1"/>
    <xf numFmtId="0" fontId="57" fillId="0" borderId="0" xfId="13" applyNumberFormat="1" applyFont="1" applyFill="1" applyBorder="1" applyAlignment="1"/>
    <xf numFmtId="1" fontId="57" fillId="0" borderId="0" xfId="13" applyNumberFormat="1" applyFont="1" applyFill="1" applyBorder="1" applyAlignment="1"/>
    <xf numFmtId="44" fontId="57" fillId="0" borderId="0" xfId="13" applyNumberFormat="1" applyFont="1" applyFill="1" applyBorder="1"/>
    <xf numFmtId="0" fontId="57" fillId="0" borderId="0" xfId="5" applyNumberFormat="1" applyFont="1" applyFill="1" applyBorder="1"/>
    <xf numFmtId="0" fontId="57" fillId="24" borderId="0" xfId="5" applyNumberFormat="1" applyFont="1" applyFill="1" applyBorder="1"/>
    <xf numFmtId="0" fontId="57" fillId="12" borderId="0" xfId="5" applyNumberFormat="1" applyFont="1" applyFill="1" applyBorder="1"/>
    <xf numFmtId="0" fontId="57" fillId="7" borderId="0" xfId="5" applyNumberFormat="1" applyFont="1" applyFill="1" applyBorder="1"/>
    <xf numFmtId="0" fontId="57" fillId="17" borderId="0" xfId="5" applyNumberFormat="1" applyFont="1" applyFill="1" applyBorder="1"/>
    <xf numFmtId="0" fontId="57" fillId="0" borderId="0" xfId="5" applyNumberFormat="1" applyFont="1" applyFill="1" applyBorder="1" applyAlignment="1">
      <alignment wrapText="1"/>
    </xf>
    <xf numFmtId="0" fontId="7" fillId="8" borderId="0" xfId="37" applyNumberFormat="1" applyBorder="1" applyAlignment="1"/>
    <xf numFmtId="0" fontId="57" fillId="0" borderId="0" xfId="37" applyNumberFormat="1" applyFont="1" applyFill="1" applyBorder="1" applyAlignment="1"/>
    <xf numFmtId="1" fontId="57" fillId="0" borderId="0" xfId="37" applyNumberFormat="1" applyFont="1" applyFill="1" applyBorder="1" applyAlignment="1"/>
    <xf numFmtId="171" fontId="57" fillId="12" borderId="0" xfId="37" applyNumberFormat="1" applyFont="1" applyFill="1" applyBorder="1"/>
    <xf numFmtId="171" fontId="57" fillId="0" borderId="0" xfId="37" applyNumberFormat="1" applyFont="1" applyFill="1" applyBorder="1"/>
    <xf numFmtId="171" fontId="57" fillId="0" borderId="0" xfId="5" applyNumberFormat="1" applyFont="1" applyFill="1" applyBorder="1"/>
    <xf numFmtId="0" fontId="7" fillId="14" borderId="0" xfId="37" applyNumberFormat="1" applyFill="1" applyBorder="1" applyAlignment="1"/>
    <xf numFmtId="171" fontId="57" fillId="25" borderId="0" xfId="37" applyNumberFormat="1" applyFont="1" applyFill="1" applyBorder="1"/>
    <xf numFmtId="0" fontId="7" fillId="19" borderId="0" xfId="37" applyNumberFormat="1" applyFill="1" applyBorder="1" applyAlignment="1"/>
    <xf numFmtId="0" fontId="62" fillId="15" borderId="0" xfId="37" applyNumberFormat="1" applyFont="1" applyFill="1" applyBorder="1" applyAlignment="1"/>
    <xf numFmtId="0" fontId="57" fillId="24" borderId="0" xfId="37" applyNumberFormat="1" applyFont="1" applyFill="1" applyBorder="1" applyAlignment="1"/>
    <xf numFmtId="1" fontId="57" fillId="24" borderId="0" xfId="37" applyNumberFormat="1" applyFont="1" applyFill="1" applyBorder="1" applyAlignment="1"/>
    <xf numFmtId="171" fontId="57" fillId="24" borderId="0" xfId="37" applyNumberFormat="1" applyFont="1" applyFill="1" applyBorder="1"/>
    <xf numFmtId="0" fontId="57" fillId="25" borderId="0" xfId="5" applyNumberFormat="1" applyFont="1" applyFill="1" applyBorder="1"/>
    <xf numFmtId="0" fontId="62" fillId="24" borderId="0" xfId="37" applyNumberFormat="1" applyFont="1" applyFill="1" applyBorder="1" applyAlignment="1"/>
    <xf numFmtId="0" fontId="62" fillId="0" borderId="0" xfId="37" applyNumberFormat="1" applyFont="1" applyFill="1" applyBorder="1" applyAlignment="1"/>
    <xf numFmtId="0" fontId="7" fillId="0" borderId="0" xfId="37" applyNumberFormat="1" applyFill="1" applyBorder="1" applyAlignment="1"/>
    <xf numFmtId="0" fontId="68" fillId="0" borderId="0" xfId="37" applyNumberFormat="1" applyFont="1" applyFill="1" applyBorder="1" applyAlignment="1"/>
    <xf numFmtId="171" fontId="57" fillId="12" borderId="0" xfId="38" applyNumberFormat="1" applyFont="1" applyFill="1" applyBorder="1"/>
    <xf numFmtId="171" fontId="57" fillId="0" borderId="0" xfId="38" applyNumberFormat="1" applyFont="1" applyFill="1" applyBorder="1"/>
    <xf numFmtId="0" fontId="68" fillId="0" borderId="0" xfId="5" applyNumberFormat="1" applyFont="1" applyFill="1" applyBorder="1"/>
    <xf numFmtId="1" fontId="7" fillId="0" borderId="0" xfId="37" applyNumberFormat="1" applyFill="1" applyBorder="1" applyAlignment="1"/>
    <xf numFmtId="171" fontId="7" fillId="17" borderId="0" xfId="37" applyNumberFormat="1" applyFill="1" applyBorder="1"/>
    <xf numFmtId="44" fontId="57" fillId="0" borderId="0" xfId="38" applyFont="1" applyFill="1" applyBorder="1"/>
    <xf numFmtId="10" fontId="57" fillId="0" borderId="0" xfId="13" applyNumberFormat="1" applyFont="1" applyFill="1" applyBorder="1"/>
    <xf numFmtId="9" fontId="57" fillId="0" borderId="0" xfId="13" applyNumberFormat="1" applyFont="1" applyFill="1" applyBorder="1"/>
    <xf numFmtId="9" fontId="57" fillId="0" borderId="0" xfId="13" applyNumberFormat="1" applyFont="1" applyFill="1" applyBorder="1" applyAlignment="1">
      <alignment vertical="top"/>
    </xf>
    <xf numFmtId="44" fontId="57" fillId="0" borderId="0" xfId="13" applyNumberFormat="1" applyFont="1" applyFill="1" applyBorder="1" applyAlignment="1">
      <alignment vertical="top"/>
    </xf>
    <xf numFmtId="44" fontId="12" fillId="0" borderId="0" xfId="13" applyNumberFormat="1" applyFill="1" applyBorder="1"/>
    <xf numFmtId="10" fontId="12" fillId="0" borderId="0" xfId="13" applyNumberFormat="1" applyFill="1" applyBorder="1"/>
    <xf numFmtId="9" fontId="12" fillId="0" borderId="0" xfId="13" applyNumberFormat="1" applyFill="1" applyBorder="1"/>
    <xf numFmtId="9" fontId="12" fillId="0" borderId="0" xfId="13" applyNumberFormat="1" applyFill="1" applyBorder="1" applyAlignment="1">
      <alignment vertical="top"/>
    </xf>
    <xf numFmtId="44" fontId="12" fillId="0" borderId="0" xfId="13" applyNumberFormat="1" applyFill="1" applyBorder="1" applyAlignment="1">
      <alignment vertical="top"/>
    </xf>
    <xf numFmtId="0" fontId="12" fillId="0" borderId="9" xfId="13" applyNumberFormat="1" applyFill="1" applyBorder="1" applyAlignment="1"/>
    <xf numFmtId="1" fontId="12" fillId="0" borderId="9" xfId="13" applyNumberFormat="1" applyFill="1" applyBorder="1" applyAlignment="1"/>
    <xf numFmtId="44" fontId="12" fillId="0" borderId="9" xfId="13" applyNumberFormat="1" applyFill="1" applyBorder="1"/>
    <xf numFmtId="10" fontId="12" fillId="0" borderId="9" xfId="13" applyNumberFormat="1" applyFill="1" applyBorder="1"/>
    <xf numFmtId="9" fontId="12" fillId="0" borderId="9" xfId="13" applyNumberFormat="1" applyFill="1" applyBorder="1"/>
    <xf numFmtId="9" fontId="12" fillId="0" borderId="9" xfId="13" applyNumberFormat="1" applyFill="1" applyBorder="1" applyAlignment="1">
      <alignment vertical="top"/>
    </xf>
    <xf numFmtId="44" fontId="12" fillId="0" borderId="9" xfId="13" applyNumberFormat="1" applyFill="1" applyBorder="1" applyAlignment="1">
      <alignment vertical="top"/>
    </xf>
    <xf numFmtId="0" fontId="12" fillId="0" borderId="11" xfId="13" applyNumberFormat="1" applyFill="1" applyBorder="1" applyAlignment="1">
      <alignment horizontal="center"/>
    </xf>
    <xf numFmtId="171" fontId="12" fillId="0" borderId="11" xfId="13" applyNumberFormat="1" applyFill="1" applyBorder="1" applyAlignment="1">
      <alignment horizontal="center" wrapText="1"/>
    </xf>
    <xf numFmtId="0" fontId="12" fillId="0" borderId="28" xfId="13" applyNumberFormat="1" applyFill="1" applyBorder="1" applyAlignment="1">
      <alignment horizontal="center"/>
    </xf>
    <xf numFmtId="44" fontId="57" fillId="15" borderId="0" xfId="13" applyNumberFormat="1" applyFont="1" applyFill="1" applyBorder="1"/>
    <xf numFmtId="44" fontId="57" fillId="12" borderId="0" xfId="13" applyNumberFormat="1" applyFont="1" applyFill="1" applyBorder="1"/>
    <xf numFmtId="10" fontId="57" fillId="15" borderId="0" xfId="13" applyNumberFormat="1" applyFont="1" applyFill="1" applyBorder="1"/>
    <xf numFmtId="9" fontId="57" fillId="15" borderId="0" xfId="13" applyNumberFormat="1" applyFont="1" applyFill="1" applyBorder="1"/>
    <xf numFmtId="9" fontId="57" fillId="15" borderId="0" xfId="13" applyNumberFormat="1" applyFont="1" applyFill="1" applyBorder="1" applyAlignment="1">
      <alignment vertical="top"/>
    </xf>
    <xf numFmtId="44" fontId="57" fillId="15" borderId="0" xfId="13" applyNumberFormat="1" applyFont="1" applyFill="1" applyBorder="1" applyAlignment="1">
      <alignment vertical="top"/>
    </xf>
    <xf numFmtId="44" fontId="12" fillId="12" borderId="0" xfId="13" applyNumberFormat="1" applyFill="1" applyBorder="1"/>
    <xf numFmtId="0" fontId="46" fillId="0" borderId="0" xfId="16" applyFont="1" applyFill="1" applyBorder="1">
      <alignment vertical="top"/>
    </xf>
    <xf numFmtId="0" fontId="46" fillId="0" borderId="0" xfId="16" applyFont="1" applyFill="1" applyBorder="1" applyAlignment="1">
      <alignment horizontal="right" vertical="top"/>
    </xf>
    <xf numFmtId="44" fontId="46" fillId="0" borderId="0" xfId="16" applyNumberFormat="1" applyFont="1" applyFill="1" applyBorder="1">
      <alignment vertical="top"/>
    </xf>
    <xf numFmtId="0" fontId="6" fillId="0" borderId="0" xfId="19" applyFont="1" applyFill="1"/>
    <xf numFmtId="41" fontId="57" fillId="0" borderId="0" xfId="2" applyFont="1" applyFill="1">
      <alignment horizontal="left"/>
    </xf>
    <xf numFmtId="176" fontId="51" fillId="0" borderId="0" xfId="3" applyNumberFormat="1" applyFill="1"/>
    <xf numFmtId="0" fontId="60" fillId="0" borderId="0" xfId="19" applyFont="1" applyFill="1"/>
    <xf numFmtId="10" fontId="61" fillId="0" borderId="0" xfId="3" applyFont="1" applyFill="1"/>
    <xf numFmtId="10" fontId="60" fillId="0" borderId="0" xfId="19" applyNumberFormat="1" applyFont="1" applyFill="1"/>
    <xf numFmtId="0" fontId="12" fillId="0" borderId="26" xfId="13" applyNumberFormat="1" applyFill="1" applyBorder="1" applyAlignment="1">
      <alignment horizontal="center" wrapText="1"/>
    </xf>
    <xf numFmtId="0" fontId="57" fillId="15" borderId="0" xfId="13" applyNumberFormat="1" applyFont="1" applyFill="1" applyBorder="1" applyAlignment="1"/>
    <xf numFmtId="10" fontId="51" fillId="0" borderId="0" xfId="3" applyFill="1"/>
    <xf numFmtId="41" fontId="51" fillId="0" borderId="0" xfId="2" applyFont="1" applyFill="1">
      <alignment horizontal="left"/>
    </xf>
    <xf numFmtId="176" fontId="51" fillId="0" borderId="0" xfId="3" applyNumberFormat="1" applyFont="1" applyFill="1"/>
    <xf numFmtId="43" fontId="51" fillId="0" borderId="0" xfId="0" applyNumberFormat="1" applyFont="1" applyFill="1" applyBorder="1"/>
    <xf numFmtId="176" fontId="51" fillId="0" borderId="0" xfId="0" applyNumberFormat="1" applyFont="1" applyFill="1" applyBorder="1"/>
    <xf numFmtId="0" fontId="0" fillId="0" borderId="0" xfId="0" applyNumberFormat="1" applyFont="1" applyFill="1"/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/>
    <xf numFmtId="0" fontId="51" fillId="0" borderId="0" xfId="0" applyNumberFormat="1" applyFont="1" applyFill="1" applyBorder="1" applyAlignment="1">
      <alignment horizontal="right"/>
    </xf>
    <xf numFmtId="10" fontId="33" fillId="2" borderId="9" xfId="5" applyNumberFormat="1" applyFont="1" applyBorder="1" applyAlignment="1">
      <alignment horizontal="center" vertical="center"/>
    </xf>
    <xf numFmtId="0" fontId="31" fillId="2" borderId="9" xfId="5" applyNumberFormat="1" applyFont="1" applyBorder="1" applyAlignment="1">
      <alignment horizontal="right" vertical="center"/>
    </xf>
    <xf numFmtId="44" fontId="57" fillId="0" borderId="9" xfId="13" applyNumberFormat="1" applyFont="1" applyFill="1" applyBorder="1" applyAlignment="1">
      <alignment vertical="top"/>
    </xf>
    <xf numFmtId="41" fontId="51" fillId="0" borderId="0" xfId="2" applyFont="1" applyFill="1" applyBorder="1">
      <alignment horizontal="left"/>
    </xf>
    <xf numFmtId="0" fontId="12" fillId="0" borderId="0" xfId="19" applyAlignment="1">
      <alignment horizontal="center" wrapText="1"/>
    </xf>
    <xf numFmtId="10" fontId="12" fillId="0" borderId="0" xfId="19" applyNumberFormat="1" applyFill="1" applyBorder="1"/>
    <xf numFmtId="41" fontId="71" fillId="0" borderId="15" xfId="2" applyFont="1" applyFill="1" applyBorder="1">
      <alignment horizontal="left"/>
    </xf>
    <xf numFmtId="41" fontId="71" fillId="0" borderId="16" xfId="2" applyFont="1" applyFill="1" applyBorder="1">
      <alignment horizontal="left"/>
    </xf>
    <xf numFmtId="0" fontId="12" fillId="0" borderId="17" xfId="19" applyBorder="1"/>
    <xf numFmtId="0" fontId="12" fillId="0" borderId="40" xfId="19" applyBorder="1"/>
    <xf numFmtId="174" fontId="12" fillId="0" borderId="0" xfId="19" applyNumberFormat="1" applyFill="1"/>
    <xf numFmtId="0" fontId="49" fillId="0" borderId="0" xfId="40" applyFont="1" applyFill="1"/>
    <xf numFmtId="0" fontId="50" fillId="0" borderId="0" xfId="40" applyFont="1" applyFill="1"/>
    <xf numFmtId="9" fontId="49" fillId="0" borderId="0" xfId="40" applyNumberFormat="1" applyFont="1" applyFill="1"/>
    <xf numFmtId="0" fontId="49" fillId="0" borderId="9" xfId="40" applyFont="1" applyFill="1" applyBorder="1"/>
    <xf numFmtId="0" fontId="49" fillId="0" borderId="9" xfId="40" applyFont="1" applyFill="1" applyBorder="1" applyAlignment="1">
      <alignment wrapText="1"/>
    </xf>
    <xf numFmtId="0" fontId="50" fillId="0" borderId="9" xfId="40" applyFont="1" applyFill="1" applyBorder="1" applyAlignment="1">
      <alignment horizontal="center" vertical="center"/>
    </xf>
    <xf numFmtId="0" fontId="49" fillId="0" borderId="9" xfId="40" applyFont="1" applyFill="1" applyBorder="1" applyAlignment="1">
      <alignment horizontal="center" wrapText="1"/>
    </xf>
    <xf numFmtId="0" fontId="49" fillId="0" borderId="0" xfId="40" applyFont="1" applyFill="1" applyBorder="1" applyAlignment="1">
      <alignment horizontal="center" wrapText="1"/>
    </xf>
    <xf numFmtId="0" fontId="49" fillId="0" borderId="0" xfId="40" applyFont="1" applyFill="1" applyBorder="1" applyAlignment="1">
      <alignment horizontal="center" vertical="center"/>
    </xf>
    <xf numFmtId="0" fontId="49" fillId="0" borderId="0" xfId="40" applyFont="1" applyFill="1" applyBorder="1" applyAlignment="1">
      <alignment vertical="center"/>
    </xf>
    <xf numFmtId="43" fontId="51" fillId="0" borderId="0" xfId="41" applyFont="1" applyFill="1" applyBorder="1"/>
    <xf numFmtId="169" fontId="49" fillId="0" borderId="0" xfId="40" applyNumberFormat="1" applyFont="1" applyFill="1" applyBorder="1"/>
    <xf numFmtId="44" fontId="51" fillId="12" borderId="0" xfId="41" applyNumberFormat="1" applyFont="1" applyFill="1" applyBorder="1"/>
    <xf numFmtId="171" fontId="51" fillId="0" borderId="0" xfId="41" applyNumberFormat="1" applyFont="1" applyFill="1" applyBorder="1"/>
    <xf numFmtId="44" fontId="51" fillId="0" borderId="0" xfId="41" applyNumberFormat="1" applyFont="1" applyFill="1" applyBorder="1"/>
    <xf numFmtId="44" fontId="51" fillId="0" borderId="0" xfId="42" applyNumberFormat="1" applyFont="1" applyFill="1" applyBorder="1"/>
    <xf numFmtId="171" fontId="49" fillId="0" borderId="0" xfId="40" applyNumberFormat="1" applyFont="1" applyFill="1" applyBorder="1"/>
    <xf numFmtId="0" fontId="49" fillId="0" borderId="39" xfId="40" applyFont="1" applyFill="1" applyBorder="1" applyAlignment="1">
      <alignment horizontal="center" vertical="center" textRotation="90"/>
    </xf>
    <xf numFmtId="0" fontId="49" fillId="0" borderId="39" xfId="40" applyFont="1" applyFill="1" applyBorder="1" applyAlignment="1">
      <alignment vertical="center"/>
    </xf>
    <xf numFmtId="0" fontId="52" fillId="0" borderId="39" xfId="9" applyFont="1" applyFill="1" applyBorder="1" applyAlignment="1">
      <alignment horizontal="left"/>
    </xf>
    <xf numFmtId="3" fontId="50" fillId="0" borderId="39" xfId="40" applyNumberFormat="1" applyFont="1" applyFill="1" applyBorder="1"/>
    <xf numFmtId="171" fontId="52" fillId="0" borderId="39" xfId="41" applyNumberFormat="1" applyFont="1" applyFill="1" applyBorder="1"/>
    <xf numFmtId="0" fontId="49" fillId="0" borderId="38" xfId="40" applyFont="1" applyFill="1" applyBorder="1" applyAlignment="1">
      <alignment horizontal="center" vertical="center"/>
    </xf>
    <xf numFmtId="0" fontId="49" fillId="0" borderId="38" xfId="40" applyFont="1" applyFill="1" applyBorder="1" applyAlignment="1">
      <alignment vertical="center"/>
    </xf>
    <xf numFmtId="0" fontId="51" fillId="0" borderId="38" xfId="9" applyFont="1" applyFill="1" applyBorder="1" applyAlignment="1">
      <alignment horizontal="left"/>
    </xf>
    <xf numFmtId="3" fontId="49" fillId="0" borderId="38" xfId="40" applyNumberFormat="1" applyFont="1" applyFill="1" applyBorder="1"/>
    <xf numFmtId="43" fontId="51" fillId="0" borderId="38" xfId="41" applyFont="1" applyFill="1" applyBorder="1"/>
    <xf numFmtId="171" fontId="51" fillId="0" borderId="38" xfId="41" applyNumberFormat="1" applyFont="1" applyFill="1" applyBorder="1"/>
    <xf numFmtId="44" fontId="51" fillId="0" borderId="38" xfId="41" applyNumberFormat="1" applyFont="1" applyFill="1" applyBorder="1"/>
    <xf numFmtId="44" fontId="51" fillId="0" borderId="38" xfId="42" applyNumberFormat="1" applyFont="1" applyFill="1" applyBorder="1"/>
    <xf numFmtId="0" fontId="49" fillId="0" borderId="0" xfId="40" applyFont="1" applyFill="1" applyBorder="1"/>
    <xf numFmtId="3" fontId="49" fillId="0" borderId="0" xfId="40" applyNumberFormat="1" applyFont="1" applyFill="1" applyBorder="1"/>
    <xf numFmtId="171" fontId="49" fillId="0" borderId="0" xfId="40" applyNumberFormat="1" applyFont="1" applyFill="1"/>
    <xf numFmtId="0" fontId="49" fillId="0" borderId="9" xfId="40" applyFont="1" applyFill="1" applyBorder="1" applyAlignment="1">
      <alignment horizontal="center" vertical="center"/>
    </xf>
    <xf numFmtId="0" fontId="49" fillId="0" borderId="9" xfId="40" applyFont="1" applyFill="1" applyBorder="1" applyAlignment="1">
      <alignment vertical="center"/>
    </xf>
    <xf numFmtId="3" fontId="49" fillId="0" borderId="9" xfId="40" applyNumberFormat="1" applyFont="1" applyFill="1" applyBorder="1"/>
    <xf numFmtId="43" fontId="51" fillId="0" borderId="9" xfId="41" applyFont="1" applyFill="1" applyBorder="1"/>
    <xf numFmtId="44" fontId="51" fillId="0" borderId="9" xfId="41" applyNumberFormat="1" applyFont="1" applyFill="1" applyBorder="1"/>
    <xf numFmtId="44" fontId="51" fillId="0" borderId="9" xfId="42" applyNumberFormat="1" applyFont="1" applyFill="1" applyBorder="1"/>
    <xf numFmtId="171" fontId="51" fillId="0" borderId="9" xfId="41" applyNumberFormat="1" applyFont="1" applyFill="1" applyBorder="1"/>
    <xf numFmtId="171" fontId="59" fillId="0" borderId="0" xfId="40" applyNumberFormat="1" applyFont="1" applyFill="1"/>
    <xf numFmtId="0" fontId="49" fillId="0" borderId="9" xfId="40" applyFont="1" applyFill="1" applyBorder="1" applyAlignment="1">
      <alignment horizontal="center" vertical="center" textRotation="90"/>
    </xf>
    <xf numFmtId="3" fontId="50" fillId="0" borderId="9" xfId="40" applyNumberFormat="1" applyFont="1" applyFill="1" applyBorder="1"/>
    <xf numFmtId="169" fontId="50" fillId="0" borderId="39" xfId="40" applyNumberFormat="1" applyFont="1" applyFill="1" applyBorder="1"/>
    <xf numFmtId="43" fontId="51" fillId="0" borderId="39" xfId="41" applyFont="1" applyFill="1" applyBorder="1"/>
    <xf numFmtId="171" fontId="50" fillId="0" borderId="39" xfId="40" applyNumberFormat="1" applyFont="1" applyFill="1" applyBorder="1"/>
    <xf numFmtId="171" fontId="50" fillId="0" borderId="9" xfId="40" applyNumberFormat="1" applyFont="1" applyFill="1" applyBorder="1"/>
    <xf numFmtId="171" fontId="52" fillId="0" borderId="9" xfId="41" applyNumberFormat="1" applyFont="1" applyFill="1" applyBorder="1"/>
    <xf numFmtId="0" fontId="49" fillId="0" borderId="0" xfId="40" applyFont="1" applyFill="1" applyBorder="1" applyAlignment="1">
      <alignment horizontal="center" vertical="center" textRotation="90"/>
    </xf>
    <xf numFmtId="3" fontId="50" fillId="0" borderId="0" xfId="40" applyNumberFormat="1" applyFont="1" applyFill="1" applyBorder="1"/>
    <xf numFmtId="43" fontId="51" fillId="12" borderId="0" xfId="41" applyFont="1" applyFill="1" applyBorder="1"/>
    <xf numFmtId="0" fontId="49" fillId="0" borderId="39" xfId="40" applyFont="1" applyFill="1" applyBorder="1"/>
    <xf numFmtId="0" fontId="50" fillId="0" borderId="39" xfId="40" applyFont="1" applyFill="1" applyBorder="1"/>
    <xf numFmtId="44" fontId="52" fillId="0" borderId="39" xfId="41" applyNumberFormat="1" applyFont="1" applyFill="1" applyBorder="1"/>
    <xf numFmtId="177" fontId="49" fillId="0" borderId="0" xfId="40" applyNumberFormat="1" applyFont="1" applyFill="1" applyBorder="1" applyAlignment="1">
      <alignment wrapText="1"/>
    </xf>
    <xf numFmtId="43" fontId="51" fillId="0" borderId="0" xfId="41" applyFont="1" applyFill="1" applyBorder="1" applyAlignment="1">
      <alignment wrapText="1"/>
    </xf>
    <xf numFmtId="43" fontId="51" fillId="0" borderId="9" xfId="41" applyFont="1" applyFill="1" applyBorder="1" applyAlignment="1">
      <alignment wrapText="1"/>
    </xf>
    <xf numFmtId="0" fontId="50" fillId="0" borderId="39" xfId="40" applyFont="1" applyFill="1" applyBorder="1" applyAlignment="1">
      <alignment wrapText="1"/>
    </xf>
    <xf numFmtId="169" fontId="50" fillId="0" borderId="39" xfId="41" applyNumberFormat="1" applyFont="1" applyFill="1" applyBorder="1" applyAlignment="1">
      <alignment horizontal="center" wrapText="1"/>
    </xf>
    <xf numFmtId="44" fontId="50" fillId="0" borderId="39" xfId="41" applyNumberFormat="1" applyFont="1" applyFill="1" applyBorder="1" applyAlignment="1">
      <alignment horizontal="center" wrapText="1"/>
    </xf>
    <xf numFmtId="171" fontId="50" fillId="0" borderId="39" xfId="41" applyNumberFormat="1" applyFont="1" applyFill="1" applyBorder="1"/>
    <xf numFmtId="44" fontId="51" fillId="0" borderId="39" xfId="41" applyNumberFormat="1" applyFont="1" applyFill="1" applyBorder="1"/>
    <xf numFmtId="171" fontId="50" fillId="0" borderId="39" xfId="41" applyNumberFormat="1" applyFont="1" applyFill="1" applyBorder="1" applyAlignment="1">
      <alignment horizontal="center" wrapText="1"/>
    </xf>
    <xf numFmtId="0" fontId="49" fillId="0" borderId="39" xfId="40" applyFont="1" applyFill="1" applyBorder="1" applyAlignment="1">
      <alignment wrapText="1"/>
    </xf>
    <xf numFmtId="0" fontId="49" fillId="0" borderId="39" xfId="40" applyFont="1" applyFill="1" applyBorder="1" applyAlignment="1">
      <alignment horizontal="center" wrapText="1"/>
    </xf>
    <xf numFmtId="0" fontId="49" fillId="0" borderId="27" xfId="40" applyFont="1" applyFill="1" applyBorder="1"/>
    <xf numFmtId="171" fontId="50" fillId="0" borderId="27" xfId="40" applyNumberFormat="1" applyFont="1" applyFill="1" applyBorder="1"/>
    <xf numFmtId="44" fontId="51" fillId="0" borderId="27" xfId="41" applyNumberFormat="1" applyFont="1" applyFill="1" applyBorder="1"/>
    <xf numFmtId="0" fontId="49" fillId="0" borderId="0" xfId="40" applyFont="1" applyFill="1" applyBorder="1" applyAlignment="1">
      <alignment vertical="center" textRotation="90"/>
    </xf>
    <xf numFmtId="43" fontId="49" fillId="0" borderId="0" xfId="40" applyNumberFormat="1" applyFont="1" applyFill="1"/>
    <xf numFmtId="0" fontId="49" fillId="0" borderId="0" xfId="40" applyFont="1" applyFill="1" applyAlignment="1">
      <alignment horizontal="right"/>
    </xf>
    <xf numFmtId="44" fontId="51" fillId="0" borderId="0" xfId="42" applyFont="1" applyFill="1" applyBorder="1"/>
    <xf numFmtId="171" fontId="63" fillId="0" borderId="0" xfId="40" applyNumberFormat="1" applyFont="1" applyFill="1" applyBorder="1"/>
    <xf numFmtId="0" fontId="50" fillId="0" borderId="0" xfId="40" applyFont="1" applyFill="1" applyBorder="1" applyAlignment="1">
      <alignment horizontal="left"/>
    </xf>
    <xf numFmtId="10" fontId="51" fillId="0" borderId="0" xfId="43" applyNumberFormat="1" applyFont="1" applyFill="1" applyBorder="1"/>
    <xf numFmtId="0" fontId="49" fillId="0" borderId="0" xfId="40" applyFont="1" applyFill="1" applyBorder="1" applyAlignment="1">
      <alignment horizontal="right" wrapText="1"/>
    </xf>
    <xf numFmtId="44" fontId="49" fillId="0" borderId="0" xfId="40" applyNumberFormat="1" applyFont="1" applyFill="1" applyBorder="1"/>
    <xf numFmtId="44" fontId="49" fillId="0" borderId="0" xfId="40" applyNumberFormat="1" applyFont="1" applyFill="1"/>
    <xf numFmtId="172" fontId="51" fillId="0" borderId="0" xfId="42" applyNumberFormat="1" applyFont="1" applyFill="1" applyBorder="1"/>
    <xf numFmtId="171" fontId="50" fillId="0" borderId="0" xfId="40" applyNumberFormat="1" applyFont="1" applyFill="1"/>
    <xf numFmtId="171" fontId="51" fillId="0" borderId="0" xfId="42" applyNumberFormat="1" applyFont="1" applyFill="1" applyBorder="1"/>
    <xf numFmtId="171" fontId="50" fillId="0" borderId="0" xfId="40" applyNumberFormat="1" applyFont="1" applyFill="1" applyBorder="1"/>
    <xf numFmtId="41" fontId="63" fillId="0" borderId="0" xfId="43" applyNumberFormat="1" applyFont="1" applyFill="1" applyBorder="1"/>
    <xf numFmtId="0" fontId="51" fillId="2" borderId="41" xfId="0" applyNumberFormat="1" applyFont="1" applyBorder="1" applyAlignment="1">
      <alignment horizontal="center"/>
    </xf>
    <xf numFmtId="171" fontId="51" fillId="2" borderId="42" xfId="27" applyNumberFormat="1" applyFont="1" applyFill="1" applyBorder="1"/>
    <xf numFmtId="0" fontId="12" fillId="0" borderId="9" xfId="19" applyBorder="1"/>
    <xf numFmtId="44" fontId="12" fillId="0" borderId="0" xfId="19" applyNumberFormat="1"/>
    <xf numFmtId="44" fontId="51" fillId="0" borderId="0" xfId="0" applyNumberFormat="1" applyFont="1" applyFill="1"/>
    <xf numFmtId="10" fontId="51" fillId="0" borderId="0" xfId="3" applyNumberFormat="1" applyFill="1"/>
    <xf numFmtId="178" fontId="14" fillId="0" borderId="0" xfId="2" applyNumberFormat="1" applyFill="1" applyBorder="1">
      <alignment horizontal="left"/>
    </xf>
    <xf numFmtId="171" fontId="51" fillId="2" borderId="0" xfId="27" applyNumberFormat="1" applyFont="1" applyFill="1" applyBorder="1"/>
    <xf numFmtId="0" fontId="12" fillId="0" borderId="0" xfId="19" applyFill="1" applyAlignment="1">
      <alignment horizontal="center"/>
    </xf>
    <xf numFmtId="0" fontId="60" fillId="0" borderId="0" xfId="19" applyFont="1" applyBorder="1"/>
    <xf numFmtId="174" fontId="60" fillId="0" borderId="0" xfId="19" applyNumberFormat="1" applyFont="1" applyBorder="1"/>
    <xf numFmtId="176" fontId="56" fillId="0" borderId="0" xfId="20" applyNumberFormat="1" applyFont="1" applyFill="1"/>
    <xf numFmtId="0" fontId="12" fillId="0" borderId="0" xfId="19" applyBorder="1" applyAlignment="1">
      <alignment horizontal="right"/>
    </xf>
    <xf numFmtId="171" fontId="12" fillId="0" borderId="0" xfId="27" applyNumberFormat="1" applyFont="1" applyBorder="1"/>
    <xf numFmtId="169" fontId="51" fillId="0" borderId="0" xfId="40" applyNumberFormat="1" applyFont="1" applyFill="1" applyBorder="1"/>
    <xf numFmtId="169" fontId="49" fillId="0" borderId="9" xfId="40" applyNumberFormat="1" applyFont="1" applyFill="1" applyBorder="1"/>
    <xf numFmtId="0" fontId="0" fillId="0" borderId="0" xfId="0" applyNumberFormat="1" applyFont="1" applyFill="1" applyBorder="1" applyAlignment="1">
      <alignment horizontal="right"/>
    </xf>
    <xf numFmtId="44" fontId="0" fillId="0" borderId="0" xfId="0" applyNumberFormat="1" applyFont="1" applyFill="1" applyBorder="1"/>
    <xf numFmtId="44" fontId="0" fillId="0" borderId="0" xfId="0" applyNumberFormat="1" applyFont="1" applyFill="1" applyBorder="1" applyAlignment="1"/>
    <xf numFmtId="0" fontId="4" fillId="0" borderId="0" xfId="37" applyNumberFormat="1" applyFont="1" applyFill="1" applyBorder="1" applyAlignment="1"/>
    <xf numFmtId="17" fontId="12" fillId="0" borderId="5" xfId="19" applyNumberFormat="1" applyBorder="1"/>
    <xf numFmtId="17" fontId="51" fillId="0" borderId="0" xfId="0" applyNumberFormat="1" applyFont="1" applyFill="1" applyBorder="1"/>
    <xf numFmtId="41" fontId="51" fillId="0" borderId="27" xfId="2" applyFont="1" applyFill="1" applyBorder="1">
      <alignment horizontal="left"/>
    </xf>
    <xf numFmtId="0" fontId="54" fillId="0" borderId="0" xfId="16" applyFont="1">
      <alignment vertical="top"/>
    </xf>
    <xf numFmtId="0" fontId="3" fillId="0" borderId="0" xfId="19" applyFont="1" applyAlignment="1">
      <alignment horizontal="center" wrapText="1"/>
    </xf>
    <xf numFmtId="0" fontId="3" fillId="0" borderId="0" xfId="19" applyFont="1"/>
    <xf numFmtId="0" fontId="12" fillId="0" borderId="14" xfId="19" applyFill="1" applyBorder="1"/>
    <xf numFmtId="2" fontId="12" fillId="0" borderId="0" xfId="19" applyNumberFormat="1" applyFill="1"/>
    <xf numFmtId="0" fontId="3" fillId="0" borderId="0" xfId="19" applyFont="1" applyAlignment="1">
      <alignment wrapText="1"/>
    </xf>
    <xf numFmtId="2" fontId="12" fillId="26" borderId="0" xfId="19" applyNumberFormat="1" applyFill="1"/>
    <xf numFmtId="2" fontId="12" fillId="0" borderId="33" xfId="19" applyNumberFormat="1" applyBorder="1"/>
    <xf numFmtId="0" fontId="2" fillId="14" borderId="0" xfId="37" applyNumberFormat="1" applyFont="1" applyFill="1" applyBorder="1" applyAlignment="1"/>
    <xf numFmtId="171" fontId="51" fillId="7" borderId="5" xfId="27" applyNumberFormat="1" applyFont="1" applyFill="1" applyBorder="1"/>
    <xf numFmtId="0" fontId="51" fillId="7" borderId="9" xfId="0" applyNumberFormat="1" applyFont="1" applyFill="1" applyBorder="1" applyAlignment="1">
      <alignment horizontal="center"/>
    </xf>
    <xf numFmtId="41" fontId="51" fillId="7" borderId="0" xfId="2" applyFont="1" applyFill="1">
      <alignment horizontal="left"/>
    </xf>
    <xf numFmtId="41" fontId="51" fillId="7" borderId="0" xfId="2" applyFont="1" applyFill="1" applyBorder="1">
      <alignment horizontal="left"/>
    </xf>
    <xf numFmtId="0" fontId="51" fillId="7" borderId="0" xfId="0" applyNumberFormat="1" applyFont="1" applyFill="1" applyBorder="1"/>
    <xf numFmtId="41" fontId="51" fillId="7" borderId="27" xfId="2" applyFont="1" applyFill="1" applyBorder="1">
      <alignment horizontal="left"/>
    </xf>
    <xf numFmtId="41" fontId="51" fillId="0" borderId="0" xfId="0" applyNumberFormat="1" applyFont="1" applyFill="1" applyBorder="1"/>
    <xf numFmtId="171" fontId="51" fillId="7" borderId="0" xfId="41" applyNumberFormat="1" applyFont="1" applyFill="1" applyBorder="1"/>
    <xf numFmtId="10" fontId="49" fillId="0" borderId="0" xfId="40" applyNumberFormat="1" applyFont="1" applyFill="1"/>
    <xf numFmtId="44" fontId="51" fillId="7" borderId="0" xfId="41" applyNumberFormat="1" applyFont="1" applyFill="1" applyBorder="1"/>
    <xf numFmtId="44" fontId="0" fillId="0" borderId="0" xfId="0" applyNumberFormat="1" applyFill="1"/>
    <xf numFmtId="1" fontId="0" fillId="0" borderId="0" xfId="0" applyNumberFormat="1" applyFill="1"/>
    <xf numFmtId="0" fontId="26" fillId="0" borderId="0" xfId="0" applyNumberFormat="1" applyFont="1" applyFill="1"/>
    <xf numFmtId="171" fontId="1" fillId="0" borderId="0" xfId="27" applyNumberFormat="1" applyFont="1" applyFill="1" applyBorder="1"/>
    <xf numFmtId="0" fontId="57" fillId="0" borderId="0" xfId="0" applyNumberFormat="1" applyFont="1" applyFill="1" applyBorder="1" applyAlignment="1"/>
    <xf numFmtId="171" fontId="57" fillId="0" borderId="0" xfId="27" applyNumberFormat="1" applyFont="1" applyFill="1" applyBorder="1"/>
    <xf numFmtId="171" fontId="68" fillId="0" borderId="0" xfId="27" applyNumberFormat="1" applyFont="1" applyFill="1" applyBorder="1" applyAlignment="1"/>
    <xf numFmtId="171" fontId="51" fillId="0" borderId="0" xfId="0" applyNumberFormat="1" applyFont="1" applyFill="1"/>
    <xf numFmtId="171" fontId="1" fillId="0" borderId="0" xfId="40" applyNumberFormat="1" applyFont="1" applyFill="1" applyBorder="1"/>
    <xf numFmtId="171" fontId="1" fillId="0" borderId="9" xfId="40" applyNumberFormat="1" applyFont="1" applyFill="1" applyBorder="1"/>
    <xf numFmtId="171" fontId="1" fillId="0" borderId="9" xfId="27" applyNumberFormat="1" applyFont="1" applyFill="1" applyBorder="1"/>
    <xf numFmtId="171" fontId="49" fillId="0" borderId="9" xfId="40" applyNumberFormat="1" applyFont="1" applyFill="1" applyBorder="1"/>
    <xf numFmtId="41" fontId="57" fillId="13" borderId="0" xfId="2" applyFont="1" applyFill="1" applyBorder="1">
      <alignment horizontal="left"/>
    </xf>
    <xf numFmtId="41" fontId="57" fillId="13" borderId="9" xfId="2" applyFont="1" applyFill="1" applyBorder="1">
      <alignment horizontal="left"/>
    </xf>
    <xf numFmtId="10" fontId="12" fillId="13" borderId="0" xfId="19" applyNumberFormat="1" applyFill="1" applyBorder="1"/>
    <xf numFmtId="44" fontId="12" fillId="0" borderId="9" xfId="19" applyNumberFormat="1" applyBorder="1"/>
    <xf numFmtId="171" fontId="51" fillId="13" borderId="0" xfId="27" applyNumberFormat="1" applyFont="1" applyFill="1"/>
    <xf numFmtId="0" fontId="51" fillId="0" borderId="45" xfId="0" applyNumberFormat="1" applyFont="1" applyFill="1" applyBorder="1"/>
    <xf numFmtId="176" fontId="51" fillId="0" borderId="46" xfId="3" applyNumberFormat="1" applyFill="1" applyBorder="1"/>
    <xf numFmtId="0" fontId="51" fillId="0" borderId="46" xfId="0" applyNumberFormat="1" applyFont="1" applyFill="1" applyBorder="1"/>
    <xf numFmtId="0" fontId="51" fillId="0" borderId="47" xfId="0" applyNumberFormat="1" applyFont="1" applyFill="1" applyBorder="1"/>
    <xf numFmtId="0" fontId="51" fillId="0" borderId="48" xfId="0" applyNumberFormat="1" applyFont="1" applyFill="1" applyBorder="1"/>
    <xf numFmtId="176" fontId="51" fillId="0" borderId="46" xfId="0" applyNumberFormat="1" applyFont="1" applyFill="1" applyBorder="1"/>
    <xf numFmtId="176" fontId="51" fillId="0" borderId="48" xfId="0" applyNumberFormat="1" applyFont="1" applyFill="1" applyBorder="1"/>
    <xf numFmtId="174" fontId="12" fillId="27" borderId="0" xfId="19" applyNumberFormat="1" applyFill="1"/>
    <xf numFmtId="171" fontId="51" fillId="23" borderId="0" xfId="27" applyNumberFormat="1" applyFont="1" applyFill="1"/>
    <xf numFmtId="0" fontId="66" fillId="0" borderId="0" xfId="0" applyNumberFormat="1" applyFont="1" applyFill="1" applyAlignment="1">
      <alignment horizontal="center"/>
    </xf>
    <xf numFmtId="0" fontId="66" fillId="0" borderId="5" xfId="0" applyNumberFormat="1" applyFont="1" applyFill="1" applyBorder="1" applyAlignment="1">
      <alignment horizontal="center"/>
    </xf>
    <xf numFmtId="0" fontId="66" fillId="0" borderId="0" xfId="0" applyNumberFormat="1" applyFont="1" applyFill="1" applyBorder="1" applyAlignment="1">
      <alignment horizontal="center"/>
    </xf>
    <xf numFmtId="0" fontId="51" fillId="0" borderId="43" xfId="0" applyNumberFormat="1" applyFont="1" applyFill="1" applyBorder="1" applyAlignment="1">
      <alignment horizontal="center"/>
    </xf>
    <xf numFmtId="0" fontId="51" fillId="0" borderId="44" xfId="0" applyNumberFormat="1" applyFont="1" applyFill="1" applyBorder="1" applyAlignment="1">
      <alignment horizontal="center"/>
    </xf>
    <xf numFmtId="0" fontId="52" fillId="0" borderId="0" xfId="0" applyNumberFormat="1" applyFont="1" applyFill="1" applyAlignment="1">
      <alignment horizontal="center"/>
    </xf>
    <xf numFmtId="0" fontId="28" fillId="4" borderId="29" xfId="0" applyNumberFormat="1" applyFont="1" applyFill="1" applyBorder="1" applyAlignment="1">
      <alignment horizontal="center"/>
    </xf>
    <xf numFmtId="0" fontId="26" fillId="4" borderId="0" xfId="0" applyNumberFormat="1" applyFont="1" applyFill="1" applyAlignment="1">
      <alignment horizontal="center"/>
    </xf>
    <xf numFmtId="0" fontId="0" fillId="2" borderId="15" xfId="0" applyNumberFormat="1" applyBorder="1" applyAlignment="1">
      <alignment horizont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28" fillId="4" borderId="0" xfId="0" applyNumberFormat="1" applyFont="1" applyFill="1" applyAlignment="1">
      <alignment horizontal="center"/>
    </xf>
    <xf numFmtId="0" fontId="28" fillId="4" borderId="0" xfId="0" applyNumberFormat="1" applyFont="1" applyFill="1" applyBorder="1" applyAlignment="1">
      <alignment horizontal="center"/>
    </xf>
    <xf numFmtId="0" fontId="28" fillId="4" borderId="20" xfId="0" applyNumberFormat="1" applyFont="1" applyFill="1" applyBorder="1" applyAlignment="1">
      <alignment horizontal="center"/>
    </xf>
    <xf numFmtId="0" fontId="12" fillId="0" borderId="26" xfId="13" applyNumberFormat="1" applyFill="1" applyBorder="1" applyAlignment="1">
      <alignment horizontal="center" wrapText="1"/>
    </xf>
    <xf numFmtId="0" fontId="12" fillId="0" borderId="18" xfId="13" applyNumberFormat="1" applyFill="1" applyBorder="1" applyAlignment="1">
      <alignment horizontal="center" wrapText="1"/>
    </xf>
    <xf numFmtId="0" fontId="54" fillId="0" borderId="9" xfId="16" applyFill="1" applyBorder="1" applyAlignment="1">
      <alignment horizontal="center" vertical="top"/>
    </xf>
    <xf numFmtId="0" fontId="57" fillId="0" borderId="11" xfId="22" applyFont="1" applyFill="1" applyBorder="1" applyAlignment="1">
      <alignment horizontal="center"/>
    </xf>
    <xf numFmtId="0" fontId="57" fillId="0" borderId="22" xfId="22" applyFont="1" applyFill="1" applyBorder="1" applyAlignment="1">
      <alignment horizontal="center"/>
    </xf>
    <xf numFmtId="0" fontId="54" fillId="0" borderId="9" xfId="16" applyBorder="1" applyAlignment="1">
      <alignment horizontal="center" vertical="top"/>
    </xf>
    <xf numFmtId="0" fontId="49" fillId="0" borderId="0" xfId="40" applyFont="1" applyFill="1" applyBorder="1" applyAlignment="1">
      <alignment horizontal="center" vertical="center" textRotation="90"/>
    </xf>
    <xf numFmtId="0" fontId="49" fillId="0" borderId="37" xfId="40" applyFont="1" applyFill="1" applyBorder="1" applyAlignment="1">
      <alignment horizontal="center" vertical="center" textRotation="90"/>
    </xf>
    <xf numFmtId="0" fontId="49" fillId="0" borderId="9" xfId="40" applyFont="1" applyFill="1" applyBorder="1" applyAlignment="1">
      <alignment horizontal="center" vertical="center" textRotation="90"/>
    </xf>
    <xf numFmtId="0" fontId="49" fillId="0" borderId="38" xfId="40" applyFont="1" applyFill="1" applyBorder="1" applyAlignment="1">
      <alignment horizontal="center" vertical="center" textRotation="90"/>
    </xf>
    <xf numFmtId="0" fontId="52" fillId="0" borderId="39" xfId="9" applyFont="1" applyFill="1" applyBorder="1" applyAlignment="1">
      <alignment horizontal="center" vertical="center"/>
    </xf>
    <xf numFmtId="41" fontId="28" fillId="7" borderId="10" xfId="2" applyFont="1" applyFill="1" applyBorder="1">
      <alignment horizontal="left"/>
    </xf>
    <xf numFmtId="170" fontId="45" fillId="0" borderId="0" xfId="6"/>
    <xf numFmtId="170" fontId="45" fillId="28" borderId="0" xfId="6" applyFill="1"/>
    <xf numFmtId="170" fontId="72" fillId="28" borderId="0" xfId="6" applyFont="1" applyFill="1"/>
    <xf numFmtId="170" fontId="74" fillId="28" borderId="0" xfId="6" applyFont="1" applyFill="1"/>
    <xf numFmtId="170" fontId="75" fillId="0" borderId="0" xfId="6" applyFont="1"/>
    <xf numFmtId="170" fontId="76" fillId="0" borderId="0" xfId="6" applyFont="1"/>
  </cellXfs>
  <cellStyles count="44">
    <cellStyle name="20% - Accent6" xfId="13" builtinId="50"/>
    <cellStyle name="20% - Accent6 2" xfId="37" xr:uid="{00000000-0005-0000-0000-000001000000}"/>
    <cellStyle name="Accent5" xfId="1" builtinId="45"/>
    <cellStyle name="Comma" xfId="2" builtinId="3"/>
    <cellStyle name="Comma 2" xfId="7" xr:uid="{00000000-0005-0000-0000-000004000000}"/>
    <cellStyle name="Comma 3" xfId="10" xr:uid="{00000000-0005-0000-0000-000005000000}"/>
    <cellStyle name="Comma 3 2" xfId="41" xr:uid="{00000000-0005-0000-0000-000006000000}"/>
    <cellStyle name="Comma 4" xfId="18" xr:uid="{00000000-0005-0000-0000-000007000000}"/>
    <cellStyle name="Comma 5" xfId="34" xr:uid="{00000000-0005-0000-0000-000008000000}"/>
    <cellStyle name="Currency" xfId="27" builtinId="4"/>
    <cellStyle name="Currency 2" xfId="11" xr:uid="{00000000-0005-0000-0000-00000A000000}"/>
    <cellStyle name="Currency 2 2" xfId="38" xr:uid="{00000000-0005-0000-0000-00000B000000}"/>
    <cellStyle name="Currency 2 3" xfId="42" xr:uid="{00000000-0005-0000-0000-00000C000000}"/>
    <cellStyle name="Currency 3" xfId="24" xr:uid="{00000000-0005-0000-0000-00000D000000}"/>
    <cellStyle name="Currency 4" xfId="29" xr:uid="{00000000-0005-0000-0000-00000E000000}"/>
    <cellStyle name="Currency 5" xfId="23" xr:uid="{00000000-0005-0000-0000-00000F000000}"/>
    <cellStyle name="Currency 6" xfId="32" xr:uid="{00000000-0005-0000-0000-000010000000}"/>
    <cellStyle name="FRxAmtStyle" xfId="15" xr:uid="{00000000-0005-0000-0000-000011000000}"/>
    <cellStyle name="Normal" xfId="0" builtinId="0"/>
    <cellStyle name="Normal 10" xfId="33" xr:uid="{00000000-0005-0000-0000-000013000000}"/>
    <cellStyle name="Normal 11" xfId="35" xr:uid="{00000000-0005-0000-0000-000014000000}"/>
    <cellStyle name="Normal 12" xfId="36" xr:uid="{00000000-0005-0000-0000-000015000000}"/>
    <cellStyle name="Normal 13" xfId="21" xr:uid="{00000000-0005-0000-0000-000016000000}"/>
    <cellStyle name="Normal 2" xfId="5" xr:uid="{00000000-0005-0000-0000-000017000000}"/>
    <cellStyle name="Normal 3" xfId="6" xr:uid="{00000000-0005-0000-0000-000018000000}"/>
    <cellStyle name="Normal 4" xfId="8" xr:uid="{00000000-0005-0000-0000-000019000000}"/>
    <cellStyle name="Normal 4 2" xfId="40" xr:uid="{00000000-0005-0000-0000-00001A000000}"/>
    <cellStyle name="Normal 5" xfId="16" xr:uid="{00000000-0005-0000-0000-00001B000000}"/>
    <cellStyle name="Normal 6" xfId="19" xr:uid="{00000000-0005-0000-0000-00001C000000}"/>
    <cellStyle name="Normal 7" xfId="26" xr:uid="{00000000-0005-0000-0000-00001D000000}"/>
    <cellStyle name="Normal 8" xfId="28" xr:uid="{00000000-0005-0000-0000-00001E000000}"/>
    <cellStyle name="Normal 9" xfId="31" xr:uid="{00000000-0005-0000-0000-00001F000000}"/>
    <cellStyle name="Normal_DEPN2K" xfId="22" xr:uid="{00000000-0005-0000-0000-000020000000}"/>
    <cellStyle name="Normal_Price out" xfId="9" xr:uid="{00000000-0005-0000-0000-000021000000}"/>
    <cellStyle name="Normal_Sheet3" xfId="14" xr:uid="{00000000-0005-0000-0000-000022000000}"/>
    <cellStyle name="Percent" xfId="3" builtinId="5" customBuiltin="1"/>
    <cellStyle name="Percent 2" xfId="4" xr:uid="{00000000-0005-0000-0000-000024000000}"/>
    <cellStyle name="Percent 3" xfId="12" xr:uid="{00000000-0005-0000-0000-000025000000}"/>
    <cellStyle name="Percent 3 2" xfId="43" xr:uid="{00000000-0005-0000-0000-000026000000}"/>
    <cellStyle name="Percent 4" xfId="17" xr:uid="{00000000-0005-0000-0000-000027000000}"/>
    <cellStyle name="Percent 5" xfId="20" xr:uid="{00000000-0005-0000-0000-000028000000}"/>
    <cellStyle name="Percent 6" xfId="30" xr:uid="{00000000-0005-0000-0000-000029000000}"/>
    <cellStyle name="Percent 7" xfId="39" xr:uid="{00000000-0005-0000-0000-00002A000000}"/>
    <cellStyle name="Percent 8" xfId="25" xr:uid="{00000000-0005-0000-0000-00002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00"/>
      <color rgb="FF00FF99"/>
      <color rgb="FFFF7C80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theme" Target="theme/theme1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369094</xdr:colOff>
      <xdr:row>11</xdr:row>
      <xdr:rowOff>140493</xdr:rowOff>
    </xdr:from>
    <xdr:ext cx="8476190" cy="5950007"/>
    <xdr:pic>
      <xdr:nvPicPr>
        <xdr:cNvPr id="2" name="Picture 1">
          <a:extLst>
            <a:ext uri="{FF2B5EF4-FFF2-40B4-BE49-F238E27FC236}">
              <a16:creationId xmlns:a16="http://schemas.microsoft.com/office/drawing/2014/main" id="{DFE9E134-CC08-45DE-9999-709F70463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3094" y="2235993"/>
          <a:ext cx="8476190" cy="595000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1</xdr:col>
      <xdr:colOff>535780</xdr:colOff>
      <xdr:row>13</xdr:row>
      <xdr:rowOff>164330</xdr:rowOff>
    </xdr:from>
    <xdr:ext cx="5679281" cy="5340557"/>
    <xdr:pic>
      <xdr:nvPicPr>
        <xdr:cNvPr id="3" name="Picture 2">
          <a:extLst>
            <a:ext uri="{FF2B5EF4-FFF2-40B4-BE49-F238E27FC236}">
              <a16:creationId xmlns:a16="http://schemas.microsoft.com/office/drawing/2014/main" id="{7A08E260-6BFA-4A20-A443-187D90852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7780" y="2640830"/>
          <a:ext cx="5679281" cy="534055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14</xdr:row>
          <xdr:rowOff>171450</xdr:rowOff>
        </xdr:from>
        <xdr:to>
          <xdr:col>2</xdr:col>
          <xdr:colOff>400050</xdr:colOff>
          <xdr:row>16</xdr:row>
          <xdr:rowOff>66675</xdr:rowOff>
        </xdr:to>
        <xdr:sp macro="" textlink="">
          <xdr:nvSpPr>
            <xdr:cNvPr id="38913" name="CheckBox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96D3A80A-86B1-4FA5-935C-A998F89189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14</xdr:row>
          <xdr:rowOff>171450</xdr:rowOff>
        </xdr:from>
        <xdr:to>
          <xdr:col>2</xdr:col>
          <xdr:colOff>361950</xdr:colOff>
          <xdr:row>16</xdr:row>
          <xdr:rowOff>28575</xdr:rowOff>
        </xdr:to>
        <xdr:sp macro="" textlink="">
          <xdr:nvSpPr>
            <xdr:cNvPr id="2051" name="CheckBox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194CA761-8E62-463E-8BD8-CF907A9B56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oung215/AppData/Local/Microsoft/Windows/INetCache/Content.Outlook/BZZ6GHZH/Staff%20Gary's%20Garbage%20rate%20case%20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utc.wa.gov/regulatedIndustries/transportation/TransportationDocuments/SolidWaste-NonPublic%20LG%2020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utc.wa.gov/regulatedIndustries/transportation/TransportationDocuments/SolidWaste-NonPublic%20LG%202018%20V5.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3\ProForma%20Pacific%20Disposal_Staff%20Final%20outcome%208-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CNX%20Stuff\Excel\Financials\Excel%20Financials\ExcelFinancia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orre\sunshineTG-061142\Staff%205-31-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n  Summary"/>
      <sheetName val="Pro Forma"/>
      <sheetName val="Staffs Tonnage"/>
      <sheetName val="Balance Sheet"/>
      <sheetName val="Depn Calculation"/>
      <sheetName val="Staff LG"/>
      <sheetName val="Staff Rate Plan Priceout"/>
      <sheetName val="Staff Priceout"/>
      <sheetName val="Staff old tax LG"/>
      <sheetName val="Lurito Gallagher as filed"/>
      <sheetName val="Fuel Useage Summary"/>
      <sheetName val="Diesel Invoices"/>
      <sheetName val="Fuel Invoices"/>
      <sheetName val="GL priceout revenue reconcile"/>
      <sheetName val="Customer Count (Submit)"/>
      <sheetName val="Reference"/>
      <sheetName val="Revenue Reconcile"/>
      <sheetName val="Staffs 30 Yard Box Tonnage"/>
      <sheetName val="30 Yard Box Tonnage"/>
    </sheetNames>
    <sheetDataSet>
      <sheetData sheetId="0"/>
      <sheetData sheetId="1">
        <row r="24">
          <cell r="I24">
            <v>15000</v>
          </cell>
        </row>
      </sheetData>
      <sheetData sheetId="2"/>
      <sheetData sheetId="3"/>
      <sheetData sheetId="4"/>
      <sheetData sheetId="5">
        <row r="55">
          <cell r="X55">
            <v>5.7225999999999999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 Nonpublic 2018 V5.2a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 Nonpublic 2018 V5.0"/>
    </sheetNames>
    <sheetDataSet>
      <sheetData sheetId="0">
        <row r="55">
          <cell r="W55">
            <v>5.7225999999999999</v>
          </cell>
          <cell r="Y55">
            <v>5.6985000000000001</v>
          </cell>
        </row>
        <row r="56">
          <cell r="W56">
            <v>5.7082699999999997</v>
          </cell>
          <cell r="Y56">
            <v>5.6921999999999997</v>
          </cell>
        </row>
        <row r="58">
          <cell r="X58">
            <v>0.68367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mt of Operations"/>
      <sheetName val="NEWLURIT"/>
      <sheetName val="AJE's(1)"/>
      <sheetName val="AJE's(2)"/>
      <sheetName val="Proposed rates"/>
      <sheetName val="Rev-SDI"/>
      <sheetName val="Bad Debts"/>
      <sheetName val="RICS adj detail"/>
      <sheetName val="RICS Adj"/>
      <sheetName val="Proforma Dump Fees"/>
      <sheetName val="Dump-pf-SDI"/>
      <sheetName val="Dump - SDI"/>
      <sheetName val="Payroll Cost"/>
      <sheetName val="Tax &amp; Ben"/>
      <sheetName val="Contract Labor"/>
      <sheetName val="Trucks-R&amp;M"/>
      <sheetName val="Trucks-Tires"/>
      <sheetName val="Fuel-Gal"/>
      <sheetName val="FuelCost"/>
      <sheetName val="Insurance"/>
      <sheetName val="R&amp;M-Containers"/>
      <sheetName val="Advertising"/>
      <sheetName val="Meetings-Conventions"/>
      <sheetName val="Dues-Subscriptions"/>
      <sheetName val="Meals-Entertain"/>
      <sheetName val="Promotional"/>
      <sheetName val="Auto Exp"/>
      <sheetName val="Deprec"/>
      <sheetName val="Capital"/>
      <sheetName val="Average Invest"/>
      <sheetName val="WUTC de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Hammond, Greg (UTC)" id="{69E2D96C-FF9A-4D57-9842-9CA6FDACA8D1}" userId="S::greg.hammond@utc.wa.gov::1a12d6dc-9091-421a-bf06-5f0772164ea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15" dT="2020-08-19T22:14:14.53" personId="{69E2D96C-FF9A-4D57-9842-9CA6FDACA8D1}" id="{2BD4251B-FBE0-4133-A703-250C9D9E6D83}">
    <text>These should be allocated directly using the costs for long-haul/disposal</text>
  </threadedComment>
  <threadedComment ref="W20" dT="2020-08-19T22:24:24.78" personId="{69E2D96C-FF9A-4D57-9842-9CA6FDACA8D1}" id="{52C3F3C5-04FD-44AB-9767-14F8B43C52F9}">
    <text>Updated the percentages on the Driver Hours Recap Worksheet, and allocated using these amounts</text>
  </threadedComment>
  <threadedComment ref="W28" dT="2020-08-19T22:25:11.45" personId="{69E2D96C-FF9A-4D57-9842-9CA6FDACA8D1}" id="{16975DF6-24B8-4539-8015-FDF7BE1B8C50}">
    <text>These two were pulling from the 6 month adjusted totals - updated links to pull from the 12 month totals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4.emf"/><Relationship Id="rId4" Type="http://schemas.openxmlformats.org/officeDocument/2006/relationships/control" Target="../activeX/activeX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AQ370"/>
  <sheetViews>
    <sheetView tabSelected="1" workbookViewId="0">
      <selection activeCell="T21" sqref="T21"/>
    </sheetView>
  </sheetViews>
  <sheetFormatPr defaultRowHeight="15"/>
  <cols>
    <col min="1" max="1" width="33.77734375" customWidth="1"/>
    <col min="2" max="2" width="12.109375" hidden="1" customWidth="1"/>
    <col min="3" max="3" width="10.44140625" hidden="1" customWidth="1"/>
    <col min="4" max="4" width="10.33203125" hidden="1" customWidth="1"/>
    <col min="5" max="5" width="11.5546875" hidden="1" customWidth="1"/>
    <col min="6" max="6" width="12.33203125" hidden="1" customWidth="1"/>
    <col min="7" max="7" width="10.33203125" hidden="1" customWidth="1"/>
    <col min="8" max="11" width="0" hidden="1" customWidth="1"/>
    <col min="12" max="12" width="9.88671875" hidden="1" customWidth="1"/>
    <col min="13" max="13" width="15.33203125" hidden="1" customWidth="1"/>
    <col min="14" max="14" width="6.109375" hidden="1" customWidth="1"/>
    <col min="15" max="15" width="3" hidden="1" customWidth="1"/>
    <col min="16" max="17" width="10.77734375" customWidth="1"/>
    <col min="18" max="18" width="12.21875" customWidth="1"/>
    <col min="19" max="19" width="9.88671875" customWidth="1"/>
    <col min="20" max="20" width="12.44140625" customWidth="1"/>
    <col min="21" max="21" width="9.88671875" customWidth="1"/>
    <col min="22" max="23" width="9.88671875" bestFit="1" customWidth="1"/>
    <col min="24" max="24" width="20.44140625" customWidth="1"/>
    <col min="26" max="26" width="10.77734375" bestFit="1" customWidth="1"/>
    <col min="27" max="27" width="11.5546875" customWidth="1"/>
    <col min="29" max="29" width="11.5546875" customWidth="1"/>
  </cols>
  <sheetData>
    <row r="1" spans="1:43" ht="15.75">
      <c r="A1" s="241"/>
      <c r="B1" s="550" t="s">
        <v>255</v>
      </c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253"/>
      <c r="O1" s="253"/>
      <c r="P1" s="551" t="s">
        <v>361</v>
      </c>
      <c r="Q1" s="552"/>
      <c r="R1" s="552"/>
      <c r="S1" s="552"/>
      <c r="T1" s="552"/>
      <c r="U1" s="552"/>
      <c r="V1" s="552"/>
      <c r="W1" s="552"/>
      <c r="X1" s="552"/>
      <c r="Y1" s="552"/>
      <c r="Z1" s="241"/>
      <c r="AA1" s="241"/>
      <c r="AB1" s="241"/>
      <c r="AC1" s="241"/>
      <c r="AD1" s="241"/>
      <c r="AE1" s="241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</row>
    <row r="2" spans="1:43" ht="47.25">
      <c r="A2" s="241"/>
      <c r="B2" s="252" t="s">
        <v>250</v>
      </c>
      <c r="C2" s="254" t="s">
        <v>251</v>
      </c>
      <c r="D2" s="254" t="s">
        <v>252</v>
      </c>
      <c r="E2" s="254" t="s">
        <v>249</v>
      </c>
      <c r="F2" s="254" t="s">
        <v>256</v>
      </c>
      <c r="G2" s="254" t="s">
        <v>253</v>
      </c>
      <c r="H2" s="254" t="s">
        <v>254</v>
      </c>
      <c r="I2" s="254" t="s">
        <v>257</v>
      </c>
      <c r="J2" s="254" t="s">
        <v>258</v>
      </c>
      <c r="K2" s="255" t="s">
        <v>288</v>
      </c>
      <c r="L2" s="255" t="s">
        <v>289</v>
      </c>
      <c r="M2" s="255" t="s">
        <v>260</v>
      </c>
      <c r="N2" s="255" t="s">
        <v>262</v>
      </c>
      <c r="O2" s="255"/>
      <c r="P2" s="276" t="s">
        <v>250</v>
      </c>
      <c r="Q2" s="255" t="s">
        <v>251</v>
      </c>
      <c r="R2" s="257" t="s">
        <v>253</v>
      </c>
      <c r="S2" s="257" t="s">
        <v>292</v>
      </c>
      <c r="T2" s="257" t="s">
        <v>249</v>
      </c>
      <c r="U2" s="257" t="s">
        <v>254</v>
      </c>
      <c r="V2" s="257" t="s">
        <v>257</v>
      </c>
      <c r="W2" s="257" t="s">
        <v>258</v>
      </c>
      <c r="X2" s="257" t="s">
        <v>260</v>
      </c>
      <c r="Y2" s="241" t="s">
        <v>262</v>
      </c>
      <c r="Z2" s="241"/>
      <c r="AA2" s="241"/>
      <c r="AB2" s="241"/>
      <c r="AC2" s="241"/>
      <c r="AD2" s="241"/>
      <c r="AE2" s="241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</row>
    <row r="3" spans="1:43" ht="15.75">
      <c r="A3" s="242" t="s">
        <v>236</v>
      </c>
      <c r="B3" s="247" t="e">
        <f>#REF!</f>
        <v>#REF!</v>
      </c>
      <c r="C3" s="247" t="e">
        <f>#REF!-B3</f>
        <v>#REF!</v>
      </c>
      <c r="D3" s="247" t="e">
        <f>B3+C3</f>
        <v>#REF!</v>
      </c>
      <c r="E3" s="247"/>
      <c r="F3" s="247" t="e">
        <f>D3+E3</f>
        <v>#REF!</v>
      </c>
      <c r="G3" s="247"/>
      <c r="H3" s="247" t="e">
        <f>F3+G3</f>
        <v>#REF!</v>
      </c>
      <c r="I3" s="247" t="e">
        <f>H3</f>
        <v>#REF!</v>
      </c>
      <c r="J3" s="247"/>
      <c r="K3" s="247" t="e">
        <f>#REF!</f>
        <v>#REF!</v>
      </c>
      <c r="L3" s="247" t="e">
        <f>H3+K3</f>
        <v>#REF!</v>
      </c>
      <c r="M3" s="280" t="s">
        <v>261</v>
      </c>
      <c r="N3" s="239" t="e">
        <f t="shared" ref="N3:N10" si="0">SUM(I3:J3)-H3</f>
        <v>#REF!</v>
      </c>
      <c r="O3" s="239"/>
      <c r="P3" s="514">
        <f>'Price Out'!F50</f>
        <v>358220.42499999999</v>
      </c>
      <c r="Q3" s="239"/>
      <c r="R3" s="247"/>
      <c r="S3" s="247">
        <f>P3+Q3+R3</f>
        <v>358220.42499999999</v>
      </c>
      <c r="T3" s="247"/>
      <c r="U3" s="247">
        <f>S3+T3</f>
        <v>358220.42499999999</v>
      </c>
      <c r="V3" s="247">
        <f>S3</f>
        <v>358220.42499999999</v>
      </c>
      <c r="W3" s="247"/>
      <c r="X3" s="280" t="s">
        <v>261</v>
      </c>
      <c r="Y3" s="247">
        <f t="shared" ref="Y3:Y10" si="1">U3-V3-W3</f>
        <v>0</v>
      </c>
      <c r="Z3" s="247"/>
      <c r="AA3" s="241"/>
      <c r="AB3" s="241"/>
      <c r="AC3" s="241"/>
      <c r="AD3" s="241"/>
      <c r="AE3" s="241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</row>
    <row r="4" spans="1:43" ht="16.5" thickBot="1">
      <c r="A4" s="242" t="s">
        <v>237</v>
      </c>
      <c r="B4" s="247" t="e">
        <f>#REF!</f>
        <v>#REF!</v>
      </c>
      <c r="C4" s="247" t="e">
        <f>#REF!</f>
        <v>#REF!</v>
      </c>
      <c r="D4" s="247" t="e">
        <f t="shared" ref="D4:D10" si="2">B4+C4</f>
        <v>#REF!</v>
      </c>
      <c r="E4" s="247"/>
      <c r="F4" s="247" t="e">
        <f t="shared" ref="F4:F10" si="3">D4+E4</f>
        <v>#REF!</v>
      </c>
      <c r="G4" s="247"/>
      <c r="H4" s="247" t="e">
        <f t="shared" ref="H4:H10" si="4">F4+G4</f>
        <v>#REF!</v>
      </c>
      <c r="I4" s="247"/>
      <c r="J4" s="247" t="e">
        <f>H4</f>
        <v>#REF!</v>
      </c>
      <c r="K4" s="247" t="e">
        <f>#REF!</f>
        <v>#REF!</v>
      </c>
      <c r="L4" s="247" t="e">
        <f t="shared" ref="L4:L10" si="5">H4+K4</f>
        <v>#REF!</v>
      </c>
      <c r="M4" s="280" t="s">
        <v>261</v>
      </c>
      <c r="N4" s="239" t="e">
        <f t="shared" si="0"/>
        <v>#REF!</v>
      </c>
      <c r="O4" s="239"/>
      <c r="P4" s="277">
        <f>'Price Out'!F52</f>
        <v>121334.40000000001</v>
      </c>
      <c r="Q4" s="239"/>
      <c r="R4" s="247"/>
      <c r="S4" s="247">
        <f t="shared" ref="S4:S10" si="6">P4+Q4+R4</f>
        <v>121334.40000000001</v>
      </c>
      <c r="T4" s="247"/>
      <c r="U4" s="247">
        <f t="shared" ref="U4:U10" si="7">S4+T4</f>
        <v>121334.40000000001</v>
      </c>
      <c r="V4" s="247"/>
      <c r="W4" s="247">
        <f>S4</f>
        <v>121334.40000000001</v>
      </c>
      <c r="X4" s="280" t="s">
        <v>261</v>
      </c>
      <c r="Y4" s="247">
        <f t="shared" si="1"/>
        <v>0</v>
      </c>
      <c r="Z4" s="247"/>
      <c r="AA4" s="555" t="s">
        <v>304</v>
      </c>
      <c r="AB4" s="555"/>
      <c r="AC4" s="555"/>
      <c r="AD4" s="555"/>
      <c r="AE4" s="241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</row>
    <row r="5" spans="1:43" ht="15.75">
      <c r="A5" s="242" t="s">
        <v>145</v>
      </c>
      <c r="B5" s="247" t="e">
        <f>#REF!</f>
        <v>#REF!</v>
      </c>
      <c r="C5" s="247" t="e">
        <f>#REF!-B5</f>
        <v>#REF!</v>
      </c>
      <c r="D5" s="247" t="e">
        <f t="shared" si="2"/>
        <v>#REF!</v>
      </c>
      <c r="E5" s="247"/>
      <c r="F5" s="247" t="e">
        <f t="shared" si="3"/>
        <v>#REF!</v>
      </c>
      <c r="G5" s="247"/>
      <c r="H5" s="247" t="e">
        <f t="shared" si="4"/>
        <v>#REF!</v>
      </c>
      <c r="I5" s="247" t="e">
        <f>H5</f>
        <v>#REF!</v>
      </c>
      <c r="J5" s="247"/>
      <c r="K5" s="247" t="e">
        <f>#REF!</f>
        <v>#REF!</v>
      </c>
      <c r="L5" s="247" t="e">
        <f t="shared" si="5"/>
        <v>#REF!</v>
      </c>
      <c r="M5" s="280" t="s">
        <v>261</v>
      </c>
      <c r="N5" s="239" t="e">
        <f t="shared" si="0"/>
        <v>#REF!</v>
      </c>
      <c r="O5" s="239"/>
      <c r="P5" s="277">
        <v>80872.02</v>
      </c>
      <c r="Q5" s="239"/>
      <c r="R5" s="247"/>
      <c r="S5" s="247">
        <f t="shared" si="6"/>
        <v>80872.02</v>
      </c>
      <c r="T5" s="247"/>
      <c r="U5" s="247">
        <f t="shared" si="7"/>
        <v>80872.02</v>
      </c>
      <c r="V5" s="247">
        <f>S5</f>
        <v>80872.02</v>
      </c>
      <c r="W5" s="247"/>
      <c r="X5" s="280" t="s">
        <v>261</v>
      </c>
      <c r="Y5" s="247">
        <f t="shared" si="1"/>
        <v>0</v>
      </c>
      <c r="Z5" s="247"/>
      <c r="AA5" s="553" t="s">
        <v>305</v>
      </c>
      <c r="AB5" s="554"/>
      <c r="AC5" s="553" t="s">
        <v>245</v>
      </c>
      <c r="AD5" s="554"/>
      <c r="AE5" s="241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</row>
    <row r="6" spans="1:43" ht="15.75">
      <c r="A6" s="242" t="s">
        <v>146</v>
      </c>
      <c r="B6" s="247" t="e">
        <f>#REF!</f>
        <v>#REF!</v>
      </c>
      <c r="C6" s="247" t="e">
        <f>#REF!-B6+#REF!</f>
        <v>#REF!</v>
      </c>
      <c r="D6" s="247" t="e">
        <f>B6+C6</f>
        <v>#REF!</v>
      </c>
      <c r="E6" s="247"/>
      <c r="F6" s="247" t="e">
        <f t="shared" si="3"/>
        <v>#REF!</v>
      </c>
      <c r="G6" s="247"/>
      <c r="H6" s="247" t="e">
        <f t="shared" si="4"/>
        <v>#REF!</v>
      </c>
      <c r="I6" s="247" t="e">
        <f>H6</f>
        <v>#REF!</v>
      </c>
      <c r="J6" s="247"/>
      <c r="K6" s="247" t="e">
        <f>#REF!</f>
        <v>#REF!</v>
      </c>
      <c r="L6" s="247" t="e">
        <f t="shared" si="5"/>
        <v>#REF!</v>
      </c>
      <c r="M6" s="280" t="s">
        <v>261</v>
      </c>
      <c r="N6" s="239" t="e">
        <f t="shared" si="0"/>
        <v>#REF!</v>
      </c>
      <c r="O6" s="239"/>
      <c r="P6" s="277">
        <v>0</v>
      </c>
      <c r="Q6" s="239"/>
      <c r="R6" s="247"/>
      <c r="S6" s="247">
        <f t="shared" si="6"/>
        <v>0</v>
      </c>
      <c r="T6" s="247">
        <f>-S6</f>
        <v>0</v>
      </c>
      <c r="U6" s="247">
        <f t="shared" si="7"/>
        <v>0</v>
      </c>
      <c r="V6" s="247">
        <f>U6</f>
        <v>0</v>
      </c>
      <c r="W6" s="247"/>
      <c r="X6" s="280" t="s">
        <v>261</v>
      </c>
      <c r="Y6" s="247">
        <f t="shared" si="1"/>
        <v>0</v>
      </c>
      <c r="Z6" s="247"/>
      <c r="AA6" s="541" t="s">
        <v>168</v>
      </c>
      <c r="AB6" s="546">
        <f>'Drive Hours Recap'!J27</f>
        <v>0.6864434547851086</v>
      </c>
      <c r="AC6" s="541" t="s">
        <v>168</v>
      </c>
      <c r="AD6" s="542">
        <f>'Tonnage and Disposal June 2020'!C25</f>
        <v>0.63045572160405905</v>
      </c>
      <c r="AE6" s="241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</row>
    <row r="7" spans="1:43" ht="15.75">
      <c r="A7" s="242" t="s">
        <v>355</v>
      </c>
      <c r="B7" s="247" t="e">
        <f>#REF!</f>
        <v>#REF!</v>
      </c>
      <c r="C7" s="247"/>
      <c r="D7" s="247" t="e">
        <f t="shared" si="2"/>
        <v>#REF!</v>
      </c>
      <c r="E7" s="247" t="e">
        <f>-D7</f>
        <v>#REF!</v>
      </c>
      <c r="F7" s="247" t="e">
        <f t="shared" si="3"/>
        <v>#REF!</v>
      </c>
      <c r="G7" s="247"/>
      <c r="H7" s="247" t="e">
        <f t="shared" si="4"/>
        <v>#REF!</v>
      </c>
      <c r="I7" s="247"/>
      <c r="J7" s="247"/>
      <c r="K7" s="247"/>
      <c r="L7" s="247" t="e">
        <f t="shared" si="5"/>
        <v>#REF!</v>
      </c>
      <c r="M7" s="280" t="s">
        <v>261</v>
      </c>
      <c r="N7" s="239" t="e">
        <f t="shared" si="0"/>
        <v>#REF!</v>
      </c>
      <c r="O7" s="239"/>
      <c r="P7" s="277">
        <v>100762.57</v>
      </c>
      <c r="Q7" s="239"/>
      <c r="R7" s="247"/>
      <c r="S7" s="247">
        <f t="shared" si="6"/>
        <v>100762.57</v>
      </c>
      <c r="T7" s="247">
        <f>-S7</f>
        <v>-100762.57</v>
      </c>
      <c r="U7" s="247">
        <f t="shared" si="7"/>
        <v>0</v>
      </c>
      <c r="V7" s="247"/>
      <c r="W7" s="247"/>
      <c r="X7" s="280" t="s">
        <v>261</v>
      </c>
      <c r="Y7" s="247">
        <f t="shared" si="1"/>
        <v>0</v>
      </c>
      <c r="Z7" s="247"/>
      <c r="AA7" s="541" t="s">
        <v>240</v>
      </c>
      <c r="AB7" s="546">
        <f>'Drive Hours Recap'!J28</f>
        <v>0.3135565452148914</v>
      </c>
      <c r="AC7" s="541" t="s">
        <v>240</v>
      </c>
      <c r="AD7" s="542">
        <f>'Tonnage and Disposal June 2020'!C26</f>
        <v>0.36954427839594095</v>
      </c>
      <c r="AE7" s="241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</row>
    <row r="8" spans="1:43" ht="15.75">
      <c r="A8" s="242" t="s">
        <v>147</v>
      </c>
      <c r="B8" s="247" t="e">
        <f>#REF!</f>
        <v>#REF!</v>
      </c>
      <c r="C8" s="247"/>
      <c r="D8" s="247" t="e">
        <f t="shared" si="2"/>
        <v>#REF!</v>
      </c>
      <c r="E8" s="247"/>
      <c r="F8" s="247" t="e">
        <f t="shared" si="3"/>
        <v>#REF!</v>
      </c>
      <c r="G8" s="247"/>
      <c r="H8" s="247" t="e">
        <f t="shared" si="4"/>
        <v>#REF!</v>
      </c>
      <c r="I8" s="247"/>
      <c r="J8" s="247"/>
      <c r="K8" s="247"/>
      <c r="L8" s="247" t="e">
        <f t="shared" si="5"/>
        <v>#REF!</v>
      </c>
      <c r="M8" s="280" t="s">
        <v>261</v>
      </c>
      <c r="N8" s="239" t="e">
        <f t="shared" si="0"/>
        <v>#REF!</v>
      </c>
      <c r="O8" s="239"/>
      <c r="P8" s="277"/>
      <c r="Q8" s="239"/>
      <c r="R8" s="247"/>
      <c r="S8" s="247">
        <f>P8+Q8+R8</f>
        <v>0</v>
      </c>
      <c r="T8" s="247"/>
      <c r="U8" s="247">
        <f t="shared" si="7"/>
        <v>0</v>
      </c>
      <c r="V8" s="247"/>
      <c r="W8" s="247"/>
      <c r="X8" s="280" t="s">
        <v>261</v>
      </c>
      <c r="Y8" s="247">
        <f t="shared" si="1"/>
        <v>0</v>
      </c>
      <c r="Z8" s="247"/>
      <c r="AA8" s="541"/>
      <c r="AB8" s="543"/>
      <c r="AC8" s="541"/>
      <c r="AD8" s="543"/>
      <c r="AE8" s="241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</row>
    <row r="9" spans="1:43" ht="15.75">
      <c r="A9" s="242" t="s">
        <v>148</v>
      </c>
      <c r="B9" s="247" t="e">
        <f>#REF!</f>
        <v>#REF!</v>
      </c>
      <c r="C9" s="247"/>
      <c r="D9" s="247" t="e">
        <f t="shared" si="2"/>
        <v>#REF!</v>
      </c>
      <c r="E9" s="247"/>
      <c r="F9" s="247" t="e">
        <f t="shared" si="3"/>
        <v>#REF!</v>
      </c>
      <c r="G9" s="247"/>
      <c r="H9" s="247" t="e">
        <f t="shared" si="4"/>
        <v>#REF!</v>
      </c>
      <c r="I9" s="247"/>
      <c r="J9" s="247"/>
      <c r="K9" s="247"/>
      <c r="L9" s="247" t="e">
        <f t="shared" si="5"/>
        <v>#REF!</v>
      </c>
      <c r="M9" s="280" t="s">
        <v>261</v>
      </c>
      <c r="N9" s="239" t="e">
        <f t="shared" si="0"/>
        <v>#REF!</v>
      </c>
      <c r="O9" s="239"/>
      <c r="P9" s="277">
        <f>8112.33+39.9</f>
        <v>8152.23</v>
      </c>
      <c r="Q9" s="239"/>
      <c r="R9" s="247"/>
      <c r="S9" s="247">
        <f>P9+Q9+R9</f>
        <v>8152.23</v>
      </c>
      <c r="T9" s="247"/>
      <c r="U9" s="247">
        <f t="shared" si="7"/>
        <v>8152.23</v>
      </c>
      <c r="V9" s="247">
        <f>S9</f>
        <v>8152.23</v>
      </c>
      <c r="W9" s="247"/>
      <c r="X9" s="280" t="s">
        <v>261</v>
      </c>
      <c r="Y9" s="247">
        <f t="shared" si="1"/>
        <v>0</v>
      </c>
      <c r="Z9" s="247"/>
      <c r="AA9" s="541" t="s">
        <v>166</v>
      </c>
      <c r="AB9" s="546">
        <f>'Drive Hours Recap'!F27</f>
        <v>0.50156027946704529</v>
      </c>
      <c r="AC9" s="541"/>
      <c r="AD9" s="543"/>
      <c r="AE9" s="241"/>
      <c r="AF9" s="240"/>
      <c r="AG9" s="240"/>
      <c r="AH9" s="240"/>
      <c r="AI9" s="240"/>
      <c r="AJ9" s="240"/>
      <c r="AK9" s="240"/>
      <c r="AL9" s="240"/>
      <c r="AM9" s="240"/>
      <c r="AN9" s="240"/>
      <c r="AO9" s="240"/>
      <c r="AP9" s="240"/>
      <c r="AQ9" s="240"/>
    </row>
    <row r="10" spans="1:43" ht="16.5" thickBot="1">
      <c r="A10" s="242" t="s">
        <v>149</v>
      </c>
      <c r="B10" s="248" t="e">
        <f>#REF!</f>
        <v>#REF!</v>
      </c>
      <c r="C10" s="248"/>
      <c r="D10" s="248" t="e">
        <f t="shared" si="2"/>
        <v>#REF!</v>
      </c>
      <c r="E10" s="248"/>
      <c r="F10" s="248" t="e">
        <f t="shared" si="3"/>
        <v>#REF!</v>
      </c>
      <c r="G10" s="248"/>
      <c r="H10" s="248" t="e">
        <f t="shared" si="4"/>
        <v>#REF!</v>
      </c>
      <c r="I10" s="248"/>
      <c r="J10" s="248"/>
      <c r="K10" s="248"/>
      <c r="L10" s="248" t="e">
        <f t="shared" si="5"/>
        <v>#REF!</v>
      </c>
      <c r="M10" s="280" t="s">
        <v>261</v>
      </c>
      <c r="N10" s="239" t="e">
        <f t="shared" si="0"/>
        <v>#REF!</v>
      </c>
      <c r="O10" s="239"/>
      <c r="P10" s="277"/>
      <c r="Q10" s="248"/>
      <c r="R10" s="248"/>
      <c r="S10" s="248">
        <f t="shared" si="6"/>
        <v>0</v>
      </c>
      <c r="T10" s="248"/>
      <c r="U10" s="248">
        <f t="shared" si="7"/>
        <v>0</v>
      </c>
      <c r="V10" s="248"/>
      <c r="W10" s="248"/>
      <c r="X10" s="280" t="s">
        <v>261</v>
      </c>
      <c r="Y10" s="247">
        <f t="shared" si="1"/>
        <v>0</v>
      </c>
      <c r="Z10" s="239"/>
      <c r="AA10" s="544" t="s">
        <v>167</v>
      </c>
      <c r="AB10" s="547">
        <f>'Drive Hours Recap'!F28</f>
        <v>0.49843972053295477</v>
      </c>
      <c r="AC10" s="544"/>
      <c r="AD10" s="545"/>
      <c r="AE10" s="241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</row>
    <row r="11" spans="1:43" ht="15.75">
      <c r="A11" s="246" t="s">
        <v>234</v>
      </c>
      <c r="B11" s="247" t="e">
        <f>SUM(B3:B10)</f>
        <v>#REF!</v>
      </c>
      <c r="C11" s="247" t="e">
        <f t="shared" ref="C11:H11" si="8">SUM(C3:C10)</f>
        <v>#REF!</v>
      </c>
      <c r="D11" s="247" t="e">
        <f t="shared" si="8"/>
        <v>#REF!</v>
      </c>
      <c r="E11" s="247" t="e">
        <f t="shared" si="8"/>
        <v>#REF!</v>
      </c>
      <c r="F11" s="247" t="e">
        <f t="shared" si="8"/>
        <v>#REF!</v>
      </c>
      <c r="G11" s="247">
        <f t="shared" si="8"/>
        <v>0</v>
      </c>
      <c r="H11" s="247" t="e">
        <f t="shared" si="8"/>
        <v>#REF!</v>
      </c>
      <c r="I11" s="247" t="e">
        <f>SUM(I3:I10)</f>
        <v>#REF!</v>
      </c>
      <c r="J11" s="247" t="e">
        <f>SUM(J3:J10)</f>
        <v>#REF!</v>
      </c>
      <c r="K11" s="247" t="e">
        <f>SUM(K3:K10)</f>
        <v>#REF!</v>
      </c>
      <c r="L11" s="247" t="e">
        <f>SUM(L3:L10)</f>
        <v>#REF!</v>
      </c>
      <c r="M11" s="247"/>
      <c r="N11" s="239" t="e">
        <f>SUM(I11:J11)-H11</f>
        <v>#REF!</v>
      </c>
      <c r="O11" s="247"/>
      <c r="P11" s="283">
        <f>SUM(P3:P10)</f>
        <v>669341.64500000002</v>
      </c>
      <c r="Q11" s="239">
        <f t="shared" ref="Q11" si="9">SUM(Q3:Q10)</f>
        <v>0</v>
      </c>
      <c r="R11" s="239">
        <f>SUM(R3:R10)</f>
        <v>0</v>
      </c>
      <c r="S11" s="239">
        <f t="shared" ref="S11:W11" si="10">SUM(S3:S10)</f>
        <v>669341.64500000002</v>
      </c>
      <c r="T11" s="239">
        <f t="shared" si="10"/>
        <v>-100762.57</v>
      </c>
      <c r="U11" s="239">
        <f t="shared" si="10"/>
        <v>568579.07499999995</v>
      </c>
      <c r="V11" s="239">
        <f t="shared" si="10"/>
        <v>447244.67499999999</v>
      </c>
      <c r="W11" s="239">
        <f t="shared" si="10"/>
        <v>121334.40000000001</v>
      </c>
      <c r="X11" s="239"/>
      <c r="Y11" s="247"/>
      <c r="Z11" s="247"/>
      <c r="AA11" s="241"/>
      <c r="AB11" s="241"/>
      <c r="AC11" s="241"/>
      <c r="AD11" s="241"/>
      <c r="AE11" s="241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</row>
    <row r="12" spans="1:43" ht="15.75">
      <c r="A12" s="244"/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39"/>
      <c r="N12" s="239"/>
      <c r="O12" s="239"/>
      <c r="P12" s="277"/>
      <c r="Q12" s="239"/>
      <c r="R12" s="247"/>
      <c r="S12" s="247"/>
      <c r="T12" s="247"/>
      <c r="U12" s="247"/>
      <c r="V12" s="247"/>
      <c r="W12" s="247"/>
      <c r="X12" s="247">
        <f ca="1">'Garbage LG 2019 '!J21+'Recycling LG 2019'!J21</f>
        <v>493993.16147786978</v>
      </c>
      <c r="Y12" s="247"/>
      <c r="Z12" s="241"/>
      <c r="AA12" s="241"/>
      <c r="AB12" s="241"/>
      <c r="AC12" s="241"/>
      <c r="AD12" s="241"/>
      <c r="AE12" s="241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</row>
    <row r="13" spans="1:43" ht="15.75">
      <c r="A13" s="243"/>
      <c r="B13" s="247"/>
      <c r="C13" s="247"/>
      <c r="D13" s="247"/>
      <c r="E13" s="247"/>
      <c r="F13" s="247"/>
      <c r="G13" s="247"/>
      <c r="H13" s="247"/>
      <c r="I13" s="247"/>
      <c r="J13" s="247"/>
      <c r="K13" s="278"/>
      <c r="L13" s="294" t="e">
        <f>(L11-H11)/H11</f>
        <v>#REF!</v>
      </c>
      <c r="M13" s="239"/>
      <c r="N13" s="239"/>
      <c r="O13" s="239"/>
      <c r="P13" s="277"/>
      <c r="Q13" s="239"/>
      <c r="R13" s="247"/>
      <c r="S13" s="247"/>
      <c r="T13" s="247"/>
      <c r="U13" s="487"/>
      <c r="V13" s="247"/>
      <c r="W13" s="247"/>
      <c r="X13" s="247"/>
      <c r="Y13" s="247"/>
      <c r="Z13" s="241"/>
      <c r="AA13" s="241"/>
      <c r="AB13" s="241"/>
      <c r="AC13" s="241"/>
      <c r="AD13" s="241"/>
      <c r="AE13" s="241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</row>
    <row r="14" spans="1:43" ht="15.75">
      <c r="A14" s="246" t="s">
        <v>317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39"/>
      <c r="N14" s="239"/>
      <c r="O14" s="239"/>
      <c r="P14" s="277"/>
      <c r="Q14" s="239"/>
      <c r="R14" s="247"/>
      <c r="S14" s="247"/>
      <c r="T14" s="247"/>
      <c r="U14" s="247"/>
      <c r="V14" s="247"/>
      <c r="W14" s="247"/>
      <c r="X14" s="247"/>
      <c r="Y14" s="247"/>
      <c r="Z14" s="241"/>
      <c r="AA14" s="241"/>
      <c r="AB14" s="241"/>
      <c r="AC14" s="241"/>
      <c r="AD14" s="241"/>
      <c r="AE14" s="241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</row>
    <row r="15" spans="1:43" ht="15.75">
      <c r="A15" s="242" t="s">
        <v>150</v>
      </c>
      <c r="B15" s="271" t="e">
        <f>#REF!</f>
        <v>#REF!</v>
      </c>
      <c r="C15" s="247"/>
      <c r="D15" s="247" t="e">
        <f>B15+C15</f>
        <v>#REF!</v>
      </c>
      <c r="E15" s="247">
        <v>0</v>
      </c>
      <c r="F15" s="247" t="e">
        <f>D15+E15</f>
        <v>#REF!</v>
      </c>
      <c r="G15" s="247" t="e">
        <f>#REF!+#REF!+#REF!-'Pro Forma IS'!F15</f>
        <v>#REF!</v>
      </c>
      <c r="H15" s="247" t="e">
        <f>F15+G15</f>
        <v>#REF!</v>
      </c>
      <c r="I15" s="247" t="e">
        <f>#REF!+#REF!</f>
        <v>#REF!</v>
      </c>
      <c r="J15" s="247" t="e">
        <f>#REF!</f>
        <v>#REF!</v>
      </c>
      <c r="K15" s="247"/>
      <c r="L15" s="247"/>
      <c r="M15" s="280" t="s">
        <v>261</v>
      </c>
      <c r="N15" s="239" t="e">
        <f>SUM(I15:J15)-H15</f>
        <v>#REF!</v>
      </c>
      <c r="O15" s="239"/>
      <c r="P15" s="277">
        <v>115164.02</v>
      </c>
      <c r="Q15" s="239"/>
      <c r="R15" s="247"/>
      <c r="S15" s="247">
        <f t="shared" ref="S15:S42" si="11">P15+Q15+R15</f>
        <v>115164.02</v>
      </c>
      <c r="T15" s="540">
        <f>-(S15*$AD$7)</f>
        <v>-42558.204668075712</v>
      </c>
      <c r="U15" s="540">
        <f>S15+T15</f>
        <v>72605.815331924299</v>
      </c>
      <c r="V15" s="258">
        <f>U15*$AB$9</f>
        <v>36416.193028812631</v>
      </c>
      <c r="W15" s="540">
        <f t="shared" ref="W15:W16" si="12">U15*$AB$10</f>
        <v>36189.622303111668</v>
      </c>
      <c r="X15" s="280" t="s">
        <v>261</v>
      </c>
      <c r="Y15" s="247">
        <f t="shared" ref="Y15:Y43" si="13">U15-V15-W15</f>
        <v>0</v>
      </c>
      <c r="Z15" s="241"/>
      <c r="AA15" s="241"/>
      <c r="AB15" s="292"/>
      <c r="AC15" s="292"/>
      <c r="AD15" s="241"/>
      <c r="AE15" s="241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</row>
    <row r="16" spans="1:43" ht="15.75" hidden="1">
      <c r="A16" s="242" t="s">
        <v>151</v>
      </c>
      <c r="B16" s="247" t="e">
        <f>#REF!</f>
        <v>#REF!</v>
      </c>
      <c r="C16" s="247"/>
      <c r="D16" s="247" t="e">
        <f t="shared" ref="D16:D43" si="14">B16+C16</f>
        <v>#REF!</v>
      </c>
      <c r="E16" s="247" t="e">
        <f>-D16*'Drive Hours Recap'!$L$42</f>
        <v>#REF!</v>
      </c>
      <c r="F16" s="247" t="e">
        <f t="shared" ref="F16:F43" si="15">D16+E16</f>
        <v>#REF!</v>
      </c>
      <c r="G16" s="247"/>
      <c r="H16" s="247" t="e">
        <f t="shared" ref="H16:H43" si="16">F16+G16</f>
        <v>#REF!</v>
      </c>
      <c r="I16" s="247" t="e">
        <f>H16*'Drive Hours Recap'!$E$32</f>
        <v>#REF!</v>
      </c>
      <c r="J16" s="247" t="e">
        <f>H16*'Drive Hours Recap'!$E$33</f>
        <v>#REF!</v>
      </c>
      <c r="K16" s="247"/>
      <c r="L16" s="247"/>
      <c r="M16" s="279" t="s">
        <v>185</v>
      </c>
      <c r="N16" s="239" t="e">
        <f t="shared" ref="N16:N43" si="17">SUM(I16:J16)-H16</f>
        <v>#REF!</v>
      </c>
      <c r="O16" s="239"/>
      <c r="P16" s="277"/>
      <c r="Q16" s="239"/>
      <c r="R16" s="247"/>
      <c r="S16" s="247">
        <f t="shared" si="11"/>
        <v>0</v>
      </c>
      <c r="T16" s="247">
        <f t="shared" ref="T16" si="18">-(S16*$AB$7)</f>
        <v>0</v>
      </c>
      <c r="U16" s="247">
        <f t="shared" ref="U16:U43" si="19">S16+T16</f>
        <v>0</v>
      </c>
      <c r="V16" s="247">
        <f t="shared" ref="V16" si="20">U16*$AB$9</f>
        <v>0</v>
      </c>
      <c r="W16" s="247">
        <f t="shared" si="12"/>
        <v>0</v>
      </c>
      <c r="X16" s="279" t="s">
        <v>264</v>
      </c>
      <c r="Y16" s="247">
        <f t="shared" si="13"/>
        <v>0</v>
      </c>
      <c r="Z16" s="241"/>
      <c r="AA16" s="241"/>
      <c r="AB16" s="241"/>
      <c r="AC16" s="241"/>
      <c r="AD16" s="241"/>
      <c r="AE16" s="241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</row>
    <row r="17" spans="1:43" ht="15.75">
      <c r="A17" s="242" t="s">
        <v>344</v>
      </c>
      <c r="B17" s="271" t="e">
        <f>#REF!</f>
        <v>#REF!</v>
      </c>
      <c r="C17" s="247"/>
      <c r="D17" s="247" t="e">
        <f t="shared" si="14"/>
        <v>#REF!</v>
      </c>
      <c r="E17" s="247" t="e">
        <f>-D17*'Drive Hours Recap'!$L$42</f>
        <v>#REF!</v>
      </c>
      <c r="F17" s="247" t="e">
        <f t="shared" si="15"/>
        <v>#REF!</v>
      </c>
      <c r="G17" s="247"/>
      <c r="H17" s="247" t="e">
        <f t="shared" si="16"/>
        <v>#REF!</v>
      </c>
      <c r="I17" s="247" t="e">
        <f>H17*'Drive Hours Recap'!$E$32</f>
        <v>#REF!</v>
      </c>
      <c r="J17" s="247" t="e">
        <f>H17*'Drive Hours Recap'!$E$33</f>
        <v>#REF!</v>
      </c>
      <c r="K17" s="247"/>
      <c r="L17" s="247"/>
      <c r="M17" s="279" t="s">
        <v>185</v>
      </c>
      <c r="N17" s="239" t="e">
        <f t="shared" si="17"/>
        <v>#REF!</v>
      </c>
      <c r="O17" s="239"/>
      <c r="P17" s="277">
        <v>12626.53</v>
      </c>
      <c r="Q17" s="239"/>
      <c r="R17" s="247"/>
      <c r="S17" s="247">
        <f t="shared" si="11"/>
        <v>12626.53</v>
      </c>
      <c r="T17" s="247">
        <f>-(S17*$AB$7)</f>
        <v>-3959.1311248521829</v>
      </c>
      <c r="U17" s="247">
        <f t="shared" si="19"/>
        <v>8667.3988751478173</v>
      </c>
      <c r="V17" s="247">
        <f>U17*$AB$9</f>
        <v>4347.2230020714933</v>
      </c>
      <c r="W17" s="247">
        <f>U17*$AB$10</f>
        <v>4320.1758730763249</v>
      </c>
      <c r="X17" s="279" t="s">
        <v>264</v>
      </c>
      <c r="Y17" s="247">
        <f t="shared" si="13"/>
        <v>0</v>
      </c>
      <c r="Z17" s="241"/>
      <c r="AA17" s="241"/>
      <c r="AB17" s="241"/>
      <c r="AC17" s="292"/>
      <c r="AD17" s="241"/>
      <c r="AE17" s="241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</row>
    <row r="18" spans="1:43" ht="15.75">
      <c r="A18" s="242" t="s">
        <v>152</v>
      </c>
      <c r="B18" s="271" t="e">
        <f>#REF!</f>
        <v>#REF!</v>
      </c>
      <c r="C18" s="247"/>
      <c r="D18" s="247" t="e">
        <f t="shared" si="14"/>
        <v>#REF!</v>
      </c>
      <c r="E18" s="247" t="e">
        <f>-D18*'Drive Hours Recap'!$L$42</f>
        <v>#REF!</v>
      </c>
      <c r="F18" s="247" t="e">
        <f t="shared" si="15"/>
        <v>#REF!</v>
      </c>
      <c r="G18" s="247"/>
      <c r="H18" s="247" t="e">
        <f t="shared" si="16"/>
        <v>#REF!</v>
      </c>
      <c r="I18" s="247" t="e">
        <f>H18*'Drive Hours Recap'!$E$32</f>
        <v>#REF!</v>
      </c>
      <c r="J18" s="247" t="e">
        <f>H18*'Drive Hours Recap'!$E$33</f>
        <v>#REF!</v>
      </c>
      <c r="K18" s="247"/>
      <c r="L18" s="247"/>
      <c r="M18" s="279" t="s">
        <v>185</v>
      </c>
      <c r="N18" s="239" t="e">
        <f t="shared" si="17"/>
        <v>#REF!</v>
      </c>
      <c r="O18" s="239"/>
      <c r="P18" s="277">
        <v>54.09</v>
      </c>
      <c r="Q18" s="239"/>
      <c r="R18" s="247"/>
      <c r="S18" s="247">
        <f t="shared" si="11"/>
        <v>54.09</v>
      </c>
      <c r="T18" s="247">
        <f>-(S18*$AB$7)</f>
        <v>-16.960273530673476</v>
      </c>
      <c r="U18" s="247">
        <f t="shared" si="19"/>
        <v>37.129726469326528</v>
      </c>
      <c r="V18" s="247">
        <f>U18*$AB$9</f>
        <v>18.622795984490363</v>
      </c>
      <c r="W18" s="247">
        <f>U18*$AB$10</f>
        <v>18.506930484836168</v>
      </c>
      <c r="X18" s="279" t="s">
        <v>264</v>
      </c>
      <c r="Y18" s="247">
        <f t="shared" si="13"/>
        <v>0</v>
      </c>
      <c r="Z18" s="241"/>
      <c r="AA18" s="241"/>
      <c r="AB18" s="241"/>
      <c r="AC18" s="292"/>
      <c r="AD18" s="292"/>
      <c r="AE18" s="241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</row>
    <row r="19" spans="1:43" ht="15.75">
      <c r="A19" s="242" t="s">
        <v>374</v>
      </c>
      <c r="B19" s="247" t="e">
        <f>#REF!</f>
        <v>#REF!</v>
      </c>
      <c r="C19" s="247"/>
      <c r="D19" s="247" t="e">
        <f t="shared" si="14"/>
        <v>#REF!</v>
      </c>
      <c r="E19" s="247" t="e">
        <f>-D19*'Drive Hours Recap'!$L$42</f>
        <v>#REF!</v>
      </c>
      <c r="F19" s="247" t="e">
        <f t="shared" si="15"/>
        <v>#REF!</v>
      </c>
      <c r="G19" s="247"/>
      <c r="H19" s="247" t="e">
        <f t="shared" si="16"/>
        <v>#REF!</v>
      </c>
      <c r="I19" s="247" t="e">
        <f>H19*'Drive Hours Recap'!$E$32</f>
        <v>#REF!</v>
      </c>
      <c r="J19" s="247" t="e">
        <f>H19*'Drive Hours Recap'!$E$33</f>
        <v>#REF!</v>
      </c>
      <c r="K19" s="247"/>
      <c r="L19" s="247"/>
      <c r="M19" s="279" t="s">
        <v>185</v>
      </c>
      <c r="N19" s="239" t="e">
        <f t="shared" si="17"/>
        <v>#REF!</v>
      </c>
      <c r="O19" s="239"/>
      <c r="P19" s="277">
        <v>2730.8</v>
      </c>
      <c r="Q19" s="239"/>
      <c r="R19" s="247"/>
      <c r="S19" s="247">
        <f t="shared" si="11"/>
        <v>2730.8</v>
      </c>
      <c r="T19" s="247"/>
      <c r="U19" s="247">
        <f t="shared" si="19"/>
        <v>2730.8</v>
      </c>
      <c r="V19" s="247">
        <f>U19*$AB$9</f>
        <v>1369.6608111686073</v>
      </c>
      <c r="W19" s="247">
        <f>U19*$AB$10</f>
        <v>1361.1391888313929</v>
      </c>
      <c r="X19" s="279" t="s">
        <v>264</v>
      </c>
      <c r="Y19" s="247">
        <f t="shared" si="13"/>
        <v>0</v>
      </c>
      <c r="Z19" s="241"/>
      <c r="AA19" s="241"/>
      <c r="AB19" s="241"/>
      <c r="AC19" s="241"/>
      <c r="AD19" s="241"/>
      <c r="AE19" s="241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</row>
    <row r="20" spans="1:43" ht="15.75">
      <c r="A20" s="242" t="s">
        <v>356</v>
      </c>
      <c r="B20" s="271" t="e">
        <f>#REF!</f>
        <v>#REF!</v>
      </c>
      <c r="C20" s="247"/>
      <c r="D20" s="247" t="e">
        <f>B20+C20</f>
        <v>#REF!</v>
      </c>
      <c r="E20" s="247" t="e">
        <f>'Drive Hours Recap'!H21-'Pro Forma IS'!B20</f>
        <v>#REF!</v>
      </c>
      <c r="F20" s="247" t="e">
        <f>D20+E20</f>
        <v>#REF!</v>
      </c>
      <c r="G20" s="247"/>
      <c r="H20" s="247" t="e">
        <f t="shared" si="16"/>
        <v>#REF!</v>
      </c>
      <c r="I20" s="247">
        <f>'Drive Hours Recap'!C21+'Drive Hours Recap'!E21+'Drive Hours Recap'!G21</f>
        <v>35357.5</v>
      </c>
      <c r="J20" s="247">
        <f>'Drive Hours Recap'!D21+'Drive Hours Recap'!F21</f>
        <v>26171.5</v>
      </c>
      <c r="K20" s="247"/>
      <c r="L20" s="247"/>
      <c r="M20" s="280" t="s">
        <v>261</v>
      </c>
      <c r="N20" s="239" t="e">
        <f t="shared" si="17"/>
        <v>#REF!</v>
      </c>
      <c r="O20" s="239"/>
      <c r="P20" s="277">
        <v>149185.44</v>
      </c>
      <c r="Q20" s="247"/>
      <c r="R20" s="240"/>
      <c r="S20" s="247">
        <f t="shared" si="11"/>
        <v>149185.44</v>
      </c>
      <c r="T20" s="540">
        <f>'Drive Hours Recap'!X16-'Pro Forma IS'!S20</f>
        <v>339.85052648978308</v>
      </c>
      <c r="U20" s="540">
        <f>S20+T20</f>
        <v>149525.29052648979</v>
      </c>
      <c r="V20" s="540">
        <f>'Drive Hours Recap'!X6+'Drive Hours Recap'!Z9</f>
        <v>74195.515082865037</v>
      </c>
      <c r="W20" s="540">
        <f>'Drive Hours Recap'!X7+'Drive Hours Recap'!AA9</f>
        <v>75329.775443624734</v>
      </c>
      <c r="X20" s="280" t="s">
        <v>261</v>
      </c>
      <c r="Y20" s="247">
        <f>U20-V20-W20</f>
        <v>0</v>
      </c>
      <c r="Z20" s="241"/>
      <c r="AA20" s="241"/>
      <c r="AB20" s="241"/>
      <c r="AC20" s="241"/>
      <c r="AD20" s="241"/>
      <c r="AE20" s="241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</row>
    <row r="21" spans="1:43" ht="15.75">
      <c r="A21" s="242" t="s">
        <v>233</v>
      </c>
      <c r="B21" s="247" t="e">
        <f>#REF!</f>
        <v>#REF!</v>
      </c>
      <c r="C21" s="247"/>
      <c r="D21" s="247" t="e">
        <f t="shared" si="14"/>
        <v>#REF!</v>
      </c>
      <c r="E21" s="247" t="e">
        <f>-D21*'Drive Hours Recap'!$L$42</f>
        <v>#REF!</v>
      </c>
      <c r="F21" s="247" t="e">
        <f t="shared" si="15"/>
        <v>#REF!</v>
      </c>
      <c r="G21" s="247"/>
      <c r="H21" s="247" t="e">
        <f t="shared" si="16"/>
        <v>#REF!</v>
      </c>
      <c r="I21" s="247" t="e">
        <f>H21*'Drive Hours Recap'!$E$32</f>
        <v>#REF!</v>
      </c>
      <c r="J21" s="247" t="e">
        <f>H21*'Drive Hours Recap'!$E$33</f>
        <v>#REF!</v>
      </c>
      <c r="K21" s="247"/>
      <c r="L21" s="247"/>
      <c r="M21" s="279" t="s">
        <v>185</v>
      </c>
      <c r="N21" s="239" t="e">
        <f t="shared" si="17"/>
        <v>#REF!</v>
      </c>
      <c r="O21" s="239"/>
      <c r="P21" s="277">
        <f>230+6906.25</f>
        <v>7136.25</v>
      </c>
      <c r="Q21" s="239"/>
      <c r="R21" s="247"/>
      <c r="S21" s="247">
        <f t="shared" si="11"/>
        <v>7136.25</v>
      </c>
      <c r="T21" s="247">
        <f t="shared" ref="T21:T42" si="21">-(S21*$AB$7)</f>
        <v>-2237.6178957897687</v>
      </c>
      <c r="U21" s="247">
        <f t="shared" si="19"/>
        <v>4898.6321042102318</v>
      </c>
      <c r="V21" s="247">
        <f t="shared" ref="V21:V27" si="22">U21*$AB$9</f>
        <v>2456.959287193924</v>
      </c>
      <c r="W21" s="247">
        <f t="shared" ref="W21:W27" si="23">U21*$AB$10</f>
        <v>2441.6728170163083</v>
      </c>
      <c r="X21" s="279" t="s">
        <v>264</v>
      </c>
      <c r="Y21" s="247">
        <f t="shared" si="13"/>
        <v>0</v>
      </c>
      <c r="Z21" s="241"/>
      <c r="AA21" s="241"/>
      <c r="AB21" s="241"/>
      <c r="AC21" s="292"/>
      <c r="AD21" s="241"/>
      <c r="AE21" s="241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</row>
    <row r="22" spans="1:43" ht="15.75">
      <c r="A22" s="242" t="s">
        <v>153</v>
      </c>
      <c r="B22" s="247" t="e">
        <f>#REF!</f>
        <v>#REF!</v>
      </c>
      <c r="C22" s="247"/>
      <c r="D22" s="247" t="e">
        <f t="shared" si="14"/>
        <v>#REF!</v>
      </c>
      <c r="E22" s="247" t="e">
        <f>-D22*'Drive Hours Recap'!$L$42</f>
        <v>#REF!</v>
      </c>
      <c r="F22" s="247" t="e">
        <f t="shared" si="15"/>
        <v>#REF!</v>
      </c>
      <c r="G22" s="247"/>
      <c r="H22" s="247" t="e">
        <f t="shared" si="16"/>
        <v>#REF!</v>
      </c>
      <c r="I22" s="247" t="e">
        <f>H22*'Drive Hours Recap'!$E$32</f>
        <v>#REF!</v>
      </c>
      <c r="J22" s="247" t="e">
        <f>H22*'Drive Hours Recap'!$E$33</f>
        <v>#REF!</v>
      </c>
      <c r="K22" s="247"/>
      <c r="L22" s="247"/>
      <c r="M22" s="279" t="s">
        <v>185</v>
      </c>
      <c r="N22" s="239" t="e">
        <f t="shared" si="17"/>
        <v>#REF!</v>
      </c>
      <c r="O22" s="239"/>
      <c r="P22" s="277">
        <v>7150.81</v>
      </c>
      <c r="Q22" s="239"/>
      <c r="R22" s="247"/>
      <c r="S22" s="247">
        <f t="shared" si="11"/>
        <v>7150.81</v>
      </c>
      <c r="T22" s="247">
        <f t="shared" si="21"/>
        <v>-2242.1832790880976</v>
      </c>
      <c r="U22" s="247">
        <f t="shared" si="19"/>
        <v>4908.6267209119032</v>
      </c>
      <c r="V22" s="247">
        <f t="shared" si="22"/>
        <v>2461.9721899399801</v>
      </c>
      <c r="W22" s="247">
        <f t="shared" si="23"/>
        <v>2446.6545309719231</v>
      </c>
      <c r="X22" s="279" t="s">
        <v>264</v>
      </c>
      <c r="Y22" s="247">
        <f t="shared" si="13"/>
        <v>0</v>
      </c>
      <c r="Z22" s="241"/>
      <c r="AA22" s="241"/>
      <c r="AB22" s="241"/>
      <c r="AC22" s="241"/>
      <c r="AD22" s="241"/>
      <c r="AE22" s="241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</row>
    <row r="23" spans="1:43" ht="15.75">
      <c r="A23" s="242" t="s">
        <v>154</v>
      </c>
      <c r="B23" s="271" t="e">
        <f>#REF!</f>
        <v>#REF!</v>
      </c>
      <c r="C23" s="247"/>
      <c r="D23" s="247" t="e">
        <f t="shared" si="14"/>
        <v>#REF!</v>
      </c>
      <c r="E23" s="247" t="e">
        <f>-D23*'Drive Hours Recap'!$L$42</f>
        <v>#REF!</v>
      </c>
      <c r="F23" s="247" t="e">
        <f t="shared" si="15"/>
        <v>#REF!</v>
      </c>
      <c r="G23" s="247" t="e">
        <f>'Drive Hours Recap'!T39-'Pro Forma IS'!F23</f>
        <v>#REF!</v>
      </c>
      <c r="H23" s="247" t="e">
        <f t="shared" si="16"/>
        <v>#REF!</v>
      </c>
      <c r="I23" s="247">
        <f>'Drive Hours Recap'!Q39</f>
        <v>0</v>
      </c>
      <c r="J23" s="247">
        <f>'Drive Hours Recap'!R39</f>
        <v>0</v>
      </c>
      <c r="K23" s="247"/>
      <c r="L23" s="247"/>
      <c r="M23" s="281" t="s">
        <v>263</v>
      </c>
      <c r="N23" s="239" t="e">
        <f t="shared" si="17"/>
        <v>#REF!</v>
      </c>
      <c r="O23" s="239"/>
      <c r="P23" s="277">
        <v>36876.01</v>
      </c>
      <c r="Q23" s="239"/>
      <c r="R23" s="247"/>
      <c r="S23" s="247">
        <f t="shared" si="11"/>
        <v>36876.01</v>
      </c>
      <c r="T23" s="247">
        <f t="shared" si="21"/>
        <v>-11562.714296909788</v>
      </c>
      <c r="U23" s="247">
        <f t="shared" si="19"/>
        <v>25313.295703090214</v>
      </c>
      <c r="V23" s="247">
        <f t="shared" si="22"/>
        <v>12696.143667073884</v>
      </c>
      <c r="W23" s="247">
        <f t="shared" si="23"/>
        <v>12617.15203601633</v>
      </c>
      <c r="X23" s="279" t="s">
        <v>264</v>
      </c>
      <c r="Y23" s="247">
        <f t="shared" si="13"/>
        <v>0</v>
      </c>
      <c r="Z23" s="241"/>
      <c r="AA23" s="241"/>
      <c r="AB23" s="241"/>
      <c r="AC23" s="241"/>
      <c r="AD23" s="241"/>
      <c r="AE23" s="241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</row>
    <row r="24" spans="1:43" ht="15.75">
      <c r="A24" s="242" t="s">
        <v>155</v>
      </c>
      <c r="B24" s="271" t="e">
        <f>#REF!</f>
        <v>#REF!</v>
      </c>
      <c r="C24" s="247"/>
      <c r="D24" s="247" t="e">
        <f t="shared" si="14"/>
        <v>#REF!</v>
      </c>
      <c r="E24" s="247" t="e">
        <f>-D24*'Drive Hours Recap'!$L$42</f>
        <v>#REF!</v>
      </c>
      <c r="F24" s="247" t="e">
        <f t="shared" si="15"/>
        <v>#REF!</v>
      </c>
      <c r="G24" s="247"/>
      <c r="H24" s="247" t="e">
        <f t="shared" si="16"/>
        <v>#REF!</v>
      </c>
      <c r="I24" s="247" t="e">
        <f>H24*'Drive Hours Recap'!$E$32</f>
        <v>#REF!</v>
      </c>
      <c r="J24" s="247" t="e">
        <f>H24*'Drive Hours Recap'!$E$33</f>
        <v>#REF!</v>
      </c>
      <c r="K24" s="247"/>
      <c r="L24" s="247"/>
      <c r="M24" s="279" t="s">
        <v>185</v>
      </c>
      <c r="N24" s="239" t="e">
        <f t="shared" si="17"/>
        <v>#REF!</v>
      </c>
      <c r="O24" s="239"/>
      <c r="P24" s="277">
        <v>9432.5</v>
      </c>
      <c r="Q24" s="239"/>
      <c r="R24" s="247"/>
      <c r="S24" s="247">
        <f t="shared" si="11"/>
        <v>9432.5</v>
      </c>
      <c r="T24" s="247">
        <f t="shared" si="21"/>
        <v>-2957.6221127394633</v>
      </c>
      <c r="U24" s="247">
        <f t="shared" si="19"/>
        <v>6474.8778872605362</v>
      </c>
      <c r="V24" s="247">
        <f t="shared" si="22"/>
        <v>3247.5415626493864</v>
      </c>
      <c r="W24" s="247">
        <f t="shared" si="23"/>
        <v>3227.3363246111503</v>
      </c>
      <c r="X24" s="279" t="s">
        <v>264</v>
      </c>
      <c r="Y24" s="247">
        <f t="shared" si="13"/>
        <v>0</v>
      </c>
      <c r="Z24" s="241"/>
      <c r="AA24" s="241"/>
      <c r="AB24" s="241"/>
      <c r="AC24" s="241"/>
      <c r="AD24" s="241"/>
      <c r="AE24" s="241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</row>
    <row r="25" spans="1:43" ht="15.75">
      <c r="A25" s="242" t="s">
        <v>345</v>
      </c>
      <c r="B25" s="271" t="e">
        <f>#REF!</f>
        <v>#REF!</v>
      </c>
      <c r="C25" s="247"/>
      <c r="D25" s="247" t="e">
        <f t="shared" si="14"/>
        <v>#REF!</v>
      </c>
      <c r="E25" s="247" t="e">
        <f>-D25*'Drive Hours Recap'!$L$42</f>
        <v>#REF!</v>
      </c>
      <c r="F25" s="247" t="e">
        <f t="shared" si="15"/>
        <v>#REF!</v>
      </c>
      <c r="G25" s="247"/>
      <c r="H25" s="247" t="e">
        <f t="shared" si="16"/>
        <v>#REF!</v>
      </c>
      <c r="I25" s="247" t="e">
        <f>H25*'Drive Hours Recap'!$E$32</f>
        <v>#REF!</v>
      </c>
      <c r="J25" s="247" t="e">
        <f>H25*'Drive Hours Recap'!$E$33</f>
        <v>#REF!</v>
      </c>
      <c r="K25" s="247"/>
      <c r="L25" s="247"/>
      <c r="M25" s="279" t="s">
        <v>185</v>
      </c>
      <c r="N25" s="239" t="e">
        <f t="shared" si="17"/>
        <v>#REF!</v>
      </c>
      <c r="O25" s="239"/>
      <c r="P25" s="277">
        <f>11466+1407.5</f>
        <v>12873.5</v>
      </c>
      <c r="Q25" s="239"/>
      <c r="R25" s="247"/>
      <c r="S25" s="247">
        <f t="shared" si="11"/>
        <v>12873.5</v>
      </c>
      <c r="T25" s="247">
        <f t="shared" si="21"/>
        <v>-4036.5701848239046</v>
      </c>
      <c r="U25" s="247">
        <f t="shared" si="19"/>
        <v>8836.9298151760959</v>
      </c>
      <c r="V25" s="247">
        <f t="shared" si="22"/>
        <v>4432.2529877303878</v>
      </c>
      <c r="W25" s="247">
        <f t="shared" si="23"/>
        <v>4404.676827445709</v>
      </c>
      <c r="X25" s="279" t="s">
        <v>264</v>
      </c>
      <c r="Y25" s="247">
        <f t="shared" si="13"/>
        <v>0</v>
      </c>
      <c r="Z25" s="241"/>
      <c r="AA25" s="241"/>
      <c r="AB25" s="241"/>
      <c r="AC25" s="241"/>
      <c r="AD25" s="241"/>
      <c r="AE25" s="241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</row>
    <row r="26" spans="1:43" ht="15.75">
      <c r="A26" s="242" t="s">
        <v>375</v>
      </c>
      <c r="B26" s="271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79"/>
      <c r="N26" s="239"/>
      <c r="O26" s="239"/>
      <c r="P26" s="277">
        <f>52974.75+6724.65+7917</f>
        <v>67616.399999999994</v>
      </c>
      <c r="Q26" s="239"/>
      <c r="R26" s="247"/>
      <c r="S26" s="247"/>
      <c r="T26" s="247"/>
      <c r="U26" s="247"/>
      <c r="V26" s="247"/>
      <c r="W26" s="247"/>
      <c r="X26" s="279"/>
      <c r="Y26" s="247"/>
      <c r="Z26" s="241"/>
      <c r="AA26" s="241"/>
      <c r="AB26" s="241"/>
      <c r="AC26" s="241"/>
      <c r="AD26" s="241"/>
      <c r="AE26" s="241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</row>
    <row r="27" spans="1:43" ht="15.75">
      <c r="A27" s="242" t="s">
        <v>346</v>
      </c>
      <c r="B27" s="271" t="e">
        <f>#REF!</f>
        <v>#REF!</v>
      </c>
      <c r="C27" s="247" t="e">
        <f>#REF!</f>
        <v>#REF!</v>
      </c>
      <c r="D27" s="247" t="e">
        <f t="shared" si="14"/>
        <v>#REF!</v>
      </c>
      <c r="E27" s="247" t="e">
        <f>-D27*'Drive Hours Recap'!$L$42</f>
        <v>#REF!</v>
      </c>
      <c r="F27" s="247" t="e">
        <f t="shared" si="15"/>
        <v>#REF!</v>
      </c>
      <c r="G27" s="247"/>
      <c r="H27" s="247" t="e">
        <f t="shared" si="16"/>
        <v>#REF!</v>
      </c>
      <c r="I27" s="247" t="e">
        <f>H27*'Drive Hours Recap'!$E$32</f>
        <v>#REF!</v>
      </c>
      <c r="J27" s="247" t="e">
        <f>H27*'Drive Hours Recap'!$E$33</f>
        <v>#REF!</v>
      </c>
      <c r="K27" s="247"/>
      <c r="L27" s="247"/>
      <c r="M27" s="279" t="s">
        <v>185</v>
      </c>
      <c r="N27" s="239" t="e">
        <f t="shared" si="17"/>
        <v>#REF!</v>
      </c>
      <c r="O27" s="239"/>
      <c r="P27" s="277">
        <f>1442.25+3750.94+431.85+1506.53</f>
        <v>7131.5700000000006</v>
      </c>
      <c r="Q27" s="239"/>
      <c r="R27" s="247"/>
      <c r="S27" s="247">
        <f t="shared" si="11"/>
        <v>7131.5700000000006</v>
      </c>
      <c r="T27" s="247">
        <f t="shared" si="21"/>
        <v>-2236.1504511581634</v>
      </c>
      <c r="U27" s="247">
        <f t="shared" si="19"/>
        <v>4895.4195488418372</v>
      </c>
      <c r="V27" s="247">
        <f t="shared" si="22"/>
        <v>2455.3479970255485</v>
      </c>
      <c r="W27" s="247">
        <f t="shared" si="23"/>
        <v>2440.0715518162888</v>
      </c>
      <c r="X27" s="279" t="s">
        <v>264</v>
      </c>
      <c r="Y27" s="247">
        <f t="shared" si="13"/>
        <v>0</v>
      </c>
      <c r="Z27" s="241"/>
      <c r="AA27" s="241"/>
      <c r="AB27" s="241"/>
      <c r="AC27" s="241"/>
      <c r="AD27" s="241"/>
      <c r="AE27" s="241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</row>
    <row r="28" spans="1:43" ht="15.75">
      <c r="A28" s="242" t="s">
        <v>156</v>
      </c>
      <c r="B28" s="293" t="e">
        <f>#REF!</f>
        <v>#REF!</v>
      </c>
      <c r="C28" s="247"/>
      <c r="D28" s="247" t="e">
        <f>B28+C28</f>
        <v>#REF!</v>
      </c>
      <c r="E28" s="247" t="e">
        <f>-D28*'Drive Hours Recap'!$L$42</f>
        <v>#REF!</v>
      </c>
      <c r="F28" s="247" t="e">
        <f t="shared" si="15"/>
        <v>#REF!</v>
      </c>
      <c r="G28" s="247" t="e">
        <f>(Assets!M43+Assets!N43)-F28</f>
        <v>#REF!</v>
      </c>
      <c r="H28" s="247" t="e">
        <f>F28+G28</f>
        <v>#REF!</v>
      </c>
      <c r="I28" s="247">
        <f>Assets!M43</f>
        <v>20807.664371877265</v>
      </c>
      <c r="J28" s="247">
        <f>Assets!N43</f>
        <v>14329.896394506053</v>
      </c>
      <c r="K28" s="247"/>
      <c r="L28" s="247"/>
      <c r="M28" s="281" t="s">
        <v>263</v>
      </c>
      <c r="N28" s="239" t="e">
        <f t="shared" si="17"/>
        <v>#REF!</v>
      </c>
      <c r="O28" s="239"/>
      <c r="P28" s="277">
        <v>30479.62</v>
      </c>
      <c r="Q28" s="540">
        <f>Assets!J39-'Pro Forma IS'!P28</f>
        <v>4657.9407663833226</v>
      </c>
      <c r="R28" s="240"/>
      <c r="S28" s="247">
        <f t="shared" si="11"/>
        <v>35137.560766383322</v>
      </c>
      <c r="T28" s="247"/>
      <c r="U28" s="247">
        <f t="shared" si="19"/>
        <v>35137.560766383322</v>
      </c>
      <c r="V28" s="549">
        <f>Assets!M43</f>
        <v>20807.664371877265</v>
      </c>
      <c r="W28" s="549">
        <f>Assets!N39</f>
        <v>14329.896394506053</v>
      </c>
      <c r="X28" s="281" t="s">
        <v>265</v>
      </c>
      <c r="Y28" s="247">
        <f t="shared" si="13"/>
        <v>0</v>
      </c>
      <c r="Z28" s="241"/>
      <c r="AA28" s="241"/>
      <c r="AB28" s="241"/>
      <c r="AC28" s="241"/>
      <c r="AD28" s="241"/>
      <c r="AE28" s="241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</row>
    <row r="29" spans="1:43" ht="15.75">
      <c r="A29" s="242" t="s">
        <v>302</v>
      </c>
      <c r="B29" s="247" t="e">
        <f>#REF!</f>
        <v>#REF!</v>
      </c>
      <c r="C29" s="247"/>
      <c r="D29" s="247" t="e">
        <f t="shared" si="14"/>
        <v>#REF!</v>
      </c>
      <c r="E29" s="247" t="e">
        <f>-D29*'Drive Hours Recap'!$L$42</f>
        <v>#REF!</v>
      </c>
      <c r="F29" s="247" t="e">
        <f t="shared" si="15"/>
        <v>#REF!</v>
      </c>
      <c r="G29" s="247"/>
      <c r="H29" s="247" t="e">
        <f t="shared" si="16"/>
        <v>#REF!</v>
      </c>
      <c r="I29" s="247" t="e">
        <f>H29*'Drive Hours Recap'!$E$32</f>
        <v>#REF!</v>
      </c>
      <c r="J29" s="247" t="e">
        <f>H29*'Drive Hours Recap'!$E$33</f>
        <v>#REF!</v>
      </c>
      <c r="K29" s="247"/>
      <c r="L29" s="247"/>
      <c r="M29" s="279" t="s">
        <v>185</v>
      </c>
      <c r="N29" s="239" t="e">
        <f t="shared" si="17"/>
        <v>#REF!</v>
      </c>
      <c r="O29" s="239"/>
      <c r="P29" s="277">
        <v>2231.62</v>
      </c>
      <c r="Q29" s="239"/>
      <c r="R29" s="247"/>
      <c r="S29" s="247">
        <f t="shared" si="11"/>
        <v>2231.62</v>
      </c>
      <c r="T29" s="247">
        <f t="shared" si="21"/>
        <v>-699.73905743245587</v>
      </c>
      <c r="U29" s="247">
        <f t="shared" si="19"/>
        <v>1531.880942567544</v>
      </c>
      <c r="V29" s="247">
        <f t="shared" ref="V29:V43" si="24">U29*$AB$9</f>
        <v>768.33063366441809</v>
      </c>
      <c r="W29" s="247">
        <f t="shared" ref="W29:W43" si="25">U29*$AB$10</f>
        <v>763.55030890312594</v>
      </c>
      <c r="X29" s="279" t="s">
        <v>264</v>
      </c>
      <c r="Y29" s="247">
        <f t="shared" si="13"/>
        <v>0</v>
      </c>
      <c r="Z29" s="241"/>
      <c r="AA29" s="241"/>
      <c r="AB29" s="241"/>
      <c r="AC29" s="241"/>
      <c r="AD29" s="241"/>
      <c r="AE29" s="241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</row>
    <row r="30" spans="1:43" ht="15.75">
      <c r="A30" s="242" t="s">
        <v>303</v>
      </c>
      <c r="B30" s="247" t="e">
        <f>#REF!</f>
        <v>#REF!</v>
      </c>
      <c r="C30" s="247"/>
      <c r="D30" s="247" t="e">
        <f t="shared" si="14"/>
        <v>#REF!</v>
      </c>
      <c r="E30" s="247" t="e">
        <f>-D30*'Drive Hours Recap'!$L$42</f>
        <v>#REF!</v>
      </c>
      <c r="F30" s="247" t="e">
        <f t="shared" si="15"/>
        <v>#REF!</v>
      </c>
      <c r="G30" s="247"/>
      <c r="H30" s="247" t="e">
        <f t="shared" si="16"/>
        <v>#REF!</v>
      </c>
      <c r="I30" s="247" t="e">
        <f>H30*'Drive Hours Recap'!$E$32</f>
        <v>#REF!</v>
      </c>
      <c r="J30" s="247" t="e">
        <f>H30*'Drive Hours Recap'!$E$33</f>
        <v>#REF!</v>
      </c>
      <c r="K30" s="247"/>
      <c r="L30" s="247"/>
      <c r="M30" s="279" t="s">
        <v>185</v>
      </c>
      <c r="N30" s="239" t="e">
        <f t="shared" si="17"/>
        <v>#REF!</v>
      </c>
      <c r="O30" s="239"/>
      <c r="P30" s="277">
        <v>12158.12</v>
      </c>
      <c r="Q30" s="239"/>
      <c r="R30" s="247"/>
      <c r="S30" s="247">
        <f t="shared" si="11"/>
        <v>12158.12</v>
      </c>
      <c r="T30" s="247">
        <f t="shared" si="21"/>
        <v>-3812.2581035080757</v>
      </c>
      <c r="U30" s="247">
        <f t="shared" si="19"/>
        <v>8345.861896491926</v>
      </c>
      <c r="V30" s="247">
        <f t="shared" si="24"/>
        <v>4185.9528251978554</v>
      </c>
      <c r="W30" s="247">
        <f t="shared" si="25"/>
        <v>4159.9090712940715</v>
      </c>
      <c r="X30" s="279" t="s">
        <v>264</v>
      </c>
      <c r="Y30" s="247">
        <f t="shared" si="13"/>
        <v>0</v>
      </c>
      <c r="Z30" s="241"/>
      <c r="AA30" s="241"/>
      <c r="AB30" s="241"/>
      <c r="AC30" s="241"/>
      <c r="AD30" s="241"/>
      <c r="AE30" s="241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  <c r="AP30" s="240"/>
      <c r="AQ30" s="240"/>
    </row>
    <row r="31" spans="1:43" ht="15.75">
      <c r="A31" s="242" t="s">
        <v>301</v>
      </c>
      <c r="B31" s="247" t="e">
        <f>#REF!</f>
        <v>#REF!</v>
      </c>
      <c r="C31" s="247"/>
      <c r="D31" s="247" t="e">
        <f t="shared" si="14"/>
        <v>#REF!</v>
      </c>
      <c r="E31" s="247" t="e">
        <f>-D31*'Drive Hours Recap'!$L$42</f>
        <v>#REF!</v>
      </c>
      <c r="F31" s="247" t="e">
        <f t="shared" si="15"/>
        <v>#REF!</v>
      </c>
      <c r="G31" s="247"/>
      <c r="H31" s="247" t="e">
        <f t="shared" si="16"/>
        <v>#REF!</v>
      </c>
      <c r="I31" s="247" t="e">
        <f>H31*'Drive Hours Recap'!$E$32</f>
        <v>#REF!</v>
      </c>
      <c r="J31" s="247" t="e">
        <f>H31*'Drive Hours Recap'!$E$33</f>
        <v>#REF!</v>
      </c>
      <c r="K31" s="247"/>
      <c r="L31" s="247"/>
      <c r="M31" s="279" t="s">
        <v>185</v>
      </c>
      <c r="N31" s="239" t="e">
        <f t="shared" si="17"/>
        <v>#REF!</v>
      </c>
      <c r="O31" s="239"/>
      <c r="P31" s="277">
        <v>3284</v>
      </c>
      <c r="Q31" s="239"/>
      <c r="R31" s="247"/>
      <c r="S31" s="247">
        <f t="shared" si="11"/>
        <v>3284</v>
      </c>
      <c r="T31" s="247">
        <f t="shared" si="21"/>
        <v>-1029.7196944857033</v>
      </c>
      <c r="U31" s="247">
        <f t="shared" si="19"/>
        <v>2254.2803055142967</v>
      </c>
      <c r="V31" s="247">
        <f t="shared" si="24"/>
        <v>1130.657460030807</v>
      </c>
      <c r="W31" s="247">
        <f t="shared" si="25"/>
        <v>1123.62284548349</v>
      </c>
      <c r="X31" s="279" t="s">
        <v>264</v>
      </c>
      <c r="Y31" s="247">
        <f t="shared" si="13"/>
        <v>0</v>
      </c>
      <c r="Z31" s="241"/>
      <c r="AA31" s="241"/>
      <c r="AB31" s="241"/>
      <c r="AC31" s="241"/>
      <c r="AD31" s="241"/>
      <c r="AE31" s="241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</row>
    <row r="32" spans="1:43" ht="15.75" hidden="1">
      <c r="A32" s="242" t="s">
        <v>157</v>
      </c>
      <c r="B32" s="247" t="e">
        <f>#REF!</f>
        <v>#REF!</v>
      </c>
      <c r="C32" s="247"/>
      <c r="D32" s="247" t="e">
        <f t="shared" si="14"/>
        <v>#REF!</v>
      </c>
      <c r="E32" s="247" t="e">
        <f>-D32*'Drive Hours Recap'!$L$42</f>
        <v>#REF!</v>
      </c>
      <c r="F32" s="247" t="e">
        <f t="shared" si="15"/>
        <v>#REF!</v>
      </c>
      <c r="G32" s="247" t="e">
        <f>(F11-#REF!)*0.0051</f>
        <v>#REF!</v>
      </c>
      <c r="H32" s="247" t="e">
        <f>F32+G32</f>
        <v>#REF!</v>
      </c>
      <c r="I32" s="247" t="e">
        <f>(I3+I5+I6-#REF!)*0.0051</f>
        <v>#REF!</v>
      </c>
      <c r="J32" s="247" t="e">
        <f>J11*0.0051</f>
        <v>#REF!</v>
      </c>
      <c r="K32" s="247"/>
      <c r="L32" s="247"/>
      <c r="M32" s="280" t="s">
        <v>261</v>
      </c>
      <c r="N32" s="239" t="e">
        <f t="shared" si="17"/>
        <v>#REF!</v>
      </c>
      <c r="O32" s="239"/>
      <c r="P32" s="277"/>
      <c r="Q32" s="239"/>
      <c r="R32" s="247">
        <v>0</v>
      </c>
      <c r="S32" s="247">
        <f>P32+Q32+R32</f>
        <v>0</v>
      </c>
      <c r="T32" s="247">
        <v>0</v>
      </c>
      <c r="U32" s="247">
        <f t="shared" si="19"/>
        <v>0</v>
      </c>
      <c r="V32" s="247">
        <f t="shared" si="24"/>
        <v>0</v>
      </c>
      <c r="W32" s="247">
        <f t="shared" si="25"/>
        <v>0</v>
      </c>
      <c r="X32" s="280" t="s">
        <v>261</v>
      </c>
      <c r="Y32" s="247">
        <f t="shared" si="13"/>
        <v>0</v>
      </c>
      <c r="Z32" s="241"/>
      <c r="AA32" s="241"/>
      <c r="AB32" s="241"/>
      <c r="AC32" s="241"/>
      <c r="AD32" s="241"/>
      <c r="AE32" s="241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</row>
    <row r="33" spans="1:43" ht="15.75">
      <c r="A33" s="242" t="s">
        <v>291</v>
      </c>
      <c r="B33" s="271" t="e">
        <f>#REF!</f>
        <v>#REF!</v>
      </c>
      <c r="C33" s="247" t="e">
        <f>-#REF!-#REF!</f>
        <v>#REF!</v>
      </c>
      <c r="D33" s="247" t="e">
        <f t="shared" si="14"/>
        <v>#REF!</v>
      </c>
      <c r="E33" s="247" t="e">
        <f>-D33*'Drive Hours Recap'!$L$42</f>
        <v>#REF!</v>
      </c>
      <c r="F33" s="247" t="e">
        <f>D33+E33</f>
        <v>#REF!</v>
      </c>
      <c r="G33" s="247" t="e">
        <f>F11*0.015-F33</f>
        <v>#REF!</v>
      </c>
      <c r="H33" s="247" t="e">
        <f>F33+G33</f>
        <v>#REF!</v>
      </c>
      <c r="I33" s="247" t="e">
        <f>I11*0.015</f>
        <v>#REF!</v>
      </c>
      <c r="J33" s="247" t="e">
        <f>J11*0.015</f>
        <v>#REF!</v>
      </c>
      <c r="K33" s="247"/>
      <c r="L33" s="247"/>
      <c r="M33" s="280" t="s">
        <v>261</v>
      </c>
      <c r="N33" s="239" t="e">
        <f t="shared" si="17"/>
        <v>#REF!</v>
      </c>
      <c r="O33" s="239"/>
      <c r="P33" s="277">
        <v>31668.07</v>
      </c>
      <c r="Q33" s="239"/>
      <c r="R33" s="247"/>
      <c r="S33" s="247">
        <f t="shared" si="11"/>
        <v>31668.07</v>
      </c>
      <c r="T33" s="247">
        <f t="shared" si="21"/>
        <v>-9929.7306228233465</v>
      </c>
      <c r="U33" s="247">
        <f t="shared" si="19"/>
        <v>21738.339377176653</v>
      </c>
      <c r="V33" s="247">
        <f t="shared" si="24"/>
        <v>10903.087573166198</v>
      </c>
      <c r="W33" s="247">
        <f t="shared" si="25"/>
        <v>10835.251804010457</v>
      </c>
      <c r="X33" s="280" t="s">
        <v>261</v>
      </c>
      <c r="Y33" s="247">
        <f t="shared" si="13"/>
        <v>0</v>
      </c>
      <c r="Z33" s="486"/>
      <c r="AA33" s="241"/>
      <c r="AB33" s="241"/>
      <c r="AC33" s="241"/>
      <c r="AD33" s="241"/>
      <c r="AE33" s="241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  <c r="AP33" s="240"/>
      <c r="AQ33" s="240"/>
    </row>
    <row r="34" spans="1:43" ht="15.75">
      <c r="A34" s="242" t="s">
        <v>158</v>
      </c>
      <c r="B34" s="247" t="e">
        <f>#REF!</f>
        <v>#REF!</v>
      </c>
      <c r="C34" s="247">
        <f>'Drive Hours Recap'!T21</f>
        <v>112805.20055000001</v>
      </c>
      <c r="D34" s="247" t="e">
        <f t="shared" si="14"/>
        <v>#REF!</v>
      </c>
      <c r="E34" s="247" t="e">
        <f>-D34*'Drive Hours Recap'!$L$42</f>
        <v>#REF!</v>
      </c>
      <c r="F34" s="247" t="e">
        <f>D34+E34</f>
        <v>#REF!</v>
      </c>
      <c r="G34" s="247"/>
      <c r="H34" s="247" t="e">
        <f>F34+G34</f>
        <v>#REF!</v>
      </c>
      <c r="I34" s="247" t="e">
        <f>H34*'Drive Hours Recap'!$E$32</f>
        <v>#REF!</v>
      </c>
      <c r="J34" s="247" t="e">
        <f>H34*'Drive Hours Recap'!$E$33</f>
        <v>#REF!</v>
      </c>
      <c r="K34" s="247"/>
      <c r="L34" s="247"/>
      <c r="M34" s="279" t="s">
        <v>185</v>
      </c>
      <c r="N34" s="239" t="e">
        <f t="shared" si="17"/>
        <v>#REF!</v>
      </c>
      <c r="O34" s="239"/>
      <c r="P34" s="277">
        <v>61250</v>
      </c>
      <c r="Q34" s="239"/>
      <c r="R34" s="247"/>
      <c r="S34" s="247">
        <f t="shared" si="11"/>
        <v>61250</v>
      </c>
      <c r="T34" s="247">
        <f t="shared" si="21"/>
        <v>-19205.338394412098</v>
      </c>
      <c r="U34" s="247">
        <f t="shared" si="19"/>
        <v>42044.661605587899</v>
      </c>
      <c r="V34" s="247">
        <f t="shared" si="24"/>
        <v>21087.932224996017</v>
      </c>
      <c r="W34" s="247">
        <f t="shared" si="25"/>
        <v>20956.729380591885</v>
      </c>
      <c r="X34" s="279" t="s">
        <v>264</v>
      </c>
      <c r="Y34" s="247">
        <f t="shared" si="13"/>
        <v>0</v>
      </c>
      <c r="Z34" s="241"/>
      <c r="AA34" s="241"/>
      <c r="AB34" s="241"/>
      <c r="AC34" s="241"/>
      <c r="AD34" s="241"/>
      <c r="AE34" s="241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  <c r="AP34" s="240"/>
      <c r="AQ34" s="240"/>
    </row>
    <row r="35" spans="1:43" ht="15.75">
      <c r="A35" s="245" t="s">
        <v>159</v>
      </c>
      <c r="B35" s="271" t="e">
        <f>#REF!</f>
        <v>#REF!</v>
      </c>
      <c r="C35" s="247">
        <f>-500</f>
        <v>-500</v>
      </c>
      <c r="D35" s="247" t="e">
        <f t="shared" si="14"/>
        <v>#REF!</v>
      </c>
      <c r="E35" s="247" t="e">
        <f>-D35*'Drive Hours Recap'!$L$42</f>
        <v>#REF!</v>
      </c>
      <c r="F35" s="247" t="e">
        <f t="shared" si="15"/>
        <v>#REF!</v>
      </c>
      <c r="G35" s="247"/>
      <c r="H35" s="247" t="e">
        <f t="shared" si="16"/>
        <v>#REF!</v>
      </c>
      <c r="I35" s="247" t="e">
        <f>H35*'Drive Hours Recap'!$E$32</f>
        <v>#REF!</v>
      </c>
      <c r="J35" s="247" t="e">
        <f>H35*'Drive Hours Recap'!$E$33</f>
        <v>#REF!</v>
      </c>
      <c r="K35" s="247"/>
      <c r="L35" s="247"/>
      <c r="M35" s="279" t="s">
        <v>185</v>
      </c>
      <c r="N35" s="239" t="e">
        <f t="shared" si="17"/>
        <v>#REF!</v>
      </c>
      <c r="O35" s="239"/>
      <c r="P35" s="277">
        <v>3111.98</v>
      </c>
      <c r="Q35" s="239"/>
      <c r="R35" s="247"/>
      <c r="S35" s="247">
        <f t="shared" si="11"/>
        <v>3111.98</v>
      </c>
      <c r="T35" s="247">
        <f t="shared" si="21"/>
        <v>-975.7816975778378</v>
      </c>
      <c r="U35" s="247">
        <f t="shared" si="19"/>
        <v>2136.1983024221622</v>
      </c>
      <c r="V35" s="247">
        <f t="shared" si="24"/>
        <v>1071.4322175598875</v>
      </c>
      <c r="W35" s="247">
        <f t="shared" si="25"/>
        <v>1064.766084862275</v>
      </c>
      <c r="X35" s="279" t="s">
        <v>264</v>
      </c>
      <c r="Y35" s="247">
        <f t="shared" si="13"/>
        <v>0</v>
      </c>
      <c r="Z35" s="240"/>
      <c r="AA35" s="241"/>
      <c r="AB35" s="241"/>
      <c r="AC35" s="241"/>
      <c r="AD35" s="241"/>
      <c r="AE35" s="241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</row>
    <row r="36" spans="1:43" ht="15.75">
      <c r="A36" s="242" t="s">
        <v>160</v>
      </c>
      <c r="B36" s="247" t="e">
        <f>#REF!</f>
        <v>#REF!</v>
      </c>
      <c r="C36" s="247"/>
      <c r="D36" s="247" t="e">
        <f t="shared" si="14"/>
        <v>#REF!</v>
      </c>
      <c r="E36" s="247" t="e">
        <f>-D36*'Drive Hours Recap'!$L$42</f>
        <v>#REF!</v>
      </c>
      <c r="F36" s="247" t="e">
        <f t="shared" si="15"/>
        <v>#REF!</v>
      </c>
      <c r="G36" s="247"/>
      <c r="H36" s="247" t="e">
        <f t="shared" si="16"/>
        <v>#REF!</v>
      </c>
      <c r="I36" s="247" t="e">
        <f>H36*'Drive Hours Recap'!$E$32</f>
        <v>#REF!</v>
      </c>
      <c r="J36" s="247" t="e">
        <f>H36*'Drive Hours Recap'!$E$33</f>
        <v>#REF!</v>
      </c>
      <c r="K36" s="247"/>
      <c r="L36" s="247"/>
      <c r="M36" s="279" t="s">
        <v>185</v>
      </c>
      <c r="N36" s="239" t="e">
        <f t="shared" si="17"/>
        <v>#REF!</v>
      </c>
      <c r="O36" s="239"/>
      <c r="P36" s="277">
        <v>5741.44</v>
      </c>
      <c r="Q36" s="239"/>
      <c r="R36" s="247"/>
      <c r="S36" s="247">
        <f t="shared" si="11"/>
        <v>5741.44</v>
      </c>
      <c r="T36" s="247">
        <f t="shared" si="21"/>
        <v>-1800.2660909585859</v>
      </c>
      <c r="U36" s="247">
        <f t="shared" si="19"/>
        <v>3941.1739090414139</v>
      </c>
      <c r="V36" s="247">
        <f t="shared" si="24"/>
        <v>1976.7362872470389</v>
      </c>
      <c r="W36" s="247">
        <f t="shared" si="25"/>
        <v>1964.4376217943752</v>
      </c>
      <c r="X36" s="279" t="s">
        <v>264</v>
      </c>
      <c r="Y36" s="247">
        <f t="shared" si="13"/>
        <v>0</v>
      </c>
      <c r="Z36" s="241"/>
      <c r="AA36" s="241"/>
      <c r="AB36" s="241"/>
      <c r="AC36" s="241"/>
      <c r="AD36" s="241"/>
      <c r="AE36" s="241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  <c r="AP36" s="240"/>
      <c r="AQ36" s="240"/>
    </row>
    <row r="37" spans="1:43" ht="15.75">
      <c r="A37" s="242" t="s">
        <v>161</v>
      </c>
      <c r="B37" s="258" t="e">
        <f>#REF!</f>
        <v>#REF!</v>
      </c>
      <c r="C37" s="247" t="e">
        <f>#REF!-B37</f>
        <v>#REF!</v>
      </c>
      <c r="D37" s="247" t="e">
        <f>B37+C37</f>
        <v>#REF!</v>
      </c>
      <c r="E37" s="247" t="e">
        <f>-D37*'Drive Hours Recap'!$L$42</f>
        <v>#REF!</v>
      </c>
      <c r="F37" s="247" t="e">
        <f>D37+E37</f>
        <v>#REF!</v>
      </c>
      <c r="G37" s="247"/>
      <c r="H37" s="247" t="e">
        <f>F37+G37</f>
        <v>#REF!</v>
      </c>
      <c r="I37" s="247" t="e">
        <f>H37*'Drive Hours Recap'!$E$32</f>
        <v>#REF!</v>
      </c>
      <c r="J37" s="247" t="e">
        <f>H37*'Drive Hours Recap'!$E$33</f>
        <v>#REF!</v>
      </c>
      <c r="K37" s="247"/>
      <c r="L37" s="247"/>
      <c r="M37" s="279" t="s">
        <v>185</v>
      </c>
      <c r="N37" s="239" t="e">
        <f t="shared" si="17"/>
        <v>#REF!</v>
      </c>
      <c r="O37" s="239"/>
      <c r="P37" s="277">
        <f>11548.25+2973.25</f>
        <v>14521.5</v>
      </c>
      <c r="Q37" s="239"/>
      <c r="R37" s="247"/>
      <c r="S37" s="247">
        <f t="shared" si="11"/>
        <v>14521.5</v>
      </c>
      <c r="T37" s="247">
        <f t="shared" si="21"/>
        <v>-4553.3113713380453</v>
      </c>
      <c r="U37" s="247">
        <f t="shared" si="19"/>
        <v>9968.1886286619556</v>
      </c>
      <c r="V37" s="247">
        <f t="shared" si="24"/>
        <v>4999.6474743719136</v>
      </c>
      <c r="W37" s="247">
        <f t="shared" si="25"/>
        <v>4968.5411542900429</v>
      </c>
      <c r="X37" s="279" t="s">
        <v>264</v>
      </c>
      <c r="Y37" s="247">
        <f t="shared" si="13"/>
        <v>0</v>
      </c>
      <c r="Z37" s="241"/>
      <c r="AA37" s="241"/>
      <c r="AB37" s="241"/>
      <c r="AC37" s="241"/>
      <c r="AD37" s="241"/>
      <c r="AE37" s="241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0"/>
    </row>
    <row r="38" spans="1:43" ht="15.75">
      <c r="A38" s="245" t="s">
        <v>162</v>
      </c>
      <c r="B38" s="271" t="e">
        <f>#REF!</f>
        <v>#REF!</v>
      </c>
      <c r="C38" s="247" t="e">
        <f>#REF!</f>
        <v>#REF!</v>
      </c>
      <c r="D38" s="247" t="e">
        <f t="shared" si="14"/>
        <v>#REF!</v>
      </c>
      <c r="E38" s="247" t="e">
        <f>-D38*'Drive Hours Recap'!$L$42</f>
        <v>#REF!</v>
      </c>
      <c r="F38" s="247" t="e">
        <f t="shared" si="15"/>
        <v>#REF!</v>
      </c>
      <c r="G38" s="247"/>
      <c r="H38" s="247" t="e">
        <f t="shared" si="16"/>
        <v>#REF!</v>
      </c>
      <c r="I38" s="247" t="e">
        <f>H38*'Drive Hours Recap'!$E$32</f>
        <v>#REF!</v>
      </c>
      <c r="J38" s="247" t="e">
        <f>H38*'Drive Hours Recap'!$E$33</f>
        <v>#REF!</v>
      </c>
      <c r="K38" s="247"/>
      <c r="L38" s="247"/>
      <c r="M38" s="279" t="s">
        <v>185</v>
      </c>
      <c r="N38" s="239" t="e">
        <f t="shared" si="17"/>
        <v>#REF!</v>
      </c>
      <c r="O38" s="239"/>
      <c r="P38" s="277"/>
      <c r="Q38" s="239"/>
      <c r="R38" s="247"/>
      <c r="S38" s="247">
        <f t="shared" si="11"/>
        <v>0</v>
      </c>
      <c r="T38" s="247">
        <f t="shared" si="21"/>
        <v>0</v>
      </c>
      <c r="U38" s="247">
        <f t="shared" si="19"/>
        <v>0</v>
      </c>
      <c r="V38" s="247">
        <f t="shared" si="24"/>
        <v>0</v>
      </c>
      <c r="W38" s="247">
        <f t="shared" si="25"/>
        <v>0</v>
      </c>
      <c r="X38" s="279" t="s">
        <v>264</v>
      </c>
      <c r="Y38" s="247">
        <f t="shared" si="13"/>
        <v>0</v>
      </c>
      <c r="Z38" s="241"/>
      <c r="AA38" s="241"/>
      <c r="AB38" s="241"/>
      <c r="AC38" s="241"/>
      <c r="AD38" s="241"/>
      <c r="AE38" s="241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  <c r="AP38" s="240"/>
      <c r="AQ38" s="240"/>
    </row>
    <row r="39" spans="1:43" ht="15.75">
      <c r="A39" s="245" t="s">
        <v>163</v>
      </c>
      <c r="B39" s="271" t="e">
        <f>#REF!</f>
        <v>#REF!</v>
      </c>
      <c r="C39" s="247" t="e">
        <f>#REF!-B39</f>
        <v>#REF!</v>
      </c>
      <c r="D39" s="247" t="e">
        <f t="shared" si="14"/>
        <v>#REF!</v>
      </c>
      <c r="E39" s="247" t="e">
        <f>-D39*'Drive Hours Recap'!$L$42</f>
        <v>#REF!</v>
      </c>
      <c r="F39" s="247" t="e">
        <f t="shared" si="15"/>
        <v>#REF!</v>
      </c>
      <c r="G39" s="247"/>
      <c r="H39" s="247" t="e">
        <f>F39+G39</f>
        <v>#REF!</v>
      </c>
      <c r="I39" s="247" t="e">
        <f>H39*'Drive Hours Recap'!$E$32</f>
        <v>#REF!</v>
      </c>
      <c r="J39" s="247" t="e">
        <f>H39*'Drive Hours Recap'!$E$33</f>
        <v>#REF!</v>
      </c>
      <c r="K39" s="247"/>
      <c r="L39" s="247"/>
      <c r="M39" s="279" t="s">
        <v>185</v>
      </c>
      <c r="N39" s="239" t="e">
        <f t="shared" si="17"/>
        <v>#REF!</v>
      </c>
      <c r="O39" s="239"/>
      <c r="P39" s="277">
        <f>26043.28+8204.22</f>
        <v>34247.5</v>
      </c>
      <c r="Q39" s="239"/>
      <c r="R39" s="247"/>
      <c r="S39" s="247">
        <f t="shared" si="11"/>
        <v>34247.5</v>
      </c>
      <c r="T39" s="247">
        <f>-(S39*$AB$7)</f>
        <v>-10738.527782246993</v>
      </c>
      <c r="U39" s="247">
        <f t="shared" si="19"/>
        <v>23508.972217753006</v>
      </c>
      <c r="V39" s="247">
        <f t="shared" si="24"/>
        <v>11791.166675519202</v>
      </c>
      <c r="W39" s="247">
        <f t="shared" si="25"/>
        <v>11717.805542233806</v>
      </c>
      <c r="X39" s="279" t="s">
        <v>264</v>
      </c>
      <c r="Y39" s="247">
        <f t="shared" si="13"/>
        <v>0</v>
      </c>
      <c r="Z39" s="241"/>
      <c r="AA39" s="241"/>
      <c r="AB39" s="241"/>
      <c r="AC39" s="241"/>
      <c r="AD39" s="241"/>
      <c r="AE39" s="241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</row>
    <row r="40" spans="1:43" ht="15.75" hidden="1">
      <c r="A40" s="245" t="s">
        <v>239</v>
      </c>
      <c r="B40" s="247">
        <v>0</v>
      </c>
      <c r="C40" s="247">
        <v>0</v>
      </c>
      <c r="D40" s="247">
        <f t="shared" si="14"/>
        <v>0</v>
      </c>
      <c r="E40" s="247">
        <f>-D40*'Drive Hours Recap'!$L$42</f>
        <v>0</v>
      </c>
      <c r="F40" s="247">
        <f t="shared" si="15"/>
        <v>0</v>
      </c>
      <c r="G40" s="247"/>
      <c r="H40" s="247">
        <f t="shared" si="16"/>
        <v>0</v>
      </c>
      <c r="I40" s="247">
        <f>H40*'Drive Hours Recap'!$E$32</f>
        <v>0</v>
      </c>
      <c r="J40" s="247">
        <f>H40*'Drive Hours Recap'!$E$33</f>
        <v>0</v>
      </c>
      <c r="K40" s="247"/>
      <c r="L40" s="247"/>
      <c r="M40" s="279" t="s">
        <v>185</v>
      </c>
      <c r="N40" s="239">
        <f t="shared" si="17"/>
        <v>0</v>
      </c>
      <c r="O40" s="239"/>
      <c r="P40" s="277"/>
      <c r="Q40" s="239"/>
      <c r="R40" s="247"/>
      <c r="S40" s="247">
        <f t="shared" si="11"/>
        <v>0</v>
      </c>
      <c r="T40" s="247">
        <f t="shared" ref="T40:T41" si="26">-(S40*$AB$7)</f>
        <v>0</v>
      </c>
      <c r="U40" s="247">
        <f t="shared" ref="U40:U41" si="27">S40+T40</f>
        <v>0</v>
      </c>
      <c r="V40" s="247">
        <f t="shared" ref="V40:V41" si="28">U40*$AB$9</f>
        <v>0</v>
      </c>
      <c r="W40" s="247">
        <f t="shared" ref="W40:W41" si="29">U40*$AB$10</f>
        <v>0</v>
      </c>
      <c r="X40" s="279" t="s">
        <v>264</v>
      </c>
      <c r="Y40" s="247">
        <f t="shared" si="13"/>
        <v>0</v>
      </c>
      <c r="Z40" s="241"/>
      <c r="AA40" s="241"/>
      <c r="AB40" s="241"/>
      <c r="AC40" s="241"/>
      <c r="AD40" s="241"/>
      <c r="AE40" s="241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</row>
    <row r="41" spans="1:43" ht="15.75">
      <c r="A41" s="245" t="s">
        <v>160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79"/>
      <c r="N41" s="239"/>
      <c r="O41" s="239"/>
      <c r="P41" s="277">
        <v>5741.44</v>
      </c>
      <c r="Q41" s="239"/>
      <c r="R41" s="247"/>
      <c r="S41" s="247">
        <f t="shared" si="11"/>
        <v>5741.44</v>
      </c>
      <c r="T41" s="247">
        <f t="shared" si="26"/>
        <v>-1800.2660909585859</v>
      </c>
      <c r="U41" s="247">
        <f t="shared" si="27"/>
        <v>3941.1739090414139</v>
      </c>
      <c r="V41" s="247">
        <f t="shared" si="28"/>
        <v>1976.7362872470389</v>
      </c>
      <c r="W41" s="247">
        <f t="shared" si="29"/>
        <v>1964.4376217943752</v>
      </c>
      <c r="X41" s="279" t="s">
        <v>264</v>
      </c>
      <c r="Y41" s="247">
        <f t="shared" si="13"/>
        <v>0</v>
      </c>
      <c r="Z41" s="241"/>
      <c r="AA41" s="241"/>
      <c r="AB41" s="241"/>
      <c r="AC41" s="241"/>
      <c r="AD41" s="241"/>
      <c r="AE41" s="241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</row>
    <row r="42" spans="1:43" ht="15.75">
      <c r="A42" s="245" t="s">
        <v>164</v>
      </c>
      <c r="B42" s="247" t="e">
        <f>#REF!</f>
        <v>#REF!</v>
      </c>
      <c r="C42" s="247"/>
      <c r="D42" s="247" t="e">
        <f t="shared" si="14"/>
        <v>#REF!</v>
      </c>
      <c r="E42" s="247" t="e">
        <f>-D42*'Drive Hours Recap'!$L$42</f>
        <v>#REF!</v>
      </c>
      <c r="F42" s="247" t="e">
        <f t="shared" si="15"/>
        <v>#REF!</v>
      </c>
      <c r="G42" s="247"/>
      <c r="H42" s="247" t="e">
        <f t="shared" si="16"/>
        <v>#REF!</v>
      </c>
      <c r="I42" s="247" t="e">
        <f>H42*'Drive Hours Recap'!$E$32</f>
        <v>#REF!</v>
      </c>
      <c r="J42" s="247" t="e">
        <f>H42*'Drive Hours Recap'!$E$33</f>
        <v>#REF!</v>
      </c>
      <c r="K42" s="247"/>
      <c r="L42" s="247"/>
      <c r="M42" s="279" t="s">
        <v>185</v>
      </c>
      <c r="N42" s="239" t="e">
        <f t="shared" si="17"/>
        <v>#REF!</v>
      </c>
      <c r="O42" s="239"/>
      <c r="P42" s="277">
        <v>25190.89</v>
      </c>
      <c r="Q42" s="239"/>
      <c r="R42" s="247"/>
      <c r="S42" s="247">
        <f t="shared" si="11"/>
        <v>25190.89</v>
      </c>
      <c r="T42" s="247">
        <f t="shared" si="21"/>
        <v>-7898.7684392883557</v>
      </c>
      <c r="U42" s="247">
        <f t="shared" si="19"/>
        <v>17292.121560711643</v>
      </c>
      <c r="V42" s="247">
        <f t="shared" si="24"/>
        <v>8673.0413225686516</v>
      </c>
      <c r="W42" s="247">
        <f t="shared" si="25"/>
        <v>8619.080238142993</v>
      </c>
      <c r="X42" s="279" t="s">
        <v>264</v>
      </c>
      <c r="Y42" s="247">
        <f t="shared" si="13"/>
        <v>0</v>
      </c>
      <c r="Z42" s="241"/>
      <c r="AA42" s="241"/>
      <c r="AB42" s="241"/>
      <c r="AC42" s="241"/>
      <c r="AD42" s="241"/>
      <c r="AE42" s="241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</row>
    <row r="43" spans="1:43" ht="15.75">
      <c r="A43" s="245" t="s">
        <v>248</v>
      </c>
      <c r="B43" s="248" t="e">
        <f>#REF!</f>
        <v>#REF!</v>
      </c>
      <c r="C43" s="248"/>
      <c r="D43" s="248" t="e">
        <f t="shared" si="14"/>
        <v>#REF!</v>
      </c>
      <c r="E43" s="248" t="e">
        <f>-D43*'Drive Hours Recap'!$L$42</f>
        <v>#REF!</v>
      </c>
      <c r="F43" s="248" t="e">
        <f t="shared" si="15"/>
        <v>#REF!</v>
      </c>
      <c r="G43" s="248"/>
      <c r="H43" s="248" t="e">
        <f t="shared" si="16"/>
        <v>#REF!</v>
      </c>
      <c r="I43" s="248" t="e">
        <f>H43*'Drive Hours Recap'!$E$32</f>
        <v>#REF!</v>
      </c>
      <c r="J43" s="248" t="e">
        <f>H43*'Drive Hours Recap'!$E$33</f>
        <v>#REF!</v>
      </c>
      <c r="K43" s="239"/>
      <c r="L43" s="239"/>
      <c r="M43" s="279" t="s">
        <v>185</v>
      </c>
      <c r="N43" s="239" t="e">
        <f t="shared" si="17"/>
        <v>#REF!</v>
      </c>
      <c r="O43" s="239"/>
      <c r="P43" s="277">
        <v>957.5</v>
      </c>
      <c r="Q43" s="239"/>
      <c r="R43" s="239"/>
      <c r="S43" s="247">
        <f>P43+Q43+R43</f>
        <v>957.5</v>
      </c>
      <c r="T43" s="247">
        <v>0</v>
      </c>
      <c r="U43" s="247">
        <f t="shared" si="19"/>
        <v>957.5</v>
      </c>
      <c r="V43" s="247">
        <f t="shared" si="24"/>
        <v>480.24396758969584</v>
      </c>
      <c r="W43" s="247">
        <f t="shared" si="25"/>
        <v>477.25603241030421</v>
      </c>
      <c r="X43" s="279" t="s">
        <v>264</v>
      </c>
      <c r="Y43" s="247">
        <f t="shared" si="13"/>
        <v>0</v>
      </c>
      <c r="Z43" s="241"/>
      <c r="AA43" s="241"/>
      <c r="AB43" s="241"/>
      <c r="AC43" s="241"/>
      <c r="AD43" s="241"/>
      <c r="AE43" s="241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</row>
    <row r="44" spans="1:43" ht="15.75">
      <c r="A44" s="249" t="s">
        <v>165</v>
      </c>
      <c r="B44" s="247" t="e">
        <f>SUM(B15:B43)</f>
        <v>#REF!</v>
      </c>
      <c r="C44" s="247" t="e">
        <f t="shared" ref="C44:H44" si="30">SUM(C15:C43)</f>
        <v>#REF!</v>
      </c>
      <c r="D44" s="247" t="e">
        <f t="shared" si="30"/>
        <v>#REF!</v>
      </c>
      <c r="E44" s="247" t="e">
        <f>SUM(E15:E43)</f>
        <v>#REF!</v>
      </c>
      <c r="F44" s="247" t="e">
        <f t="shared" si="30"/>
        <v>#REF!</v>
      </c>
      <c r="G44" s="247" t="e">
        <f t="shared" si="30"/>
        <v>#REF!</v>
      </c>
      <c r="H44" s="247" t="e">
        <f t="shared" si="30"/>
        <v>#REF!</v>
      </c>
      <c r="I44" s="247" t="e">
        <f>SUM(I15:I43)</f>
        <v>#REF!</v>
      </c>
      <c r="J44" s="247" t="e">
        <f>SUM(J15:J43)</f>
        <v>#REF!</v>
      </c>
      <c r="K44" s="247"/>
      <c r="L44" s="247"/>
      <c r="M44" s="239"/>
      <c r="N44" s="239"/>
      <c r="O44" s="239"/>
      <c r="P44" s="283">
        <f>SUM(P15:P43)</f>
        <v>658561.59999999986</v>
      </c>
      <c r="Q44" s="282">
        <f>SUM(Q15:Q43)</f>
        <v>4657.9407663833226</v>
      </c>
      <c r="R44" s="282">
        <f>SUM(R15:R43)</f>
        <v>0</v>
      </c>
      <c r="S44" s="282">
        <f>SUM(S15:S43)</f>
        <v>595603.14076638327</v>
      </c>
      <c r="T44" s="282">
        <f t="shared" ref="T44:U44" si="31">SUM(T15:T43)</f>
        <v>-133911.01110550805</v>
      </c>
      <c r="U44" s="282">
        <f t="shared" si="31"/>
        <v>461692.12966087519</v>
      </c>
      <c r="V44" s="282">
        <f>SUM(V15:V43)</f>
        <v>233950.06173355138</v>
      </c>
      <c r="W44" s="282">
        <f>SUM(W15:W43)</f>
        <v>227742.06792732392</v>
      </c>
      <c r="X44" s="247"/>
      <c r="Y44" s="247"/>
      <c r="Z44" s="241"/>
      <c r="AA44" s="241"/>
      <c r="AB44" s="241"/>
      <c r="AC44" s="241"/>
      <c r="AD44" s="241"/>
      <c r="AE44" s="241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</row>
    <row r="45" spans="1:43" ht="15.75">
      <c r="A45" s="240"/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39"/>
      <c r="N45" s="239"/>
      <c r="O45" s="239"/>
      <c r="P45" s="277"/>
      <c r="Q45" s="239"/>
      <c r="R45" s="247"/>
      <c r="S45" s="247"/>
      <c r="T45" s="247"/>
      <c r="U45" s="247"/>
      <c r="V45" s="247"/>
      <c r="W45" s="247"/>
      <c r="X45" s="247"/>
      <c r="Y45" s="247"/>
      <c r="Z45" s="241"/>
      <c r="AA45" s="241"/>
      <c r="AB45" s="241"/>
      <c r="AC45" s="241"/>
      <c r="AD45" s="241"/>
      <c r="AE45" s="241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</row>
    <row r="46" spans="1:43" ht="15.75">
      <c r="A46" s="240"/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39"/>
      <c r="N46" s="239"/>
      <c r="O46" s="239"/>
      <c r="P46" s="277"/>
      <c r="Q46" s="239"/>
      <c r="R46" s="247"/>
      <c r="S46" s="247"/>
      <c r="T46" s="247"/>
      <c r="U46" s="247"/>
      <c r="V46" s="247"/>
      <c r="W46" s="247"/>
      <c r="X46" s="247"/>
      <c r="Y46" s="247"/>
      <c r="Z46" s="241"/>
      <c r="AA46" s="241"/>
      <c r="AB46" s="241"/>
      <c r="AC46" s="241"/>
      <c r="AD46" s="241"/>
      <c r="AE46" s="241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  <c r="AP46" s="240"/>
      <c r="AQ46" s="240"/>
    </row>
    <row r="47" spans="1:43" ht="15.75">
      <c r="A47" s="250"/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39"/>
      <c r="N47" s="239"/>
      <c r="O47" s="239"/>
      <c r="P47" s="277">
        <f>P11-P44</f>
        <v>10780.045000000158</v>
      </c>
      <c r="Q47" s="239"/>
      <c r="R47" s="247"/>
      <c r="S47" s="247"/>
      <c r="T47" s="247"/>
      <c r="U47" s="247"/>
      <c r="V47" s="247"/>
      <c r="W47" s="247"/>
      <c r="X47" s="247"/>
      <c r="Y47" s="247"/>
      <c r="Z47" s="241"/>
      <c r="AA47" s="241"/>
      <c r="AB47" s="241"/>
      <c r="AC47" s="241"/>
      <c r="AD47" s="241"/>
      <c r="AE47" s="241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  <c r="AP47" s="240"/>
      <c r="AQ47" s="240"/>
    </row>
    <row r="48" spans="1:43" ht="15.75">
      <c r="A48" s="251"/>
      <c r="B48" s="247" t="e">
        <f>B11-B44</f>
        <v>#REF!</v>
      </c>
      <c r="C48" s="247"/>
      <c r="D48" s="247" t="e">
        <f>D11-D44</f>
        <v>#REF!</v>
      </c>
      <c r="E48" s="247"/>
      <c r="F48" s="247" t="e">
        <f>F11-F44</f>
        <v>#REF!</v>
      </c>
      <c r="G48" s="247"/>
      <c r="H48" s="247" t="e">
        <f>H11-H44</f>
        <v>#REF!</v>
      </c>
      <c r="I48" s="247" t="e">
        <f>I11-I44</f>
        <v>#REF!</v>
      </c>
      <c r="J48" s="247" t="e">
        <f>J11-J44</f>
        <v>#REF!</v>
      </c>
      <c r="K48" s="247"/>
      <c r="L48" s="247"/>
      <c r="M48" s="239"/>
      <c r="N48" s="239"/>
      <c r="O48" s="239"/>
      <c r="P48" s="277"/>
      <c r="Q48" s="239"/>
      <c r="R48" s="247"/>
      <c r="S48" s="247"/>
      <c r="T48" s="247"/>
      <c r="U48" s="247"/>
      <c r="V48" s="247"/>
      <c r="W48" s="247"/>
      <c r="X48" s="247"/>
      <c r="Y48" s="247"/>
      <c r="Z48" s="241"/>
      <c r="AA48" s="241"/>
      <c r="AB48" s="241"/>
      <c r="AC48" s="241"/>
      <c r="AD48" s="241"/>
      <c r="AE48" s="241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  <c r="AP48" s="240"/>
      <c r="AQ48" s="240"/>
    </row>
    <row r="49" spans="1:43" ht="15.75">
      <c r="A49" s="245"/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39"/>
      <c r="N49" s="239"/>
      <c r="O49" s="239"/>
      <c r="P49" s="239"/>
      <c r="Q49" s="239"/>
      <c r="R49" s="239"/>
      <c r="S49" s="296"/>
      <c r="T49" s="296"/>
      <c r="U49" s="296"/>
      <c r="V49" s="247"/>
      <c r="W49" s="247"/>
      <c r="X49" s="247"/>
      <c r="Y49" s="247"/>
      <c r="Z49" s="241"/>
      <c r="AA49" s="241"/>
      <c r="AB49" s="241"/>
      <c r="AC49" s="241"/>
      <c r="AD49" s="241"/>
      <c r="AE49" s="241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</row>
    <row r="50" spans="1:43" ht="15.75">
      <c r="A50" s="250"/>
      <c r="B50" s="247"/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39"/>
      <c r="N50" s="239"/>
      <c r="O50" s="239"/>
      <c r="P50" s="239"/>
      <c r="Q50" s="239"/>
      <c r="R50" s="488"/>
      <c r="S50" s="296"/>
      <c r="T50" s="296"/>
      <c r="U50" s="296"/>
      <c r="V50" s="247"/>
      <c r="W50" s="247"/>
      <c r="X50" s="247"/>
      <c r="Y50" s="247"/>
      <c r="Z50" s="241"/>
      <c r="AA50" s="241"/>
      <c r="AB50" s="241"/>
      <c r="AC50" s="241"/>
      <c r="AD50" s="241"/>
      <c r="AE50" s="241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</row>
    <row r="51" spans="1:43" ht="15.75">
      <c r="A51" s="241"/>
      <c r="B51" s="241"/>
      <c r="C51" s="241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  <c r="AP51" s="240"/>
      <c r="AQ51" s="240"/>
    </row>
    <row r="52" spans="1:43" ht="15.75">
      <c r="A52" s="241"/>
      <c r="B52" s="241"/>
      <c r="C52" s="241"/>
      <c r="D52" s="241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  <c r="AP52" s="240"/>
      <c r="AQ52" s="240"/>
    </row>
    <row r="53" spans="1:43" ht="15.75">
      <c r="A53" s="241"/>
      <c r="B53" s="241"/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  <c r="AP53" s="240"/>
      <c r="AQ53" s="240"/>
    </row>
    <row r="54" spans="1:43" ht="15.75">
      <c r="A54" s="241"/>
      <c r="B54" s="241"/>
      <c r="C54" s="241"/>
      <c r="D54" s="241"/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  <c r="AP54" s="240"/>
      <c r="AQ54" s="240"/>
    </row>
    <row r="55" spans="1:43" ht="15.75">
      <c r="A55" s="241"/>
      <c r="B55" s="241"/>
      <c r="C55" s="241"/>
      <c r="D55" s="241"/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  <c r="AP55" s="240"/>
      <c r="AQ55" s="240"/>
    </row>
    <row r="56" spans="1:43" ht="15.75">
      <c r="A56" s="241"/>
      <c r="B56" s="241"/>
      <c r="C56" s="241"/>
      <c r="D56" s="241"/>
      <c r="E56" s="241"/>
      <c r="F56" s="241"/>
      <c r="G56" s="241"/>
      <c r="H56" s="241"/>
      <c r="I56" s="241"/>
      <c r="J56" s="241"/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0"/>
      <c r="AG56" s="240"/>
      <c r="AH56" s="240"/>
      <c r="AI56" s="240"/>
      <c r="AJ56" s="240"/>
      <c r="AK56" s="240"/>
      <c r="AL56" s="240"/>
      <c r="AM56" s="240"/>
      <c r="AN56" s="240"/>
      <c r="AO56" s="240"/>
      <c r="AP56" s="240"/>
      <c r="AQ56" s="240"/>
    </row>
    <row r="57" spans="1:43" ht="15.75">
      <c r="A57" s="241"/>
      <c r="B57" s="241"/>
      <c r="C57" s="241"/>
      <c r="D57" s="241"/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0"/>
      <c r="AG57" s="240"/>
      <c r="AH57" s="240"/>
      <c r="AI57" s="240"/>
      <c r="AJ57" s="240"/>
      <c r="AK57" s="240"/>
      <c r="AL57" s="240"/>
      <c r="AM57" s="240"/>
      <c r="AN57" s="240"/>
      <c r="AO57" s="240"/>
      <c r="AP57" s="240"/>
      <c r="AQ57" s="240"/>
    </row>
    <row r="58" spans="1:43" ht="15.75">
      <c r="A58" s="241"/>
      <c r="B58" s="241"/>
      <c r="C58" s="241"/>
      <c r="D58" s="241"/>
      <c r="E58" s="241"/>
      <c r="F58" s="241"/>
      <c r="G58" s="241"/>
      <c r="H58" s="241"/>
      <c r="I58" s="241"/>
      <c r="J58" s="241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0"/>
      <c r="AG58" s="240"/>
      <c r="AH58" s="240"/>
      <c r="AI58" s="240"/>
      <c r="AJ58" s="240"/>
      <c r="AK58" s="240"/>
      <c r="AL58" s="240"/>
      <c r="AM58" s="240"/>
      <c r="AN58" s="240"/>
      <c r="AO58" s="240"/>
      <c r="AP58" s="240"/>
      <c r="AQ58" s="240"/>
    </row>
    <row r="59" spans="1:43" ht="15.75">
      <c r="A59" s="241"/>
      <c r="B59" s="241"/>
      <c r="C59" s="241"/>
      <c r="D59" s="241"/>
      <c r="E59" s="241"/>
      <c r="F59" s="241"/>
      <c r="G59" s="241"/>
      <c r="H59" s="241"/>
      <c r="I59" s="241"/>
      <c r="J59" s="241"/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  <c r="AC59" s="241"/>
      <c r="AD59" s="241"/>
      <c r="AE59" s="241"/>
      <c r="AF59" s="240"/>
      <c r="AG59" s="240"/>
      <c r="AH59" s="240"/>
      <c r="AI59" s="240"/>
      <c r="AJ59" s="240"/>
      <c r="AK59" s="240"/>
      <c r="AL59" s="240"/>
      <c r="AM59" s="240"/>
      <c r="AN59" s="240"/>
      <c r="AO59" s="240"/>
      <c r="AP59" s="240"/>
      <c r="AQ59" s="240"/>
    </row>
    <row r="60" spans="1:43" ht="15.75">
      <c r="A60" s="241"/>
      <c r="B60" s="241"/>
      <c r="C60" s="241"/>
      <c r="D60" s="241"/>
      <c r="E60" s="241"/>
      <c r="F60" s="241"/>
      <c r="G60" s="241"/>
      <c r="H60" s="241"/>
      <c r="I60" s="241"/>
      <c r="J60" s="241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0"/>
      <c r="AG60" s="240"/>
      <c r="AH60" s="240"/>
      <c r="AI60" s="240"/>
      <c r="AJ60" s="240"/>
      <c r="AK60" s="240"/>
      <c r="AL60" s="240"/>
      <c r="AM60" s="240"/>
      <c r="AN60" s="240"/>
      <c r="AO60" s="240"/>
      <c r="AP60" s="240"/>
      <c r="AQ60" s="240"/>
    </row>
    <row r="61" spans="1:43" ht="15.75">
      <c r="A61" s="241"/>
      <c r="B61" s="241"/>
      <c r="C61" s="241"/>
      <c r="D61" s="241"/>
      <c r="E61" s="241"/>
      <c r="F61" s="241"/>
      <c r="G61" s="241"/>
      <c r="H61" s="241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1"/>
      <c r="AF61" s="240"/>
      <c r="AG61" s="240"/>
      <c r="AH61" s="240"/>
      <c r="AI61" s="240"/>
      <c r="AJ61" s="240"/>
      <c r="AK61" s="240"/>
      <c r="AL61" s="240"/>
      <c r="AM61" s="240"/>
      <c r="AN61" s="240"/>
      <c r="AO61" s="240"/>
      <c r="AP61" s="240"/>
      <c r="AQ61" s="240"/>
    </row>
    <row r="62" spans="1:43" ht="15.75">
      <c r="A62" s="241"/>
      <c r="B62" s="241"/>
      <c r="C62" s="241"/>
      <c r="D62" s="241"/>
      <c r="E62" s="241"/>
      <c r="F62" s="241"/>
      <c r="G62" s="241"/>
      <c r="H62" s="241"/>
      <c r="I62" s="241"/>
      <c r="J62" s="241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  <c r="AE62" s="241"/>
      <c r="AF62" s="240"/>
      <c r="AG62" s="240"/>
      <c r="AH62" s="240"/>
      <c r="AI62" s="240"/>
      <c r="AJ62" s="240"/>
      <c r="AK62" s="240"/>
      <c r="AL62" s="240"/>
      <c r="AM62" s="240"/>
      <c r="AN62" s="240"/>
      <c r="AO62" s="240"/>
      <c r="AP62" s="240"/>
      <c r="AQ62" s="240"/>
    </row>
    <row r="63" spans="1:43" ht="15.75">
      <c r="A63" s="241"/>
      <c r="B63" s="241"/>
      <c r="C63" s="241"/>
      <c r="D63" s="241"/>
      <c r="E63" s="241"/>
      <c r="F63" s="241"/>
      <c r="G63" s="241"/>
      <c r="H63" s="241"/>
      <c r="I63" s="241"/>
      <c r="J63" s="241"/>
      <c r="K63" s="241"/>
      <c r="L63" s="241"/>
      <c r="M63" s="241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41"/>
      <c r="Y63" s="241"/>
      <c r="Z63" s="241"/>
      <c r="AA63" s="241"/>
      <c r="AB63" s="241"/>
      <c r="AC63" s="241"/>
      <c r="AD63" s="241"/>
      <c r="AE63" s="241"/>
      <c r="AF63" s="240"/>
      <c r="AG63" s="240"/>
      <c r="AH63" s="240"/>
      <c r="AI63" s="240"/>
      <c r="AJ63" s="240"/>
      <c r="AK63" s="240"/>
      <c r="AL63" s="240"/>
      <c r="AM63" s="240"/>
      <c r="AN63" s="240"/>
      <c r="AO63" s="240"/>
      <c r="AP63" s="240"/>
      <c r="AQ63" s="240"/>
    </row>
    <row r="64" spans="1:43" ht="15.75">
      <c r="A64" s="241"/>
      <c r="B64" s="241"/>
      <c r="C64" s="241"/>
      <c r="D64" s="241"/>
      <c r="E64" s="241"/>
      <c r="F64" s="241"/>
      <c r="G64" s="241"/>
      <c r="H64" s="241"/>
      <c r="I64" s="241"/>
      <c r="J64" s="241"/>
      <c r="K64" s="241"/>
      <c r="L64" s="241"/>
      <c r="M64" s="241"/>
      <c r="N64" s="241"/>
      <c r="O64" s="241"/>
      <c r="P64" s="241"/>
      <c r="Q64" s="241"/>
      <c r="R64" s="241"/>
      <c r="S64" s="241"/>
      <c r="T64" s="241"/>
      <c r="U64" s="241"/>
      <c r="V64" s="241"/>
      <c r="W64" s="241"/>
      <c r="X64" s="241"/>
      <c r="Y64" s="241"/>
      <c r="Z64" s="241"/>
      <c r="AA64" s="241"/>
      <c r="AB64" s="241"/>
      <c r="AC64" s="241"/>
      <c r="AD64" s="241"/>
      <c r="AE64" s="241"/>
      <c r="AF64" s="240"/>
      <c r="AG64" s="240"/>
      <c r="AH64" s="240"/>
      <c r="AI64" s="240"/>
      <c r="AJ64" s="240"/>
      <c r="AK64" s="240"/>
      <c r="AL64" s="240"/>
      <c r="AM64" s="240"/>
      <c r="AN64" s="240"/>
      <c r="AO64" s="240"/>
      <c r="AP64" s="240"/>
      <c r="AQ64" s="240"/>
    </row>
    <row r="65" spans="1:43" ht="15.75">
      <c r="A65" s="241"/>
      <c r="B65" s="241"/>
      <c r="C65" s="241"/>
      <c r="D65" s="241"/>
      <c r="E65" s="241"/>
      <c r="F65" s="241"/>
      <c r="G65" s="241"/>
      <c r="H65" s="241"/>
      <c r="I65" s="241"/>
      <c r="J65" s="241"/>
      <c r="K65" s="241"/>
      <c r="L65" s="241"/>
      <c r="M65" s="24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A65" s="241"/>
      <c r="AB65" s="241"/>
      <c r="AC65" s="241"/>
      <c r="AD65" s="241"/>
      <c r="AE65" s="241"/>
      <c r="AF65" s="240"/>
      <c r="AG65" s="240"/>
      <c r="AH65" s="240"/>
      <c r="AI65" s="240"/>
      <c r="AJ65" s="240"/>
      <c r="AK65" s="240"/>
      <c r="AL65" s="240"/>
      <c r="AM65" s="240"/>
      <c r="AN65" s="240"/>
      <c r="AO65" s="240"/>
      <c r="AP65" s="240"/>
      <c r="AQ65" s="240"/>
    </row>
    <row r="66" spans="1:43" ht="15.75">
      <c r="A66" s="241"/>
      <c r="B66" s="241"/>
      <c r="C66" s="241"/>
      <c r="D66" s="241"/>
      <c r="E66" s="241"/>
      <c r="F66" s="241"/>
      <c r="G66" s="241"/>
      <c r="H66" s="241"/>
      <c r="I66" s="241"/>
      <c r="J66" s="241"/>
      <c r="K66" s="241"/>
      <c r="L66" s="241"/>
      <c r="M66" s="241"/>
      <c r="N66" s="241"/>
      <c r="O66" s="241"/>
      <c r="P66" s="241"/>
      <c r="Q66" s="241"/>
      <c r="R66" s="241"/>
      <c r="S66" s="241"/>
      <c r="T66" s="241"/>
      <c r="U66" s="241"/>
      <c r="V66" s="241"/>
      <c r="W66" s="241"/>
      <c r="X66" s="241"/>
      <c r="Y66" s="241"/>
      <c r="Z66" s="241"/>
      <c r="AA66" s="241"/>
      <c r="AB66" s="241"/>
      <c r="AC66" s="241"/>
      <c r="AD66" s="241"/>
      <c r="AE66" s="241"/>
      <c r="AF66" s="240"/>
      <c r="AG66" s="240"/>
      <c r="AH66" s="240"/>
      <c r="AI66" s="240"/>
      <c r="AJ66" s="240"/>
      <c r="AK66" s="240"/>
      <c r="AL66" s="240"/>
      <c r="AM66" s="240"/>
      <c r="AN66" s="240"/>
      <c r="AO66" s="240"/>
      <c r="AP66" s="240"/>
      <c r="AQ66" s="240"/>
    </row>
    <row r="67" spans="1:43" ht="15.75">
      <c r="A67" s="241"/>
      <c r="B67" s="241"/>
      <c r="C67" s="241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  <c r="S67" s="241"/>
      <c r="T67" s="241"/>
      <c r="U67" s="241"/>
      <c r="V67" s="241"/>
      <c r="W67" s="241"/>
      <c r="X67" s="241"/>
      <c r="Y67" s="241"/>
      <c r="Z67" s="241"/>
      <c r="AA67" s="241"/>
      <c r="AB67" s="241"/>
      <c r="AC67" s="241"/>
      <c r="AD67" s="241"/>
      <c r="AE67" s="241"/>
      <c r="AF67" s="240"/>
      <c r="AG67" s="240"/>
      <c r="AH67" s="240"/>
      <c r="AI67" s="240"/>
      <c r="AJ67" s="240"/>
      <c r="AK67" s="240"/>
      <c r="AL67" s="240"/>
      <c r="AM67" s="240"/>
      <c r="AN67" s="240"/>
      <c r="AO67" s="240"/>
      <c r="AP67" s="240"/>
      <c r="AQ67" s="240"/>
    </row>
    <row r="68" spans="1:43" ht="15.75">
      <c r="A68" s="241"/>
      <c r="B68" s="241"/>
      <c r="C68" s="241"/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  <c r="R68" s="241"/>
      <c r="S68" s="241"/>
      <c r="T68" s="241"/>
      <c r="U68" s="241"/>
      <c r="V68" s="241"/>
      <c r="W68" s="241"/>
      <c r="X68" s="241"/>
      <c r="Y68" s="241"/>
      <c r="Z68" s="241"/>
      <c r="AA68" s="241"/>
      <c r="AB68" s="241"/>
      <c r="AC68" s="241"/>
      <c r="AD68" s="241"/>
      <c r="AE68" s="241"/>
      <c r="AF68" s="240"/>
      <c r="AG68" s="240"/>
      <c r="AH68" s="240"/>
      <c r="AI68" s="240"/>
      <c r="AJ68" s="240"/>
      <c r="AK68" s="240"/>
      <c r="AL68" s="240"/>
      <c r="AM68" s="240"/>
      <c r="AN68" s="240"/>
      <c r="AO68" s="240"/>
      <c r="AP68" s="240"/>
      <c r="AQ68" s="240"/>
    </row>
    <row r="69" spans="1:43" ht="15.75">
      <c r="A69" s="241"/>
      <c r="B69" s="241"/>
      <c r="C69" s="241"/>
      <c r="D69" s="241"/>
      <c r="E69" s="241"/>
      <c r="F69" s="241"/>
      <c r="G69" s="241"/>
      <c r="H69" s="241"/>
      <c r="I69" s="241"/>
      <c r="J69" s="241"/>
      <c r="K69" s="241"/>
      <c r="L69" s="241"/>
      <c r="M69" s="241"/>
      <c r="N69" s="241"/>
      <c r="O69" s="241"/>
      <c r="P69" s="241"/>
      <c r="Q69" s="241"/>
      <c r="R69" s="241"/>
      <c r="S69" s="241"/>
      <c r="T69" s="241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1"/>
      <c r="AF69" s="240"/>
      <c r="AG69" s="240"/>
      <c r="AH69" s="240"/>
      <c r="AI69" s="240"/>
      <c r="AJ69" s="240"/>
      <c r="AK69" s="240"/>
      <c r="AL69" s="240"/>
      <c r="AM69" s="240"/>
      <c r="AN69" s="240"/>
      <c r="AO69" s="240"/>
      <c r="AP69" s="240"/>
      <c r="AQ69" s="240"/>
    </row>
    <row r="70" spans="1:43" ht="15.75">
      <c r="A70" s="241"/>
      <c r="B70" s="241"/>
      <c r="C70" s="241"/>
      <c r="D70" s="241"/>
      <c r="E70" s="241"/>
      <c r="F70" s="241"/>
      <c r="G70" s="241"/>
      <c r="H70" s="241"/>
      <c r="I70" s="241"/>
      <c r="J70" s="241"/>
      <c r="K70" s="241"/>
      <c r="L70" s="241"/>
      <c r="M70" s="241"/>
      <c r="N70" s="241"/>
      <c r="O70" s="241"/>
      <c r="P70" s="241"/>
      <c r="Q70" s="241"/>
      <c r="R70" s="241"/>
      <c r="S70" s="241"/>
      <c r="T70" s="241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  <c r="AF70" s="240"/>
      <c r="AG70" s="240"/>
      <c r="AH70" s="240"/>
      <c r="AI70" s="240"/>
      <c r="AJ70" s="240"/>
      <c r="AK70" s="240"/>
      <c r="AL70" s="240"/>
      <c r="AM70" s="240"/>
      <c r="AN70" s="240"/>
      <c r="AO70" s="240"/>
      <c r="AP70" s="240"/>
      <c r="AQ70" s="240"/>
    </row>
    <row r="71" spans="1:43" ht="15.75">
      <c r="A71" s="241"/>
      <c r="B71" s="241"/>
      <c r="C71" s="241"/>
      <c r="D71" s="241"/>
      <c r="E71" s="241"/>
      <c r="F71" s="241"/>
      <c r="G71" s="241"/>
      <c r="H71" s="241"/>
      <c r="I71" s="241"/>
      <c r="J71" s="241"/>
      <c r="K71" s="241"/>
      <c r="L71" s="241"/>
      <c r="M71" s="241"/>
      <c r="N71" s="241"/>
      <c r="O71" s="241"/>
      <c r="P71" s="241"/>
      <c r="Q71" s="241"/>
      <c r="R71" s="241"/>
      <c r="S71" s="241"/>
      <c r="T71" s="241"/>
      <c r="U71" s="241"/>
      <c r="V71" s="241"/>
      <c r="W71" s="241"/>
      <c r="X71" s="241"/>
      <c r="Y71" s="241"/>
      <c r="Z71" s="241"/>
      <c r="AA71" s="241"/>
      <c r="AB71" s="241"/>
      <c r="AC71" s="241"/>
      <c r="AD71" s="241"/>
      <c r="AE71" s="241"/>
      <c r="AF71" s="240"/>
      <c r="AG71" s="240"/>
      <c r="AH71" s="240"/>
      <c r="AI71" s="240"/>
      <c r="AJ71" s="240"/>
      <c r="AK71" s="240"/>
      <c r="AL71" s="240"/>
      <c r="AM71" s="240"/>
      <c r="AN71" s="240"/>
      <c r="AO71" s="240"/>
      <c r="AP71" s="240"/>
      <c r="AQ71" s="240"/>
    </row>
    <row r="72" spans="1:43" ht="15.75">
      <c r="A72" s="241"/>
      <c r="B72" s="241"/>
      <c r="C72" s="241"/>
      <c r="D72" s="241"/>
      <c r="E72" s="241"/>
      <c r="F72" s="241"/>
      <c r="G72" s="241"/>
      <c r="H72" s="241"/>
      <c r="I72" s="241"/>
      <c r="J72" s="241"/>
      <c r="K72" s="241"/>
      <c r="L72" s="241"/>
      <c r="M72" s="241"/>
      <c r="N72" s="241"/>
      <c r="O72" s="241"/>
      <c r="P72" s="241"/>
      <c r="Q72" s="241"/>
      <c r="R72" s="241"/>
      <c r="S72" s="241"/>
      <c r="T72" s="241"/>
      <c r="U72" s="241"/>
      <c r="V72" s="241"/>
      <c r="W72" s="241"/>
      <c r="X72" s="241"/>
      <c r="Y72" s="241"/>
      <c r="Z72" s="241"/>
      <c r="AA72" s="241"/>
      <c r="AB72" s="241"/>
      <c r="AC72" s="241"/>
      <c r="AD72" s="241"/>
      <c r="AE72" s="241"/>
      <c r="AF72" s="240"/>
      <c r="AG72" s="240"/>
      <c r="AH72" s="240"/>
      <c r="AI72" s="240"/>
      <c r="AJ72" s="240"/>
      <c r="AK72" s="240"/>
      <c r="AL72" s="240"/>
      <c r="AM72" s="240"/>
      <c r="AN72" s="240"/>
      <c r="AO72" s="240"/>
      <c r="AP72" s="240"/>
      <c r="AQ72" s="240"/>
    </row>
    <row r="73" spans="1:43" ht="15.75">
      <c r="A73" s="241"/>
      <c r="B73" s="241"/>
      <c r="C73" s="241"/>
      <c r="D73" s="241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0"/>
      <c r="AG73" s="240"/>
      <c r="AH73" s="240"/>
      <c r="AI73" s="240"/>
      <c r="AJ73" s="240"/>
      <c r="AK73" s="240"/>
      <c r="AL73" s="240"/>
      <c r="AM73" s="240"/>
      <c r="AN73" s="240"/>
      <c r="AO73" s="240"/>
      <c r="AP73" s="240"/>
      <c r="AQ73" s="240"/>
    </row>
    <row r="74" spans="1:43" ht="15.75">
      <c r="A74" s="241"/>
      <c r="B74" s="241"/>
      <c r="C74" s="241"/>
      <c r="D74" s="241"/>
      <c r="E74" s="241"/>
      <c r="F74" s="241"/>
      <c r="G74" s="241"/>
      <c r="H74" s="241"/>
      <c r="I74" s="241"/>
      <c r="J74" s="241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1"/>
      <c r="V74" s="241"/>
      <c r="W74" s="241"/>
      <c r="X74" s="241"/>
      <c r="Y74" s="241"/>
      <c r="Z74" s="241"/>
      <c r="AA74" s="241"/>
      <c r="AB74" s="241"/>
      <c r="AC74" s="241"/>
      <c r="AD74" s="241"/>
      <c r="AE74" s="241"/>
      <c r="AF74" s="240"/>
      <c r="AG74" s="240"/>
      <c r="AH74" s="240"/>
      <c r="AI74" s="240"/>
      <c r="AJ74" s="240"/>
      <c r="AK74" s="240"/>
      <c r="AL74" s="240"/>
      <c r="AM74" s="240"/>
      <c r="AN74" s="240"/>
      <c r="AO74" s="240"/>
      <c r="AP74" s="240"/>
      <c r="AQ74" s="240"/>
    </row>
    <row r="75" spans="1:43" ht="15.75">
      <c r="A75" s="241"/>
      <c r="B75" s="241"/>
      <c r="C75" s="241"/>
      <c r="D75" s="241"/>
      <c r="E75" s="241"/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1"/>
      <c r="AA75" s="241"/>
      <c r="AB75" s="241"/>
      <c r="AC75" s="241"/>
      <c r="AD75" s="241"/>
      <c r="AE75" s="241"/>
      <c r="AF75" s="240"/>
      <c r="AG75" s="240"/>
      <c r="AH75" s="240"/>
      <c r="AI75" s="240"/>
      <c r="AJ75" s="240"/>
      <c r="AK75" s="240"/>
      <c r="AL75" s="240"/>
      <c r="AM75" s="240"/>
      <c r="AN75" s="240"/>
      <c r="AO75" s="240"/>
      <c r="AP75" s="240"/>
      <c r="AQ75" s="240"/>
    </row>
    <row r="76" spans="1:43" ht="15.75">
      <c r="A76" s="241"/>
      <c r="B76" s="241"/>
      <c r="C76" s="241"/>
      <c r="D76" s="241"/>
      <c r="E76" s="241"/>
      <c r="F76" s="241"/>
      <c r="G76" s="241"/>
      <c r="H76" s="241"/>
      <c r="I76" s="241"/>
      <c r="J76" s="241"/>
      <c r="K76" s="241"/>
      <c r="L76" s="241"/>
      <c r="M76" s="241"/>
      <c r="N76" s="241"/>
      <c r="O76" s="241"/>
      <c r="P76" s="241"/>
      <c r="Q76" s="241"/>
      <c r="R76" s="241"/>
      <c r="S76" s="241"/>
      <c r="T76" s="241"/>
      <c r="U76" s="241"/>
      <c r="V76" s="241"/>
      <c r="W76" s="241"/>
      <c r="X76" s="241"/>
      <c r="Y76" s="241"/>
      <c r="Z76" s="241"/>
      <c r="AA76" s="241"/>
      <c r="AB76" s="241"/>
      <c r="AC76" s="241"/>
      <c r="AD76" s="241"/>
      <c r="AE76" s="241"/>
      <c r="AF76" s="240"/>
      <c r="AG76" s="240"/>
      <c r="AH76" s="240"/>
      <c r="AI76" s="240"/>
      <c r="AJ76" s="240"/>
      <c r="AK76" s="240"/>
      <c r="AL76" s="240"/>
      <c r="AM76" s="240"/>
      <c r="AN76" s="240"/>
      <c r="AO76" s="240"/>
      <c r="AP76" s="240"/>
      <c r="AQ76" s="240"/>
    </row>
    <row r="77" spans="1:43" ht="15.75">
      <c r="A77" s="241"/>
      <c r="B77" s="241"/>
      <c r="C77" s="241"/>
      <c r="D77" s="241"/>
      <c r="E77" s="241"/>
      <c r="F77" s="241"/>
      <c r="G77" s="241"/>
      <c r="H77" s="241"/>
      <c r="I77" s="241"/>
      <c r="J77" s="241"/>
      <c r="K77" s="241"/>
      <c r="L77" s="241"/>
      <c r="M77" s="241"/>
      <c r="N77" s="241"/>
      <c r="O77" s="241"/>
      <c r="P77" s="241"/>
      <c r="Q77" s="241"/>
      <c r="R77" s="241"/>
      <c r="S77" s="241"/>
      <c r="T77" s="241"/>
      <c r="U77" s="241"/>
      <c r="V77" s="241"/>
      <c r="W77" s="241"/>
      <c r="X77" s="241"/>
      <c r="Y77" s="241"/>
      <c r="Z77" s="241"/>
      <c r="AA77" s="241"/>
      <c r="AB77" s="241"/>
      <c r="AC77" s="241"/>
      <c r="AD77" s="241"/>
      <c r="AE77" s="241"/>
      <c r="AF77" s="240"/>
      <c r="AG77" s="240"/>
      <c r="AH77" s="240"/>
      <c r="AI77" s="240"/>
      <c r="AJ77" s="240"/>
      <c r="AK77" s="240"/>
      <c r="AL77" s="240"/>
      <c r="AM77" s="240"/>
      <c r="AN77" s="240"/>
      <c r="AO77" s="240"/>
      <c r="AP77" s="240"/>
      <c r="AQ77" s="240"/>
    </row>
    <row r="78" spans="1:43" ht="15.75">
      <c r="A78" s="241"/>
      <c r="B78" s="241"/>
      <c r="C78" s="241"/>
      <c r="D78" s="241"/>
      <c r="E78" s="241"/>
      <c r="F78" s="241"/>
      <c r="G78" s="241"/>
      <c r="H78" s="241"/>
      <c r="I78" s="241"/>
      <c r="J78" s="241"/>
      <c r="K78" s="241"/>
      <c r="L78" s="241"/>
      <c r="M78" s="241"/>
      <c r="N78" s="241"/>
      <c r="O78" s="241"/>
      <c r="P78" s="241"/>
      <c r="Q78" s="241"/>
      <c r="R78" s="241"/>
      <c r="S78" s="241"/>
      <c r="T78" s="241"/>
      <c r="U78" s="241"/>
      <c r="V78" s="241"/>
      <c r="W78" s="241"/>
      <c r="X78" s="241"/>
      <c r="Y78" s="241"/>
      <c r="Z78" s="241"/>
      <c r="AA78" s="241"/>
      <c r="AB78" s="241"/>
      <c r="AC78" s="241"/>
      <c r="AD78" s="241"/>
      <c r="AE78" s="241"/>
      <c r="AF78" s="240"/>
      <c r="AG78" s="240"/>
      <c r="AH78" s="240"/>
      <c r="AI78" s="240"/>
      <c r="AJ78" s="240"/>
      <c r="AK78" s="240"/>
      <c r="AL78" s="240"/>
      <c r="AM78" s="240"/>
      <c r="AN78" s="240"/>
      <c r="AO78" s="240"/>
      <c r="AP78" s="240"/>
      <c r="AQ78" s="240"/>
    </row>
    <row r="79" spans="1:43" ht="15.75">
      <c r="A79" s="241"/>
      <c r="B79" s="241"/>
      <c r="C79" s="241"/>
      <c r="D79" s="241"/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  <c r="Q79" s="241"/>
      <c r="R79" s="241"/>
      <c r="S79" s="241"/>
      <c r="T79" s="241"/>
      <c r="U79" s="241"/>
      <c r="V79" s="241"/>
      <c r="W79" s="241"/>
      <c r="X79" s="241"/>
      <c r="Y79" s="241"/>
      <c r="Z79" s="241"/>
      <c r="AA79" s="241"/>
      <c r="AB79" s="241"/>
      <c r="AC79" s="241"/>
      <c r="AD79" s="241"/>
      <c r="AE79" s="241"/>
      <c r="AF79" s="240"/>
      <c r="AG79" s="240"/>
      <c r="AH79" s="240"/>
      <c r="AI79" s="240"/>
      <c r="AJ79" s="240"/>
      <c r="AK79" s="240"/>
      <c r="AL79" s="240"/>
      <c r="AM79" s="240"/>
      <c r="AN79" s="240"/>
      <c r="AO79" s="240"/>
      <c r="AP79" s="240"/>
      <c r="AQ79" s="240"/>
    </row>
    <row r="80" spans="1:43" ht="15.75">
      <c r="A80" s="241"/>
      <c r="B80" s="241"/>
      <c r="C80" s="241"/>
      <c r="D80" s="241"/>
      <c r="E80" s="241"/>
      <c r="F80" s="241"/>
      <c r="G80" s="241"/>
      <c r="H80" s="241"/>
      <c r="I80" s="241"/>
      <c r="J80" s="241"/>
      <c r="K80" s="241"/>
      <c r="L80" s="241"/>
      <c r="M80" s="241"/>
      <c r="N80" s="241"/>
      <c r="O80" s="241"/>
      <c r="P80" s="241"/>
      <c r="Q80" s="241"/>
      <c r="R80" s="241"/>
      <c r="S80" s="241"/>
      <c r="T80" s="241"/>
      <c r="U80" s="241"/>
      <c r="V80" s="241"/>
      <c r="W80" s="241"/>
      <c r="X80" s="241"/>
      <c r="Y80" s="241"/>
      <c r="Z80" s="241"/>
      <c r="AA80" s="241"/>
      <c r="AB80" s="241"/>
      <c r="AC80" s="241"/>
      <c r="AD80" s="241"/>
      <c r="AE80" s="241"/>
      <c r="AF80" s="240"/>
      <c r="AG80" s="240"/>
      <c r="AH80" s="240"/>
      <c r="AI80" s="240"/>
      <c r="AJ80" s="240"/>
      <c r="AK80" s="240"/>
      <c r="AL80" s="240"/>
      <c r="AM80" s="240"/>
      <c r="AN80" s="240"/>
      <c r="AO80" s="240"/>
      <c r="AP80" s="240"/>
      <c r="AQ80" s="240"/>
    </row>
    <row r="81" spans="1:43" ht="15.75">
      <c r="A81" s="241"/>
      <c r="B81" s="241"/>
      <c r="C81" s="241"/>
      <c r="D81" s="241"/>
      <c r="E81" s="241"/>
      <c r="F81" s="241"/>
      <c r="G81" s="241"/>
      <c r="H81" s="241"/>
      <c r="I81" s="241"/>
      <c r="J81" s="241"/>
      <c r="K81" s="241"/>
      <c r="L81" s="241"/>
      <c r="M81" s="241"/>
      <c r="N81" s="241"/>
      <c r="O81" s="241"/>
      <c r="P81" s="241"/>
      <c r="Q81" s="241"/>
      <c r="R81" s="241"/>
      <c r="S81" s="241"/>
      <c r="T81" s="241"/>
      <c r="U81" s="241"/>
      <c r="V81" s="241"/>
      <c r="W81" s="241"/>
      <c r="X81" s="241"/>
      <c r="Y81" s="241"/>
      <c r="Z81" s="241"/>
      <c r="AA81" s="241"/>
      <c r="AB81" s="241"/>
      <c r="AC81" s="241"/>
      <c r="AD81" s="241"/>
      <c r="AE81" s="241"/>
      <c r="AF81" s="240"/>
      <c r="AG81" s="240"/>
      <c r="AH81" s="240"/>
      <c r="AI81" s="240"/>
      <c r="AJ81" s="240"/>
      <c r="AK81" s="240"/>
      <c r="AL81" s="240"/>
      <c r="AM81" s="240"/>
      <c r="AN81" s="240"/>
      <c r="AO81" s="240"/>
      <c r="AP81" s="240"/>
      <c r="AQ81" s="240"/>
    </row>
    <row r="82" spans="1:43" ht="15.75">
      <c r="A82" s="241"/>
      <c r="B82" s="241"/>
      <c r="C82" s="241"/>
      <c r="D82" s="241"/>
      <c r="E82" s="241"/>
      <c r="F82" s="241"/>
      <c r="G82" s="241"/>
      <c r="H82" s="241"/>
      <c r="I82" s="241"/>
      <c r="J82" s="241"/>
      <c r="K82" s="241"/>
      <c r="L82" s="241"/>
      <c r="M82" s="241"/>
      <c r="N82" s="241"/>
      <c r="O82" s="241"/>
      <c r="P82" s="241"/>
      <c r="Q82" s="241"/>
      <c r="R82" s="241"/>
      <c r="S82" s="241"/>
      <c r="T82" s="241"/>
      <c r="U82" s="241"/>
      <c r="V82" s="241"/>
      <c r="W82" s="241"/>
      <c r="X82" s="241"/>
      <c r="Y82" s="241"/>
      <c r="Z82" s="241"/>
      <c r="AA82" s="241"/>
      <c r="AB82" s="241"/>
      <c r="AC82" s="241"/>
      <c r="AD82" s="241"/>
      <c r="AE82" s="241"/>
      <c r="AF82" s="240"/>
      <c r="AG82" s="240"/>
      <c r="AH82" s="240"/>
      <c r="AI82" s="240"/>
      <c r="AJ82" s="240"/>
      <c r="AK82" s="240"/>
      <c r="AL82" s="240"/>
      <c r="AM82" s="240"/>
      <c r="AN82" s="240"/>
      <c r="AO82" s="240"/>
      <c r="AP82" s="240"/>
      <c r="AQ82" s="240"/>
    </row>
    <row r="83" spans="1:43" ht="15.75">
      <c r="A83" s="241"/>
      <c r="B83" s="241"/>
      <c r="C83" s="241"/>
      <c r="D83" s="241"/>
      <c r="E83" s="241"/>
      <c r="F83" s="241"/>
      <c r="G83" s="241"/>
      <c r="H83" s="241"/>
      <c r="I83" s="241"/>
      <c r="J83" s="241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  <c r="X83" s="241"/>
      <c r="Y83" s="241"/>
      <c r="Z83" s="241"/>
      <c r="AA83" s="241"/>
      <c r="AB83" s="241"/>
      <c r="AC83" s="241"/>
      <c r="AD83" s="241"/>
      <c r="AE83" s="241"/>
      <c r="AF83" s="240"/>
      <c r="AG83" s="240"/>
      <c r="AH83" s="240"/>
      <c r="AI83" s="240"/>
      <c r="AJ83" s="240"/>
      <c r="AK83" s="240"/>
      <c r="AL83" s="240"/>
      <c r="AM83" s="240"/>
      <c r="AN83" s="240"/>
      <c r="AO83" s="240"/>
      <c r="AP83" s="240"/>
      <c r="AQ83" s="240"/>
    </row>
    <row r="84" spans="1:43" ht="15.75">
      <c r="A84" s="241"/>
      <c r="B84" s="241"/>
      <c r="C84" s="241"/>
      <c r="D84" s="241"/>
      <c r="E84" s="241"/>
      <c r="F84" s="241"/>
      <c r="G84" s="241"/>
      <c r="H84" s="241"/>
      <c r="I84" s="241"/>
      <c r="J84" s="241"/>
      <c r="K84" s="241"/>
      <c r="L84" s="241"/>
      <c r="M84" s="241"/>
      <c r="N84" s="241"/>
      <c r="O84" s="241"/>
      <c r="P84" s="241"/>
      <c r="Q84" s="241"/>
      <c r="R84" s="241"/>
      <c r="S84" s="241"/>
      <c r="T84" s="241"/>
      <c r="U84" s="241"/>
      <c r="V84" s="241"/>
      <c r="W84" s="241"/>
      <c r="X84" s="241"/>
      <c r="Y84" s="241"/>
      <c r="Z84" s="241"/>
      <c r="AA84" s="241"/>
      <c r="AB84" s="241"/>
      <c r="AC84" s="241"/>
      <c r="AD84" s="241"/>
      <c r="AE84" s="241"/>
      <c r="AF84" s="240"/>
      <c r="AG84" s="240"/>
      <c r="AH84" s="240"/>
      <c r="AI84" s="240"/>
      <c r="AJ84" s="240"/>
      <c r="AK84" s="240"/>
      <c r="AL84" s="240"/>
      <c r="AM84" s="240"/>
      <c r="AN84" s="240"/>
      <c r="AO84" s="240"/>
      <c r="AP84" s="240"/>
      <c r="AQ84" s="240"/>
    </row>
    <row r="85" spans="1:43" ht="15.75">
      <c r="A85" s="241"/>
      <c r="B85" s="241"/>
      <c r="C85" s="241"/>
      <c r="D85" s="241"/>
      <c r="E85" s="241"/>
      <c r="F85" s="241"/>
      <c r="G85" s="241"/>
      <c r="H85" s="241"/>
      <c r="I85" s="241"/>
      <c r="J85" s="241"/>
      <c r="K85" s="241"/>
      <c r="L85" s="241"/>
      <c r="M85" s="241"/>
      <c r="N85" s="241"/>
      <c r="O85" s="241"/>
      <c r="P85" s="241"/>
      <c r="Q85" s="241"/>
      <c r="R85" s="241"/>
      <c r="S85" s="241"/>
      <c r="T85" s="241"/>
      <c r="U85" s="241"/>
      <c r="V85" s="241"/>
      <c r="W85" s="241"/>
      <c r="X85" s="241"/>
      <c r="Y85" s="241"/>
      <c r="Z85" s="241"/>
      <c r="AA85" s="241"/>
      <c r="AB85" s="241"/>
      <c r="AC85" s="241"/>
      <c r="AD85" s="241"/>
      <c r="AE85" s="241"/>
      <c r="AF85" s="240"/>
      <c r="AG85" s="240"/>
      <c r="AH85" s="240"/>
      <c r="AI85" s="240"/>
      <c r="AJ85" s="240"/>
      <c r="AK85" s="240"/>
      <c r="AL85" s="240"/>
      <c r="AM85" s="240"/>
      <c r="AN85" s="240"/>
      <c r="AO85" s="240"/>
      <c r="AP85" s="240"/>
      <c r="AQ85" s="240"/>
    </row>
    <row r="86" spans="1:43" ht="15.75">
      <c r="A86" s="241"/>
      <c r="B86" s="241"/>
      <c r="C86" s="241"/>
      <c r="D86" s="241"/>
      <c r="E86" s="241"/>
      <c r="F86" s="241"/>
      <c r="G86" s="241"/>
      <c r="H86" s="241"/>
      <c r="I86" s="241"/>
      <c r="J86" s="241"/>
      <c r="K86" s="241"/>
      <c r="L86" s="241"/>
      <c r="M86" s="241"/>
      <c r="N86" s="241"/>
      <c r="O86" s="241"/>
      <c r="P86" s="241"/>
      <c r="Q86" s="241"/>
      <c r="R86" s="241"/>
      <c r="S86" s="241"/>
      <c r="T86" s="241"/>
      <c r="U86" s="241"/>
      <c r="V86" s="241"/>
      <c r="W86" s="241"/>
      <c r="X86" s="241"/>
      <c r="Y86" s="241"/>
      <c r="Z86" s="241"/>
      <c r="AA86" s="241"/>
      <c r="AB86" s="241"/>
      <c r="AC86" s="241"/>
      <c r="AD86" s="241"/>
      <c r="AE86" s="241"/>
      <c r="AF86" s="240"/>
      <c r="AG86" s="240"/>
      <c r="AH86" s="240"/>
      <c r="AI86" s="240"/>
      <c r="AJ86" s="240"/>
      <c r="AK86" s="240"/>
      <c r="AL86" s="240"/>
      <c r="AM86" s="240"/>
      <c r="AN86" s="240"/>
      <c r="AO86" s="240"/>
      <c r="AP86" s="240"/>
      <c r="AQ86" s="240"/>
    </row>
    <row r="87" spans="1:43" ht="15.75">
      <c r="A87" s="241"/>
      <c r="B87" s="241"/>
      <c r="C87" s="241"/>
      <c r="D87" s="241"/>
      <c r="E87" s="241"/>
      <c r="F87" s="241"/>
      <c r="G87" s="241"/>
      <c r="H87" s="241"/>
      <c r="I87" s="241"/>
      <c r="J87" s="241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241"/>
      <c r="Z87" s="241"/>
      <c r="AA87" s="241"/>
      <c r="AB87" s="241"/>
      <c r="AC87" s="241"/>
      <c r="AD87" s="241"/>
      <c r="AE87" s="241"/>
      <c r="AF87" s="240"/>
      <c r="AG87" s="240"/>
      <c r="AH87" s="240"/>
      <c r="AI87" s="240"/>
      <c r="AJ87" s="240"/>
      <c r="AK87" s="240"/>
      <c r="AL87" s="240"/>
      <c r="AM87" s="240"/>
      <c r="AN87" s="240"/>
      <c r="AO87" s="240"/>
      <c r="AP87" s="240"/>
      <c r="AQ87" s="240"/>
    </row>
    <row r="88" spans="1:43" ht="15.75">
      <c r="A88" s="241"/>
      <c r="B88" s="241"/>
      <c r="C88" s="241"/>
      <c r="D88" s="241"/>
      <c r="E88" s="241"/>
      <c r="F88" s="241"/>
      <c r="G88" s="241"/>
      <c r="H88" s="241"/>
      <c r="I88" s="241"/>
      <c r="J88" s="241"/>
      <c r="K88" s="241"/>
      <c r="L88" s="241"/>
      <c r="M88" s="241"/>
      <c r="N88" s="241"/>
      <c r="O88" s="241"/>
      <c r="P88" s="241"/>
      <c r="Q88" s="241"/>
      <c r="R88" s="241"/>
      <c r="S88" s="241"/>
      <c r="T88" s="241"/>
      <c r="U88" s="241"/>
      <c r="V88" s="241"/>
      <c r="W88" s="241"/>
      <c r="X88" s="241"/>
      <c r="Y88" s="241"/>
      <c r="Z88" s="241"/>
      <c r="AA88" s="241"/>
      <c r="AB88" s="241"/>
      <c r="AC88" s="241"/>
      <c r="AD88" s="241"/>
      <c r="AE88" s="241"/>
      <c r="AF88" s="240"/>
      <c r="AG88" s="240"/>
      <c r="AH88" s="240"/>
      <c r="AI88" s="240"/>
      <c r="AJ88" s="240"/>
      <c r="AK88" s="240"/>
      <c r="AL88" s="240"/>
      <c r="AM88" s="240"/>
      <c r="AN88" s="240"/>
      <c r="AO88" s="240"/>
      <c r="AP88" s="240"/>
      <c r="AQ88" s="240"/>
    </row>
    <row r="89" spans="1:43" ht="15.75">
      <c r="A89" s="241"/>
      <c r="B89" s="241"/>
      <c r="C89" s="241"/>
      <c r="D89" s="241"/>
      <c r="E89" s="241"/>
      <c r="F89" s="241"/>
      <c r="G89" s="241"/>
      <c r="H89" s="241"/>
      <c r="I89" s="241"/>
      <c r="J89" s="241"/>
      <c r="K89" s="241"/>
      <c r="L89" s="241"/>
      <c r="M89" s="241"/>
      <c r="N89" s="241"/>
      <c r="O89" s="241"/>
      <c r="P89" s="241"/>
      <c r="Q89" s="241"/>
      <c r="R89" s="241"/>
      <c r="S89" s="241"/>
      <c r="T89" s="241"/>
      <c r="U89" s="241"/>
      <c r="V89" s="241"/>
      <c r="W89" s="241"/>
      <c r="X89" s="241"/>
      <c r="Y89" s="241"/>
      <c r="Z89" s="241"/>
      <c r="AA89" s="241"/>
      <c r="AB89" s="241"/>
      <c r="AC89" s="241"/>
      <c r="AD89" s="241"/>
      <c r="AE89" s="241"/>
      <c r="AF89" s="240"/>
      <c r="AG89" s="240"/>
      <c r="AH89" s="240"/>
      <c r="AI89" s="240"/>
      <c r="AJ89" s="240"/>
      <c r="AK89" s="240"/>
      <c r="AL89" s="240"/>
      <c r="AM89" s="240"/>
      <c r="AN89" s="240"/>
      <c r="AO89" s="240"/>
      <c r="AP89" s="240"/>
      <c r="AQ89" s="240"/>
    </row>
    <row r="90" spans="1:43" ht="15.75">
      <c r="A90" s="241"/>
      <c r="B90" s="241"/>
      <c r="C90" s="241"/>
      <c r="D90" s="241"/>
      <c r="E90" s="241"/>
      <c r="F90" s="241"/>
      <c r="G90" s="241"/>
      <c r="H90" s="241"/>
      <c r="I90" s="241"/>
      <c r="J90" s="241"/>
      <c r="K90" s="241"/>
      <c r="L90" s="241"/>
      <c r="M90" s="241"/>
      <c r="N90" s="241"/>
      <c r="O90" s="241"/>
      <c r="P90" s="241"/>
      <c r="Q90" s="241"/>
      <c r="R90" s="241"/>
      <c r="S90" s="241"/>
      <c r="T90" s="241"/>
      <c r="U90" s="241"/>
      <c r="V90" s="241"/>
      <c r="W90" s="241"/>
      <c r="X90" s="241"/>
      <c r="Y90" s="241"/>
      <c r="Z90" s="241"/>
      <c r="AA90" s="241"/>
      <c r="AB90" s="241"/>
      <c r="AC90" s="241"/>
      <c r="AD90" s="241"/>
      <c r="AE90" s="241"/>
      <c r="AF90" s="240"/>
      <c r="AG90" s="240"/>
      <c r="AH90" s="240"/>
      <c r="AI90" s="240"/>
      <c r="AJ90" s="240"/>
      <c r="AK90" s="240"/>
      <c r="AL90" s="240"/>
      <c r="AM90" s="240"/>
      <c r="AN90" s="240"/>
      <c r="AO90" s="240"/>
      <c r="AP90" s="240"/>
      <c r="AQ90" s="240"/>
    </row>
    <row r="91" spans="1:43" ht="15.75">
      <c r="A91" s="241"/>
      <c r="B91" s="241"/>
      <c r="C91" s="241"/>
      <c r="D91" s="241"/>
      <c r="E91" s="241"/>
      <c r="F91" s="241"/>
      <c r="G91" s="241"/>
      <c r="H91" s="241"/>
      <c r="I91" s="241"/>
      <c r="J91" s="241"/>
      <c r="K91" s="241"/>
      <c r="L91" s="241"/>
      <c r="M91" s="241"/>
      <c r="N91" s="241"/>
      <c r="O91" s="241"/>
      <c r="P91" s="241"/>
      <c r="Q91" s="241"/>
      <c r="R91" s="241"/>
      <c r="S91" s="241"/>
      <c r="T91" s="241"/>
      <c r="U91" s="241"/>
      <c r="V91" s="241"/>
      <c r="W91" s="241"/>
      <c r="X91" s="241"/>
      <c r="Y91" s="241"/>
      <c r="Z91" s="241"/>
      <c r="AA91" s="241"/>
      <c r="AB91" s="241"/>
      <c r="AC91" s="241"/>
      <c r="AD91" s="241"/>
      <c r="AE91" s="241"/>
      <c r="AF91" s="240"/>
      <c r="AG91" s="240"/>
      <c r="AH91" s="240"/>
      <c r="AI91" s="240"/>
      <c r="AJ91" s="240"/>
      <c r="AK91" s="240"/>
      <c r="AL91" s="240"/>
      <c r="AM91" s="240"/>
      <c r="AN91" s="240"/>
      <c r="AO91" s="240"/>
      <c r="AP91" s="240"/>
      <c r="AQ91" s="240"/>
    </row>
    <row r="92" spans="1:43" ht="15.75">
      <c r="A92" s="241"/>
      <c r="B92" s="241"/>
      <c r="C92" s="241"/>
      <c r="D92" s="241"/>
      <c r="E92" s="241"/>
      <c r="F92" s="241"/>
      <c r="G92" s="241"/>
      <c r="H92" s="241"/>
      <c r="I92" s="241"/>
      <c r="J92" s="241"/>
      <c r="K92" s="241"/>
      <c r="L92" s="241"/>
      <c r="M92" s="241"/>
      <c r="N92" s="241"/>
      <c r="O92" s="241"/>
      <c r="P92" s="241"/>
      <c r="Q92" s="241"/>
      <c r="R92" s="241"/>
      <c r="S92" s="241"/>
      <c r="T92" s="241"/>
      <c r="U92" s="241"/>
      <c r="V92" s="241"/>
      <c r="W92" s="241"/>
      <c r="X92" s="241"/>
      <c r="Y92" s="241"/>
      <c r="Z92" s="241"/>
      <c r="AA92" s="241"/>
      <c r="AB92" s="241"/>
      <c r="AC92" s="241"/>
      <c r="AD92" s="241"/>
      <c r="AE92" s="241"/>
      <c r="AF92" s="240"/>
      <c r="AG92" s="240"/>
      <c r="AH92" s="240"/>
      <c r="AI92" s="240"/>
      <c r="AJ92" s="240"/>
      <c r="AK92" s="240"/>
      <c r="AL92" s="240"/>
      <c r="AM92" s="240"/>
      <c r="AN92" s="240"/>
      <c r="AO92" s="240"/>
      <c r="AP92" s="240"/>
      <c r="AQ92" s="240"/>
    </row>
    <row r="93" spans="1:43" ht="15.75">
      <c r="A93" s="241"/>
      <c r="B93" s="241"/>
      <c r="C93" s="241"/>
      <c r="D93" s="241"/>
      <c r="E93" s="241"/>
      <c r="F93" s="241"/>
      <c r="G93" s="241"/>
      <c r="H93" s="241"/>
      <c r="I93" s="241"/>
      <c r="J93" s="241"/>
      <c r="K93" s="241"/>
      <c r="L93" s="241"/>
      <c r="M93" s="241"/>
      <c r="N93" s="241"/>
      <c r="O93" s="241"/>
      <c r="P93" s="241"/>
      <c r="Q93" s="241"/>
      <c r="R93" s="241"/>
      <c r="S93" s="241"/>
      <c r="T93" s="241"/>
      <c r="U93" s="241"/>
      <c r="V93" s="241"/>
      <c r="W93" s="241"/>
      <c r="X93" s="241"/>
      <c r="Y93" s="241"/>
      <c r="Z93" s="241"/>
      <c r="AA93" s="241"/>
      <c r="AB93" s="241"/>
      <c r="AC93" s="241"/>
      <c r="AD93" s="241"/>
      <c r="AE93" s="241"/>
      <c r="AF93" s="240"/>
      <c r="AG93" s="240"/>
      <c r="AH93" s="240"/>
      <c r="AI93" s="240"/>
      <c r="AJ93" s="240"/>
      <c r="AK93" s="240"/>
      <c r="AL93" s="240"/>
      <c r="AM93" s="240"/>
      <c r="AN93" s="240"/>
      <c r="AO93" s="240"/>
      <c r="AP93" s="240"/>
      <c r="AQ93" s="240"/>
    </row>
    <row r="94" spans="1:43" ht="15.75">
      <c r="A94" s="241"/>
      <c r="B94" s="241"/>
      <c r="C94" s="241"/>
      <c r="D94" s="241"/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  <c r="AC94" s="241"/>
      <c r="AD94" s="241"/>
      <c r="AE94" s="241"/>
      <c r="AF94" s="240"/>
      <c r="AG94" s="240"/>
      <c r="AH94" s="240"/>
      <c r="AI94" s="240"/>
      <c r="AJ94" s="240"/>
      <c r="AK94" s="240"/>
      <c r="AL94" s="240"/>
      <c r="AM94" s="240"/>
      <c r="AN94" s="240"/>
      <c r="AO94" s="240"/>
      <c r="AP94" s="240"/>
      <c r="AQ94" s="240"/>
    </row>
    <row r="95" spans="1:43" ht="15.75">
      <c r="A95" s="241"/>
      <c r="B95" s="241"/>
      <c r="C95" s="241"/>
      <c r="D95" s="241"/>
      <c r="E95" s="241"/>
      <c r="F95" s="241"/>
      <c r="G95" s="241"/>
      <c r="H95" s="241"/>
      <c r="I95" s="241"/>
      <c r="J95" s="241"/>
      <c r="K95" s="241"/>
      <c r="L95" s="241"/>
      <c r="M95" s="241"/>
      <c r="N95" s="241"/>
      <c r="O95" s="241"/>
      <c r="P95" s="241"/>
      <c r="Q95" s="241"/>
      <c r="R95" s="241"/>
      <c r="S95" s="241"/>
      <c r="T95" s="241"/>
      <c r="U95" s="241"/>
      <c r="V95" s="241"/>
      <c r="W95" s="241"/>
      <c r="X95" s="241"/>
      <c r="Y95" s="241"/>
      <c r="Z95" s="241"/>
      <c r="AA95" s="241"/>
      <c r="AB95" s="241"/>
      <c r="AC95" s="241"/>
      <c r="AD95" s="241"/>
      <c r="AE95" s="241"/>
      <c r="AF95" s="240"/>
      <c r="AG95" s="240"/>
      <c r="AH95" s="240"/>
      <c r="AI95" s="240"/>
      <c r="AJ95" s="240"/>
      <c r="AK95" s="240"/>
      <c r="AL95" s="240"/>
      <c r="AM95" s="240"/>
      <c r="AN95" s="240"/>
      <c r="AO95" s="240"/>
      <c r="AP95" s="240"/>
      <c r="AQ95" s="240"/>
    </row>
    <row r="96" spans="1:43" ht="15.75">
      <c r="A96" s="241"/>
      <c r="B96" s="241"/>
      <c r="C96" s="241"/>
      <c r="D96" s="241"/>
      <c r="E96" s="241"/>
      <c r="F96" s="241"/>
      <c r="G96" s="241"/>
      <c r="H96" s="241"/>
      <c r="I96" s="241"/>
      <c r="J96" s="241"/>
      <c r="K96" s="241"/>
      <c r="L96" s="241"/>
      <c r="M96" s="241"/>
      <c r="N96" s="241"/>
      <c r="O96" s="241"/>
      <c r="P96" s="241"/>
      <c r="Q96" s="241"/>
      <c r="R96" s="241"/>
      <c r="S96" s="241"/>
      <c r="T96" s="241"/>
      <c r="U96" s="241"/>
      <c r="V96" s="241"/>
      <c r="W96" s="241"/>
      <c r="X96" s="241"/>
      <c r="Y96" s="241"/>
      <c r="Z96" s="241"/>
      <c r="AA96" s="241"/>
      <c r="AB96" s="241"/>
      <c r="AC96" s="241"/>
      <c r="AD96" s="241"/>
      <c r="AE96" s="241"/>
      <c r="AF96" s="240"/>
      <c r="AG96" s="240"/>
      <c r="AH96" s="240"/>
      <c r="AI96" s="240"/>
      <c r="AJ96" s="240"/>
      <c r="AK96" s="240"/>
      <c r="AL96" s="240"/>
      <c r="AM96" s="240"/>
      <c r="AN96" s="240"/>
      <c r="AO96" s="240"/>
      <c r="AP96" s="240"/>
      <c r="AQ96" s="240"/>
    </row>
    <row r="97" spans="1:43" ht="15.75">
      <c r="A97" s="241"/>
      <c r="B97" s="241"/>
      <c r="C97" s="241"/>
      <c r="D97" s="241"/>
      <c r="E97" s="241"/>
      <c r="F97" s="241"/>
      <c r="G97" s="241"/>
      <c r="H97" s="241"/>
      <c r="I97" s="241"/>
      <c r="J97" s="241"/>
      <c r="K97" s="241"/>
      <c r="L97" s="241"/>
      <c r="M97" s="241"/>
      <c r="N97" s="241"/>
      <c r="O97" s="241"/>
      <c r="P97" s="241"/>
      <c r="Q97" s="241"/>
      <c r="R97" s="241"/>
      <c r="S97" s="241"/>
      <c r="T97" s="241"/>
      <c r="U97" s="241"/>
      <c r="V97" s="241"/>
      <c r="W97" s="241"/>
      <c r="X97" s="241"/>
      <c r="Y97" s="241"/>
      <c r="Z97" s="241"/>
      <c r="AA97" s="241"/>
      <c r="AB97" s="241"/>
      <c r="AC97" s="241"/>
      <c r="AD97" s="241"/>
      <c r="AE97" s="241"/>
      <c r="AF97" s="240"/>
      <c r="AG97" s="240"/>
      <c r="AH97" s="240"/>
      <c r="AI97" s="240"/>
      <c r="AJ97" s="240"/>
      <c r="AK97" s="240"/>
      <c r="AL97" s="240"/>
      <c r="AM97" s="240"/>
      <c r="AN97" s="240"/>
      <c r="AO97" s="240"/>
      <c r="AP97" s="240"/>
      <c r="AQ97" s="240"/>
    </row>
    <row r="98" spans="1:43" ht="15.75">
      <c r="A98" s="241"/>
      <c r="B98" s="241"/>
      <c r="C98" s="241"/>
      <c r="D98" s="241"/>
      <c r="E98" s="241"/>
      <c r="F98" s="241"/>
      <c r="G98" s="241"/>
      <c r="H98" s="241"/>
      <c r="I98" s="241"/>
      <c r="J98" s="241"/>
      <c r="K98" s="241"/>
      <c r="L98" s="241"/>
      <c r="M98" s="241"/>
      <c r="N98" s="241"/>
      <c r="O98" s="241"/>
      <c r="P98" s="241"/>
      <c r="Q98" s="241"/>
      <c r="R98" s="241"/>
      <c r="S98" s="241"/>
      <c r="T98" s="241"/>
      <c r="U98" s="241"/>
      <c r="V98" s="241"/>
      <c r="W98" s="241"/>
      <c r="X98" s="241"/>
      <c r="Y98" s="241"/>
      <c r="Z98" s="241"/>
      <c r="AA98" s="241"/>
      <c r="AB98" s="241"/>
      <c r="AC98" s="241"/>
      <c r="AD98" s="241"/>
      <c r="AE98" s="241"/>
      <c r="AF98" s="240"/>
      <c r="AG98" s="240"/>
      <c r="AH98" s="240"/>
      <c r="AI98" s="240"/>
      <c r="AJ98" s="240"/>
      <c r="AK98" s="240"/>
      <c r="AL98" s="240"/>
      <c r="AM98" s="240"/>
      <c r="AN98" s="240"/>
      <c r="AO98" s="240"/>
      <c r="AP98" s="240"/>
      <c r="AQ98" s="240"/>
    </row>
    <row r="99" spans="1:43" ht="15.75">
      <c r="A99" s="241"/>
      <c r="B99" s="241"/>
      <c r="C99" s="241"/>
      <c r="D99" s="241"/>
      <c r="E99" s="241"/>
      <c r="F99" s="241"/>
      <c r="G99" s="241"/>
      <c r="H99" s="241"/>
      <c r="I99" s="241"/>
      <c r="J99" s="241"/>
      <c r="K99" s="241"/>
      <c r="L99" s="241"/>
      <c r="M99" s="241"/>
      <c r="N99" s="241"/>
      <c r="O99" s="241"/>
      <c r="P99" s="241"/>
      <c r="Q99" s="241"/>
      <c r="R99" s="241"/>
      <c r="S99" s="241"/>
      <c r="T99" s="241"/>
      <c r="U99" s="241"/>
      <c r="V99" s="241"/>
      <c r="W99" s="241"/>
      <c r="X99" s="241"/>
      <c r="Y99" s="241"/>
      <c r="Z99" s="241"/>
      <c r="AA99" s="241"/>
      <c r="AB99" s="241"/>
      <c r="AC99" s="241"/>
      <c r="AD99" s="241"/>
      <c r="AE99" s="241"/>
      <c r="AF99" s="240"/>
      <c r="AG99" s="240"/>
      <c r="AH99" s="240"/>
      <c r="AI99" s="240"/>
      <c r="AJ99" s="240"/>
      <c r="AK99" s="240"/>
      <c r="AL99" s="240"/>
      <c r="AM99" s="240"/>
      <c r="AN99" s="240"/>
      <c r="AO99" s="240"/>
      <c r="AP99" s="240"/>
      <c r="AQ99" s="240"/>
    </row>
    <row r="100" spans="1:43" ht="15.75">
      <c r="A100" s="241"/>
      <c r="B100" s="241"/>
      <c r="C100" s="241"/>
      <c r="D100" s="241"/>
      <c r="E100" s="241"/>
      <c r="F100" s="241"/>
      <c r="G100" s="241"/>
      <c r="H100" s="241"/>
      <c r="I100" s="241"/>
      <c r="J100" s="241"/>
      <c r="K100" s="241"/>
      <c r="L100" s="241"/>
      <c r="M100" s="241"/>
      <c r="N100" s="241"/>
      <c r="O100" s="241"/>
      <c r="P100" s="241"/>
      <c r="Q100" s="241"/>
      <c r="R100" s="241"/>
      <c r="S100" s="241"/>
      <c r="T100" s="241"/>
      <c r="U100" s="241"/>
      <c r="V100" s="241"/>
      <c r="W100" s="241"/>
      <c r="X100" s="241"/>
      <c r="Y100" s="241"/>
      <c r="Z100" s="241"/>
      <c r="AA100" s="241"/>
      <c r="AB100" s="241"/>
      <c r="AC100" s="241"/>
      <c r="AD100" s="241"/>
      <c r="AE100" s="241"/>
      <c r="AF100" s="240"/>
      <c r="AG100" s="240"/>
      <c r="AH100" s="240"/>
      <c r="AI100" s="240"/>
      <c r="AJ100" s="240"/>
      <c r="AK100" s="240"/>
      <c r="AL100" s="240"/>
      <c r="AM100" s="240"/>
      <c r="AN100" s="240"/>
      <c r="AO100" s="240"/>
      <c r="AP100" s="240"/>
      <c r="AQ100" s="240"/>
    </row>
    <row r="101" spans="1:43" ht="15.75">
      <c r="A101" s="241"/>
      <c r="B101" s="241"/>
      <c r="C101" s="241"/>
      <c r="D101" s="241"/>
      <c r="E101" s="241"/>
      <c r="F101" s="241"/>
      <c r="G101" s="241"/>
      <c r="H101" s="241"/>
      <c r="I101" s="241"/>
      <c r="J101" s="241"/>
      <c r="K101" s="241"/>
      <c r="L101" s="241"/>
      <c r="M101" s="241"/>
      <c r="N101" s="241"/>
      <c r="O101" s="241"/>
      <c r="P101" s="241"/>
      <c r="Q101" s="241"/>
      <c r="R101" s="241"/>
      <c r="S101" s="241"/>
      <c r="T101" s="241"/>
      <c r="U101" s="241"/>
      <c r="V101" s="241"/>
      <c r="W101" s="241"/>
      <c r="X101" s="241"/>
      <c r="Y101" s="241"/>
      <c r="Z101" s="241"/>
      <c r="AA101" s="241"/>
      <c r="AB101" s="241"/>
      <c r="AC101" s="241"/>
      <c r="AD101" s="241"/>
      <c r="AE101" s="241"/>
      <c r="AF101" s="240"/>
      <c r="AG101" s="240"/>
      <c r="AH101" s="240"/>
      <c r="AI101" s="240"/>
      <c r="AJ101" s="240"/>
      <c r="AK101" s="240"/>
      <c r="AL101" s="240"/>
      <c r="AM101" s="240"/>
      <c r="AN101" s="240"/>
      <c r="AO101" s="240"/>
      <c r="AP101" s="240"/>
      <c r="AQ101" s="240"/>
    </row>
    <row r="102" spans="1:43" ht="15.75">
      <c r="A102" s="241"/>
      <c r="B102" s="241"/>
      <c r="C102" s="241"/>
      <c r="D102" s="241"/>
      <c r="E102" s="241"/>
      <c r="F102" s="241"/>
      <c r="G102" s="241"/>
      <c r="H102" s="241"/>
      <c r="I102" s="241"/>
      <c r="J102" s="241"/>
      <c r="K102" s="241"/>
      <c r="L102" s="241"/>
      <c r="M102" s="241"/>
      <c r="N102" s="241"/>
      <c r="O102" s="241"/>
      <c r="P102" s="241"/>
      <c r="Q102" s="241"/>
      <c r="R102" s="241"/>
      <c r="S102" s="241"/>
      <c r="T102" s="241"/>
      <c r="U102" s="241"/>
      <c r="V102" s="241"/>
      <c r="W102" s="241"/>
      <c r="X102" s="241"/>
      <c r="Y102" s="241"/>
      <c r="Z102" s="241"/>
      <c r="AA102" s="241"/>
      <c r="AB102" s="241"/>
      <c r="AC102" s="241"/>
      <c r="AD102" s="241"/>
      <c r="AE102" s="241"/>
      <c r="AF102" s="240"/>
      <c r="AG102" s="240"/>
      <c r="AH102" s="240"/>
      <c r="AI102" s="240"/>
      <c r="AJ102" s="240"/>
      <c r="AK102" s="240"/>
      <c r="AL102" s="240"/>
      <c r="AM102" s="240"/>
      <c r="AN102" s="240"/>
      <c r="AO102" s="240"/>
      <c r="AP102" s="240"/>
      <c r="AQ102" s="240"/>
    </row>
    <row r="103" spans="1:43" ht="15.75">
      <c r="A103" s="241"/>
      <c r="B103" s="241"/>
      <c r="C103" s="241"/>
      <c r="D103" s="241"/>
      <c r="E103" s="241"/>
      <c r="F103" s="241"/>
      <c r="G103" s="241"/>
      <c r="H103" s="241"/>
      <c r="I103" s="241"/>
      <c r="J103" s="241"/>
      <c r="K103" s="241"/>
      <c r="L103" s="241"/>
      <c r="M103" s="241"/>
      <c r="N103" s="241"/>
      <c r="O103" s="241"/>
      <c r="P103" s="241"/>
      <c r="Q103" s="241"/>
      <c r="R103" s="241"/>
      <c r="S103" s="241"/>
      <c r="T103" s="241"/>
      <c r="U103" s="241"/>
      <c r="V103" s="241"/>
      <c r="W103" s="241"/>
      <c r="X103" s="241"/>
      <c r="Y103" s="241"/>
      <c r="Z103" s="241"/>
      <c r="AA103" s="241"/>
      <c r="AB103" s="241"/>
      <c r="AC103" s="241"/>
      <c r="AD103" s="241"/>
      <c r="AE103" s="241"/>
      <c r="AF103" s="240"/>
      <c r="AG103" s="240"/>
      <c r="AH103" s="240"/>
      <c r="AI103" s="240"/>
      <c r="AJ103" s="240"/>
      <c r="AK103" s="240"/>
      <c r="AL103" s="240"/>
      <c r="AM103" s="240"/>
      <c r="AN103" s="240"/>
      <c r="AO103" s="240"/>
      <c r="AP103" s="240"/>
      <c r="AQ103" s="240"/>
    </row>
    <row r="104" spans="1:43" ht="15.75">
      <c r="A104" s="241"/>
      <c r="B104" s="241"/>
      <c r="C104" s="241"/>
      <c r="D104" s="241"/>
      <c r="E104" s="241"/>
      <c r="F104" s="241"/>
      <c r="G104" s="241"/>
      <c r="H104" s="241"/>
      <c r="I104" s="241"/>
      <c r="J104" s="241"/>
      <c r="K104" s="241"/>
      <c r="L104" s="241"/>
      <c r="M104" s="241"/>
      <c r="N104" s="241"/>
      <c r="O104" s="241"/>
      <c r="P104" s="241"/>
      <c r="Q104" s="241"/>
      <c r="R104" s="241"/>
      <c r="S104" s="241"/>
      <c r="T104" s="241"/>
      <c r="U104" s="241"/>
      <c r="V104" s="241"/>
      <c r="W104" s="241"/>
      <c r="X104" s="241"/>
      <c r="Y104" s="241"/>
      <c r="Z104" s="241"/>
      <c r="AA104" s="241"/>
      <c r="AB104" s="241"/>
      <c r="AC104" s="241"/>
      <c r="AD104" s="241"/>
      <c r="AE104" s="241"/>
      <c r="AF104" s="240"/>
      <c r="AG104" s="240"/>
      <c r="AH104" s="240"/>
      <c r="AI104" s="240"/>
      <c r="AJ104" s="240"/>
      <c r="AK104" s="240"/>
      <c r="AL104" s="240"/>
      <c r="AM104" s="240"/>
      <c r="AN104" s="240"/>
      <c r="AO104" s="240"/>
      <c r="AP104" s="240"/>
      <c r="AQ104" s="240"/>
    </row>
    <row r="105" spans="1:43" ht="15.75">
      <c r="A105" s="241"/>
      <c r="B105" s="241"/>
      <c r="C105" s="241"/>
      <c r="D105" s="241"/>
      <c r="E105" s="241"/>
      <c r="F105" s="241"/>
      <c r="G105" s="241"/>
      <c r="H105" s="241"/>
      <c r="I105" s="241"/>
      <c r="J105" s="241"/>
      <c r="K105" s="241"/>
      <c r="L105" s="241"/>
      <c r="M105" s="241"/>
      <c r="N105" s="241"/>
      <c r="O105" s="241"/>
      <c r="P105" s="241"/>
      <c r="Q105" s="241"/>
      <c r="R105" s="241"/>
      <c r="S105" s="241"/>
      <c r="T105" s="241"/>
      <c r="U105" s="241"/>
      <c r="V105" s="241"/>
      <c r="W105" s="241"/>
      <c r="X105" s="241"/>
      <c r="Y105" s="241"/>
      <c r="Z105" s="241"/>
      <c r="AA105" s="241"/>
      <c r="AB105" s="241"/>
      <c r="AC105" s="241"/>
      <c r="AD105" s="241"/>
      <c r="AE105" s="241"/>
      <c r="AF105" s="240"/>
      <c r="AG105" s="240"/>
      <c r="AH105" s="240"/>
      <c r="AI105" s="240"/>
      <c r="AJ105" s="240"/>
      <c r="AK105" s="240"/>
      <c r="AL105" s="240"/>
      <c r="AM105" s="240"/>
      <c r="AN105" s="240"/>
      <c r="AO105" s="240"/>
      <c r="AP105" s="240"/>
      <c r="AQ105" s="240"/>
    </row>
    <row r="106" spans="1:43" ht="15.75">
      <c r="A106" s="241"/>
      <c r="B106" s="241"/>
      <c r="C106" s="241"/>
      <c r="D106" s="241"/>
      <c r="E106" s="241"/>
      <c r="F106" s="241"/>
      <c r="G106" s="241"/>
      <c r="H106" s="241"/>
      <c r="I106" s="241"/>
      <c r="J106" s="241"/>
      <c r="K106" s="241"/>
      <c r="L106" s="241"/>
      <c r="M106" s="241"/>
      <c r="N106" s="241"/>
      <c r="O106" s="241"/>
      <c r="P106" s="241"/>
      <c r="Q106" s="241"/>
      <c r="R106" s="241"/>
      <c r="S106" s="241"/>
      <c r="T106" s="241"/>
      <c r="U106" s="241"/>
      <c r="V106" s="241"/>
      <c r="W106" s="241"/>
      <c r="X106" s="241"/>
      <c r="Y106" s="241"/>
      <c r="Z106" s="241"/>
      <c r="AA106" s="241"/>
      <c r="AB106" s="241"/>
      <c r="AC106" s="241"/>
      <c r="AD106" s="241"/>
      <c r="AE106" s="241"/>
      <c r="AF106" s="240"/>
      <c r="AG106" s="240"/>
      <c r="AH106" s="240"/>
      <c r="AI106" s="240"/>
      <c r="AJ106" s="240"/>
      <c r="AK106" s="240"/>
      <c r="AL106" s="240"/>
      <c r="AM106" s="240"/>
      <c r="AN106" s="240"/>
      <c r="AO106" s="240"/>
      <c r="AP106" s="240"/>
      <c r="AQ106" s="240"/>
    </row>
    <row r="107" spans="1:43" ht="15.75">
      <c r="A107" s="241"/>
      <c r="B107" s="241"/>
      <c r="C107" s="241"/>
      <c r="D107" s="241"/>
      <c r="E107" s="241"/>
      <c r="F107" s="241"/>
      <c r="G107" s="241"/>
      <c r="H107" s="241"/>
      <c r="I107" s="241"/>
      <c r="J107" s="241"/>
      <c r="K107" s="241"/>
      <c r="L107" s="241"/>
      <c r="M107" s="241"/>
      <c r="N107" s="241"/>
      <c r="O107" s="241"/>
      <c r="P107" s="241"/>
      <c r="Q107" s="241"/>
      <c r="R107" s="241"/>
      <c r="S107" s="241"/>
      <c r="T107" s="241"/>
      <c r="U107" s="241"/>
      <c r="V107" s="241"/>
      <c r="W107" s="241"/>
      <c r="X107" s="241"/>
      <c r="Y107" s="241"/>
      <c r="Z107" s="241"/>
      <c r="AA107" s="241"/>
      <c r="AB107" s="241"/>
      <c r="AC107" s="241"/>
      <c r="AD107" s="241"/>
      <c r="AE107" s="241"/>
      <c r="AF107" s="240"/>
      <c r="AG107" s="240"/>
      <c r="AH107" s="240"/>
      <c r="AI107" s="240"/>
      <c r="AJ107" s="240"/>
      <c r="AK107" s="240"/>
      <c r="AL107" s="240"/>
      <c r="AM107" s="240"/>
      <c r="AN107" s="240"/>
      <c r="AO107" s="240"/>
      <c r="AP107" s="240"/>
      <c r="AQ107" s="240"/>
    </row>
    <row r="108" spans="1:43" ht="15.75">
      <c r="A108" s="241"/>
      <c r="B108" s="241"/>
      <c r="C108" s="241"/>
      <c r="D108" s="241"/>
      <c r="E108" s="241"/>
      <c r="F108" s="241"/>
      <c r="G108" s="241"/>
      <c r="H108" s="241"/>
      <c r="I108" s="241"/>
      <c r="J108" s="241"/>
      <c r="K108" s="241"/>
      <c r="L108" s="241"/>
      <c r="M108" s="241"/>
      <c r="N108" s="241"/>
      <c r="O108" s="241"/>
      <c r="P108" s="241"/>
      <c r="Q108" s="241"/>
      <c r="R108" s="241"/>
      <c r="S108" s="241"/>
      <c r="T108" s="241"/>
      <c r="U108" s="241"/>
      <c r="V108" s="241"/>
      <c r="W108" s="241"/>
      <c r="X108" s="241"/>
      <c r="Y108" s="241"/>
      <c r="Z108" s="241"/>
      <c r="AA108" s="241"/>
      <c r="AB108" s="241"/>
      <c r="AC108" s="241"/>
      <c r="AD108" s="241"/>
      <c r="AE108" s="241"/>
      <c r="AF108" s="240"/>
      <c r="AG108" s="240"/>
      <c r="AH108" s="240"/>
      <c r="AI108" s="240"/>
      <c r="AJ108" s="240"/>
      <c r="AK108" s="240"/>
      <c r="AL108" s="240"/>
      <c r="AM108" s="240"/>
      <c r="AN108" s="240"/>
      <c r="AO108" s="240"/>
      <c r="AP108" s="240"/>
      <c r="AQ108" s="240"/>
    </row>
    <row r="109" spans="1:43" ht="15.75">
      <c r="A109" s="241"/>
      <c r="B109" s="241"/>
      <c r="C109" s="241"/>
      <c r="D109" s="241"/>
      <c r="E109" s="241"/>
      <c r="F109" s="241"/>
      <c r="G109" s="241"/>
      <c r="H109" s="241"/>
      <c r="I109" s="241"/>
      <c r="J109" s="241"/>
      <c r="K109" s="241"/>
      <c r="L109" s="241"/>
      <c r="M109" s="241"/>
      <c r="N109" s="241"/>
      <c r="O109" s="241"/>
      <c r="P109" s="241"/>
      <c r="Q109" s="241"/>
      <c r="R109" s="241"/>
      <c r="S109" s="241"/>
      <c r="T109" s="241"/>
      <c r="U109" s="241"/>
      <c r="V109" s="241"/>
      <c r="W109" s="241"/>
      <c r="X109" s="241"/>
      <c r="Y109" s="241"/>
      <c r="Z109" s="241"/>
      <c r="AA109" s="241"/>
      <c r="AB109" s="241"/>
      <c r="AC109" s="241"/>
      <c r="AD109" s="241"/>
      <c r="AE109" s="241"/>
      <c r="AF109" s="240"/>
      <c r="AG109" s="240"/>
      <c r="AH109" s="240"/>
      <c r="AI109" s="240"/>
      <c r="AJ109" s="240"/>
      <c r="AK109" s="240"/>
      <c r="AL109" s="240"/>
      <c r="AM109" s="240"/>
      <c r="AN109" s="240"/>
      <c r="AO109" s="240"/>
      <c r="AP109" s="240"/>
      <c r="AQ109" s="240"/>
    </row>
    <row r="110" spans="1:43" ht="15.75">
      <c r="A110" s="241"/>
      <c r="B110" s="241"/>
      <c r="C110" s="241"/>
      <c r="D110" s="241"/>
      <c r="E110" s="241"/>
      <c r="F110" s="241"/>
      <c r="G110" s="241"/>
      <c r="H110" s="241"/>
      <c r="I110" s="241"/>
      <c r="J110" s="241"/>
      <c r="K110" s="241"/>
      <c r="L110" s="241"/>
      <c r="M110" s="241"/>
      <c r="N110" s="241"/>
      <c r="O110" s="241"/>
      <c r="P110" s="241"/>
      <c r="Q110" s="241"/>
      <c r="R110" s="241"/>
      <c r="S110" s="241"/>
      <c r="T110" s="241"/>
      <c r="U110" s="241"/>
      <c r="V110" s="241"/>
      <c r="W110" s="241"/>
      <c r="X110" s="241"/>
      <c r="Y110" s="241"/>
      <c r="Z110" s="241"/>
      <c r="AA110" s="241"/>
      <c r="AB110" s="241"/>
      <c r="AC110" s="241"/>
      <c r="AD110" s="241"/>
      <c r="AE110" s="241"/>
      <c r="AF110" s="240"/>
      <c r="AG110" s="240"/>
      <c r="AH110" s="240"/>
      <c r="AI110" s="240"/>
      <c r="AJ110" s="240"/>
      <c r="AK110" s="240"/>
      <c r="AL110" s="240"/>
      <c r="AM110" s="240"/>
      <c r="AN110" s="240"/>
      <c r="AO110" s="240"/>
      <c r="AP110" s="240"/>
      <c r="AQ110" s="240"/>
    </row>
    <row r="111" spans="1:43" ht="15.75">
      <c r="A111" s="241"/>
      <c r="B111" s="241"/>
      <c r="C111" s="241"/>
      <c r="D111" s="241"/>
      <c r="E111" s="241"/>
      <c r="F111" s="241"/>
      <c r="G111" s="241"/>
      <c r="H111" s="241"/>
      <c r="I111" s="241"/>
      <c r="J111" s="241"/>
      <c r="K111" s="241"/>
      <c r="L111" s="241"/>
      <c r="M111" s="241"/>
      <c r="N111" s="241"/>
      <c r="O111" s="241"/>
      <c r="P111" s="241"/>
      <c r="Q111" s="241"/>
      <c r="R111" s="241"/>
      <c r="S111" s="241"/>
      <c r="T111" s="241"/>
      <c r="U111" s="241"/>
      <c r="V111" s="241"/>
      <c r="W111" s="241"/>
      <c r="X111" s="241"/>
      <c r="Y111" s="241"/>
      <c r="Z111" s="241"/>
      <c r="AA111" s="241"/>
      <c r="AB111" s="241"/>
      <c r="AC111" s="241"/>
      <c r="AD111" s="241"/>
      <c r="AE111" s="241"/>
      <c r="AF111" s="240"/>
      <c r="AG111" s="240"/>
      <c r="AH111" s="240"/>
      <c r="AI111" s="240"/>
      <c r="AJ111" s="240"/>
      <c r="AK111" s="240"/>
      <c r="AL111" s="240"/>
      <c r="AM111" s="240"/>
      <c r="AN111" s="240"/>
      <c r="AO111" s="240"/>
      <c r="AP111" s="240"/>
      <c r="AQ111" s="240"/>
    </row>
    <row r="112" spans="1:43" ht="15.75">
      <c r="A112" s="241"/>
      <c r="B112" s="241"/>
      <c r="C112" s="241"/>
      <c r="D112" s="241"/>
      <c r="E112" s="241"/>
      <c r="F112" s="241"/>
      <c r="G112" s="241"/>
      <c r="H112" s="241"/>
      <c r="I112" s="241"/>
      <c r="J112" s="241"/>
      <c r="K112" s="241"/>
      <c r="L112" s="241"/>
      <c r="M112" s="241"/>
      <c r="N112" s="241"/>
      <c r="O112" s="241"/>
      <c r="P112" s="241"/>
      <c r="Q112" s="241"/>
      <c r="R112" s="241"/>
      <c r="S112" s="241"/>
      <c r="T112" s="241"/>
      <c r="U112" s="241"/>
      <c r="V112" s="241"/>
      <c r="W112" s="241"/>
      <c r="X112" s="241"/>
      <c r="Y112" s="241"/>
      <c r="Z112" s="241"/>
      <c r="AA112" s="241"/>
      <c r="AB112" s="241"/>
      <c r="AC112" s="241"/>
      <c r="AD112" s="241"/>
      <c r="AE112" s="241"/>
      <c r="AF112" s="240"/>
      <c r="AG112" s="240"/>
      <c r="AH112" s="240"/>
      <c r="AI112" s="240"/>
      <c r="AJ112" s="240"/>
      <c r="AK112" s="240"/>
      <c r="AL112" s="240"/>
      <c r="AM112" s="240"/>
      <c r="AN112" s="240"/>
      <c r="AO112" s="240"/>
      <c r="AP112" s="240"/>
      <c r="AQ112" s="240"/>
    </row>
    <row r="113" spans="1:43" ht="15.75">
      <c r="A113" s="241"/>
      <c r="B113" s="241"/>
      <c r="C113" s="241"/>
      <c r="D113" s="241"/>
      <c r="E113" s="241"/>
      <c r="F113" s="241"/>
      <c r="G113" s="241"/>
      <c r="H113" s="241"/>
      <c r="I113" s="241"/>
      <c r="J113" s="241"/>
      <c r="K113" s="241"/>
      <c r="L113" s="241"/>
      <c r="M113" s="241"/>
      <c r="N113" s="241"/>
      <c r="O113" s="241"/>
      <c r="P113" s="241"/>
      <c r="Q113" s="241"/>
      <c r="R113" s="241"/>
      <c r="S113" s="241"/>
      <c r="T113" s="241"/>
      <c r="U113" s="241"/>
      <c r="V113" s="241"/>
      <c r="W113" s="241"/>
      <c r="X113" s="241"/>
      <c r="Y113" s="241"/>
      <c r="Z113" s="241"/>
      <c r="AA113" s="241"/>
      <c r="AB113" s="241"/>
      <c r="AC113" s="241"/>
      <c r="AD113" s="241"/>
      <c r="AE113" s="241"/>
      <c r="AF113" s="240"/>
      <c r="AG113" s="240"/>
      <c r="AH113" s="240"/>
      <c r="AI113" s="240"/>
      <c r="AJ113" s="240"/>
      <c r="AK113" s="240"/>
      <c r="AL113" s="240"/>
      <c r="AM113" s="240"/>
      <c r="AN113" s="240"/>
      <c r="AO113" s="240"/>
      <c r="AP113" s="240"/>
      <c r="AQ113" s="240"/>
    </row>
    <row r="114" spans="1:43" ht="15.75">
      <c r="A114" s="241"/>
      <c r="B114" s="241"/>
      <c r="C114" s="241"/>
      <c r="D114" s="241"/>
      <c r="E114" s="241"/>
      <c r="F114" s="241"/>
      <c r="G114" s="241"/>
      <c r="H114" s="241"/>
      <c r="I114" s="241"/>
      <c r="J114" s="241"/>
      <c r="K114" s="241"/>
      <c r="L114" s="241"/>
      <c r="M114" s="241"/>
      <c r="N114" s="241"/>
      <c r="O114" s="241"/>
      <c r="P114" s="241"/>
      <c r="Q114" s="241"/>
      <c r="R114" s="241"/>
      <c r="S114" s="241"/>
      <c r="T114" s="241"/>
      <c r="U114" s="241"/>
      <c r="V114" s="241"/>
      <c r="W114" s="241"/>
      <c r="X114" s="241"/>
      <c r="Y114" s="241"/>
      <c r="Z114" s="241"/>
      <c r="AA114" s="241"/>
      <c r="AB114" s="241"/>
      <c r="AC114" s="241"/>
      <c r="AD114" s="241"/>
      <c r="AE114" s="241"/>
      <c r="AF114" s="240"/>
      <c r="AG114" s="240"/>
      <c r="AH114" s="240"/>
      <c r="AI114" s="240"/>
      <c r="AJ114" s="240"/>
      <c r="AK114" s="240"/>
      <c r="AL114" s="240"/>
      <c r="AM114" s="240"/>
      <c r="AN114" s="240"/>
      <c r="AO114" s="240"/>
      <c r="AP114" s="240"/>
      <c r="AQ114" s="240"/>
    </row>
    <row r="115" spans="1:43" ht="15.75">
      <c r="A115" s="241"/>
      <c r="B115" s="241"/>
      <c r="C115" s="241"/>
      <c r="D115" s="241"/>
      <c r="E115" s="241"/>
      <c r="F115" s="241"/>
      <c r="G115" s="241"/>
      <c r="H115" s="241"/>
      <c r="I115" s="241"/>
      <c r="J115" s="241"/>
      <c r="K115" s="241"/>
      <c r="L115" s="241"/>
      <c r="M115" s="241"/>
      <c r="N115" s="241"/>
      <c r="O115" s="241"/>
      <c r="P115" s="241"/>
      <c r="Q115" s="241"/>
      <c r="R115" s="241"/>
      <c r="S115" s="241"/>
      <c r="T115" s="241"/>
      <c r="U115" s="241"/>
      <c r="V115" s="241"/>
      <c r="W115" s="241"/>
      <c r="X115" s="241"/>
      <c r="Y115" s="241"/>
      <c r="Z115" s="241"/>
      <c r="AA115" s="241"/>
      <c r="AB115" s="241"/>
      <c r="AC115" s="241"/>
      <c r="AD115" s="241"/>
      <c r="AE115" s="241"/>
      <c r="AF115" s="240"/>
      <c r="AG115" s="240"/>
      <c r="AH115" s="240"/>
      <c r="AI115" s="240"/>
      <c r="AJ115" s="240"/>
      <c r="AK115" s="240"/>
      <c r="AL115" s="240"/>
      <c r="AM115" s="240"/>
      <c r="AN115" s="240"/>
      <c r="AO115" s="240"/>
      <c r="AP115" s="240"/>
      <c r="AQ115" s="240"/>
    </row>
    <row r="116" spans="1:43" ht="15.75">
      <c r="A116" s="241"/>
      <c r="B116" s="241"/>
      <c r="C116" s="241"/>
      <c r="D116" s="241"/>
      <c r="E116" s="241"/>
      <c r="F116" s="241"/>
      <c r="G116" s="241"/>
      <c r="H116" s="241"/>
      <c r="I116" s="241"/>
      <c r="J116" s="241"/>
      <c r="K116" s="241"/>
      <c r="L116" s="241"/>
      <c r="M116" s="241"/>
      <c r="N116" s="241"/>
      <c r="O116" s="241"/>
      <c r="P116" s="241"/>
      <c r="Q116" s="241"/>
      <c r="R116" s="241"/>
      <c r="S116" s="241"/>
      <c r="T116" s="241"/>
      <c r="U116" s="241"/>
      <c r="V116" s="241"/>
      <c r="W116" s="241"/>
      <c r="X116" s="241"/>
      <c r="Y116" s="241"/>
      <c r="Z116" s="241"/>
      <c r="AA116" s="241"/>
      <c r="AB116" s="241"/>
      <c r="AC116" s="241"/>
      <c r="AD116" s="241"/>
      <c r="AE116" s="241"/>
      <c r="AF116" s="240"/>
      <c r="AG116" s="240"/>
      <c r="AH116" s="240"/>
      <c r="AI116" s="240"/>
      <c r="AJ116" s="240"/>
      <c r="AK116" s="240"/>
      <c r="AL116" s="240"/>
      <c r="AM116" s="240"/>
      <c r="AN116" s="240"/>
      <c r="AO116" s="240"/>
      <c r="AP116" s="240"/>
      <c r="AQ116" s="240"/>
    </row>
    <row r="117" spans="1:43" ht="15.75">
      <c r="A117" s="241"/>
      <c r="B117" s="241"/>
      <c r="C117" s="241"/>
      <c r="D117" s="241"/>
      <c r="E117" s="241"/>
      <c r="F117" s="241"/>
      <c r="G117" s="241"/>
      <c r="H117" s="241"/>
      <c r="I117" s="241"/>
      <c r="J117" s="241"/>
      <c r="K117" s="241"/>
      <c r="L117" s="241"/>
      <c r="M117" s="241"/>
      <c r="N117" s="241"/>
      <c r="O117" s="241"/>
      <c r="P117" s="241"/>
      <c r="Q117" s="241"/>
      <c r="R117" s="241"/>
      <c r="S117" s="241"/>
      <c r="T117" s="241"/>
      <c r="U117" s="241"/>
      <c r="V117" s="241"/>
      <c r="W117" s="241"/>
      <c r="X117" s="241"/>
      <c r="Y117" s="241"/>
      <c r="Z117" s="241"/>
      <c r="AA117" s="241"/>
      <c r="AB117" s="241"/>
      <c r="AC117" s="241"/>
      <c r="AD117" s="241"/>
      <c r="AE117" s="241"/>
      <c r="AF117" s="240"/>
      <c r="AG117" s="240"/>
      <c r="AH117" s="240"/>
      <c r="AI117" s="240"/>
      <c r="AJ117" s="240"/>
      <c r="AK117" s="240"/>
      <c r="AL117" s="240"/>
      <c r="AM117" s="240"/>
      <c r="AN117" s="240"/>
      <c r="AO117" s="240"/>
      <c r="AP117" s="240"/>
      <c r="AQ117" s="240"/>
    </row>
    <row r="118" spans="1:43" ht="15.75">
      <c r="A118" s="241"/>
      <c r="B118" s="241"/>
      <c r="C118" s="241"/>
      <c r="D118" s="241"/>
      <c r="E118" s="241"/>
      <c r="F118" s="241"/>
      <c r="G118" s="241"/>
      <c r="H118" s="241"/>
      <c r="I118" s="241"/>
      <c r="J118" s="241"/>
      <c r="K118" s="241"/>
      <c r="L118" s="241"/>
      <c r="M118" s="241"/>
      <c r="N118" s="241"/>
      <c r="O118" s="241"/>
      <c r="P118" s="241"/>
      <c r="Q118" s="241"/>
      <c r="R118" s="241"/>
      <c r="S118" s="241"/>
      <c r="T118" s="241"/>
      <c r="U118" s="241"/>
      <c r="V118" s="241"/>
      <c r="W118" s="241"/>
      <c r="X118" s="241"/>
      <c r="Y118" s="241"/>
      <c r="Z118" s="241"/>
      <c r="AA118" s="241"/>
      <c r="AB118" s="241"/>
      <c r="AC118" s="241"/>
      <c r="AD118" s="241"/>
      <c r="AE118" s="241"/>
      <c r="AF118" s="240"/>
      <c r="AG118" s="240"/>
      <c r="AH118" s="240"/>
      <c r="AI118" s="240"/>
      <c r="AJ118" s="240"/>
      <c r="AK118" s="240"/>
      <c r="AL118" s="240"/>
      <c r="AM118" s="240"/>
      <c r="AN118" s="240"/>
      <c r="AO118" s="240"/>
      <c r="AP118" s="240"/>
      <c r="AQ118" s="240"/>
    </row>
    <row r="119" spans="1:43" ht="15.75">
      <c r="A119" s="241"/>
      <c r="B119" s="241"/>
      <c r="C119" s="241"/>
      <c r="D119" s="241"/>
      <c r="E119" s="241"/>
      <c r="F119" s="241"/>
      <c r="G119" s="241"/>
      <c r="H119" s="241"/>
      <c r="I119" s="241"/>
      <c r="J119" s="241"/>
      <c r="K119" s="241"/>
      <c r="L119" s="241"/>
      <c r="M119" s="241"/>
      <c r="N119" s="241"/>
      <c r="O119" s="241"/>
      <c r="P119" s="241"/>
      <c r="Q119" s="241"/>
      <c r="R119" s="241"/>
      <c r="S119" s="241"/>
      <c r="T119" s="241"/>
      <c r="U119" s="241"/>
      <c r="V119" s="241"/>
      <c r="W119" s="241"/>
      <c r="X119" s="241"/>
      <c r="Y119" s="241"/>
      <c r="Z119" s="241"/>
      <c r="AA119" s="241"/>
      <c r="AB119" s="241"/>
      <c r="AC119" s="241"/>
      <c r="AD119" s="241"/>
      <c r="AE119" s="241"/>
      <c r="AF119" s="240"/>
      <c r="AG119" s="240"/>
      <c r="AH119" s="240"/>
      <c r="AI119" s="240"/>
      <c r="AJ119" s="240"/>
      <c r="AK119" s="240"/>
      <c r="AL119" s="240"/>
      <c r="AM119" s="240"/>
      <c r="AN119" s="240"/>
      <c r="AO119" s="240"/>
      <c r="AP119" s="240"/>
      <c r="AQ119" s="240"/>
    </row>
    <row r="120" spans="1:43" ht="15.75">
      <c r="A120" s="241"/>
      <c r="B120" s="241"/>
      <c r="C120" s="241"/>
      <c r="D120" s="241"/>
      <c r="E120" s="241"/>
      <c r="F120" s="241"/>
      <c r="G120" s="241"/>
      <c r="H120" s="241"/>
      <c r="I120" s="241"/>
      <c r="J120" s="241"/>
      <c r="K120" s="241"/>
      <c r="L120" s="241"/>
      <c r="M120" s="241"/>
      <c r="N120" s="241"/>
      <c r="O120" s="241"/>
      <c r="P120" s="241"/>
      <c r="Q120" s="241"/>
      <c r="R120" s="241"/>
      <c r="S120" s="241"/>
      <c r="T120" s="241"/>
      <c r="U120" s="241"/>
      <c r="V120" s="241"/>
      <c r="W120" s="241"/>
      <c r="X120" s="241"/>
      <c r="Y120" s="241"/>
      <c r="Z120" s="241"/>
      <c r="AA120" s="241"/>
      <c r="AB120" s="241"/>
      <c r="AC120" s="241"/>
      <c r="AD120" s="241"/>
      <c r="AE120" s="241"/>
      <c r="AF120" s="240"/>
      <c r="AG120" s="240"/>
      <c r="AH120" s="240"/>
      <c r="AI120" s="240"/>
      <c r="AJ120" s="240"/>
      <c r="AK120" s="240"/>
      <c r="AL120" s="240"/>
      <c r="AM120" s="240"/>
      <c r="AN120" s="240"/>
      <c r="AO120" s="240"/>
      <c r="AP120" s="240"/>
      <c r="AQ120" s="240"/>
    </row>
    <row r="121" spans="1:43" ht="15.75">
      <c r="A121" s="241"/>
      <c r="B121" s="241"/>
      <c r="C121" s="241"/>
      <c r="D121" s="241"/>
      <c r="E121" s="241"/>
      <c r="F121" s="241"/>
      <c r="G121" s="241"/>
      <c r="H121" s="241"/>
      <c r="I121" s="241"/>
      <c r="J121" s="241"/>
      <c r="K121" s="241"/>
      <c r="L121" s="241"/>
      <c r="M121" s="241"/>
      <c r="N121" s="241"/>
      <c r="O121" s="241"/>
      <c r="P121" s="241"/>
      <c r="Q121" s="241"/>
      <c r="R121" s="241"/>
      <c r="S121" s="241"/>
      <c r="T121" s="241"/>
      <c r="U121" s="241"/>
      <c r="V121" s="241"/>
      <c r="W121" s="241"/>
      <c r="X121" s="241"/>
      <c r="Y121" s="241"/>
      <c r="Z121" s="241"/>
      <c r="AA121" s="241"/>
      <c r="AB121" s="241"/>
      <c r="AC121" s="241"/>
      <c r="AD121" s="241"/>
      <c r="AE121" s="241"/>
      <c r="AF121" s="240"/>
      <c r="AG121" s="240"/>
      <c r="AH121" s="240"/>
      <c r="AI121" s="240"/>
      <c r="AJ121" s="240"/>
      <c r="AK121" s="240"/>
      <c r="AL121" s="240"/>
      <c r="AM121" s="240"/>
      <c r="AN121" s="240"/>
      <c r="AO121" s="240"/>
      <c r="AP121" s="240"/>
      <c r="AQ121" s="240"/>
    </row>
    <row r="122" spans="1:43" ht="15.75">
      <c r="A122" s="241"/>
      <c r="B122" s="241"/>
      <c r="C122" s="241"/>
      <c r="D122" s="241"/>
      <c r="E122" s="241"/>
      <c r="F122" s="241"/>
      <c r="G122" s="241"/>
      <c r="H122" s="241"/>
      <c r="I122" s="241"/>
      <c r="J122" s="241"/>
      <c r="K122" s="241"/>
      <c r="L122" s="241"/>
      <c r="M122" s="241"/>
      <c r="N122" s="241"/>
      <c r="O122" s="241"/>
      <c r="P122" s="241"/>
      <c r="Q122" s="241"/>
      <c r="R122" s="241"/>
      <c r="S122" s="241"/>
      <c r="T122" s="241"/>
      <c r="U122" s="241"/>
      <c r="V122" s="241"/>
      <c r="W122" s="241"/>
      <c r="X122" s="241"/>
      <c r="Y122" s="241"/>
      <c r="Z122" s="241"/>
      <c r="AA122" s="241"/>
      <c r="AB122" s="241"/>
      <c r="AC122" s="241"/>
      <c r="AD122" s="241"/>
      <c r="AE122" s="241"/>
      <c r="AF122" s="240"/>
      <c r="AG122" s="240"/>
      <c r="AH122" s="240"/>
      <c r="AI122" s="240"/>
      <c r="AJ122" s="240"/>
      <c r="AK122" s="240"/>
      <c r="AL122" s="240"/>
      <c r="AM122" s="240"/>
      <c r="AN122" s="240"/>
      <c r="AO122" s="240"/>
      <c r="AP122" s="240"/>
      <c r="AQ122" s="240"/>
    </row>
    <row r="123" spans="1:43" ht="15.75">
      <c r="A123" s="241"/>
      <c r="B123" s="241"/>
      <c r="C123" s="241"/>
      <c r="D123" s="241"/>
      <c r="E123" s="241"/>
      <c r="F123" s="241"/>
      <c r="G123" s="241"/>
      <c r="H123" s="241"/>
      <c r="I123" s="241"/>
      <c r="J123" s="241"/>
      <c r="K123" s="241"/>
      <c r="L123" s="241"/>
      <c r="M123" s="241"/>
      <c r="N123" s="241"/>
      <c r="O123" s="241"/>
      <c r="P123" s="241"/>
      <c r="Q123" s="241"/>
      <c r="R123" s="241"/>
      <c r="S123" s="241"/>
      <c r="T123" s="241"/>
      <c r="U123" s="241"/>
      <c r="V123" s="241"/>
      <c r="W123" s="241"/>
      <c r="X123" s="241"/>
      <c r="Y123" s="241"/>
      <c r="Z123" s="241"/>
      <c r="AA123" s="241"/>
      <c r="AB123" s="241"/>
      <c r="AC123" s="241"/>
      <c r="AD123" s="241"/>
      <c r="AE123" s="241"/>
      <c r="AF123" s="240"/>
      <c r="AG123" s="240"/>
      <c r="AH123" s="240"/>
      <c r="AI123" s="240"/>
      <c r="AJ123" s="240"/>
      <c r="AK123" s="240"/>
      <c r="AL123" s="240"/>
      <c r="AM123" s="240"/>
      <c r="AN123" s="240"/>
      <c r="AO123" s="240"/>
      <c r="AP123" s="240"/>
      <c r="AQ123" s="240"/>
    </row>
    <row r="124" spans="1:43" ht="15.75">
      <c r="A124" s="241"/>
      <c r="B124" s="241"/>
      <c r="C124" s="241"/>
      <c r="D124" s="241"/>
      <c r="E124" s="241"/>
      <c r="F124" s="241"/>
      <c r="G124" s="241"/>
      <c r="H124" s="241"/>
      <c r="I124" s="241"/>
      <c r="J124" s="241"/>
      <c r="K124" s="241"/>
      <c r="L124" s="241"/>
      <c r="M124" s="241"/>
      <c r="N124" s="241"/>
      <c r="O124" s="241"/>
      <c r="P124" s="241"/>
      <c r="Q124" s="241"/>
      <c r="R124" s="241"/>
      <c r="S124" s="241"/>
      <c r="T124" s="241"/>
      <c r="U124" s="241"/>
      <c r="V124" s="241"/>
      <c r="W124" s="241"/>
      <c r="X124" s="241"/>
      <c r="Y124" s="241"/>
      <c r="Z124" s="241"/>
      <c r="AA124" s="241"/>
      <c r="AB124" s="241"/>
      <c r="AC124" s="241"/>
      <c r="AD124" s="241"/>
      <c r="AE124" s="241"/>
      <c r="AF124" s="240"/>
      <c r="AG124" s="240"/>
      <c r="AH124" s="240"/>
      <c r="AI124" s="240"/>
      <c r="AJ124" s="240"/>
      <c r="AK124" s="240"/>
      <c r="AL124" s="240"/>
      <c r="AM124" s="240"/>
      <c r="AN124" s="240"/>
      <c r="AO124" s="240"/>
      <c r="AP124" s="240"/>
      <c r="AQ124" s="240"/>
    </row>
    <row r="125" spans="1:43" ht="15.75">
      <c r="A125" s="241"/>
      <c r="B125" s="241"/>
      <c r="C125" s="241"/>
      <c r="D125" s="241"/>
      <c r="E125" s="241"/>
      <c r="F125" s="241"/>
      <c r="G125" s="241"/>
      <c r="H125" s="241"/>
      <c r="I125" s="241"/>
      <c r="J125" s="241"/>
      <c r="K125" s="241"/>
      <c r="L125" s="241"/>
      <c r="M125" s="241"/>
      <c r="N125" s="241"/>
      <c r="O125" s="241"/>
      <c r="P125" s="241"/>
      <c r="Q125" s="241"/>
      <c r="R125" s="241"/>
      <c r="S125" s="241"/>
      <c r="T125" s="241"/>
      <c r="U125" s="241"/>
      <c r="V125" s="241"/>
      <c r="W125" s="241"/>
      <c r="X125" s="241"/>
      <c r="Y125" s="241"/>
      <c r="Z125" s="241"/>
      <c r="AA125" s="241"/>
      <c r="AB125" s="241"/>
      <c r="AC125" s="241"/>
      <c r="AD125" s="241"/>
      <c r="AE125" s="241"/>
      <c r="AF125" s="240"/>
      <c r="AG125" s="240"/>
      <c r="AH125" s="240"/>
      <c r="AI125" s="240"/>
      <c r="AJ125" s="240"/>
      <c r="AK125" s="240"/>
      <c r="AL125" s="240"/>
      <c r="AM125" s="240"/>
      <c r="AN125" s="240"/>
      <c r="AO125" s="240"/>
      <c r="AP125" s="240"/>
      <c r="AQ125" s="240"/>
    </row>
    <row r="126" spans="1:43" ht="15.75">
      <c r="A126" s="241"/>
      <c r="B126" s="241"/>
      <c r="C126" s="241"/>
      <c r="D126" s="241"/>
      <c r="E126" s="241"/>
      <c r="F126" s="241"/>
      <c r="G126" s="241"/>
      <c r="H126" s="241"/>
      <c r="I126" s="241"/>
      <c r="J126" s="241"/>
      <c r="K126" s="241"/>
      <c r="L126" s="241"/>
      <c r="M126" s="241"/>
      <c r="N126" s="241"/>
      <c r="O126" s="241"/>
      <c r="P126" s="241"/>
      <c r="Q126" s="241"/>
      <c r="R126" s="241"/>
      <c r="S126" s="241"/>
      <c r="T126" s="241"/>
      <c r="U126" s="241"/>
      <c r="V126" s="241"/>
      <c r="W126" s="241"/>
      <c r="X126" s="241"/>
      <c r="Y126" s="241"/>
      <c r="Z126" s="241"/>
      <c r="AA126" s="241"/>
      <c r="AB126" s="241"/>
      <c r="AC126" s="241"/>
      <c r="AD126" s="241"/>
      <c r="AE126" s="241"/>
      <c r="AF126" s="240"/>
      <c r="AG126" s="240"/>
      <c r="AH126" s="240"/>
      <c r="AI126" s="240"/>
      <c r="AJ126" s="240"/>
      <c r="AK126" s="240"/>
      <c r="AL126" s="240"/>
      <c r="AM126" s="240"/>
      <c r="AN126" s="240"/>
      <c r="AO126" s="240"/>
      <c r="AP126" s="240"/>
      <c r="AQ126" s="240"/>
    </row>
    <row r="127" spans="1:43" ht="15.75">
      <c r="A127" s="241"/>
      <c r="B127" s="241"/>
      <c r="C127" s="241"/>
      <c r="D127" s="241"/>
      <c r="E127" s="241"/>
      <c r="F127" s="241"/>
      <c r="G127" s="241"/>
      <c r="H127" s="241"/>
      <c r="I127" s="241"/>
      <c r="J127" s="241"/>
      <c r="K127" s="241"/>
      <c r="L127" s="241"/>
      <c r="M127" s="241"/>
      <c r="N127" s="241"/>
      <c r="O127" s="241"/>
      <c r="P127" s="241"/>
      <c r="Q127" s="241"/>
      <c r="R127" s="241"/>
      <c r="S127" s="241"/>
      <c r="T127" s="241"/>
      <c r="U127" s="241"/>
      <c r="V127" s="241"/>
      <c r="W127" s="241"/>
      <c r="X127" s="241"/>
      <c r="Y127" s="241"/>
      <c r="Z127" s="241"/>
      <c r="AA127" s="241"/>
      <c r="AB127" s="241"/>
      <c r="AC127" s="241"/>
      <c r="AD127" s="241"/>
      <c r="AE127" s="241"/>
      <c r="AF127" s="240"/>
      <c r="AG127" s="240"/>
      <c r="AH127" s="240"/>
      <c r="AI127" s="240"/>
      <c r="AJ127" s="240"/>
      <c r="AK127" s="240"/>
      <c r="AL127" s="240"/>
      <c r="AM127" s="240"/>
      <c r="AN127" s="240"/>
      <c r="AO127" s="240"/>
      <c r="AP127" s="240"/>
      <c r="AQ127" s="240"/>
    </row>
    <row r="128" spans="1:43" ht="15.75">
      <c r="A128" s="241"/>
      <c r="B128" s="241"/>
      <c r="C128" s="241"/>
      <c r="D128" s="241"/>
      <c r="E128" s="241"/>
      <c r="F128" s="241"/>
      <c r="G128" s="241"/>
      <c r="H128" s="241"/>
      <c r="I128" s="241"/>
      <c r="J128" s="241"/>
      <c r="K128" s="241"/>
      <c r="L128" s="241"/>
      <c r="M128" s="241"/>
      <c r="N128" s="241"/>
      <c r="O128" s="241"/>
      <c r="P128" s="241"/>
      <c r="Q128" s="241"/>
      <c r="R128" s="241"/>
      <c r="S128" s="241"/>
      <c r="T128" s="241"/>
      <c r="U128" s="241"/>
      <c r="V128" s="241"/>
      <c r="W128" s="241"/>
      <c r="X128" s="241"/>
      <c r="Y128" s="241"/>
      <c r="Z128" s="241"/>
      <c r="AA128" s="241"/>
      <c r="AB128" s="241"/>
      <c r="AC128" s="241"/>
      <c r="AD128" s="241"/>
      <c r="AE128" s="241"/>
      <c r="AF128" s="240"/>
      <c r="AG128" s="240"/>
      <c r="AH128" s="240"/>
      <c r="AI128" s="240"/>
      <c r="AJ128" s="240"/>
      <c r="AK128" s="240"/>
      <c r="AL128" s="240"/>
      <c r="AM128" s="240"/>
      <c r="AN128" s="240"/>
      <c r="AO128" s="240"/>
      <c r="AP128" s="240"/>
      <c r="AQ128" s="240"/>
    </row>
    <row r="129" spans="1:43" ht="15.75">
      <c r="A129" s="241"/>
      <c r="B129" s="241"/>
      <c r="C129" s="241"/>
      <c r="D129" s="241"/>
      <c r="E129" s="241"/>
      <c r="F129" s="241"/>
      <c r="G129" s="241"/>
      <c r="H129" s="241"/>
      <c r="I129" s="241"/>
      <c r="J129" s="241"/>
      <c r="K129" s="241"/>
      <c r="L129" s="241"/>
      <c r="M129" s="241"/>
      <c r="N129" s="241"/>
      <c r="O129" s="241"/>
      <c r="P129" s="241"/>
      <c r="Q129" s="241"/>
      <c r="R129" s="241"/>
      <c r="S129" s="241"/>
      <c r="T129" s="241"/>
      <c r="U129" s="241"/>
      <c r="V129" s="241"/>
      <c r="W129" s="241"/>
      <c r="X129" s="241"/>
      <c r="Y129" s="241"/>
      <c r="Z129" s="241"/>
      <c r="AA129" s="241"/>
      <c r="AB129" s="241"/>
      <c r="AC129" s="241"/>
      <c r="AD129" s="241"/>
      <c r="AE129" s="241"/>
      <c r="AF129" s="240"/>
      <c r="AG129" s="240"/>
      <c r="AH129" s="240"/>
      <c r="AI129" s="240"/>
      <c r="AJ129" s="240"/>
      <c r="AK129" s="240"/>
      <c r="AL129" s="240"/>
      <c r="AM129" s="240"/>
      <c r="AN129" s="240"/>
      <c r="AO129" s="240"/>
      <c r="AP129" s="240"/>
      <c r="AQ129" s="240"/>
    </row>
    <row r="130" spans="1:43" ht="15.75">
      <c r="A130" s="241"/>
      <c r="B130" s="241"/>
      <c r="C130" s="241"/>
      <c r="D130" s="241"/>
      <c r="E130" s="241"/>
      <c r="F130" s="241"/>
      <c r="G130" s="241"/>
      <c r="H130" s="241"/>
      <c r="I130" s="241"/>
      <c r="J130" s="241"/>
      <c r="K130" s="241"/>
      <c r="L130" s="241"/>
      <c r="M130" s="241"/>
      <c r="N130" s="241"/>
      <c r="O130" s="241"/>
      <c r="P130" s="241"/>
      <c r="Q130" s="241"/>
      <c r="R130" s="241"/>
      <c r="S130" s="241"/>
      <c r="T130" s="241"/>
      <c r="U130" s="241"/>
      <c r="V130" s="241"/>
      <c r="W130" s="241"/>
      <c r="X130" s="241"/>
      <c r="Y130" s="241"/>
      <c r="Z130" s="241"/>
      <c r="AA130" s="241"/>
      <c r="AB130" s="241"/>
      <c r="AC130" s="241"/>
      <c r="AD130" s="241"/>
      <c r="AE130" s="241"/>
      <c r="AF130" s="240"/>
      <c r="AG130" s="240"/>
      <c r="AH130" s="240"/>
      <c r="AI130" s="240"/>
      <c r="AJ130" s="240"/>
      <c r="AK130" s="240"/>
      <c r="AL130" s="240"/>
      <c r="AM130" s="240"/>
      <c r="AN130" s="240"/>
      <c r="AO130" s="240"/>
      <c r="AP130" s="240"/>
      <c r="AQ130" s="240"/>
    </row>
    <row r="131" spans="1:43" ht="15.75">
      <c r="A131" s="241"/>
      <c r="B131" s="241"/>
      <c r="C131" s="241"/>
      <c r="D131" s="241"/>
      <c r="E131" s="241"/>
      <c r="F131" s="241"/>
      <c r="G131" s="241"/>
      <c r="H131" s="241"/>
      <c r="I131" s="241"/>
      <c r="J131" s="241"/>
      <c r="K131" s="241"/>
      <c r="L131" s="241"/>
      <c r="M131" s="241"/>
      <c r="N131" s="241"/>
      <c r="O131" s="241"/>
      <c r="P131" s="241"/>
      <c r="Q131" s="241"/>
      <c r="R131" s="241"/>
      <c r="S131" s="241"/>
      <c r="T131" s="241"/>
      <c r="U131" s="241"/>
      <c r="V131" s="241"/>
      <c r="W131" s="241"/>
      <c r="X131" s="241"/>
      <c r="Y131" s="241"/>
      <c r="Z131" s="241"/>
      <c r="AA131" s="241"/>
      <c r="AB131" s="241"/>
      <c r="AC131" s="241"/>
      <c r="AD131" s="241"/>
      <c r="AE131" s="241"/>
      <c r="AF131" s="240"/>
      <c r="AG131" s="240"/>
      <c r="AH131" s="240"/>
      <c r="AI131" s="240"/>
      <c r="AJ131" s="240"/>
      <c r="AK131" s="240"/>
      <c r="AL131" s="240"/>
      <c r="AM131" s="240"/>
      <c r="AN131" s="240"/>
      <c r="AO131" s="240"/>
      <c r="AP131" s="240"/>
      <c r="AQ131" s="240"/>
    </row>
    <row r="132" spans="1:43" ht="15.75">
      <c r="A132" s="241"/>
      <c r="B132" s="241"/>
      <c r="C132" s="241"/>
      <c r="D132" s="241"/>
      <c r="E132" s="241"/>
      <c r="F132" s="241"/>
      <c r="G132" s="241"/>
      <c r="H132" s="241"/>
      <c r="I132" s="241"/>
      <c r="J132" s="241"/>
      <c r="K132" s="241"/>
      <c r="L132" s="241"/>
      <c r="M132" s="241"/>
      <c r="N132" s="241"/>
      <c r="O132" s="241"/>
      <c r="P132" s="241"/>
      <c r="Q132" s="241"/>
      <c r="R132" s="241"/>
      <c r="S132" s="241"/>
      <c r="T132" s="241"/>
      <c r="U132" s="241"/>
      <c r="V132" s="241"/>
      <c r="W132" s="241"/>
      <c r="X132" s="241"/>
      <c r="Y132" s="241"/>
      <c r="Z132" s="241"/>
      <c r="AA132" s="241"/>
      <c r="AB132" s="241"/>
      <c r="AC132" s="241"/>
      <c r="AD132" s="241"/>
      <c r="AE132" s="241"/>
      <c r="AF132" s="240"/>
      <c r="AG132" s="240"/>
      <c r="AH132" s="240"/>
      <c r="AI132" s="240"/>
      <c r="AJ132" s="240"/>
      <c r="AK132" s="240"/>
      <c r="AL132" s="240"/>
      <c r="AM132" s="240"/>
      <c r="AN132" s="240"/>
      <c r="AO132" s="240"/>
      <c r="AP132" s="240"/>
      <c r="AQ132" s="240"/>
    </row>
    <row r="133" spans="1:43" ht="15.75">
      <c r="A133" s="241"/>
      <c r="B133" s="241"/>
      <c r="C133" s="241"/>
      <c r="D133" s="241"/>
      <c r="E133" s="241"/>
      <c r="F133" s="241"/>
      <c r="G133" s="241"/>
      <c r="H133" s="241"/>
      <c r="I133" s="241"/>
      <c r="J133" s="241"/>
      <c r="K133" s="241"/>
      <c r="L133" s="241"/>
      <c r="M133" s="241"/>
      <c r="N133" s="241"/>
      <c r="O133" s="241"/>
      <c r="P133" s="241"/>
      <c r="Q133" s="241"/>
      <c r="R133" s="241"/>
      <c r="S133" s="241"/>
      <c r="T133" s="241"/>
      <c r="U133" s="241"/>
      <c r="V133" s="241"/>
      <c r="W133" s="241"/>
      <c r="X133" s="241"/>
      <c r="Y133" s="241"/>
      <c r="Z133" s="241"/>
      <c r="AA133" s="241"/>
      <c r="AB133" s="241"/>
      <c r="AC133" s="241"/>
      <c r="AD133" s="241"/>
      <c r="AE133" s="241"/>
      <c r="AF133" s="240"/>
      <c r="AG133" s="240"/>
      <c r="AH133" s="240"/>
      <c r="AI133" s="240"/>
      <c r="AJ133" s="240"/>
      <c r="AK133" s="240"/>
      <c r="AL133" s="240"/>
      <c r="AM133" s="240"/>
      <c r="AN133" s="240"/>
      <c r="AO133" s="240"/>
      <c r="AP133" s="240"/>
      <c r="AQ133" s="240"/>
    </row>
    <row r="134" spans="1:43" ht="15.75">
      <c r="A134" s="241"/>
      <c r="B134" s="241"/>
      <c r="C134" s="241"/>
      <c r="D134" s="241"/>
      <c r="E134" s="241"/>
      <c r="F134" s="241"/>
      <c r="G134" s="241"/>
      <c r="H134" s="241"/>
      <c r="I134" s="241"/>
      <c r="J134" s="241"/>
      <c r="K134" s="241"/>
      <c r="L134" s="241"/>
      <c r="M134" s="241"/>
      <c r="N134" s="241"/>
      <c r="O134" s="241"/>
      <c r="P134" s="241"/>
      <c r="Q134" s="241"/>
      <c r="R134" s="241"/>
      <c r="S134" s="241"/>
      <c r="T134" s="241"/>
      <c r="U134" s="241"/>
      <c r="V134" s="241"/>
      <c r="W134" s="241"/>
      <c r="X134" s="241"/>
      <c r="Y134" s="241"/>
      <c r="Z134" s="241"/>
      <c r="AA134" s="241"/>
      <c r="AB134" s="241"/>
      <c r="AC134" s="241"/>
      <c r="AD134" s="241"/>
      <c r="AE134" s="241"/>
      <c r="AF134" s="240"/>
      <c r="AG134" s="240"/>
      <c r="AH134" s="240"/>
      <c r="AI134" s="240"/>
      <c r="AJ134" s="240"/>
      <c r="AK134" s="240"/>
      <c r="AL134" s="240"/>
      <c r="AM134" s="240"/>
      <c r="AN134" s="240"/>
      <c r="AO134" s="240"/>
      <c r="AP134" s="240"/>
      <c r="AQ134" s="240"/>
    </row>
    <row r="135" spans="1:43" ht="15.75">
      <c r="A135" s="241"/>
      <c r="B135" s="241"/>
      <c r="C135" s="241"/>
      <c r="D135" s="241"/>
      <c r="E135" s="241"/>
      <c r="F135" s="241"/>
      <c r="G135" s="241"/>
      <c r="H135" s="241"/>
      <c r="I135" s="241"/>
      <c r="J135" s="241"/>
      <c r="K135" s="241"/>
      <c r="L135" s="241"/>
      <c r="M135" s="241"/>
      <c r="N135" s="241"/>
      <c r="O135" s="241"/>
      <c r="P135" s="241"/>
      <c r="Q135" s="241"/>
      <c r="R135" s="241"/>
      <c r="S135" s="241"/>
      <c r="T135" s="241"/>
      <c r="U135" s="241"/>
      <c r="V135" s="241"/>
      <c r="W135" s="241"/>
      <c r="X135" s="241"/>
      <c r="Y135" s="241"/>
      <c r="Z135" s="241"/>
      <c r="AA135" s="241"/>
      <c r="AB135" s="241"/>
      <c r="AC135" s="241"/>
      <c r="AD135" s="241"/>
      <c r="AE135" s="241"/>
      <c r="AF135" s="240"/>
      <c r="AG135" s="240"/>
      <c r="AH135" s="240"/>
      <c r="AI135" s="240"/>
      <c r="AJ135" s="240"/>
      <c r="AK135" s="240"/>
      <c r="AL135" s="240"/>
      <c r="AM135" s="240"/>
      <c r="AN135" s="240"/>
      <c r="AO135" s="240"/>
      <c r="AP135" s="240"/>
      <c r="AQ135" s="240"/>
    </row>
    <row r="136" spans="1:43" ht="15.75">
      <c r="A136" s="241"/>
      <c r="B136" s="241"/>
      <c r="C136" s="241"/>
      <c r="D136" s="241"/>
      <c r="E136" s="241"/>
      <c r="F136" s="241"/>
      <c r="G136" s="241"/>
      <c r="H136" s="241"/>
      <c r="I136" s="241"/>
      <c r="J136" s="241"/>
      <c r="K136" s="241"/>
      <c r="L136" s="241"/>
      <c r="M136" s="241"/>
      <c r="N136" s="241"/>
      <c r="O136" s="241"/>
      <c r="P136" s="241"/>
      <c r="Q136" s="241"/>
      <c r="R136" s="241"/>
      <c r="S136" s="241"/>
      <c r="T136" s="241"/>
      <c r="U136" s="241"/>
      <c r="V136" s="241"/>
      <c r="W136" s="241"/>
      <c r="X136" s="241"/>
      <c r="Y136" s="241"/>
      <c r="Z136" s="241"/>
      <c r="AA136" s="241"/>
      <c r="AB136" s="241"/>
      <c r="AC136" s="241"/>
      <c r="AD136" s="241"/>
      <c r="AE136" s="241"/>
      <c r="AF136" s="240"/>
      <c r="AG136" s="240"/>
      <c r="AH136" s="240"/>
      <c r="AI136" s="240"/>
      <c r="AJ136" s="240"/>
      <c r="AK136" s="240"/>
      <c r="AL136" s="240"/>
      <c r="AM136" s="240"/>
      <c r="AN136" s="240"/>
      <c r="AO136" s="240"/>
      <c r="AP136" s="240"/>
      <c r="AQ136" s="240"/>
    </row>
    <row r="137" spans="1:43" ht="15.75">
      <c r="A137" s="241"/>
      <c r="B137" s="241"/>
      <c r="C137" s="241"/>
      <c r="D137" s="241"/>
      <c r="E137" s="241"/>
      <c r="F137" s="241"/>
      <c r="G137" s="241"/>
      <c r="H137" s="241"/>
      <c r="I137" s="241"/>
      <c r="J137" s="241"/>
      <c r="K137" s="241"/>
      <c r="L137" s="241"/>
      <c r="M137" s="241"/>
      <c r="N137" s="241"/>
      <c r="O137" s="241"/>
      <c r="P137" s="241"/>
      <c r="Q137" s="241"/>
      <c r="R137" s="241"/>
      <c r="S137" s="241"/>
      <c r="T137" s="241"/>
      <c r="U137" s="241"/>
      <c r="V137" s="241"/>
      <c r="W137" s="241"/>
      <c r="X137" s="241"/>
      <c r="Y137" s="241"/>
      <c r="Z137" s="241"/>
      <c r="AA137" s="241"/>
      <c r="AB137" s="241"/>
      <c r="AC137" s="241"/>
      <c r="AD137" s="241"/>
      <c r="AE137" s="241"/>
      <c r="AF137" s="240"/>
      <c r="AG137" s="240"/>
      <c r="AH137" s="240"/>
      <c r="AI137" s="240"/>
      <c r="AJ137" s="240"/>
      <c r="AK137" s="240"/>
      <c r="AL137" s="240"/>
      <c r="AM137" s="240"/>
      <c r="AN137" s="240"/>
      <c r="AO137" s="240"/>
      <c r="AP137" s="240"/>
      <c r="AQ137" s="240"/>
    </row>
    <row r="138" spans="1:43" ht="15.75">
      <c r="A138" s="241"/>
      <c r="B138" s="241"/>
      <c r="C138" s="241"/>
      <c r="D138" s="241"/>
      <c r="E138" s="241"/>
      <c r="F138" s="241"/>
      <c r="G138" s="241"/>
      <c r="H138" s="241"/>
      <c r="I138" s="241"/>
      <c r="J138" s="241"/>
      <c r="K138" s="241"/>
      <c r="L138" s="241"/>
      <c r="M138" s="241"/>
      <c r="N138" s="241"/>
      <c r="O138" s="241"/>
      <c r="P138" s="241"/>
      <c r="Q138" s="241"/>
      <c r="R138" s="241"/>
      <c r="S138" s="241"/>
      <c r="T138" s="241"/>
      <c r="U138" s="241"/>
      <c r="V138" s="241"/>
      <c r="W138" s="241"/>
      <c r="X138" s="241"/>
      <c r="Y138" s="241"/>
      <c r="Z138" s="241"/>
      <c r="AA138" s="241"/>
      <c r="AB138" s="241"/>
      <c r="AC138" s="241"/>
      <c r="AD138" s="241"/>
      <c r="AE138" s="241"/>
      <c r="AF138" s="240"/>
      <c r="AG138" s="240"/>
      <c r="AH138" s="240"/>
      <c r="AI138" s="240"/>
      <c r="AJ138" s="240"/>
      <c r="AK138" s="240"/>
      <c r="AL138" s="240"/>
      <c r="AM138" s="240"/>
      <c r="AN138" s="240"/>
      <c r="AO138" s="240"/>
      <c r="AP138" s="240"/>
      <c r="AQ138" s="240"/>
    </row>
    <row r="139" spans="1:43" ht="15.75">
      <c r="A139" s="241"/>
      <c r="B139" s="241"/>
      <c r="C139" s="241"/>
      <c r="D139" s="241"/>
      <c r="E139" s="241"/>
      <c r="F139" s="241"/>
      <c r="G139" s="241"/>
      <c r="H139" s="241"/>
      <c r="I139" s="241"/>
      <c r="J139" s="241"/>
      <c r="K139" s="241"/>
      <c r="L139" s="241"/>
      <c r="M139" s="241"/>
      <c r="N139" s="241"/>
      <c r="O139" s="241"/>
      <c r="P139" s="241"/>
      <c r="Q139" s="241"/>
      <c r="R139" s="241"/>
      <c r="S139" s="241"/>
      <c r="T139" s="241"/>
      <c r="U139" s="241"/>
      <c r="V139" s="241"/>
      <c r="W139" s="241"/>
      <c r="X139" s="241"/>
      <c r="Y139" s="241"/>
      <c r="Z139" s="241"/>
      <c r="AA139" s="241"/>
      <c r="AB139" s="241"/>
      <c r="AC139" s="241"/>
      <c r="AD139" s="241"/>
      <c r="AE139" s="241"/>
      <c r="AF139" s="240"/>
      <c r="AG139" s="240"/>
      <c r="AH139" s="240"/>
      <c r="AI139" s="240"/>
      <c r="AJ139" s="240"/>
      <c r="AK139" s="240"/>
      <c r="AL139" s="240"/>
      <c r="AM139" s="240"/>
      <c r="AN139" s="240"/>
      <c r="AO139" s="240"/>
      <c r="AP139" s="240"/>
      <c r="AQ139" s="240"/>
    </row>
    <row r="140" spans="1:43" ht="15.75">
      <c r="A140" s="241"/>
      <c r="B140" s="241"/>
      <c r="C140" s="241"/>
      <c r="D140" s="241"/>
      <c r="E140" s="241"/>
      <c r="F140" s="241"/>
      <c r="G140" s="241"/>
      <c r="H140" s="241"/>
      <c r="I140" s="241"/>
      <c r="J140" s="241"/>
      <c r="K140" s="241"/>
      <c r="L140" s="241"/>
      <c r="M140" s="241"/>
      <c r="N140" s="241"/>
      <c r="O140" s="241"/>
      <c r="P140" s="241"/>
      <c r="Q140" s="241"/>
      <c r="R140" s="241"/>
      <c r="S140" s="241"/>
      <c r="T140" s="241"/>
      <c r="U140" s="241"/>
      <c r="V140" s="241"/>
      <c r="W140" s="241"/>
      <c r="X140" s="241"/>
      <c r="Y140" s="241"/>
      <c r="Z140" s="241"/>
      <c r="AA140" s="241"/>
      <c r="AB140" s="241"/>
      <c r="AC140" s="241"/>
      <c r="AD140" s="241"/>
      <c r="AE140" s="241"/>
      <c r="AF140" s="240"/>
      <c r="AG140" s="240"/>
      <c r="AH140" s="240"/>
      <c r="AI140" s="240"/>
      <c r="AJ140" s="240"/>
      <c r="AK140" s="240"/>
      <c r="AL140" s="240"/>
      <c r="AM140" s="240"/>
      <c r="AN140" s="240"/>
      <c r="AO140" s="240"/>
      <c r="AP140" s="240"/>
      <c r="AQ140" s="240"/>
    </row>
    <row r="141" spans="1:43" ht="15.75">
      <c r="A141" s="241"/>
      <c r="B141" s="241"/>
      <c r="C141" s="241"/>
      <c r="D141" s="241"/>
      <c r="E141" s="241"/>
      <c r="F141" s="241"/>
      <c r="G141" s="241"/>
      <c r="H141" s="241"/>
      <c r="I141" s="241"/>
      <c r="J141" s="241"/>
      <c r="K141" s="241"/>
      <c r="L141" s="241"/>
      <c r="M141" s="241"/>
      <c r="N141" s="241"/>
      <c r="O141" s="241"/>
      <c r="P141" s="241"/>
      <c r="Q141" s="241"/>
      <c r="R141" s="241"/>
      <c r="S141" s="241"/>
      <c r="T141" s="241"/>
      <c r="U141" s="241"/>
      <c r="V141" s="241"/>
      <c r="W141" s="241"/>
      <c r="X141" s="241"/>
      <c r="Y141" s="241"/>
      <c r="Z141" s="241"/>
      <c r="AA141" s="241"/>
      <c r="AB141" s="241"/>
      <c r="AC141" s="241"/>
      <c r="AD141" s="241"/>
      <c r="AE141" s="241"/>
      <c r="AF141" s="240"/>
      <c r="AG141" s="240"/>
      <c r="AH141" s="240"/>
      <c r="AI141" s="240"/>
      <c r="AJ141" s="240"/>
      <c r="AK141" s="240"/>
      <c r="AL141" s="240"/>
      <c r="AM141" s="240"/>
      <c r="AN141" s="240"/>
      <c r="AO141" s="240"/>
      <c r="AP141" s="240"/>
      <c r="AQ141" s="240"/>
    </row>
    <row r="142" spans="1:43" ht="15.75">
      <c r="A142" s="241"/>
      <c r="B142" s="241"/>
      <c r="C142" s="241"/>
      <c r="D142" s="241"/>
      <c r="E142" s="241"/>
      <c r="F142" s="241"/>
      <c r="G142" s="241"/>
      <c r="H142" s="241"/>
      <c r="I142" s="241"/>
      <c r="J142" s="241"/>
      <c r="K142" s="241"/>
      <c r="L142" s="241"/>
      <c r="M142" s="241"/>
      <c r="N142" s="241"/>
      <c r="O142" s="241"/>
      <c r="P142" s="241"/>
      <c r="Q142" s="241"/>
      <c r="R142" s="241"/>
      <c r="S142" s="241"/>
      <c r="T142" s="241"/>
      <c r="U142" s="241"/>
      <c r="V142" s="241"/>
      <c r="W142" s="241"/>
      <c r="X142" s="241"/>
      <c r="Y142" s="241"/>
      <c r="Z142" s="241"/>
      <c r="AA142" s="241"/>
      <c r="AB142" s="241"/>
      <c r="AC142" s="241"/>
      <c r="AD142" s="241"/>
      <c r="AE142" s="241"/>
      <c r="AF142" s="240"/>
      <c r="AG142" s="240"/>
      <c r="AH142" s="240"/>
      <c r="AI142" s="240"/>
      <c r="AJ142" s="240"/>
      <c r="AK142" s="240"/>
      <c r="AL142" s="240"/>
      <c r="AM142" s="240"/>
      <c r="AN142" s="240"/>
      <c r="AO142" s="240"/>
      <c r="AP142" s="240"/>
      <c r="AQ142" s="240"/>
    </row>
    <row r="143" spans="1:43" ht="15.75">
      <c r="A143" s="241"/>
      <c r="B143" s="241"/>
      <c r="C143" s="241"/>
      <c r="D143" s="241"/>
      <c r="E143" s="241"/>
      <c r="F143" s="241"/>
      <c r="G143" s="241"/>
      <c r="H143" s="241"/>
      <c r="I143" s="241"/>
      <c r="J143" s="241"/>
      <c r="K143" s="241"/>
      <c r="L143" s="241"/>
      <c r="M143" s="241"/>
      <c r="N143" s="241"/>
      <c r="O143" s="241"/>
      <c r="P143" s="241"/>
      <c r="Q143" s="241"/>
      <c r="R143" s="241"/>
      <c r="S143" s="241"/>
      <c r="T143" s="241"/>
      <c r="U143" s="241"/>
      <c r="V143" s="241"/>
      <c r="W143" s="241"/>
      <c r="X143" s="241"/>
      <c r="Y143" s="241"/>
      <c r="Z143" s="241"/>
      <c r="AA143" s="241"/>
      <c r="AB143" s="241"/>
      <c r="AC143" s="241"/>
      <c r="AD143" s="241"/>
      <c r="AE143" s="241"/>
      <c r="AF143" s="240"/>
      <c r="AG143" s="240"/>
      <c r="AH143" s="240"/>
      <c r="AI143" s="240"/>
      <c r="AJ143" s="240"/>
      <c r="AK143" s="240"/>
      <c r="AL143" s="240"/>
      <c r="AM143" s="240"/>
      <c r="AN143" s="240"/>
      <c r="AO143" s="240"/>
      <c r="AP143" s="240"/>
      <c r="AQ143" s="240"/>
    </row>
    <row r="144" spans="1:43" ht="15.75">
      <c r="A144" s="241"/>
      <c r="B144" s="241"/>
      <c r="C144" s="241"/>
      <c r="D144" s="241"/>
      <c r="E144" s="241"/>
      <c r="F144" s="241"/>
      <c r="G144" s="241"/>
      <c r="H144" s="241"/>
      <c r="I144" s="241"/>
      <c r="J144" s="241"/>
      <c r="K144" s="241"/>
      <c r="L144" s="241"/>
      <c r="M144" s="241"/>
      <c r="N144" s="241"/>
      <c r="O144" s="241"/>
      <c r="P144" s="241"/>
      <c r="Q144" s="241"/>
      <c r="R144" s="241"/>
      <c r="S144" s="241"/>
      <c r="T144" s="241"/>
      <c r="U144" s="241"/>
      <c r="V144" s="241"/>
      <c r="W144" s="241"/>
      <c r="X144" s="241"/>
      <c r="Y144" s="241"/>
      <c r="Z144" s="241"/>
      <c r="AA144" s="241"/>
      <c r="AB144" s="241"/>
      <c r="AC144" s="241"/>
      <c r="AD144" s="241"/>
      <c r="AE144" s="241"/>
      <c r="AF144" s="240"/>
      <c r="AG144" s="240"/>
      <c r="AH144" s="240"/>
      <c r="AI144" s="240"/>
      <c r="AJ144" s="240"/>
      <c r="AK144" s="240"/>
      <c r="AL144" s="240"/>
      <c r="AM144" s="240"/>
      <c r="AN144" s="240"/>
      <c r="AO144" s="240"/>
      <c r="AP144" s="240"/>
      <c r="AQ144" s="240"/>
    </row>
    <row r="145" spans="1:43" ht="15.75">
      <c r="A145" s="241"/>
      <c r="B145" s="241"/>
      <c r="C145" s="241"/>
      <c r="D145" s="241"/>
      <c r="E145" s="241"/>
      <c r="F145" s="241"/>
      <c r="G145" s="241"/>
      <c r="H145" s="241"/>
      <c r="I145" s="241"/>
      <c r="J145" s="241"/>
      <c r="K145" s="241"/>
      <c r="L145" s="241"/>
      <c r="M145" s="241"/>
      <c r="N145" s="241"/>
      <c r="O145" s="241"/>
      <c r="P145" s="241"/>
      <c r="Q145" s="241"/>
      <c r="R145" s="241"/>
      <c r="S145" s="241"/>
      <c r="T145" s="241"/>
      <c r="U145" s="241"/>
      <c r="V145" s="241"/>
      <c r="W145" s="241"/>
      <c r="X145" s="241"/>
      <c r="Y145" s="241"/>
      <c r="Z145" s="241"/>
      <c r="AA145" s="241"/>
      <c r="AB145" s="241"/>
      <c r="AC145" s="241"/>
      <c r="AD145" s="241"/>
      <c r="AE145" s="241"/>
      <c r="AF145" s="240"/>
      <c r="AG145" s="240"/>
      <c r="AH145" s="240"/>
      <c r="AI145" s="240"/>
      <c r="AJ145" s="240"/>
      <c r="AK145" s="240"/>
      <c r="AL145" s="240"/>
      <c r="AM145" s="240"/>
      <c r="AN145" s="240"/>
      <c r="AO145" s="240"/>
      <c r="AP145" s="240"/>
      <c r="AQ145" s="240"/>
    </row>
    <row r="146" spans="1:43" ht="15.75">
      <c r="A146" s="241"/>
      <c r="B146" s="241"/>
      <c r="C146" s="241"/>
      <c r="D146" s="241"/>
      <c r="E146" s="241"/>
      <c r="F146" s="241"/>
      <c r="G146" s="241"/>
      <c r="H146" s="241"/>
      <c r="I146" s="241"/>
      <c r="J146" s="241"/>
      <c r="K146" s="241"/>
      <c r="L146" s="241"/>
      <c r="M146" s="241"/>
      <c r="N146" s="241"/>
      <c r="O146" s="241"/>
      <c r="P146" s="241"/>
      <c r="Q146" s="241"/>
      <c r="R146" s="241"/>
      <c r="S146" s="241"/>
      <c r="T146" s="241"/>
      <c r="U146" s="241"/>
      <c r="V146" s="241"/>
      <c r="W146" s="241"/>
      <c r="X146" s="241"/>
      <c r="Y146" s="241"/>
      <c r="Z146" s="241"/>
      <c r="AA146" s="241"/>
      <c r="AB146" s="241"/>
      <c r="AC146" s="241"/>
      <c r="AD146" s="241"/>
      <c r="AE146" s="241"/>
      <c r="AF146" s="240"/>
      <c r="AG146" s="240"/>
      <c r="AH146" s="240"/>
      <c r="AI146" s="240"/>
      <c r="AJ146" s="240"/>
      <c r="AK146" s="240"/>
      <c r="AL146" s="240"/>
      <c r="AM146" s="240"/>
      <c r="AN146" s="240"/>
      <c r="AO146" s="240"/>
      <c r="AP146" s="240"/>
      <c r="AQ146" s="240"/>
    </row>
    <row r="147" spans="1:43" ht="15.75">
      <c r="A147" s="241"/>
      <c r="B147" s="241"/>
      <c r="C147" s="241"/>
      <c r="D147" s="241"/>
      <c r="E147" s="241"/>
      <c r="F147" s="241"/>
      <c r="G147" s="241"/>
      <c r="H147" s="241"/>
      <c r="I147" s="241"/>
      <c r="J147" s="241"/>
      <c r="K147" s="241"/>
      <c r="L147" s="241"/>
      <c r="M147" s="241"/>
      <c r="N147" s="241"/>
      <c r="O147" s="241"/>
      <c r="P147" s="241"/>
      <c r="Q147" s="241"/>
      <c r="R147" s="241"/>
      <c r="S147" s="241"/>
      <c r="T147" s="241"/>
      <c r="U147" s="241"/>
      <c r="V147" s="241"/>
      <c r="W147" s="241"/>
      <c r="X147" s="241"/>
      <c r="Y147" s="241"/>
      <c r="Z147" s="241"/>
      <c r="AA147" s="241"/>
      <c r="AB147" s="241"/>
      <c r="AC147" s="241"/>
      <c r="AD147" s="241"/>
      <c r="AE147" s="241"/>
      <c r="AF147" s="240"/>
      <c r="AG147" s="240"/>
      <c r="AH147" s="240"/>
      <c r="AI147" s="240"/>
      <c r="AJ147" s="240"/>
      <c r="AK147" s="240"/>
      <c r="AL147" s="240"/>
      <c r="AM147" s="240"/>
      <c r="AN147" s="240"/>
      <c r="AO147" s="240"/>
      <c r="AP147" s="240"/>
      <c r="AQ147" s="240"/>
    </row>
    <row r="148" spans="1:43" ht="15.75">
      <c r="A148" s="241"/>
      <c r="B148" s="241"/>
      <c r="C148" s="241"/>
      <c r="D148" s="241"/>
      <c r="E148" s="241"/>
      <c r="F148" s="241"/>
      <c r="G148" s="241"/>
      <c r="H148" s="241"/>
      <c r="I148" s="241"/>
      <c r="J148" s="241"/>
      <c r="K148" s="241"/>
      <c r="L148" s="241"/>
      <c r="M148" s="241"/>
      <c r="N148" s="241"/>
      <c r="O148" s="241"/>
      <c r="P148" s="241"/>
      <c r="Q148" s="241"/>
      <c r="R148" s="241"/>
      <c r="S148" s="241"/>
      <c r="T148" s="241"/>
      <c r="U148" s="241"/>
      <c r="V148" s="241"/>
      <c r="W148" s="241"/>
      <c r="X148" s="241"/>
      <c r="Y148" s="241"/>
      <c r="Z148" s="241"/>
      <c r="AA148" s="241"/>
      <c r="AB148" s="241"/>
      <c r="AC148" s="241"/>
      <c r="AD148" s="241"/>
      <c r="AE148" s="241"/>
      <c r="AF148" s="240"/>
      <c r="AG148" s="240"/>
      <c r="AH148" s="240"/>
      <c r="AI148" s="240"/>
      <c r="AJ148" s="240"/>
      <c r="AK148" s="240"/>
      <c r="AL148" s="240"/>
      <c r="AM148" s="240"/>
      <c r="AN148" s="240"/>
      <c r="AO148" s="240"/>
      <c r="AP148" s="240"/>
      <c r="AQ148" s="240"/>
    </row>
    <row r="149" spans="1:43" ht="15.75">
      <c r="A149" s="241"/>
      <c r="B149" s="241"/>
      <c r="C149" s="241"/>
      <c r="D149" s="241"/>
      <c r="E149" s="241"/>
      <c r="F149" s="241"/>
      <c r="G149" s="241"/>
      <c r="H149" s="241"/>
      <c r="I149" s="241"/>
      <c r="J149" s="241"/>
      <c r="K149" s="241"/>
      <c r="L149" s="241"/>
      <c r="M149" s="241"/>
      <c r="N149" s="241"/>
      <c r="O149" s="241"/>
      <c r="P149" s="241"/>
      <c r="Q149" s="241"/>
      <c r="R149" s="241"/>
      <c r="S149" s="241"/>
      <c r="T149" s="241"/>
      <c r="U149" s="241"/>
      <c r="V149" s="241"/>
      <c r="W149" s="241"/>
      <c r="X149" s="241"/>
      <c r="Y149" s="241"/>
      <c r="Z149" s="241"/>
      <c r="AA149" s="241"/>
      <c r="AB149" s="241"/>
      <c r="AC149" s="241"/>
      <c r="AD149" s="241"/>
      <c r="AE149" s="241"/>
      <c r="AF149" s="240"/>
      <c r="AG149" s="240"/>
      <c r="AH149" s="240"/>
      <c r="AI149" s="240"/>
      <c r="AJ149" s="240"/>
      <c r="AK149" s="240"/>
      <c r="AL149" s="240"/>
      <c r="AM149" s="240"/>
      <c r="AN149" s="240"/>
      <c r="AO149" s="240"/>
      <c r="AP149" s="240"/>
      <c r="AQ149" s="240"/>
    </row>
    <row r="150" spans="1:43" ht="15.75">
      <c r="A150" s="241"/>
      <c r="B150" s="241"/>
      <c r="C150" s="241"/>
      <c r="D150" s="241"/>
      <c r="E150" s="241"/>
      <c r="F150" s="241"/>
      <c r="G150" s="241"/>
      <c r="H150" s="241"/>
      <c r="I150" s="241"/>
      <c r="J150" s="241"/>
      <c r="K150" s="241"/>
      <c r="L150" s="241"/>
      <c r="M150" s="241"/>
      <c r="N150" s="241"/>
      <c r="O150" s="241"/>
      <c r="P150" s="241"/>
      <c r="Q150" s="241"/>
      <c r="R150" s="241"/>
      <c r="S150" s="241"/>
      <c r="T150" s="241"/>
      <c r="U150" s="241"/>
      <c r="V150" s="241"/>
      <c r="W150" s="241"/>
      <c r="X150" s="241"/>
      <c r="Y150" s="241"/>
      <c r="Z150" s="241"/>
      <c r="AA150" s="241"/>
      <c r="AB150" s="241"/>
      <c r="AC150" s="241"/>
      <c r="AD150" s="241"/>
      <c r="AE150" s="241"/>
      <c r="AF150" s="240"/>
      <c r="AG150" s="240"/>
      <c r="AH150" s="240"/>
      <c r="AI150" s="240"/>
      <c r="AJ150" s="240"/>
      <c r="AK150" s="240"/>
      <c r="AL150" s="240"/>
      <c r="AM150" s="240"/>
      <c r="AN150" s="240"/>
      <c r="AO150" s="240"/>
      <c r="AP150" s="240"/>
      <c r="AQ150" s="240"/>
    </row>
    <row r="151" spans="1:43" ht="15.75">
      <c r="A151" s="241"/>
      <c r="B151" s="241"/>
      <c r="C151" s="241"/>
      <c r="D151" s="241"/>
      <c r="E151" s="241"/>
      <c r="F151" s="241"/>
      <c r="G151" s="241"/>
      <c r="H151" s="241"/>
      <c r="I151" s="241"/>
      <c r="J151" s="241"/>
      <c r="K151" s="241"/>
      <c r="L151" s="241"/>
      <c r="M151" s="241"/>
      <c r="N151" s="241"/>
      <c r="O151" s="241"/>
      <c r="P151" s="241"/>
      <c r="Q151" s="241"/>
      <c r="R151" s="241"/>
      <c r="S151" s="241"/>
      <c r="T151" s="241"/>
      <c r="U151" s="241"/>
      <c r="V151" s="241"/>
      <c r="W151" s="241"/>
      <c r="X151" s="241"/>
      <c r="Y151" s="241"/>
      <c r="Z151" s="241"/>
      <c r="AA151" s="241"/>
      <c r="AB151" s="241"/>
      <c r="AC151" s="241"/>
      <c r="AD151" s="241"/>
      <c r="AE151" s="241"/>
      <c r="AF151" s="240"/>
      <c r="AG151" s="240"/>
      <c r="AH151" s="240"/>
      <c r="AI151" s="240"/>
      <c r="AJ151" s="240"/>
      <c r="AK151" s="240"/>
      <c r="AL151" s="240"/>
      <c r="AM151" s="240"/>
      <c r="AN151" s="240"/>
      <c r="AO151" s="240"/>
      <c r="AP151" s="240"/>
      <c r="AQ151" s="240"/>
    </row>
    <row r="152" spans="1:43" ht="15.75">
      <c r="A152" s="241"/>
      <c r="B152" s="241"/>
      <c r="C152" s="241"/>
      <c r="D152" s="241"/>
      <c r="E152" s="241"/>
      <c r="F152" s="241"/>
      <c r="G152" s="241"/>
      <c r="H152" s="241"/>
      <c r="I152" s="241"/>
      <c r="J152" s="241"/>
      <c r="K152" s="241"/>
      <c r="L152" s="241"/>
      <c r="M152" s="241"/>
      <c r="N152" s="241"/>
      <c r="O152" s="241"/>
      <c r="P152" s="241"/>
      <c r="Q152" s="241"/>
      <c r="R152" s="241"/>
      <c r="S152" s="241"/>
      <c r="T152" s="241"/>
      <c r="U152" s="241"/>
      <c r="V152" s="241"/>
      <c r="W152" s="241"/>
      <c r="X152" s="241"/>
      <c r="Y152" s="241"/>
      <c r="Z152" s="241"/>
      <c r="AA152" s="241"/>
      <c r="AB152" s="241"/>
      <c r="AC152" s="241"/>
      <c r="AD152" s="241"/>
      <c r="AE152" s="241"/>
      <c r="AF152" s="240"/>
      <c r="AG152" s="240"/>
      <c r="AH152" s="240"/>
      <c r="AI152" s="240"/>
      <c r="AJ152" s="240"/>
      <c r="AK152" s="240"/>
      <c r="AL152" s="240"/>
      <c r="AM152" s="240"/>
      <c r="AN152" s="240"/>
      <c r="AO152" s="240"/>
      <c r="AP152" s="240"/>
      <c r="AQ152" s="240"/>
    </row>
    <row r="153" spans="1:43" ht="15.75">
      <c r="A153" s="241"/>
      <c r="B153" s="241"/>
      <c r="C153" s="241"/>
      <c r="D153" s="241"/>
      <c r="E153" s="241"/>
      <c r="F153" s="241"/>
      <c r="G153" s="241"/>
      <c r="H153" s="241"/>
      <c r="I153" s="241"/>
      <c r="J153" s="241"/>
      <c r="K153" s="241"/>
      <c r="L153" s="241"/>
      <c r="M153" s="241"/>
      <c r="N153" s="241"/>
      <c r="O153" s="241"/>
      <c r="P153" s="241"/>
      <c r="Q153" s="241"/>
      <c r="R153" s="241"/>
      <c r="S153" s="241"/>
      <c r="T153" s="241"/>
      <c r="U153" s="241"/>
      <c r="V153" s="241"/>
      <c r="W153" s="241"/>
      <c r="X153" s="241"/>
      <c r="Y153" s="241"/>
      <c r="Z153" s="241"/>
      <c r="AA153" s="241"/>
      <c r="AB153" s="241"/>
      <c r="AC153" s="241"/>
      <c r="AD153" s="241"/>
      <c r="AE153" s="241"/>
      <c r="AF153" s="240"/>
      <c r="AG153" s="240"/>
      <c r="AH153" s="240"/>
      <c r="AI153" s="240"/>
      <c r="AJ153" s="240"/>
      <c r="AK153" s="240"/>
      <c r="AL153" s="240"/>
      <c r="AM153" s="240"/>
      <c r="AN153" s="240"/>
      <c r="AO153" s="240"/>
      <c r="AP153" s="240"/>
      <c r="AQ153" s="240"/>
    </row>
    <row r="154" spans="1:43" ht="15.75">
      <c r="A154" s="241"/>
      <c r="B154" s="241"/>
      <c r="C154" s="241"/>
      <c r="D154" s="241"/>
      <c r="E154" s="241"/>
      <c r="F154" s="241"/>
      <c r="G154" s="241"/>
      <c r="H154" s="241"/>
      <c r="I154" s="241"/>
      <c r="J154" s="241"/>
      <c r="K154" s="241"/>
      <c r="L154" s="241"/>
      <c r="M154" s="241"/>
      <c r="N154" s="241"/>
      <c r="O154" s="241"/>
      <c r="P154" s="241"/>
      <c r="Q154" s="241"/>
      <c r="R154" s="241"/>
      <c r="S154" s="241"/>
      <c r="T154" s="241"/>
      <c r="U154" s="241"/>
      <c r="V154" s="241"/>
      <c r="W154" s="241"/>
      <c r="X154" s="241"/>
      <c r="Y154" s="241"/>
      <c r="Z154" s="241"/>
      <c r="AA154" s="241"/>
      <c r="AB154" s="241"/>
      <c r="AC154" s="241"/>
      <c r="AD154" s="241"/>
      <c r="AE154" s="241"/>
      <c r="AF154" s="240"/>
      <c r="AG154" s="240"/>
      <c r="AH154" s="240"/>
      <c r="AI154" s="240"/>
      <c r="AJ154" s="240"/>
      <c r="AK154" s="240"/>
      <c r="AL154" s="240"/>
      <c r="AM154" s="240"/>
      <c r="AN154" s="240"/>
      <c r="AO154" s="240"/>
      <c r="AP154" s="240"/>
      <c r="AQ154" s="240"/>
    </row>
    <row r="155" spans="1:43" ht="15.75">
      <c r="A155" s="241"/>
      <c r="B155" s="241"/>
      <c r="C155" s="241"/>
      <c r="D155" s="241"/>
      <c r="E155" s="241"/>
      <c r="F155" s="241"/>
      <c r="G155" s="241"/>
      <c r="H155" s="241"/>
      <c r="I155" s="241"/>
      <c r="J155" s="241"/>
      <c r="K155" s="241"/>
      <c r="L155" s="241"/>
      <c r="M155" s="241"/>
      <c r="N155" s="241"/>
      <c r="O155" s="241"/>
      <c r="P155" s="241"/>
      <c r="Q155" s="241"/>
      <c r="R155" s="241"/>
      <c r="S155" s="241"/>
      <c r="T155" s="241"/>
      <c r="U155" s="241"/>
      <c r="V155" s="241"/>
      <c r="W155" s="241"/>
      <c r="X155" s="241"/>
      <c r="Y155" s="241"/>
      <c r="Z155" s="241"/>
      <c r="AA155" s="241"/>
      <c r="AB155" s="241"/>
      <c r="AC155" s="241"/>
      <c r="AD155" s="241"/>
      <c r="AE155" s="241"/>
      <c r="AF155" s="240"/>
      <c r="AG155" s="240"/>
      <c r="AH155" s="240"/>
      <c r="AI155" s="240"/>
      <c r="AJ155" s="240"/>
      <c r="AK155" s="240"/>
      <c r="AL155" s="240"/>
      <c r="AM155" s="240"/>
      <c r="AN155" s="240"/>
      <c r="AO155" s="240"/>
      <c r="AP155" s="240"/>
      <c r="AQ155" s="240"/>
    </row>
    <row r="156" spans="1:43" ht="15.75">
      <c r="A156" s="241"/>
      <c r="B156" s="241"/>
      <c r="C156" s="241"/>
      <c r="D156" s="241"/>
      <c r="E156" s="241"/>
      <c r="F156" s="241"/>
      <c r="G156" s="241"/>
      <c r="H156" s="241"/>
      <c r="I156" s="241"/>
      <c r="J156" s="241"/>
      <c r="K156" s="241"/>
      <c r="L156" s="241"/>
      <c r="M156" s="241"/>
      <c r="N156" s="241"/>
      <c r="O156" s="241"/>
      <c r="P156" s="241"/>
      <c r="Q156" s="241"/>
      <c r="R156" s="241"/>
      <c r="S156" s="241"/>
      <c r="T156" s="241"/>
      <c r="U156" s="241"/>
      <c r="V156" s="241"/>
      <c r="W156" s="241"/>
      <c r="X156" s="241"/>
      <c r="Y156" s="241"/>
      <c r="Z156" s="241"/>
      <c r="AA156" s="241"/>
      <c r="AB156" s="241"/>
      <c r="AC156" s="241"/>
      <c r="AD156" s="241"/>
      <c r="AE156" s="241"/>
      <c r="AF156" s="240"/>
      <c r="AG156" s="240"/>
      <c r="AH156" s="240"/>
      <c r="AI156" s="240"/>
      <c r="AJ156" s="240"/>
      <c r="AK156" s="240"/>
      <c r="AL156" s="240"/>
      <c r="AM156" s="240"/>
      <c r="AN156" s="240"/>
      <c r="AO156" s="240"/>
      <c r="AP156" s="240"/>
      <c r="AQ156" s="240"/>
    </row>
    <row r="157" spans="1:43" ht="15.75">
      <c r="A157" s="241"/>
      <c r="B157" s="241"/>
      <c r="C157" s="241"/>
      <c r="D157" s="241"/>
      <c r="E157" s="241"/>
      <c r="F157" s="241"/>
      <c r="G157" s="241"/>
      <c r="H157" s="241"/>
      <c r="I157" s="241"/>
      <c r="J157" s="241"/>
      <c r="K157" s="241"/>
      <c r="L157" s="241"/>
      <c r="M157" s="241"/>
      <c r="N157" s="241"/>
      <c r="O157" s="241"/>
      <c r="P157" s="241"/>
      <c r="Q157" s="241"/>
      <c r="R157" s="241"/>
      <c r="S157" s="241"/>
      <c r="T157" s="241"/>
      <c r="U157" s="241"/>
      <c r="V157" s="241"/>
      <c r="W157" s="241"/>
      <c r="X157" s="241"/>
      <c r="Y157" s="241"/>
      <c r="Z157" s="241"/>
      <c r="AA157" s="241"/>
      <c r="AB157" s="241"/>
      <c r="AC157" s="241"/>
      <c r="AD157" s="241"/>
      <c r="AE157" s="241"/>
      <c r="AF157" s="240"/>
      <c r="AG157" s="240"/>
      <c r="AH157" s="240"/>
      <c r="AI157" s="240"/>
      <c r="AJ157" s="240"/>
      <c r="AK157" s="240"/>
      <c r="AL157" s="240"/>
      <c r="AM157" s="240"/>
      <c r="AN157" s="240"/>
      <c r="AO157" s="240"/>
      <c r="AP157" s="240"/>
      <c r="AQ157" s="240"/>
    </row>
    <row r="158" spans="1:43" ht="15.75">
      <c r="A158" s="241"/>
      <c r="B158" s="241"/>
      <c r="C158" s="241"/>
      <c r="D158" s="241"/>
      <c r="E158" s="241"/>
      <c r="F158" s="241"/>
      <c r="G158" s="241"/>
      <c r="H158" s="241"/>
      <c r="I158" s="241"/>
      <c r="J158" s="241"/>
      <c r="K158" s="241"/>
      <c r="L158" s="241"/>
      <c r="M158" s="241"/>
      <c r="N158" s="241"/>
      <c r="O158" s="241"/>
      <c r="P158" s="241"/>
      <c r="Q158" s="241"/>
      <c r="R158" s="241"/>
      <c r="S158" s="241"/>
      <c r="T158" s="241"/>
      <c r="U158" s="241"/>
      <c r="V158" s="241"/>
      <c r="W158" s="241"/>
      <c r="X158" s="241"/>
      <c r="Y158" s="241"/>
      <c r="Z158" s="241"/>
      <c r="AA158" s="241"/>
      <c r="AB158" s="241"/>
      <c r="AC158" s="241"/>
      <c r="AD158" s="241"/>
      <c r="AE158" s="241"/>
      <c r="AF158" s="240"/>
      <c r="AG158" s="240"/>
      <c r="AH158" s="240"/>
      <c r="AI158" s="240"/>
      <c r="AJ158" s="240"/>
      <c r="AK158" s="240"/>
      <c r="AL158" s="240"/>
      <c r="AM158" s="240"/>
      <c r="AN158" s="240"/>
      <c r="AO158" s="240"/>
      <c r="AP158" s="240"/>
      <c r="AQ158" s="240"/>
    </row>
    <row r="159" spans="1:43" ht="15.75">
      <c r="A159" s="241"/>
      <c r="B159" s="241"/>
      <c r="C159" s="241"/>
      <c r="D159" s="241"/>
      <c r="E159" s="241"/>
      <c r="F159" s="241"/>
      <c r="G159" s="241"/>
      <c r="H159" s="241"/>
      <c r="I159" s="241"/>
      <c r="J159" s="241"/>
      <c r="K159" s="241"/>
      <c r="L159" s="241"/>
      <c r="M159" s="241"/>
      <c r="N159" s="241"/>
      <c r="O159" s="241"/>
      <c r="P159" s="241"/>
      <c r="Q159" s="241"/>
      <c r="R159" s="241"/>
      <c r="S159" s="241"/>
      <c r="T159" s="241"/>
      <c r="U159" s="241"/>
      <c r="V159" s="241"/>
      <c r="W159" s="241"/>
      <c r="X159" s="241"/>
      <c r="Y159" s="241"/>
      <c r="Z159" s="241"/>
      <c r="AA159" s="241"/>
      <c r="AB159" s="241"/>
      <c r="AC159" s="241"/>
      <c r="AD159" s="241"/>
      <c r="AE159" s="241"/>
      <c r="AF159" s="240"/>
      <c r="AG159" s="240"/>
      <c r="AH159" s="240"/>
      <c r="AI159" s="240"/>
      <c r="AJ159" s="240"/>
      <c r="AK159" s="240"/>
      <c r="AL159" s="240"/>
      <c r="AM159" s="240"/>
      <c r="AN159" s="240"/>
      <c r="AO159" s="240"/>
      <c r="AP159" s="240"/>
      <c r="AQ159" s="240"/>
    </row>
    <row r="160" spans="1:43" ht="15.75">
      <c r="A160" s="241"/>
      <c r="B160" s="241"/>
      <c r="C160" s="241"/>
      <c r="D160" s="241"/>
      <c r="E160" s="241"/>
      <c r="F160" s="241"/>
      <c r="G160" s="241"/>
      <c r="H160" s="241"/>
      <c r="I160" s="241"/>
      <c r="J160" s="241"/>
      <c r="K160" s="241"/>
      <c r="L160" s="241"/>
      <c r="M160" s="241"/>
      <c r="N160" s="241"/>
      <c r="O160" s="241"/>
      <c r="P160" s="241"/>
      <c r="Q160" s="241"/>
      <c r="R160" s="241"/>
      <c r="S160" s="241"/>
      <c r="T160" s="241"/>
      <c r="U160" s="241"/>
      <c r="V160" s="241"/>
      <c r="W160" s="241"/>
      <c r="X160" s="241"/>
      <c r="Y160" s="241"/>
      <c r="Z160" s="241"/>
      <c r="AA160" s="241"/>
      <c r="AB160" s="241"/>
      <c r="AC160" s="241"/>
      <c r="AD160" s="241"/>
      <c r="AE160" s="241"/>
      <c r="AF160" s="240"/>
      <c r="AG160" s="240"/>
      <c r="AH160" s="240"/>
      <c r="AI160" s="240"/>
      <c r="AJ160" s="240"/>
      <c r="AK160" s="240"/>
      <c r="AL160" s="240"/>
      <c r="AM160" s="240"/>
      <c r="AN160" s="240"/>
      <c r="AO160" s="240"/>
      <c r="AP160" s="240"/>
      <c r="AQ160" s="240"/>
    </row>
    <row r="161" spans="1:43" ht="15.75">
      <c r="A161" s="241"/>
      <c r="B161" s="241"/>
      <c r="C161" s="241"/>
      <c r="D161" s="241"/>
      <c r="E161" s="241"/>
      <c r="F161" s="241"/>
      <c r="G161" s="241"/>
      <c r="H161" s="241"/>
      <c r="I161" s="241"/>
      <c r="J161" s="241"/>
      <c r="K161" s="241"/>
      <c r="L161" s="241"/>
      <c r="M161" s="241"/>
      <c r="N161" s="241"/>
      <c r="O161" s="241"/>
      <c r="P161" s="241"/>
      <c r="Q161" s="241"/>
      <c r="R161" s="241"/>
      <c r="S161" s="241"/>
      <c r="T161" s="241"/>
      <c r="U161" s="241"/>
      <c r="V161" s="241"/>
      <c r="W161" s="241"/>
      <c r="X161" s="241"/>
      <c r="Y161" s="241"/>
      <c r="Z161" s="241"/>
      <c r="AA161" s="241"/>
      <c r="AB161" s="241"/>
      <c r="AC161" s="241"/>
      <c r="AD161" s="241"/>
      <c r="AE161" s="241"/>
      <c r="AF161" s="240"/>
      <c r="AG161" s="240"/>
      <c r="AH161" s="240"/>
      <c r="AI161" s="240"/>
      <c r="AJ161" s="240"/>
      <c r="AK161" s="240"/>
      <c r="AL161" s="240"/>
      <c r="AM161" s="240"/>
      <c r="AN161" s="240"/>
      <c r="AO161" s="240"/>
      <c r="AP161" s="240"/>
      <c r="AQ161" s="240"/>
    </row>
    <row r="162" spans="1:43" ht="15.75">
      <c r="A162" s="241"/>
      <c r="B162" s="241"/>
      <c r="C162" s="241"/>
      <c r="D162" s="241"/>
      <c r="E162" s="241"/>
      <c r="F162" s="241"/>
      <c r="G162" s="241"/>
      <c r="H162" s="241"/>
      <c r="I162" s="241"/>
      <c r="J162" s="241"/>
      <c r="K162" s="241"/>
      <c r="L162" s="241"/>
      <c r="M162" s="241"/>
      <c r="N162" s="241"/>
      <c r="O162" s="241"/>
      <c r="P162" s="241"/>
      <c r="Q162" s="241"/>
      <c r="R162" s="241"/>
      <c r="S162" s="241"/>
      <c r="T162" s="241"/>
      <c r="U162" s="241"/>
      <c r="V162" s="241"/>
      <c r="W162" s="241"/>
      <c r="X162" s="241"/>
      <c r="Y162" s="241"/>
      <c r="Z162" s="241"/>
      <c r="AA162" s="241"/>
      <c r="AB162" s="241"/>
      <c r="AC162" s="241"/>
      <c r="AD162" s="241"/>
      <c r="AE162" s="241"/>
      <c r="AF162" s="240"/>
      <c r="AG162" s="240"/>
      <c r="AH162" s="240"/>
      <c r="AI162" s="240"/>
      <c r="AJ162" s="240"/>
      <c r="AK162" s="240"/>
      <c r="AL162" s="240"/>
      <c r="AM162" s="240"/>
      <c r="AN162" s="240"/>
      <c r="AO162" s="240"/>
      <c r="AP162" s="240"/>
      <c r="AQ162" s="240"/>
    </row>
    <row r="163" spans="1:43" ht="15.75">
      <c r="A163" s="241"/>
      <c r="B163" s="241"/>
      <c r="C163" s="241"/>
      <c r="D163" s="241"/>
      <c r="E163" s="241"/>
      <c r="F163" s="241"/>
      <c r="G163" s="241"/>
      <c r="H163" s="241"/>
      <c r="I163" s="241"/>
      <c r="J163" s="241"/>
      <c r="K163" s="241"/>
      <c r="L163" s="241"/>
      <c r="M163" s="241"/>
      <c r="N163" s="241"/>
      <c r="O163" s="241"/>
      <c r="P163" s="241"/>
      <c r="Q163" s="241"/>
      <c r="R163" s="241"/>
      <c r="S163" s="241"/>
      <c r="T163" s="241"/>
      <c r="U163" s="241"/>
      <c r="V163" s="241"/>
      <c r="W163" s="241"/>
      <c r="X163" s="241"/>
      <c r="Y163" s="241"/>
      <c r="Z163" s="241"/>
      <c r="AA163" s="241"/>
      <c r="AB163" s="241"/>
      <c r="AC163" s="241"/>
      <c r="AD163" s="241"/>
      <c r="AE163" s="241"/>
      <c r="AF163" s="240"/>
      <c r="AG163" s="240"/>
      <c r="AH163" s="240"/>
      <c r="AI163" s="240"/>
      <c r="AJ163" s="240"/>
      <c r="AK163" s="240"/>
      <c r="AL163" s="240"/>
      <c r="AM163" s="240"/>
      <c r="AN163" s="240"/>
      <c r="AO163" s="240"/>
      <c r="AP163" s="240"/>
      <c r="AQ163" s="240"/>
    </row>
    <row r="164" spans="1:43" ht="15.75">
      <c r="A164" s="241"/>
      <c r="B164" s="241"/>
      <c r="C164" s="241"/>
      <c r="D164" s="241"/>
      <c r="E164" s="241"/>
      <c r="F164" s="241"/>
      <c r="G164" s="241"/>
      <c r="H164" s="241"/>
      <c r="I164" s="241"/>
      <c r="J164" s="241"/>
      <c r="K164" s="241"/>
      <c r="L164" s="241"/>
      <c r="M164" s="241"/>
      <c r="N164" s="241"/>
      <c r="O164" s="241"/>
      <c r="P164" s="241"/>
      <c r="Q164" s="241"/>
      <c r="R164" s="241"/>
      <c r="S164" s="241"/>
      <c r="T164" s="241"/>
      <c r="U164" s="241"/>
      <c r="V164" s="241"/>
      <c r="W164" s="241"/>
      <c r="X164" s="241"/>
      <c r="Y164" s="241"/>
      <c r="Z164" s="241"/>
      <c r="AA164" s="241"/>
      <c r="AB164" s="241"/>
      <c r="AC164" s="241"/>
      <c r="AD164" s="241"/>
      <c r="AE164" s="241"/>
      <c r="AF164" s="240"/>
      <c r="AG164" s="240"/>
      <c r="AH164" s="240"/>
      <c r="AI164" s="240"/>
      <c r="AJ164" s="240"/>
      <c r="AK164" s="240"/>
      <c r="AL164" s="240"/>
      <c r="AM164" s="240"/>
      <c r="AN164" s="240"/>
      <c r="AO164" s="240"/>
      <c r="AP164" s="240"/>
      <c r="AQ164" s="240"/>
    </row>
    <row r="165" spans="1:43" ht="15.75">
      <c r="A165" s="241"/>
      <c r="B165" s="241"/>
      <c r="C165" s="241"/>
      <c r="D165" s="241"/>
      <c r="E165" s="241"/>
      <c r="F165" s="241"/>
      <c r="G165" s="241"/>
      <c r="H165" s="241"/>
      <c r="I165" s="241"/>
      <c r="J165" s="241"/>
      <c r="K165" s="241"/>
      <c r="L165" s="241"/>
      <c r="M165" s="241"/>
      <c r="N165" s="241"/>
      <c r="O165" s="241"/>
      <c r="P165" s="241"/>
      <c r="Q165" s="241"/>
      <c r="R165" s="241"/>
      <c r="S165" s="241"/>
      <c r="T165" s="241"/>
      <c r="U165" s="241"/>
      <c r="V165" s="241"/>
      <c r="W165" s="241"/>
      <c r="X165" s="241"/>
      <c r="Y165" s="241"/>
      <c r="Z165" s="241"/>
      <c r="AA165" s="241"/>
      <c r="AB165" s="241"/>
      <c r="AC165" s="241"/>
      <c r="AD165" s="241"/>
      <c r="AE165" s="241"/>
      <c r="AF165" s="240"/>
      <c r="AG165" s="240"/>
      <c r="AH165" s="240"/>
      <c r="AI165" s="240"/>
      <c r="AJ165" s="240"/>
      <c r="AK165" s="240"/>
      <c r="AL165" s="240"/>
      <c r="AM165" s="240"/>
      <c r="AN165" s="240"/>
      <c r="AO165" s="240"/>
      <c r="AP165" s="240"/>
      <c r="AQ165" s="240"/>
    </row>
    <row r="166" spans="1:43" ht="15.75">
      <c r="A166" s="241"/>
      <c r="B166" s="241"/>
      <c r="C166" s="241"/>
      <c r="D166" s="241"/>
      <c r="E166" s="241"/>
      <c r="F166" s="241"/>
      <c r="G166" s="241"/>
      <c r="H166" s="241"/>
      <c r="I166" s="241"/>
      <c r="J166" s="241"/>
      <c r="K166" s="241"/>
      <c r="L166" s="241"/>
      <c r="M166" s="241"/>
      <c r="N166" s="241"/>
      <c r="O166" s="241"/>
      <c r="P166" s="241"/>
      <c r="Q166" s="241"/>
      <c r="R166" s="241"/>
      <c r="S166" s="241"/>
      <c r="T166" s="241"/>
      <c r="U166" s="241"/>
      <c r="V166" s="241"/>
      <c r="W166" s="241"/>
      <c r="X166" s="241"/>
      <c r="Y166" s="241"/>
      <c r="Z166" s="241"/>
      <c r="AA166" s="241"/>
      <c r="AB166" s="241"/>
      <c r="AC166" s="241"/>
      <c r="AD166" s="241"/>
      <c r="AE166" s="241"/>
      <c r="AF166" s="240"/>
      <c r="AG166" s="240"/>
      <c r="AH166" s="240"/>
      <c r="AI166" s="240"/>
      <c r="AJ166" s="240"/>
      <c r="AK166" s="240"/>
      <c r="AL166" s="240"/>
      <c r="AM166" s="240"/>
      <c r="AN166" s="240"/>
      <c r="AO166" s="240"/>
      <c r="AP166" s="240"/>
      <c r="AQ166" s="240"/>
    </row>
    <row r="167" spans="1:43" ht="15.75">
      <c r="A167" s="241"/>
      <c r="B167" s="241"/>
      <c r="C167" s="241"/>
      <c r="D167" s="241"/>
      <c r="E167" s="241"/>
      <c r="F167" s="241"/>
      <c r="G167" s="241"/>
      <c r="H167" s="241"/>
      <c r="I167" s="241"/>
      <c r="J167" s="241"/>
      <c r="K167" s="241"/>
      <c r="L167" s="241"/>
      <c r="M167" s="241"/>
      <c r="N167" s="241"/>
      <c r="O167" s="241"/>
      <c r="P167" s="241"/>
      <c r="Q167" s="241"/>
      <c r="R167" s="241"/>
      <c r="S167" s="241"/>
      <c r="T167" s="241"/>
      <c r="U167" s="241"/>
      <c r="V167" s="241"/>
      <c r="W167" s="241"/>
      <c r="X167" s="241"/>
      <c r="Y167" s="241"/>
      <c r="Z167" s="241"/>
      <c r="AA167" s="241"/>
      <c r="AB167" s="241"/>
      <c r="AC167" s="241"/>
      <c r="AD167" s="241"/>
      <c r="AE167" s="241"/>
      <c r="AF167" s="240"/>
      <c r="AG167" s="240"/>
      <c r="AH167" s="240"/>
      <c r="AI167" s="240"/>
      <c r="AJ167" s="240"/>
      <c r="AK167" s="240"/>
      <c r="AL167" s="240"/>
      <c r="AM167" s="240"/>
      <c r="AN167" s="240"/>
      <c r="AO167" s="240"/>
      <c r="AP167" s="240"/>
      <c r="AQ167" s="240"/>
    </row>
    <row r="168" spans="1:43" ht="15.75">
      <c r="A168" s="241"/>
      <c r="B168" s="241"/>
      <c r="C168" s="241"/>
      <c r="D168" s="241"/>
      <c r="E168" s="241"/>
      <c r="F168" s="241"/>
      <c r="G168" s="241"/>
      <c r="H168" s="241"/>
      <c r="I168" s="241"/>
      <c r="J168" s="241"/>
      <c r="K168" s="241"/>
      <c r="L168" s="241"/>
      <c r="M168" s="241"/>
      <c r="N168" s="241"/>
      <c r="O168" s="241"/>
      <c r="P168" s="241"/>
      <c r="Q168" s="241"/>
      <c r="R168" s="241"/>
      <c r="S168" s="241"/>
      <c r="T168" s="241"/>
      <c r="U168" s="241"/>
      <c r="V168" s="241"/>
      <c r="W168" s="241"/>
      <c r="X168" s="241"/>
      <c r="Y168" s="241"/>
      <c r="Z168" s="241"/>
      <c r="AA168" s="241"/>
      <c r="AB168" s="241"/>
      <c r="AC168" s="241"/>
      <c r="AD168" s="241"/>
      <c r="AE168" s="241"/>
      <c r="AF168" s="240"/>
      <c r="AG168" s="240"/>
      <c r="AH168" s="240"/>
      <c r="AI168" s="240"/>
      <c r="AJ168" s="240"/>
      <c r="AK168" s="240"/>
      <c r="AL168" s="240"/>
      <c r="AM168" s="240"/>
      <c r="AN168" s="240"/>
      <c r="AO168" s="240"/>
      <c r="AP168" s="240"/>
      <c r="AQ168" s="240"/>
    </row>
    <row r="169" spans="1:43" ht="15.75">
      <c r="A169" s="241"/>
      <c r="B169" s="241"/>
      <c r="C169" s="241"/>
      <c r="D169" s="241"/>
      <c r="E169" s="241"/>
      <c r="F169" s="241"/>
      <c r="G169" s="241"/>
      <c r="H169" s="241"/>
      <c r="I169" s="241"/>
      <c r="J169" s="241"/>
      <c r="K169" s="241"/>
      <c r="L169" s="241"/>
      <c r="M169" s="241"/>
      <c r="N169" s="241"/>
      <c r="O169" s="241"/>
      <c r="P169" s="241"/>
      <c r="Q169" s="241"/>
      <c r="R169" s="241"/>
      <c r="S169" s="241"/>
      <c r="T169" s="241"/>
      <c r="U169" s="241"/>
      <c r="V169" s="241"/>
      <c r="W169" s="241"/>
      <c r="X169" s="241"/>
      <c r="Y169" s="241"/>
      <c r="Z169" s="241"/>
      <c r="AA169" s="241"/>
      <c r="AB169" s="241"/>
      <c r="AC169" s="241"/>
      <c r="AD169" s="241"/>
      <c r="AE169" s="241"/>
      <c r="AF169" s="240"/>
      <c r="AG169" s="240"/>
      <c r="AH169" s="240"/>
      <c r="AI169" s="240"/>
      <c r="AJ169" s="240"/>
      <c r="AK169" s="240"/>
      <c r="AL169" s="240"/>
      <c r="AM169" s="240"/>
      <c r="AN169" s="240"/>
      <c r="AO169" s="240"/>
      <c r="AP169" s="240"/>
      <c r="AQ169" s="240"/>
    </row>
    <row r="170" spans="1:43" ht="15.75">
      <c r="A170" s="241"/>
      <c r="B170" s="241"/>
      <c r="C170" s="241"/>
      <c r="D170" s="241"/>
      <c r="E170" s="241"/>
      <c r="F170" s="241"/>
      <c r="G170" s="241"/>
      <c r="H170" s="241"/>
      <c r="I170" s="241"/>
      <c r="J170" s="241"/>
      <c r="K170" s="241"/>
      <c r="L170" s="241"/>
      <c r="M170" s="241"/>
      <c r="N170" s="241"/>
      <c r="O170" s="241"/>
      <c r="P170" s="241"/>
      <c r="Q170" s="241"/>
      <c r="R170" s="241"/>
      <c r="S170" s="241"/>
      <c r="T170" s="241"/>
      <c r="U170" s="241"/>
      <c r="V170" s="241"/>
      <c r="W170" s="241"/>
      <c r="X170" s="241"/>
      <c r="Y170" s="241"/>
      <c r="Z170" s="241"/>
      <c r="AA170" s="241"/>
      <c r="AB170" s="241"/>
      <c r="AC170" s="241"/>
      <c r="AD170" s="241"/>
      <c r="AE170" s="241"/>
      <c r="AF170" s="240"/>
      <c r="AG170" s="240"/>
      <c r="AH170" s="240"/>
      <c r="AI170" s="240"/>
      <c r="AJ170" s="240"/>
      <c r="AK170" s="240"/>
      <c r="AL170" s="240"/>
      <c r="AM170" s="240"/>
      <c r="AN170" s="240"/>
      <c r="AO170" s="240"/>
      <c r="AP170" s="240"/>
      <c r="AQ170" s="240"/>
    </row>
    <row r="171" spans="1:43" ht="15.75">
      <c r="A171" s="241"/>
      <c r="B171" s="241"/>
      <c r="C171" s="241"/>
      <c r="D171" s="241"/>
      <c r="E171" s="241"/>
      <c r="F171" s="241"/>
      <c r="G171" s="241"/>
      <c r="H171" s="241"/>
      <c r="I171" s="241"/>
      <c r="J171" s="241"/>
      <c r="K171" s="241"/>
      <c r="L171" s="241"/>
      <c r="M171" s="241"/>
      <c r="N171" s="241"/>
      <c r="O171" s="241"/>
      <c r="P171" s="241"/>
      <c r="Q171" s="241"/>
      <c r="R171" s="241"/>
      <c r="S171" s="241"/>
      <c r="T171" s="241"/>
      <c r="U171" s="241"/>
      <c r="V171" s="241"/>
      <c r="W171" s="241"/>
      <c r="X171" s="241"/>
      <c r="Y171" s="241"/>
      <c r="Z171" s="241"/>
      <c r="AA171" s="241"/>
      <c r="AB171" s="241"/>
      <c r="AC171" s="241"/>
      <c r="AD171" s="241"/>
      <c r="AE171" s="241"/>
      <c r="AF171" s="240"/>
      <c r="AG171" s="240"/>
      <c r="AH171" s="240"/>
      <c r="AI171" s="240"/>
      <c r="AJ171" s="240"/>
      <c r="AK171" s="240"/>
      <c r="AL171" s="240"/>
      <c r="AM171" s="240"/>
      <c r="AN171" s="240"/>
      <c r="AO171" s="240"/>
      <c r="AP171" s="240"/>
      <c r="AQ171" s="240"/>
    </row>
    <row r="172" spans="1:43" ht="15.75">
      <c r="A172" s="241"/>
      <c r="B172" s="241"/>
      <c r="C172" s="241"/>
      <c r="D172" s="241"/>
      <c r="E172" s="241"/>
      <c r="F172" s="241"/>
      <c r="G172" s="241"/>
      <c r="H172" s="241"/>
      <c r="I172" s="241"/>
      <c r="J172" s="241"/>
      <c r="K172" s="241"/>
      <c r="L172" s="241"/>
      <c r="M172" s="241"/>
      <c r="N172" s="241"/>
      <c r="O172" s="241"/>
      <c r="P172" s="241"/>
      <c r="Q172" s="241"/>
      <c r="R172" s="241"/>
      <c r="S172" s="241"/>
      <c r="T172" s="241"/>
      <c r="U172" s="241"/>
      <c r="V172" s="241"/>
      <c r="W172" s="241"/>
      <c r="X172" s="241"/>
      <c r="Y172" s="241"/>
      <c r="Z172" s="241"/>
      <c r="AA172" s="241"/>
      <c r="AB172" s="241"/>
      <c r="AC172" s="241"/>
      <c r="AD172" s="241"/>
      <c r="AE172" s="241"/>
      <c r="AF172" s="240"/>
      <c r="AG172" s="240"/>
      <c r="AH172" s="240"/>
      <c r="AI172" s="240"/>
      <c r="AJ172" s="240"/>
      <c r="AK172" s="240"/>
      <c r="AL172" s="240"/>
      <c r="AM172" s="240"/>
      <c r="AN172" s="240"/>
      <c r="AO172" s="240"/>
      <c r="AP172" s="240"/>
      <c r="AQ172" s="240"/>
    </row>
    <row r="173" spans="1:43" ht="15.75">
      <c r="A173" s="241"/>
      <c r="B173" s="241"/>
      <c r="C173" s="241"/>
      <c r="D173" s="241"/>
      <c r="E173" s="241"/>
      <c r="F173" s="241"/>
      <c r="G173" s="241"/>
      <c r="H173" s="241"/>
      <c r="I173" s="241"/>
      <c r="J173" s="241"/>
      <c r="K173" s="241"/>
      <c r="L173" s="241"/>
      <c r="M173" s="241"/>
      <c r="N173" s="241"/>
      <c r="O173" s="241"/>
      <c r="P173" s="241"/>
      <c r="Q173" s="241"/>
      <c r="R173" s="241"/>
      <c r="S173" s="241"/>
      <c r="T173" s="241"/>
      <c r="U173" s="241"/>
      <c r="V173" s="241"/>
      <c r="W173" s="241"/>
      <c r="X173" s="241"/>
      <c r="Y173" s="241"/>
      <c r="Z173" s="241"/>
      <c r="AA173" s="241"/>
      <c r="AB173" s="241"/>
      <c r="AC173" s="241"/>
      <c r="AD173" s="241"/>
      <c r="AE173" s="241"/>
      <c r="AF173" s="240"/>
      <c r="AG173" s="240"/>
      <c r="AH173" s="240"/>
      <c r="AI173" s="240"/>
      <c r="AJ173" s="240"/>
      <c r="AK173" s="240"/>
      <c r="AL173" s="240"/>
      <c r="AM173" s="240"/>
      <c r="AN173" s="240"/>
      <c r="AO173" s="240"/>
      <c r="AP173" s="240"/>
      <c r="AQ173" s="240"/>
    </row>
    <row r="174" spans="1:43" ht="15.75">
      <c r="A174" s="241"/>
      <c r="B174" s="241"/>
      <c r="C174" s="241"/>
      <c r="D174" s="241"/>
      <c r="E174" s="241"/>
      <c r="F174" s="241"/>
      <c r="G174" s="241"/>
      <c r="H174" s="241"/>
      <c r="I174" s="241"/>
      <c r="J174" s="241"/>
      <c r="K174" s="241"/>
      <c r="L174" s="241"/>
      <c r="M174" s="241"/>
      <c r="N174" s="241"/>
      <c r="O174" s="241"/>
      <c r="P174" s="241"/>
      <c r="Q174" s="241"/>
      <c r="R174" s="241"/>
      <c r="S174" s="241"/>
      <c r="T174" s="241"/>
      <c r="U174" s="241"/>
      <c r="V174" s="241"/>
      <c r="W174" s="241"/>
      <c r="X174" s="241"/>
      <c r="Y174" s="241"/>
      <c r="Z174" s="241"/>
      <c r="AA174" s="241"/>
      <c r="AB174" s="241"/>
      <c r="AC174" s="241"/>
      <c r="AD174" s="241"/>
      <c r="AE174" s="241"/>
      <c r="AF174" s="240"/>
      <c r="AG174" s="240"/>
      <c r="AH174" s="240"/>
      <c r="AI174" s="240"/>
      <c r="AJ174" s="240"/>
      <c r="AK174" s="240"/>
      <c r="AL174" s="240"/>
      <c r="AM174" s="240"/>
      <c r="AN174" s="240"/>
      <c r="AO174" s="240"/>
      <c r="AP174" s="240"/>
      <c r="AQ174" s="240"/>
    </row>
    <row r="175" spans="1:43" ht="15.75">
      <c r="A175" s="241"/>
      <c r="B175" s="241"/>
      <c r="C175" s="241"/>
      <c r="D175" s="241"/>
      <c r="E175" s="241"/>
      <c r="F175" s="241"/>
      <c r="G175" s="241"/>
      <c r="H175" s="241"/>
      <c r="I175" s="241"/>
      <c r="J175" s="241"/>
      <c r="K175" s="241"/>
      <c r="L175" s="241"/>
      <c r="M175" s="241"/>
      <c r="N175" s="241"/>
      <c r="O175" s="241"/>
      <c r="P175" s="241"/>
      <c r="Q175" s="241"/>
      <c r="R175" s="241"/>
      <c r="S175" s="241"/>
      <c r="T175" s="241"/>
      <c r="U175" s="241"/>
      <c r="V175" s="241"/>
      <c r="W175" s="241"/>
      <c r="X175" s="241"/>
      <c r="Y175" s="241"/>
      <c r="Z175" s="241"/>
      <c r="AA175" s="241"/>
      <c r="AB175" s="241"/>
      <c r="AC175" s="241"/>
      <c r="AD175" s="241"/>
      <c r="AE175" s="241"/>
      <c r="AF175" s="240"/>
      <c r="AG175" s="240"/>
      <c r="AH175" s="240"/>
      <c r="AI175" s="240"/>
      <c r="AJ175" s="240"/>
      <c r="AK175" s="240"/>
      <c r="AL175" s="240"/>
      <c r="AM175" s="240"/>
      <c r="AN175" s="240"/>
      <c r="AO175" s="240"/>
      <c r="AP175" s="240"/>
      <c r="AQ175" s="240"/>
    </row>
    <row r="176" spans="1:43" ht="15.75">
      <c r="A176" s="241"/>
      <c r="B176" s="241"/>
      <c r="C176" s="241"/>
      <c r="D176" s="241"/>
      <c r="E176" s="241"/>
      <c r="F176" s="241"/>
      <c r="G176" s="241"/>
      <c r="H176" s="241"/>
      <c r="I176" s="241"/>
      <c r="J176" s="241"/>
      <c r="K176" s="241"/>
      <c r="L176" s="241"/>
      <c r="M176" s="241"/>
      <c r="N176" s="241"/>
      <c r="O176" s="241"/>
      <c r="P176" s="241"/>
      <c r="Q176" s="241"/>
      <c r="R176" s="241"/>
      <c r="S176" s="241"/>
      <c r="T176" s="241"/>
      <c r="U176" s="241"/>
      <c r="V176" s="241"/>
      <c r="W176" s="241"/>
      <c r="X176" s="241"/>
      <c r="Y176" s="241"/>
      <c r="Z176" s="241"/>
      <c r="AA176" s="241"/>
      <c r="AB176" s="241"/>
      <c r="AC176" s="241"/>
      <c r="AD176" s="241"/>
      <c r="AE176" s="241"/>
      <c r="AF176" s="240"/>
      <c r="AG176" s="240"/>
      <c r="AH176" s="240"/>
      <c r="AI176" s="240"/>
      <c r="AJ176" s="240"/>
      <c r="AK176" s="240"/>
      <c r="AL176" s="240"/>
      <c r="AM176" s="240"/>
      <c r="AN176" s="240"/>
      <c r="AO176" s="240"/>
      <c r="AP176" s="240"/>
      <c r="AQ176" s="240"/>
    </row>
    <row r="177" spans="1:43" ht="15.75">
      <c r="A177" s="241"/>
      <c r="B177" s="241"/>
      <c r="C177" s="241"/>
      <c r="D177" s="241"/>
      <c r="E177" s="241"/>
      <c r="F177" s="241"/>
      <c r="G177" s="241"/>
      <c r="H177" s="241"/>
      <c r="I177" s="241"/>
      <c r="J177" s="241"/>
      <c r="K177" s="241"/>
      <c r="L177" s="241"/>
      <c r="M177" s="241"/>
      <c r="N177" s="241"/>
      <c r="O177" s="241"/>
      <c r="P177" s="241"/>
      <c r="Q177" s="241"/>
      <c r="R177" s="241"/>
      <c r="S177" s="241"/>
      <c r="T177" s="241"/>
      <c r="U177" s="241"/>
      <c r="V177" s="241"/>
      <c r="W177" s="241"/>
      <c r="X177" s="241"/>
      <c r="Y177" s="241"/>
      <c r="Z177" s="241"/>
      <c r="AA177" s="241"/>
      <c r="AB177" s="241"/>
      <c r="AC177" s="241"/>
      <c r="AD177" s="241"/>
      <c r="AE177" s="241"/>
      <c r="AF177" s="240"/>
      <c r="AG177" s="240"/>
      <c r="AH177" s="240"/>
      <c r="AI177" s="240"/>
      <c r="AJ177" s="240"/>
      <c r="AK177" s="240"/>
      <c r="AL177" s="240"/>
      <c r="AM177" s="240"/>
      <c r="AN177" s="240"/>
      <c r="AO177" s="240"/>
      <c r="AP177" s="240"/>
      <c r="AQ177" s="240"/>
    </row>
    <row r="178" spans="1:43" ht="15.75">
      <c r="A178" s="241"/>
      <c r="B178" s="241"/>
      <c r="C178" s="241"/>
      <c r="D178" s="241"/>
      <c r="E178" s="241"/>
      <c r="F178" s="241"/>
      <c r="G178" s="241"/>
      <c r="H178" s="241"/>
      <c r="I178" s="241"/>
      <c r="J178" s="241"/>
      <c r="K178" s="241"/>
      <c r="L178" s="241"/>
      <c r="M178" s="241"/>
      <c r="N178" s="241"/>
      <c r="O178" s="241"/>
      <c r="P178" s="241"/>
      <c r="Q178" s="241"/>
      <c r="R178" s="241"/>
      <c r="S178" s="241"/>
      <c r="T178" s="241"/>
      <c r="U178" s="241"/>
      <c r="V178" s="241"/>
      <c r="W178" s="241"/>
      <c r="X178" s="241"/>
      <c r="Y178" s="241"/>
      <c r="Z178" s="241"/>
      <c r="AA178" s="241"/>
      <c r="AB178" s="241"/>
      <c r="AC178" s="241"/>
      <c r="AD178" s="241"/>
      <c r="AE178" s="241"/>
      <c r="AF178" s="240"/>
      <c r="AG178" s="240"/>
      <c r="AH178" s="240"/>
      <c r="AI178" s="240"/>
      <c r="AJ178" s="240"/>
      <c r="AK178" s="240"/>
      <c r="AL178" s="240"/>
      <c r="AM178" s="240"/>
      <c r="AN178" s="240"/>
      <c r="AO178" s="240"/>
      <c r="AP178" s="240"/>
      <c r="AQ178" s="240"/>
    </row>
    <row r="179" spans="1:43" ht="15.75">
      <c r="A179" s="241"/>
      <c r="B179" s="241"/>
      <c r="C179" s="241"/>
      <c r="D179" s="241"/>
      <c r="E179" s="241"/>
      <c r="F179" s="241"/>
      <c r="G179" s="241"/>
      <c r="H179" s="241"/>
      <c r="I179" s="241"/>
      <c r="J179" s="241"/>
      <c r="K179" s="241"/>
      <c r="L179" s="241"/>
      <c r="M179" s="241"/>
      <c r="N179" s="241"/>
      <c r="O179" s="241"/>
      <c r="P179" s="241"/>
      <c r="Q179" s="241"/>
      <c r="R179" s="241"/>
      <c r="S179" s="241"/>
      <c r="T179" s="241"/>
      <c r="U179" s="241"/>
      <c r="V179" s="241"/>
      <c r="W179" s="241"/>
      <c r="X179" s="241"/>
      <c r="Y179" s="241"/>
      <c r="Z179" s="241"/>
      <c r="AA179" s="241"/>
      <c r="AB179" s="241"/>
      <c r="AC179" s="241"/>
      <c r="AD179" s="241"/>
      <c r="AE179" s="241"/>
      <c r="AF179" s="240"/>
      <c r="AG179" s="240"/>
      <c r="AH179" s="240"/>
      <c r="AI179" s="240"/>
      <c r="AJ179" s="240"/>
      <c r="AK179" s="240"/>
      <c r="AL179" s="240"/>
      <c r="AM179" s="240"/>
      <c r="AN179" s="240"/>
      <c r="AO179" s="240"/>
      <c r="AP179" s="240"/>
      <c r="AQ179" s="240"/>
    </row>
    <row r="180" spans="1:43" ht="15.75">
      <c r="A180" s="241"/>
      <c r="B180" s="241"/>
      <c r="C180" s="241"/>
      <c r="D180" s="241"/>
      <c r="E180" s="241"/>
      <c r="F180" s="241"/>
      <c r="G180" s="241"/>
      <c r="H180" s="241"/>
      <c r="I180" s="241"/>
      <c r="J180" s="241"/>
      <c r="K180" s="241"/>
      <c r="L180" s="241"/>
      <c r="M180" s="241"/>
      <c r="N180" s="241"/>
      <c r="O180" s="241"/>
      <c r="P180" s="241"/>
      <c r="Q180" s="241"/>
      <c r="R180" s="241"/>
      <c r="S180" s="241"/>
      <c r="T180" s="241"/>
      <c r="U180" s="241"/>
      <c r="V180" s="241"/>
      <c r="W180" s="241"/>
      <c r="X180" s="241"/>
      <c r="Y180" s="241"/>
      <c r="Z180" s="241"/>
      <c r="AA180" s="241"/>
      <c r="AB180" s="241"/>
      <c r="AC180" s="241"/>
      <c r="AD180" s="241"/>
      <c r="AE180" s="241"/>
      <c r="AF180" s="240"/>
      <c r="AG180" s="240"/>
      <c r="AH180" s="240"/>
      <c r="AI180" s="240"/>
      <c r="AJ180" s="240"/>
      <c r="AK180" s="240"/>
      <c r="AL180" s="240"/>
      <c r="AM180" s="240"/>
      <c r="AN180" s="240"/>
      <c r="AO180" s="240"/>
      <c r="AP180" s="240"/>
      <c r="AQ180" s="240"/>
    </row>
    <row r="181" spans="1:43" ht="15.75">
      <c r="A181" s="241"/>
      <c r="B181" s="241"/>
      <c r="C181" s="241"/>
      <c r="D181" s="241"/>
      <c r="E181" s="241"/>
      <c r="F181" s="241"/>
      <c r="G181" s="241"/>
      <c r="H181" s="241"/>
      <c r="I181" s="241"/>
      <c r="J181" s="241"/>
      <c r="K181" s="241"/>
      <c r="L181" s="241"/>
      <c r="M181" s="241"/>
      <c r="N181" s="241"/>
      <c r="O181" s="241"/>
      <c r="P181" s="241"/>
      <c r="Q181" s="241"/>
      <c r="R181" s="241"/>
      <c r="S181" s="241"/>
      <c r="T181" s="241"/>
      <c r="U181" s="241"/>
      <c r="V181" s="241"/>
      <c r="W181" s="241"/>
      <c r="X181" s="241"/>
      <c r="Y181" s="241"/>
      <c r="Z181" s="241"/>
      <c r="AA181" s="241"/>
      <c r="AB181" s="241"/>
      <c r="AC181" s="241"/>
      <c r="AD181" s="241"/>
      <c r="AE181" s="241"/>
      <c r="AF181" s="240"/>
      <c r="AG181" s="240"/>
      <c r="AH181" s="240"/>
      <c r="AI181" s="240"/>
      <c r="AJ181" s="240"/>
      <c r="AK181" s="240"/>
      <c r="AL181" s="240"/>
      <c r="AM181" s="240"/>
      <c r="AN181" s="240"/>
      <c r="AO181" s="240"/>
      <c r="AP181" s="240"/>
      <c r="AQ181" s="240"/>
    </row>
    <row r="182" spans="1:43" ht="15.75">
      <c r="A182" s="241"/>
      <c r="B182" s="241"/>
      <c r="C182" s="241"/>
      <c r="D182" s="241"/>
      <c r="E182" s="241"/>
      <c r="F182" s="241"/>
      <c r="G182" s="241"/>
      <c r="H182" s="241"/>
      <c r="I182" s="241"/>
      <c r="J182" s="241"/>
      <c r="K182" s="241"/>
      <c r="L182" s="241"/>
      <c r="M182" s="241"/>
      <c r="N182" s="241"/>
      <c r="O182" s="241"/>
      <c r="P182" s="241"/>
      <c r="Q182" s="241"/>
      <c r="R182" s="241"/>
      <c r="S182" s="241"/>
      <c r="T182" s="241"/>
      <c r="U182" s="241"/>
      <c r="V182" s="241"/>
      <c r="W182" s="241"/>
      <c r="X182" s="241"/>
      <c r="Y182" s="241"/>
      <c r="Z182" s="241"/>
      <c r="AA182" s="241"/>
      <c r="AB182" s="241"/>
      <c r="AC182" s="241"/>
      <c r="AD182" s="241"/>
      <c r="AE182" s="241"/>
      <c r="AF182" s="240"/>
      <c r="AG182" s="240"/>
      <c r="AH182" s="240"/>
      <c r="AI182" s="240"/>
      <c r="AJ182" s="240"/>
      <c r="AK182" s="240"/>
      <c r="AL182" s="240"/>
      <c r="AM182" s="240"/>
      <c r="AN182" s="240"/>
      <c r="AO182" s="240"/>
      <c r="AP182" s="240"/>
      <c r="AQ182" s="240"/>
    </row>
    <row r="183" spans="1:43" ht="15.75">
      <c r="A183" s="241"/>
      <c r="B183" s="241"/>
      <c r="C183" s="241"/>
      <c r="D183" s="241"/>
      <c r="E183" s="241"/>
      <c r="F183" s="241"/>
      <c r="G183" s="241"/>
      <c r="H183" s="241"/>
      <c r="I183" s="241"/>
      <c r="J183" s="241"/>
      <c r="K183" s="241"/>
      <c r="L183" s="241"/>
      <c r="M183" s="241"/>
      <c r="N183" s="241"/>
      <c r="O183" s="241"/>
      <c r="P183" s="241"/>
      <c r="Q183" s="241"/>
      <c r="R183" s="241"/>
      <c r="S183" s="241"/>
      <c r="T183" s="241"/>
      <c r="U183" s="241"/>
      <c r="V183" s="241"/>
      <c r="W183" s="241"/>
      <c r="X183" s="241"/>
      <c r="Y183" s="241"/>
      <c r="Z183" s="241"/>
      <c r="AA183" s="241"/>
      <c r="AB183" s="241"/>
      <c r="AC183" s="241"/>
      <c r="AD183" s="241"/>
      <c r="AE183" s="241"/>
      <c r="AF183" s="240"/>
      <c r="AG183" s="240"/>
      <c r="AH183" s="240"/>
      <c r="AI183" s="240"/>
      <c r="AJ183" s="240"/>
      <c r="AK183" s="240"/>
      <c r="AL183" s="240"/>
      <c r="AM183" s="240"/>
      <c r="AN183" s="240"/>
      <c r="AO183" s="240"/>
      <c r="AP183" s="240"/>
      <c r="AQ183" s="240"/>
    </row>
    <row r="184" spans="1:43" ht="15.75">
      <c r="A184" s="241"/>
      <c r="B184" s="241"/>
      <c r="C184" s="241"/>
      <c r="D184" s="241"/>
      <c r="E184" s="241"/>
      <c r="F184" s="241"/>
      <c r="G184" s="241"/>
      <c r="H184" s="241"/>
      <c r="I184" s="241"/>
      <c r="J184" s="241"/>
      <c r="K184" s="241"/>
      <c r="L184" s="241"/>
      <c r="M184" s="241"/>
      <c r="N184" s="241"/>
      <c r="O184" s="241"/>
      <c r="P184" s="241"/>
      <c r="Q184" s="241"/>
      <c r="R184" s="241"/>
      <c r="S184" s="241"/>
      <c r="T184" s="241"/>
      <c r="U184" s="241"/>
      <c r="V184" s="241"/>
      <c r="W184" s="241"/>
      <c r="X184" s="241"/>
      <c r="Y184" s="241"/>
      <c r="Z184" s="241"/>
      <c r="AA184" s="241"/>
      <c r="AB184" s="241"/>
      <c r="AC184" s="241"/>
      <c r="AD184" s="241"/>
      <c r="AE184" s="241"/>
      <c r="AF184" s="240"/>
      <c r="AG184" s="240"/>
      <c r="AH184" s="240"/>
      <c r="AI184" s="240"/>
      <c r="AJ184" s="240"/>
      <c r="AK184" s="240"/>
      <c r="AL184" s="240"/>
      <c r="AM184" s="240"/>
      <c r="AN184" s="240"/>
      <c r="AO184" s="240"/>
      <c r="AP184" s="240"/>
      <c r="AQ184" s="240"/>
    </row>
    <row r="185" spans="1:43" ht="15.75">
      <c r="A185" s="241"/>
      <c r="B185" s="241"/>
      <c r="C185" s="241"/>
      <c r="D185" s="241"/>
      <c r="E185" s="241"/>
      <c r="F185" s="241"/>
      <c r="G185" s="241"/>
      <c r="H185" s="241"/>
      <c r="I185" s="241"/>
      <c r="J185" s="241"/>
      <c r="K185" s="241"/>
      <c r="L185" s="241"/>
      <c r="M185" s="241"/>
      <c r="N185" s="241"/>
      <c r="O185" s="241"/>
      <c r="P185" s="241"/>
      <c r="Q185" s="241"/>
      <c r="R185" s="241"/>
      <c r="S185" s="241"/>
      <c r="T185" s="241"/>
      <c r="U185" s="241"/>
      <c r="V185" s="241"/>
      <c r="W185" s="241"/>
      <c r="X185" s="241"/>
      <c r="Y185" s="241"/>
      <c r="Z185" s="241"/>
      <c r="AA185" s="241"/>
      <c r="AB185" s="241"/>
      <c r="AC185" s="241"/>
      <c r="AD185" s="241"/>
      <c r="AE185" s="241"/>
      <c r="AF185" s="240"/>
      <c r="AG185" s="240"/>
      <c r="AH185" s="240"/>
      <c r="AI185" s="240"/>
      <c r="AJ185" s="240"/>
      <c r="AK185" s="240"/>
      <c r="AL185" s="240"/>
      <c r="AM185" s="240"/>
      <c r="AN185" s="240"/>
      <c r="AO185" s="240"/>
      <c r="AP185" s="240"/>
      <c r="AQ185" s="240"/>
    </row>
    <row r="186" spans="1:43" ht="15.75">
      <c r="A186" s="241"/>
      <c r="B186" s="241"/>
      <c r="C186" s="241"/>
      <c r="D186" s="241"/>
      <c r="E186" s="241"/>
      <c r="F186" s="241"/>
      <c r="G186" s="241"/>
      <c r="H186" s="241"/>
      <c r="I186" s="241"/>
      <c r="J186" s="241"/>
      <c r="K186" s="241"/>
      <c r="L186" s="241"/>
      <c r="M186" s="241"/>
      <c r="N186" s="241"/>
      <c r="O186" s="241"/>
      <c r="P186" s="241"/>
      <c r="Q186" s="241"/>
      <c r="R186" s="241"/>
      <c r="S186" s="241"/>
      <c r="T186" s="241"/>
      <c r="U186" s="241"/>
      <c r="V186" s="241"/>
      <c r="W186" s="241"/>
      <c r="X186" s="241"/>
      <c r="Y186" s="241"/>
      <c r="Z186" s="241"/>
      <c r="AA186" s="241"/>
      <c r="AB186" s="241"/>
      <c r="AC186" s="241"/>
      <c r="AD186" s="241"/>
      <c r="AE186" s="241"/>
      <c r="AF186" s="240"/>
      <c r="AG186" s="240"/>
      <c r="AH186" s="240"/>
      <c r="AI186" s="240"/>
      <c r="AJ186" s="240"/>
      <c r="AK186" s="240"/>
      <c r="AL186" s="240"/>
      <c r="AM186" s="240"/>
      <c r="AN186" s="240"/>
      <c r="AO186" s="240"/>
      <c r="AP186" s="240"/>
      <c r="AQ186" s="240"/>
    </row>
    <row r="187" spans="1:43" ht="15.75">
      <c r="A187" s="241"/>
      <c r="B187" s="241"/>
      <c r="C187" s="241"/>
      <c r="D187" s="241"/>
      <c r="E187" s="241"/>
      <c r="F187" s="241"/>
      <c r="G187" s="241"/>
      <c r="H187" s="241"/>
      <c r="I187" s="241"/>
      <c r="J187" s="241"/>
      <c r="K187" s="241"/>
      <c r="L187" s="241"/>
      <c r="M187" s="241"/>
      <c r="N187" s="241"/>
      <c r="O187" s="241"/>
      <c r="P187" s="241"/>
      <c r="Q187" s="241"/>
      <c r="R187" s="241"/>
      <c r="S187" s="241"/>
      <c r="T187" s="241"/>
      <c r="U187" s="241"/>
      <c r="V187" s="241"/>
      <c r="W187" s="241"/>
      <c r="X187" s="241"/>
      <c r="Y187" s="241"/>
      <c r="Z187" s="241"/>
      <c r="AA187" s="241"/>
      <c r="AB187" s="241"/>
      <c r="AC187" s="241"/>
      <c r="AD187" s="241"/>
      <c r="AE187" s="241"/>
      <c r="AF187" s="240"/>
      <c r="AG187" s="240"/>
      <c r="AH187" s="240"/>
      <c r="AI187" s="240"/>
      <c r="AJ187" s="240"/>
      <c r="AK187" s="240"/>
      <c r="AL187" s="240"/>
      <c r="AM187" s="240"/>
      <c r="AN187" s="240"/>
      <c r="AO187" s="240"/>
      <c r="AP187" s="240"/>
      <c r="AQ187" s="240"/>
    </row>
    <row r="188" spans="1:43" ht="15.75">
      <c r="A188" s="241"/>
      <c r="B188" s="241"/>
      <c r="C188" s="241"/>
      <c r="D188" s="241"/>
      <c r="E188" s="241"/>
      <c r="F188" s="241"/>
      <c r="G188" s="241"/>
      <c r="H188" s="241"/>
      <c r="I188" s="241"/>
      <c r="J188" s="241"/>
      <c r="K188" s="241"/>
      <c r="L188" s="241"/>
      <c r="M188" s="241"/>
      <c r="N188" s="241"/>
      <c r="O188" s="241"/>
      <c r="P188" s="241"/>
      <c r="Q188" s="241"/>
      <c r="R188" s="241"/>
      <c r="S188" s="241"/>
      <c r="T188" s="241"/>
      <c r="U188" s="241"/>
      <c r="V188" s="241"/>
      <c r="W188" s="241"/>
      <c r="X188" s="241"/>
      <c r="Y188" s="241"/>
      <c r="Z188" s="241"/>
      <c r="AA188" s="241"/>
      <c r="AB188" s="241"/>
      <c r="AC188" s="241"/>
      <c r="AD188" s="241"/>
      <c r="AE188" s="241"/>
      <c r="AF188" s="240"/>
      <c r="AG188" s="240"/>
      <c r="AH188" s="240"/>
      <c r="AI188" s="240"/>
      <c r="AJ188" s="240"/>
      <c r="AK188" s="240"/>
      <c r="AL188" s="240"/>
      <c r="AM188" s="240"/>
      <c r="AN188" s="240"/>
      <c r="AO188" s="240"/>
      <c r="AP188" s="240"/>
      <c r="AQ188" s="240"/>
    </row>
    <row r="189" spans="1:43" ht="15.75">
      <c r="A189" s="241"/>
      <c r="B189" s="241"/>
      <c r="C189" s="241"/>
      <c r="D189" s="241"/>
      <c r="E189" s="241"/>
      <c r="F189" s="241"/>
      <c r="G189" s="241"/>
      <c r="H189" s="241"/>
      <c r="I189" s="241"/>
      <c r="J189" s="241"/>
      <c r="K189" s="241"/>
      <c r="L189" s="241"/>
      <c r="M189" s="241"/>
      <c r="N189" s="241"/>
      <c r="O189" s="241"/>
      <c r="P189" s="241"/>
      <c r="Q189" s="241"/>
      <c r="R189" s="241"/>
      <c r="S189" s="241"/>
      <c r="T189" s="241"/>
      <c r="U189" s="241"/>
      <c r="V189" s="241"/>
      <c r="W189" s="241"/>
      <c r="X189" s="241"/>
      <c r="Y189" s="241"/>
      <c r="Z189" s="241"/>
      <c r="AA189" s="241"/>
      <c r="AB189" s="241"/>
      <c r="AC189" s="241"/>
      <c r="AD189" s="241"/>
      <c r="AE189" s="241"/>
      <c r="AF189" s="240"/>
      <c r="AG189" s="240"/>
      <c r="AH189" s="240"/>
      <c r="AI189" s="240"/>
      <c r="AJ189" s="240"/>
      <c r="AK189" s="240"/>
      <c r="AL189" s="240"/>
      <c r="AM189" s="240"/>
      <c r="AN189" s="240"/>
      <c r="AO189" s="240"/>
      <c r="AP189" s="240"/>
      <c r="AQ189" s="240"/>
    </row>
    <row r="190" spans="1:43" ht="15.75">
      <c r="A190" s="241"/>
      <c r="B190" s="241"/>
      <c r="C190" s="241"/>
      <c r="D190" s="241"/>
      <c r="E190" s="241"/>
      <c r="F190" s="241"/>
      <c r="G190" s="241"/>
      <c r="H190" s="241"/>
      <c r="I190" s="241"/>
      <c r="J190" s="241"/>
      <c r="K190" s="241"/>
      <c r="L190" s="241"/>
      <c r="M190" s="241"/>
      <c r="N190" s="241"/>
      <c r="O190" s="241"/>
      <c r="P190" s="241"/>
      <c r="Q190" s="241"/>
      <c r="R190" s="241"/>
      <c r="S190" s="241"/>
      <c r="T190" s="241"/>
      <c r="U190" s="241"/>
      <c r="V190" s="241"/>
      <c r="W190" s="241"/>
      <c r="X190" s="241"/>
      <c r="Y190" s="241"/>
      <c r="Z190" s="241"/>
      <c r="AA190" s="241"/>
      <c r="AB190" s="241"/>
      <c r="AC190" s="241"/>
      <c r="AD190" s="241"/>
      <c r="AE190" s="241"/>
      <c r="AF190" s="240"/>
      <c r="AG190" s="240"/>
      <c r="AH190" s="240"/>
      <c r="AI190" s="240"/>
      <c r="AJ190" s="240"/>
      <c r="AK190" s="240"/>
      <c r="AL190" s="240"/>
      <c r="AM190" s="240"/>
      <c r="AN190" s="240"/>
      <c r="AO190" s="240"/>
      <c r="AP190" s="240"/>
      <c r="AQ190" s="240"/>
    </row>
    <row r="191" spans="1:43" ht="15.75">
      <c r="A191" s="241"/>
      <c r="B191" s="241"/>
      <c r="C191" s="241"/>
      <c r="D191" s="241"/>
      <c r="E191" s="241"/>
      <c r="F191" s="241"/>
      <c r="G191" s="241"/>
      <c r="H191" s="241"/>
      <c r="I191" s="241"/>
      <c r="J191" s="241"/>
      <c r="K191" s="241"/>
      <c r="L191" s="241"/>
      <c r="M191" s="241"/>
      <c r="N191" s="241"/>
      <c r="O191" s="241"/>
      <c r="P191" s="241"/>
      <c r="Q191" s="241"/>
      <c r="R191" s="241"/>
      <c r="S191" s="241"/>
      <c r="T191" s="241"/>
      <c r="U191" s="241"/>
      <c r="V191" s="241"/>
      <c r="W191" s="241"/>
      <c r="X191" s="241"/>
      <c r="Y191" s="241"/>
      <c r="Z191" s="241"/>
      <c r="AA191" s="241"/>
      <c r="AB191" s="241"/>
      <c r="AC191" s="241"/>
      <c r="AD191" s="241"/>
      <c r="AE191" s="241"/>
      <c r="AF191" s="240"/>
      <c r="AG191" s="240"/>
      <c r="AH191" s="240"/>
      <c r="AI191" s="240"/>
      <c r="AJ191" s="240"/>
      <c r="AK191" s="240"/>
      <c r="AL191" s="240"/>
      <c r="AM191" s="240"/>
      <c r="AN191" s="240"/>
      <c r="AO191" s="240"/>
      <c r="AP191" s="240"/>
      <c r="AQ191" s="240"/>
    </row>
    <row r="192" spans="1:43" ht="15.75">
      <c r="A192" s="241"/>
      <c r="B192" s="241"/>
      <c r="C192" s="241"/>
      <c r="D192" s="241"/>
      <c r="E192" s="241"/>
      <c r="F192" s="241"/>
      <c r="G192" s="241"/>
      <c r="H192" s="241"/>
      <c r="I192" s="241"/>
      <c r="J192" s="241"/>
      <c r="K192" s="241"/>
      <c r="L192" s="241"/>
      <c r="M192" s="241"/>
      <c r="N192" s="241"/>
      <c r="O192" s="241"/>
      <c r="P192" s="241"/>
      <c r="Q192" s="241"/>
      <c r="R192" s="241"/>
      <c r="S192" s="241"/>
      <c r="T192" s="241"/>
      <c r="U192" s="241"/>
      <c r="V192" s="241"/>
      <c r="W192" s="241"/>
      <c r="X192" s="241"/>
      <c r="Y192" s="241"/>
      <c r="Z192" s="241"/>
      <c r="AA192" s="241"/>
      <c r="AB192" s="241"/>
      <c r="AC192" s="241"/>
      <c r="AD192" s="241"/>
      <c r="AE192" s="241"/>
      <c r="AF192" s="240"/>
      <c r="AG192" s="240"/>
      <c r="AH192" s="240"/>
      <c r="AI192" s="240"/>
      <c r="AJ192" s="240"/>
      <c r="AK192" s="240"/>
      <c r="AL192" s="240"/>
      <c r="AM192" s="240"/>
      <c r="AN192" s="240"/>
      <c r="AO192" s="240"/>
      <c r="AP192" s="240"/>
      <c r="AQ192" s="240"/>
    </row>
    <row r="193" spans="1:43" ht="15.75">
      <c r="A193" s="241"/>
      <c r="B193" s="241"/>
      <c r="C193" s="241"/>
      <c r="D193" s="241"/>
      <c r="E193" s="241"/>
      <c r="F193" s="241"/>
      <c r="G193" s="241"/>
      <c r="H193" s="241"/>
      <c r="I193" s="241"/>
      <c r="J193" s="241"/>
      <c r="K193" s="241"/>
      <c r="L193" s="241"/>
      <c r="M193" s="241"/>
      <c r="N193" s="241"/>
      <c r="O193" s="241"/>
      <c r="P193" s="241"/>
      <c r="Q193" s="241"/>
      <c r="R193" s="241"/>
      <c r="S193" s="241"/>
      <c r="T193" s="241"/>
      <c r="U193" s="241"/>
      <c r="V193" s="241"/>
      <c r="W193" s="241"/>
      <c r="X193" s="241"/>
      <c r="Y193" s="241"/>
      <c r="Z193" s="241"/>
      <c r="AA193" s="241"/>
      <c r="AB193" s="241"/>
      <c r="AC193" s="241"/>
      <c r="AD193" s="241"/>
      <c r="AE193" s="241"/>
      <c r="AF193" s="240"/>
      <c r="AG193" s="240"/>
      <c r="AH193" s="240"/>
      <c r="AI193" s="240"/>
      <c r="AJ193" s="240"/>
      <c r="AK193" s="240"/>
      <c r="AL193" s="240"/>
      <c r="AM193" s="240"/>
      <c r="AN193" s="240"/>
      <c r="AO193" s="240"/>
      <c r="AP193" s="240"/>
      <c r="AQ193" s="240"/>
    </row>
    <row r="194" spans="1:43" ht="15.75">
      <c r="A194" s="241"/>
      <c r="B194" s="241"/>
      <c r="C194" s="241"/>
      <c r="D194" s="241"/>
      <c r="E194" s="241"/>
      <c r="F194" s="241"/>
      <c r="G194" s="241"/>
      <c r="H194" s="241"/>
      <c r="I194" s="241"/>
      <c r="J194" s="241"/>
      <c r="K194" s="241"/>
      <c r="L194" s="241"/>
      <c r="M194" s="241"/>
      <c r="N194" s="241"/>
      <c r="O194" s="241"/>
      <c r="P194" s="241"/>
      <c r="Q194" s="241"/>
      <c r="R194" s="241"/>
      <c r="S194" s="241"/>
      <c r="T194" s="241"/>
      <c r="U194" s="241"/>
      <c r="V194" s="241"/>
      <c r="W194" s="241"/>
      <c r="X194" s="241"/>
      <c r="Y194" s="241"/>
      <c r="Z194" s="241"/>
      <c r="AA194" s="241"/>
      <c r="AB194" s="241"/>
      <c r="AC194" s="241"/>
      <c r="AD194" s="241"/>
      <c r="AE194" s="241"/>
      <c r="AF194" s="240"/>
      <c r="AG194" s="240"/>
      <c r="AH194" s="240"/>
      <c r="AI194" s="240"/>
      <c r="AJ194" s="240"/>
      <c r="AK194" s="240"/>
      <c r="AL194" s="240"/>
      <c r="AM194" s="240"/>
      <c r="AN194" s="240"/>
      <c r="AO194" s="240"/>
      <c r="AP194" s="240"/>
      <c r="AQ194" s="240"/>
    </row>
    <row r="195" spans="1:43" ht="15.75">
      <c r="A195" s="241"/>
      <c r="B195" s="241"/>
      <c r="C195" s="241"/>
      <c r="D195" s="241"/>
      <c r="E195" s="241"/>
      <c r="F195" s="241"/>
      <c r="G195" s="241"/>
      <c r="H195" s="241"/>
      <c r="I195" s="241"/>
      <c r="J195" s="241"/>
      <c r="K195" s="241"/>
      <c r="L195" s="241"/>
      <c r="M195" s="241"/>
      <c r="N195" s="241"/>
      <c r="O195" s="241"/>
      <c r="P195" s="241"/>
      <c r="Q195" s="241"/>
      <c r="R195" s="241"/>
      <c r="S195" s="241"/>
      <c r="T195" s="241"/>
      <c r="U195" s="241"/>
      <c r="V195" s="241"/>
      <c r="W195" s="241"/>
      <c r="X195" s="241"/>
      <c r="Y195" s="241"/>
      <c r="Z195" s="241"/>
      <c r="AA195" s="241"/>
      <c r="AB195" s="241"/>
      <c r="AC195" s="241"/>
      <c r="AD195" s="241"/>
      <c r="AE195" s="241"/>
      <c r="AF195" s="240"/>
      <c r="AG195" s="240"/>
      <c r="AH195" s="240"/>
      <c r="AI195" s="240"/>
      <c r="AJ195" s="240"/>
      <c r="AK195" s="240"/>
      <c r="AL195" s="240"/>
      <c r="AM195" s="240"/>
      <c r="AN195" s="240"/>
      <c r="AO195" s="240"/>
      <c r="AP195" s="240"/>
      <c r="AQ195" s="240"/>
    </row>
    <row r="196" spans="1:43" ht="15.75">
      <c r="A196" s="241"/>
      <c r="B196" s="241"/>
      <c r="C196" s="241"/>
      <c r="D196" s="241"/>
      <c r="E196" s="241"/>
      <c r="F196" s="241"/>
      <c r="G196" s="241"/>
      <c r="H196" s="241"/>
      <c r="I196" s="241"/>
      <c r="J196" s="241"/>
      <c r="K196" s="241"/>
      <c r="L196" s="241"/>
      <c r="M196" s="241"/>
      <c r="N196" s="241"/>
      <c r="O196" s="241"/>
      <c r="P196" s="241"/>
      <c r="Q196" s="241"/>
      <c r="R196" s="241"/>
      <c r="S196" s="241"/>
      <c r="T196" s="241"/>
      <c r="U196" s="241"/>
      <c r="V196" s="241"/>
      <c r="W196" s="241"/>
      <c r="X196" s="241"/>
      <c r="Y196" s="241"/>
      <c r="Z196" s="241"/>
      <c r="AA196" s="241"/>
      <c r="AB196" s="241"/>
      <c r="AC196" s="241"/>
      <c r="AD196" s="241"/>
      <c r="AE196" s="241"/>
      <c r="AF196" s="240"/>
      <c r="AG196" s="240"/>
      <c r="AH196" s="240"/>
      <c r="AI196" s="240"/>
      <c r="AJ196" s="240"/>
      <c r="AK196" s="240"/>
      <c r="AL196" s="240"/>
      <c r="AM196" s="240"/>
      <c r="AN196" s="240"/>
      <c r="AO196" s="240"/>
      <c r="AP196" s="240"/>
      <c r="AQ196" s="240"/>
    </row>
    <row r="197" spans="1:43" ht="15.75">
      <c r="A197" s="241"/>
      <c r="B197" s="241"/>
      <c r="C197" s="241"/>
      <c r="D197" s="241"/>
      <c r="E197" s="241"/>
      <c r="F197" s="241"/>
      <c r="G197" s="241"/>
      <c r="H197" s="241"/>
      <c r="I197" s="241"/>
      <c r="J197" s="241"/>
      <c r="K197" s="241"/>
      <c r="L197" s="241"/>
      <c r="M197" s="241"/>
      <c r="N197" s="241"/>
      <c r="O197" s="241"/>
      <c r="P197" s="241"/>
      <c r="Q197" s="241"/>
      <c r="R197" s="241"/>
      <c r="S197" s="241"/>
      <c r="T197" s="241"/>
      <c r="U197" s="241"/>
      <c r="V197" s="241"/>
      <c r="W197" s="241"/>
      <c r="X197" s="241"/>
      <c r="Y197" s="241"/>
      <c r="Z197" s="241"/>
      <c r="AA197" s="241"/>
      <c r="AB197" s="241"/>
      <c r="AC197" s="241"/>
      <c r="AD197" s="241"/>
      <c r="AE197" s="241"/>
      <c r="AF197" s="240"/>
      <c r="AG197" s="240"/>
      <c r="AH197" s="240"/>
      <c r="AI197" s="240"/>
      <c r="AJ197" s="240"/>
      <c r="AK197" s="240"/>
      <c r="AL197" s="240"/>
      <c r="AM197" s="240"/>
      <c r="AN197" s="240"/>
      <c r="AO197" s="240"/>
      <c r="AP197" s="240"/>
      <c r="AQ197" s="240"/>
    </row>
    <row r="198" spans="1:43" ht="15.75">
      <c r="A198" s="241"/>
      <c r="B198" s="241"/>
      <c r="C198" s="241"/>
      <c r="D198" s="241"/>
      <c r="E198" s="241"/>
      <c r="F198" s="241"/>
      <c r="G198" s="241"/>
      <c r="H198" s="241"/>
      <c r="I198" s="241"/>
      <c r="J198" s="241"/>
      <c r="K198" s="241"/>
      <c r="L198" s="241"/>
      <c r="M198" s="241"/>
      <c r="N198" s="241"/>
      <c r="O198" s="241"/>
      <c r="P198" s="241"/>
      <c r="Q198" s="241"/>
      <c r="R198" s="241"/>
      <c r="S198" s="241"/>
      <c r="T198" s="241"/>
      <c r="U198" s="241"/>
      <c r="V198" s="241"/>
      <c r="W198" s="241"/>
      <c r="X198" s="241"/>
      <c r="Y198" s="241"/>
      <c r="Z198" s="241"/>
      <c r="AA198" s="241"/>
      <c r="AB198" s="241"/>
      <c r="AC198" s="241"/>
      <c r="AD198" s="241"/>
      <c r="AE198" s="241"/>
      <c r="AF198" s="240"/>
      <c r="AG198" s="240"/>
      <c r="AH198" s="240"/>
      <c r="AI198" s="240"/>
      <c r="AJ198" s="240"/>
      <c r="AK198" s="240"/>
      <c r="AL198" s="240"/>
      <c r="AM198" s="240"/>
      <c r="AN198" s="240"/>
      <c r="AO198" s="240"/>
      <c r="AP198" s="240"/>
      <c r="AQ198" s="240"/>
    </row>
    <row r="199" spans="1:43" ht="15.75">
      <c r="A199" s="241"/>
      <c r="B199" s="241"/>
      <c r="C199" s="241"/>
      <c r="D199" s="241"/>
      <c r="E199" s="241"/>
      <c r="F199" s="241"/>
      <c r="G199" s="241"/>
      <c r="H199" s="241"/>
      <c r="I199" s="241"/>
      <c r="J199" s="241"/>
      <c r="K199" s="241"/>
      <c r="L199" s="241"/>
      <c r="M199" s="241"/>
      <c r="N199" s="241"/>
      <c r="O199" s="241"/>
      <c r="P199" s="241"/>
      <c r="Q199" s="241"/>
      <c r="R199" s="241"/>
      <c r="S199" s="241"/>
      <c r="T199" s="241"/>
      <c r="U199" s="241"/>
      <c r="V199" s="241"/>
      <c r="W199" s="241"/>
      <c r="X199" s="241"/>
      <c r="Y199" s="241"/>
      <c r="Z199" s="241"/>
      <c r="AA199" s="241"/>
      <c r="AB199" s="241"/>
      <c r="AC199" s="241"/>
      <c r="AD199" s="241"/>
      <c r="AE199" s="241"/>
      <c r="AF199" s="240"/>
      <c r="AG199" s="240"/>
      <c r="AH199" s="240"/>
      <c r="AI199" s="240"/>
      <c r="AJ199" s="240"/>
      <c r="AK199" s="240"/>
      <c r="AL199" s="240"/>
      <c r="AM199" s="240"/>
      <c r="AN199" s="240"/>
      <c r="AO199" s="240"/>
      <c r="AP199" s="240"/>
      <c r="AQ199" s="240"/>
    </row>
    <row r="200" spans="1:43" ht="15.75">
      <c r="A200" s="241"/>
      <c r="B200" s="241"/>
      <c r="C200" s="241"/>
      <c r="D200" s="241"/>
      <c r="E200" s="241"/>
      <c r="F200" s="241"/>
      <c r="G200" s="241"/>
      <c r="H200" s="241"/>
      <c r="I200" s="241"/>
      <c r="J200" s="241"/>
      <c r="K200" s="241"/>
      <c r="L200" s="241"/>
      <c r="M200" s="241"/>
      <c r="N200" s="241"/>
      <c r="O200" s="241"/>
      <c r="P200" s="241"/>
      <c r="Q200" s="241"/>
      <c r="R200" s="241"/>
      <c r="S200" s="241"/>
      <c r="T200" s="241"/>
      <c r="U200" s="241"/>
      <c r="V200" s="241"/>
      <c r="W200" s="241"/>
      <c r="X200" s="241"/>
      <c r="Y200" s="241"/>
      <c r="Z200" s="241"/>
      <c r="AA200" s="241"/>
      <c r="AB200" s="241"/>
      <c r="AC200" s="241"/>
      <c r="AD200" s="241"/>
      <c r="AE200" s="241"/>
      <c r="AF200" s="240"/>
      <c r="AG200" s="240"/>
      <c r="AH200" s="240"/>
      <c r="AI200" s="240"/>
      <c r="AJ200" s="240"/>
      <c r="AK200" s="240"/>
      <c r="AL200" s="240"/>
      <c r="AM200" s="240"/>
      <c r="AN200" s="240"/>
      <c r="AO200" s="240"/>
      <c r="AP200" s="240"/>
      <c r="AQ200" s="240"/>
    </row>
    <row r="201" spans="1:43" ht="15.75">
      <c r="A201" s="241"/>
      <c r="B201" s="241"/>
      <c r="C201" s="241"/>
      <c r="D201" s="241"/>
      <c r="E201" s="241"/>
      <c r="F201" s="241"/>
      <c r="G201" s="241"/>
      <c r="H201" s="241"/>
      <c r="I201" s="241"/>
      <c r="J201" s="241"/>
      <c r="K201" s="241"/>
      <c r="L201" s="241"/>
      <c r="M201" s="241"/>
      <c r="N201" s="241"/>
      <c r="O201" s="241"/>
      <c r="P201" s="241"/>
      <c r="Q201" s="241"/>
      <c r="R201" s="241"/>
      <c r="S201" s="241"/>
      <c r="T201" s="241"/>
      <c r="U201" s="241"/>
      <c r="V201" s="241"/>
      <c r="W201" s="241"/>
      <c r="X201" s="241"/>
      <c r="Y201" s="241"/>
      <c r="Z201" s="241"/>
      <c r="AA201" s="241"/>
      <c r="AB201" s="241"/>
      <c r="AC201" s="241"/>
      <c r="AD201" s="241"/>
      <c r="AE201" s="241"/>
      <c r="AF201" s="240"/>
      <c r="AG201" s="240"/>
      <c r="AH201" s="240"/>
      <c r="AI201" s="240"/>
      <c r="AJ201" s="240"/>
      <c r="AK201" s="240"/>
      <c r="AL201" s="240"/>
      <c r="AM201" s="240"/>
      <c r="AN201" s="240"/>
      <c r="AO201" s="240"/>
      <c r="AP201" s="240"/>
      <c r="AQ201" s="240"/>
    </row>
    <row r="202" spans="1:43" ht="15.75">
      <c r="A202" s="241"/>
      <c r="B202" s="241"/>
      <c r="C202" s="241"/>
      <c r="D202" s="241"/>
      <c r="E202" s="241"/>
      <c r="F202" s="241"/>
      <c r="G202" s="241"/>
      <c r="H202" s="241"/>
      <c r="I202" s="241"/>
      <c r="J202" s="241"/>
      <c r="K202" s="241"/>
      <c r="L202" s="241"/>
      <c r="M202" s="241"/>
      <c r="N202" s="241"/>
      <c r="O202" s="241"/>
      <c r="P202" s="241"/>
      <c r="Q202" s="241"/>
      <c r="R202" s="241"/>
      <c r="S202" s="241"/>
      <c r="T202" s="241"/>
      <c r="U202" s="241"/>
      <c r="V202" s="241"/>
      <c r="W202" s="241"/>
      <c r="X202" s="241"/>
      <c r="Y202" s="241"/>
      <c r="Z202" s="241"/>
      <c r="AA202" s="241"/>
      <c r="AB202" s="241"/>
      <c r="AC202" s="241"/>
      <c r="AD202" s="241"/>
      <c r="AE202" s="241"/>
      <c r="AF202" s="240"/>
      <c r="AG202" s="240"/>
      <c r="AH202" s="240"/>
      <c r="AI202" s="240"/>
      <c r="AJ202" s="240"/>
      <c r="AK202" s="240"/>
      <c r="AL202" s="240"/>
      <c r="AM202" s="240"/>
      <c r="AN202" s="240"/>
      <c r="AO202" s="240"/>
      <c r="AP202" s="240"/>
      <c r="AQ202" s="240"/>
    </row>
    <row r="203" spans="1:43" ht="15.75">
      <c r="A203" s="241"/>
      <c r="B203" s="241"/>
      <c r="C203" s="241"/>
      <c r="D203" s="241"/>
      <c r="E203" s="241"/>
      <c r="F203" s="241"/>
      <c r="G203" s="241"/>
      <c r="H203" s="241"/>
      <c r="I203" s="241"/>
      <c r="J203" s="241"/>
      <c r="K203" s="241"/>
      <c r="L203" s="241"/>
      <c r="M203" s="241"/>
      <c r="N203" s="241"/>
      <c r="O203" s="241"/>
      <c r="P203" s="241"/>
      <c r="Q203" s="241"/>
      <c r="R203" s="241"/>
      <c r="S203" s="241"/>
      <c r="T203" s="241"/>
      <c r="U203" s="241"/>
      <c r="V203" s="241"/>
      <c r="W203" s="241"/>
      <c r="X203" s="241"/>
      <c r="Y203" s="241"/>
      <c r="Z203" s="241"/>
      <c r="AA203" s="241"/>
      <c r="AB203" s="241"/>
      <c r="AC203" s="241"/>
      <c r="AD203" s="241"/>
      <c r="AE203" s="241"/>
      <c r="AF203" s="240"/>
      <c r="AG203" s="240"/>
      <c r="AH203" s="240"/>
      <c r="AI203" s="240"/>
      <c r="AJ203" s="240"/>
      <c r="AK203" s="240"/>
      <c r="AL203" s="240"/>
      <c r="AM203" s="240"/>
      <c r="AN203" s="240"/>
      <c r="AO203" s="240"/>
      <c r="AP203" s="240"/>
      <c r="AQ203" s="240"/>
    </row>
    <row r="204" spans="1:43" ht="15.75">
      <c r="A204" s="241"/>
      <c r="B204" s="241"/>
      <c r="C204" s="241"/>
      <c r="D204" s="241"/>
      <c r="E204" s="241"/>
      <c r="F204" s="241"/>
      <c r="G204" s="241"/>
      <c r="H204" s="241"/>
      <c r="I204" s="241"/>
      <c r="J204" s="241"/>
      <c r="K204" s="241"/>
      <c r="L204" s="241"/>
      <c r="M204" s="241"/>
      <c r="N204" s="241"/>
      <c r="O204" s="241"/>
      <c r="P204" s="241"/>
      <c r="Q204" s="241"/>
      <c r="R204" s="241"/>
      <c r="S204" s="241"/>
      <c r="T204" s="241"/>
      <c r="U204" s="241"/>
      <c r="V204" s="241"/>
      <c r="W204" s="241"/>
      <c r="X204" s="241"/>
      <c r="Y204" s="241"/>
      <c r="Z204" s="241"/>
      <c r="AA204" s="241"/>
      <c r="AB204" s="241"/>
      <c r="AC204" s="241"/>
      <c r="AD204" s="241"/>
      <c r="AE204" s="241"/>
      <c r="AF204" s="240"/>
      <c r="AG204" s="240"/>
      <c r="AH204" s="240"/>
      <c r="AI204" s="240"/>
      <c r="AJ204" s="240"/>
      <c r="AK204" s="240"/>
      <c r="AL204" s="240"/>
      <c r="AM204" s="240"/>
      <c r="AN204" s="240"/>
      <c r="AO204" s="240"/>
      <c r="AP204" s="240"/>
      <c r="AQ204" s="240"/>
    </row>
    <row r="205" spans="1:43" ht="15.75">
      <c r="A205" s="241"/>
      <c r="B205" s="241"/>
      <c r="C205" s="241"/>
      <c r="D205" s="241"/>
      <c r="E205" s="241"/>
      <c r="F205" s="241"/>
      <c r="G205" s="241"/>
      <c r="H205" s="241"/>
      <c r="I205" s="241"/>
      <c r="J205" s="241"/>
      <c r="K205" s="241"/>
      <c r="L205" s="241"/>
      <c r="M205" s="241"/>
      <c r="N205" s="241"/>
      <c r="O205" s="241"/>
      <c r="P205" s="241"/>
      <c r="Q205" s="241"/>
      <c r="R205" s="241"/>
      <c r="S205" s="241"/>
      <c r="T205" s="241"/>
      <c r="U205" s="241"/>
      <c r="V205" s="241"/>
      <c r="W205" s="241"/>
      <c r="X205" s="241"/>
      <c r="Y205" s="241"/>
      <c r="Z205" s="241"/>
      <c r="AA205" s="241"/>
      <c r="AB205" s="241"/>
      <c r="AC205" s="241"/>
      <c r="AD205" s="241"/>
      <c r="AE205" s="241"/>
      <c r="AF205" s="240"/>
      <c r="AG205" s="240"/>
      <c r="AH205" s="240"/>
      <c r="AI205" s="240"/>
      <c r="AJ205" s="240"/>
      <c r="AK205" s="240"/>
      <c r="AL205" s="240"/>
      <c r="AM205" s="240"/>
      <c r="AN205" s="240"/>
      <c r="AO205" s="240"/>
      <c r="AP205" s="240"/>
      <c r="AQ205" s="240"/>
    </row>
    <row r="206" spans="1:43" ht="15.75">
      <c r="A206" s="241"/>
      <c r="B206" s="241"/>
      <c r="C206" s="241"/>
      <c r="D206" s="241"/>
      <c r="E206" s="241"/>
      <c r="F206" s="241"/>
      <c r="G206" s="241"/>
      <c r="H206" s="241"/>
      <c r="I206" s="241"/>
      <c r="J206" s="241"/>
      <c r="K206" s="241"/>
      <c r="L206" s="241"/>
      <c r="M206" s="241"/>
      <c r="N206" s="241"/>
      <c r="O206" s="241"/>
      <c r="P206" s="241"/>
      <c r="Q206" s="241"/>
      <c r="R206" s="241"/>
      <c r="S206" s="241"/>
      <c r="T206" s="241"/>
      <c r="U206" s="241"/>
      <c r="V206" s="241"/>
      <c r="W206" s="241"/>
      <c r="X206" s="241"/>
      <c r="Y206" s="241"/>
      <c r="Z206" s="241"/>
      <c r="AA206" s="241"/>
      <c r="AB206" s="241"/>
      <c r="AC206" s="241"/>
      <c r="AD206" s="241"/>
      <c r="AE206" s="241"/>
      <c r="AF206" s="240"/>
      <c r="AG206" s="240"/>
      <c r="AH206" s="240"/>
      <c r="AI206" s="240"/>
      <c r="AJ206" s="240"/>
      <c r="AK206" s="240"/>
      <c r="AL206" s="240"/>
      <c r="AM206" s="240"/>
      <c r="AN206" s="240"/>
      <c r="AO206" s="240"/>
      <c r="AP206" s="240"/>
      <c r="AQ206" s="240"/>
    </row>
    <row r="207" spans="1:43" ht="15.75">
      <c r="A207" s="241"/>
      <c r="B207" s="241"/>
      <c r="C207" s="241"/>
      <c r="D207" s="241"/>
      <c r="E207" s="241"/>
      <c r="F207" s="241"/>
      <c r="G207" s="241"/>
      <c r="H207" s="241"/>
      <c r="I207" s="241"/>
      <c r="J207" s="241"/>
      <c r="K207" s="241"/>
      <c r="L207" s="241"/>
      <c r="M207" s="241"/>
      <c r="N207" s="241"/>
      <c r="O207" s="241"/>
      <c r="P207" s="241"/>
      <c r="Q207" s="241"/>
      <c r="R207" s="241"/>
      <c r="S207" s="241"/>
      <c r="T207" s="241"/>
      <c r="U207" s="241"/>
      <c r="V207" s="241"/>
      <c r="W207" s="241"/>
      <c r="X207" s="241"/>
      <c r="Y207" s="241"/>
      <c r="Z207" s="241"/>
      <c r="AA207" s="241"/>
      <c r="AB207" s="241"/>
      <c r="AC207" s="241"/>
      <c r="AD207" s="241"/>
      <c r="AE207" s="241"/>
      <c r="AF207" s="240"/>
      <c r="AG207" s="240"/>
      <c r="AH207" s="240"/>
      <c r="AI207" s="240"/>
      <c r="AJ207" s="240"/>
      <c r="AK207" s="240"/>
      <c r="AL207" s="240"/>
      <c r="AM207" s="240"/>
      <c r="AN207" s="240"/>
      <c r="AO207" s="240"/>
      <c r="AP207" s="240"/>
      <c r="AQ207" s="240"/>
    </row>
    <row r="208" spans="1:43" ht="15.75">
      <c r="A208" s="241"/>
      <c r="B208" s="241"/>
      <c r="C208" s="241"/>
      <c r="D208" s="241"/>
      <c r="E208" s="241"/>
      <c r="F208" s="241"/>
      <c r="G208" s="241"/>
      <c r="H208" s="241"/>
      <c r="I208" s="241"/>
      <c r="J208" s="241"/>
      <c r="K208" s="241"/>
      <c r="L208" s="241"/>
      <c r="M208" s="241"/>
      <c r="N208" s="241"/>
      <c r="O208" s="241"/>
      <c r="P208" s="241"/>
      <c r="Q208" s="241"/>
      <c r="R208" s="241"/>
      <c r="S208" s="241"/>
      <c r="T208" s="241"/>
      <c r="U208" s="241"/>
      <c r="V208" s="241"/>
      <c r="W208" s="241"/>
      <c r="X208" s="241"/>
      <c r="Y208" s="241"/>
      <c r="Z208" s="241"/>
      <c r="AA208" s="241"/>
      <c r="AB208" s="241"/>
      <c r="AC208" s="241"/>
      <c r="AD208" s="241"/>
      <c r="AE208" s="241"/>
      <c r="AF208" s="240"/>
      <c r="AG208" s="240"/>
      <c r="AH208" s="240"/>
      <c r="AI208" s="240"/>
      <c r="AJ208" s="240"/>
      <c r="AK208" s="240"/>
      <c r="AL208" s="240"/>
      <c r="AM208" s="240"/>
      <c r="AN208" s="240"/>
      <c r="AO208" s="240"/>
      <c r="AP208" s="240"/>
      <c r="AQ208" s="240"/>
    </row>
    <row r="209" spans="1:43" ht="15.75">
      <c r="A209" s="241"/>
      <c r="B209" s="241"/>
      <c r="C209" s="241"/>
      <c r="D209" s="241"/>
      <c r="E209" s="241"/>
      <c r="F209" s="241"/>
      <c r="G209" s="241"/>
      <c r="H209" s="241"/>
      <c r="I209" s="241"/>
      <c r="J209" s="241"/>
      <c r="K209" s="241"/>
      <c r="L209" s="241"/>
      <c r="M209" s="241"/>
      <c r="N209" s="241"/>
      <c r="O209" s="241"/>
      <c r="P209" s="241"/>
      <c r="Q209" s="241"/>
      <c r="R209" s="241"/>
      <c r="S209" s="241"/>
      <c r="T209" s="241"/>
      <c r="U209" s="241"/>
      <c r="V209" s="241"/>
      <c r="W209" s="241"/>
      <c r="X209" s="241"/>
      <c r="Y209" s="241"/>
      <c r="Z209" s="241"/>
      <c r="AA209" s="241"/>
      <c r="AB209" s="241"/>
      <c r="AC209" s="241"/>
      <c r="AD209" s="241"/>
      <c r="AE209" s="241"/>
      <c r="AF209" s="240"/>
      <c r="AG209" s="240"/>
      <c r="AH209" s="240"/>
      <c r="AI209" s="240"/>
      <c r="AJ209" s="240"/>
      <c r="AK209" s="240"/>
      <c r="AL209" s="240"/>
      <c r="AM209" s="240"/>
      <c r="AN209" s="240"/>
      <c r="AO209" s="240"/>
      <c r="AP209" s="240"/>
      <c r="AQ209" s="240"/>
    </row>
    <row r="210" spans="1:43" ht="15.75">
      <c r="A210" s="241"/>
      <c r="B210" s="241"/>
      <c r="C210" s="241"/>
      <c r="D210" s="241"/>
      <c r="E210" s="241"/>
      <c r="F210" s="241"/>
      <c r="G210" s="241"/>
      <c r="H210" s="241"/>
      <c r="I210" s="241"/>
      <c r="J210" s="241"/>
      <c r="K210" s="241"/>
      <c r="L210" s="241"/>
      <c r="M210" s="241"/>
      <c r="N210" s="241"/>
      <c r="O210" s="241"/>
      <c r="P210" s="241"/>
      <c r="Q210" s="241"/>
      <c r="R210" s="241"/>
      <c r="S210" s="241"/>
      <c r="T210" s="241"/>
      <c r="U210" s="241"/>
      <c r="V210" s="241"/>
      <c r="W210" s="241"/>
      <c r="X210" s="241"/>
      <c r="Y210" s="241"/>
      <c r="Z210" s="241"/>
      <c r="AA210" s="241"/>
      <c r="AB210" s="241"/>
      <c r="AC210" s="241"/>
      <c r="AD210" s="241"/>
      <c r="AE210" s="241"/>
      <c r="AF210" s="240"/>
      <c r="AG210" s="240"/>
      <c r="AH210" s="240"/>
      <c r="AI210" s="240"/>
      <c r="AJ210" s="240"/>
      <c r="AK210" s="240"/>
      <c r="AL210" s="240"/>
      <c r="AM210" s="240"/>
      <c r="AN210" s="240"/>
      <c r="AO210" s="240"/>
      <c r="AP210" s="240"/>
      <c r="AQ210" s="240"/>
    </row>
    <row r="211" spans="1:43" ht="15.75">
      <c r="A211" s="241"/>
      <c r="B211" s="241"/>
      <c r="C211" s="241"/>
      <c r="D211" s="241"/>
      <c r="E211" s="241"/>
      <c r="F211" s="241"/>
      <c r="G211" s="241"/>
      <c r="H211" s="241"/>
      <c r="I211" s="241"/>
      <c r="J211" s="241"/>
      <c r="K211" s="241"/>
      <c r="L211" s="241"/>
      <c r="M211" s="241"/>
      <c r="N211" s="241"/>
      <c r="O211" s="241"/>
      <c r="P211" s="241"/>
      <c r="Q211" s="241"/>
      <c r="R211" s="241"/>
      <c r="S211" s="241"/>
      <c r="T211" s="241"/>
      <c r="U211" s="241"/>
      <c r="V211" s="241"/>
      <c r="W211" s="241"/>
      <c r="X211" s="241"/>
      <c r="Y211" s="241"/>
      <c r="Z211" s="241"/>
      <c r="AA211" s="241"/>
      <c r="AB211" s="241"/>
      <c r="AC211" s="241"/>
      <c r="AD211" s="241"/>
      <c r="AE211" s="241"/>
      <c r="AF211" s="240"/>
      <c r="AG211" s="240"/>
      <c r="AH211" s="240"/>
      <c r="AI211" s="240"/>
      <c r="AJ211" s="240"/>
      <c r="AK211" s="240"/>
      <c r="AL211" s="240"/>
      <c r="AM211" s="240"/>
      <c r="AN211" s="240"/>
      <c r="AO211" s="240"/>
      <c r="AP211" s="240"/>
      <c r="AQ211" s="240"/>
    </row>
    <row r="212" spans="1:43" ht="15.75">
      <c r="A212" s="241"/>
      <c r="B212" s="241"/>
      <c r="C212" s="241"/>
      <c r="D212" s="241"/>
      <c r="E212" s="241"/>
      <c r="F212" s="241"/>
      <c r="G212" s="241"/>
      <c r="H212" s="241"/>
      <c r="I212" s="241"/>
      <c r="J212" s="241"/>
      <c r="K212" s="241"/>
      <c r="L212" s="241"/>
      <c r="M212" s="241"/>
      <c r="N212" s="241"/>
      <c r="O212" s="241"/>
      <c r="P212" s="241"/>
      <c r="Q212" s="241"/>
      <c r="R212" s="241"/>
      <c r="S212" s="241"/>
      <c r="T212" s="241"/>
      <c r="U212" s="241"/>
      <c r="V212" s="241"/>
      <c r="W212" s="241"/>
      <c r="X212" s="241"/>
      <c r="Y212" s="241"/>
      <c r="Z212" s="241"/>
      <c r="AA212" s="241"/>
      <c r="AB212" s="241"/>
      <c r="AC212" s="241"/>
      <c r="AD212" s="241"/>
      <c r="AE212" s="241"/>
      <c r="AF212" s="240"/>
      <c r="AG212" s="240"/>
      <c r="AH212" s="240"/>
      <c r="AI212" s="240"/>
      <c r="AJ212" s="240"/>
      <c r="AK212" s="240"/>
      <c r="AL212" s="240"/>
      <c r="AM212" s="240"/>
      <c r="AN212" s="240"/>
      <c r="AO212" s="240"/>
      <c r="AP212" s="240"/>
      <c r="AQ212" s="240"/>
    </row>
    <row r="213" spans="1:43" ht="15.75">
      <c r="A213" s="241"/>
      <c r="B213" s="241"/>
      <c r="C213" s="241"/>
      <c r="D213" s="241"/>
      <c r="E213" s="241"/>
      <c r="F213" s="241"/>
      <c r="G213" s="241"/>
      <c r="H213" s="241"/>
      <c r="I213" s="241"/>
      <c r="J213" s="241"/>
      <c r="K213" s="241"/>
      <c r="L213" s="241"/>
      <c r="M213" s="241"/>
      <c r="N213" s="241"/>
      <c r="O213" s="241"/>
      <c r="P213" s="241"/>
      <c r="Q213" s="241"/>
      <c r="R213" s="241"/>
      <c r="S213" s="241"/>
      <c r="T213" s="241"/>
      <c r="U213" s="241"/>
      <c r="V213" s="241"/>
      <c r="W213" s="241"/>
      <c r="X213" s="241"/>
      <c r="Y213" s="241"/>
      <c r="Z213" s="241"/>
      <c r="AA213" s="241"/>
      <c r="AB213" s="241"/>
      <c r="AC213" s="241"/>
      <c r="AD213" s="241"/>
      <c r="AE213" s="241"/>
      <c r="AF213" s="240"/>
      <c r="AG213" s="240"/>
      <c r="AH213" s="240"/>
      <c r="AI213" s="240"/>
      <c r="AJ213" s="240"/>
      <c r="AK213" s="240"/>
      <c r="AL213" s="240"/>
      <c r="AM213" s="240"/>
      <c r="AN213" s="240"/>
      <c r="AO213" s="240"/>
      <c r="AP213" s="240"/>
      <c r="AQ213" s="240"/>
    </row>
    <row r="214" spans="1:43" ht="15.75">
      <c r="A214" s="241"/>
      <c r="B214" s="241"/>
      <c r="C214" s="241"/>
      <c r="D214" s="241"/>
      <c r="E214" s="241"/>
      <c r="F214" s="241"/>
      <c r="G214" s="241"/>
      <c r="H214" s="241"/>
      <c r="I214" s="241"/>
      <c r="J214" s="241"/>
      <c r="K214" s="241"/>
      <c r="L214" s="241"/>
      <c r="M214" s="241"/>
      <c r="N214" s="241"/>
      <c r="O214" s="241"/>
      <c r="P214" s="241"/>
      <c r="Q214" s="241"/>
      <c r="R214" s="241"/>
      <c r="S214" s="241"/>
      <c r="T214" s="241"/>
      <c r="U214" s="241"/>
      <c r="V214" s="241"/>
      <c r="W214" s="241"/>
      <c r="X214" s="241"/>
      <c r="Y214" s="241"/>
      <c r="Z214" s="241"/>
      <c r="AA214" s="241"/>
      <c r="AB214" s="241"/>
      <c r="AC214" s="241"/>
      <c r="AD214" s="241"/>
      <c r="AE214" s="241"/>
      <c r="AF214" s="240"/>
      <c r="AG214" s="240"/>
      <c r="AH214" s="240"/>
      <c r="AI214" s="240"/>
      <c r="AJ214" s="240"/>
      <c r="AK214" s="240"/>
      <c r="AL214" s="240"/>
      <c r="AM214" s="240"/>
      <c r="AN214" s="240"/>
      <c r="AO214" s="240"/>
      <c r="AP214" s="240"/>
      <c r="AQ214" s="240"/>
    </row>
    <row r="215" spans="1:43" ht="15.75">
      <c r="A215" s="241"/>
      <c r="B215" s="241"/>
      <c r="C215" s="241"/>
      <c r="D215" s="241"/>
      <c r="E215" s="241"/>
      <c r="F215" s="241"/>
      <c r="G215" s="241"/>
      <c r="H215" s="241"/>
      <c r="I215" s="241"/>
      <c r="J215" s="241"/>
      <c r="K215" s="241"/>
      <c r="L215" s="241"/>
      <c r="M215" s="241"/>
      <c r="N215" s="241"/>
      <c r="O215" s="241"/>
      <c r="P215" s="241"/>
      <c r="Q215" s="241"/>
      <c r="R215" s="241"/>
      <c r="S215" s="241"/>
      <c r="T215" s="241"/>
      <c r="U215" s="241"/>
      <c r="V215" s="241"/>
      <c r="W215" s="241"/>
      <c r="X215" s="241"/>
      <c r="Y215" s="241"/>
      <c r="Z215" s="241"/>
      <c r="AA215" s="241"/>
      <c r="AB215" s="241"/>
      <c r="AC215" s="241"/>
      <c r="AD215" s="241"/>
      <c r="AE215" s="241"/>
      <c r="AF215" s="240"/>
      <c r="AG215" s="240"/>
      <c r="AH215" s="240"/>
      <c r="AI215" s="240"/>
      <c r="AJ215" s="240"/>
      <c r="AK215" s="240"/>
      <c r="AL215" s="240"/>
      <c r="AM215" s="240"/>
      <c r="AN215" s="240"/>
      <c r="AO215" s="240"/>
      <c r="AP215" s="240"/>
      <c r="AQ215" s="240"/>
    </row>
    <row r="216" spans="1:43" ht="15.75">
      <c r="A216" s="241"/>
      <c r="B216" s="241"/>
      <c r="C216" s="241"/>
      <c r="D216" s="241"/>
      <c r="E216" s="241"/>
      <c r="F216" s="241"/>
      <c r="G216" s="241"/>
      <c r="H216" s="241"/>
      <c r="I216" s="241"/>
      <c r="J216" s="241"/>
      <c r="K216" s="241"/>
      <c r="L216" s="241"/>
      <c r="M216" s="241"/>
      <c r="N216" s="241"/>
      <c r="O216" s="241"/>
      <c r="P216" s="241"/>
      <c r="Q216" s="241"/>
      <c r="R216" s="241"/>
      <c r="S216" s="241"/>
      <c r="T216" s="241"/>
      <c r="U216" s="241"/>
      <c r="V216" s="241"/>
      <c r="W216" s="241"/>
      <c r="X216" s="241"/>
      <c r="Y216" s="241"/>
      <c r="Z216" s="241"/>
      <c r="AA216" s="241"/>
      <c r="AB216" s="241"/>
      <c r="AC216" s="241"/>
      <c r="AD216" s="241"/>
      <c r="AE216" s="241"/>
      <c r="AF216" s="240"/>
      <c r="AG216" s="240"/>
      <c r="AH216" s="240"/>
      <c r="AI216" s="240"/>
      <c r="AJ216" s="240"/>
      <c r="AK216" s="240"/>
      <c r="AL216" s="240"/>
      <c r="AM216" s="240"/>
      <c r="AN216" s="240"/>
      <c r="AO216" s="240"/>
      <c r="AP216" s="240"/>
      <c r="AQ216" s="240"/>
    </row>
    <row r="217" spans="1:43" ht="15.75">
      <c r="A217" s="241"/>
      <c r="B217" s="241"/>
      <c r="C217" s="241"/>
      <c r="D217" s="241"/>
      <c r="E217" s="241"/>
      <c r="F217" s="241"/>
      <c r="G217" s="241"/>
      <c r="H217" s="241"/>
      <c r="I217" s="241"/>
      <c r="J217" s="241"/>
      <c r="K217" s="241"/>
      <c r="L217" s="241"/>
      <c r="M217" s="241"/>
      <c r="N217" s="241"/>
      <c r="O217" s="241"/>
      <c r="P217" s="241"/>
      <c r="Q217" s="241"/>
      <c r="R217" s="241"/>
      <c r="S217" s="241"/>
      <c r="T217" s="241"/>
      <c r="U217" s="241"/>
      <c r="V217" s="241"/>
      <c r="W217" s="241"/>
      <c r="X217" s="241"/>
      <c r="Y217" s="241"/>
      <c r="Z217" s="241"/>
      <c r="AA217" s="241"/>
      <c r="AB217" s="241"/>
      <c r="AC217" s="241"/>
      <c r="AD217" s="241"/>
      <c r="AE217" s="241"/>
      <c r="AF217" s="240"/>
      <c r="AG217" s="240"/>
      <c r="AH217" s="240"/>
      <c r="AI217" s="240"/>
      <c r="AJ217" s="240"/>
      <c r="AK217" s="240"/>
      <c r="AL217" s="240"/>
      <c r="AM217" s="240"/>
      <c r="AN217" s="240"/>
      <c r="AO217" s="240"/>
      <c r="AP217" s="240"/>
      <c r="AQ217" s="240"/>
    </row>
    <row r="218" spans="1:43" ht="15.75">
      <c r="A218" s="241"/>
      <c r="B218" s="241"/>
      <c r="C218" s="241"/>
      <c r="D218" s="241"/>
      <c r="E218" s="241"/>
      <c r="F218" s="241"/>
      <c r="G218" s="241"/>
      <c r="H218" s="241"/>
      <c r="I218" s="241"/>
      <c r="J218" s="241"/>
      <c r="K218" s="241"/>
      <c r="L218" s="241"/>
      <c r="M218" s="241"/>
      <c r="N218" s="241"/>
      <c r="O218" s="241"/>
      <c r="P218" s="241"/>
      <c r="Q218" s="241"/>
      <c r="R218" s="241"/>
      <c r="S218" s="241"/>
      <c r="T218" s="241"/>
      <c r="U218" s="241"/>
      <c r="V218" s="241"/>
      <c r="W218" s="241"/>
      <c r="X218" s="241"/>
      <c r="Y218" s="241"/>
      <c r="Z218" s="241"/>
      <c r="AA218" s="241"/>
      <c r="AB218" s="241"/>
      <c r="AC218" s="241"/>
      <c r="AD218" s="241"/>
      <c r="AE218" s="241"/>
      <c r="AF218" s="240"/>
      <c r="AG218" s="240"/>
      <c r="AH218" s="240"/>
      <c r="AI218" s="240"/>
      <c r="AJ218" s="240"/>
      <c r="AK218" s="240"/>
      <c r="AL218" s="240"/>
      <c r="AM218" s="240"/>
      <c r="AN218" s="240"/>
      <c r="AO218" s="240"/>
      <c r="AP218" s="240"/>
      <c r="AQ218" s="240"/>
    </row>
    <row r="219" spans="1:43" ht="15.75">
      <c r="A219" s="241"/>
      <c r="B219" s="241"/>
      <c r="C219" s="241"/>
      <c r="D219" s="241"/>
      <c r="E219" s="241"/>
      <c r="F219" s="241"/>
      <c r="G219" s="241"/>
      <c r="H219" s="241"/>
      <c r="I219" s="241"/>
      <c r="J219" s="241"/>
      <c r="K219" s="241"/>
      <c r="L219" s="241"/>
      <c r="M219" s="241"/>
      <c r="N219" s="241"/>
      <c r="O219" s="241"/>
      <c r="P219" s="241"/>
      <c r="Q219" s="241"/>
      <c r="R219" s="241"/>
      <c r="S219" s="241"/>
      <c r="T219" s="241"/>
      <c r="U219" s="241"/>
      <c r="V219" s="241"/>
      <c r="W219" s="241"/>
      <c r="X219" s="241"/>
      <c r="Y219" s="241"/>
      <c r="Z219" s="241"/>
      <c r="AA219" s="241"/>
      <c r="AB219" s="241"/>
      <c r="AC219" s="241"/>
      <c r="AD219" s="241"/>
      <c r="AE219" s="241"/>
      <c r="AF219" s="240"/>
      <c r="AG219" s="240"/>
      <c r="AH219" s="240"/>
      <c r="AI219" s="240"/>
      <c r="AJ219" s="240"/>
      <c r="AK219" s="240"/>
      <c r="AL219" s="240"/>
      <c r="AM219" s="240"/>
      <c r="AN219" s="240"/>
      <c r="AO219" s="240"/>
      <c r="AP219" s="240"/>
      <c r="AQ219" s="240"/>
    </row>
    <row r="220" spans="1:43" ht="15.75">
      <c r="A220" s="241"/>
      <c r="B220" s="241"/>
      <c r="C220" s="241"/>
      <c r="D220" s="241"/>
      <c r="E220" s="241"/>
      <c r="F220" s="241"/>
      <c r="G220" s="241"/>
      <c r="H220" s="241"/>
      <c r="I220" s="241"/>
      <c r="J220" s="241"/>
      <c r="K220" s="241"/>
      <c r="L220" s="241"/>
      <c r="M220" s="241"/>
      <c r="N220" s="241"/>
      <c r="O220" s="241"/>
      <c r="P220" s="241"/>
      <c r="Q220" s="241"/>
      <c r="R220" s="241"/>
      <c r="S220" s="241"/>
      <c r="T220" s="241"/>
      <c r="U220" s="241"/>
      <c r="V220" s="241"/>
      <c r="W220" s="241"/>
      <c r="X220" s="241"/>
      <c r="Y220" s="241"/>
      <c r="Z220" s="241"/>
      <c r="AA220" s="241"/>
      <c r="AB220" s="241"/>
      <c r="AC220" s="241"/>
      <c r="AD220" s="241"/>
      <c r="AE220" s="241"/>
      <c r="AF220" s="240"/>
      <c r="AG220" s="240"/>
      <c r="AH220" s="240"/>
      <c r="AI220" s="240"/>
      <c r="AJ220" s="240"/>
      <c r="AK220" s="240"/>
      <c r="AL220" s="240"/>
      <c r="AM220" s="240"/>
      <c r="AN220" s="240"/>
      <c r="AO220" s="240"/>
      <c r="AP220" s="240"/>
      <c r="AQ220" s="240"/>
    </row>
    <row r="221" spans="1:43" ht="15.75">
      <c r="A221" s="241"/>
      <c r="B221" s="241"/>
      <c r="C221" s="241"/>
      <c r="D221" s="241"/>
      <c r="E221" s="241"/>
      <c r="F221" s="241"/>
      <c r="G221" s="241"/>
      <c r="H221" s="241"/>
      <c r="I221" s="241"/>
      <c r="J221" s="241"/>
      <c r="K221" s="241"/>
      <c r="L221" s="241"/>
      <c r="M221" s="241"/>
      <c r="N221" s="241"/>
      <c r="O221" s="241"/>
      <c r="P221" s="241"/>
      <c r="Q221" s="241"/>
      <c r="R221" s="241"/>
      <c r="S221" s="241"/>
      <c r="T221" s="241"/>
      <c r="U221" s="241"/>
      <c r="V221" s="241"/>
      <c r="W221" s="241"/>
      <c r="X221" s="241"/>
      <c r="Y221" s="241"/>
      <c r="Z221" s="241"/>
      <c r="AA221" s="241"/>
      <c r="AB221" s="241"/>
      <c r="AC221" s="241"/>
      <c r="AD221" s="241"/>
      <c r="AE221" s="241"/>
      <c r="AF221" s="240"/>
      <c r="AG221" s="240"/>
      <c r="AH221" s="240"/>
      <c r="AI221" s="240"/>
      <c r="AJ221" s="240"/>
      <c r="AK221" s="240"/>
      <c r="AL221" s="240"/>
      <c r="AM221" s="240"/>
      <c r="AN221" s="240"/>
      <c r="AO221" s="240"/>
      <c r="AP221" s="240"/>
      <c r="AQ221" s="240"/>
    </row>
    <row r="222" spans="1:43" ht="15.75">
      <c r="A222" s="241"/>
      <c r="B222" s="241"/>
      <c r="C222" s="241"/>
      <c r="D222" s="241"/>
      <c r="E222" s="241"/>
      <c r="F222" s="241"/>
      <c r="G222" s="241"/>
      <c r="H222" s="241"/>
      <c r="I222" s="241"/>
      <c r="J222" s="241"/>
      <c r="K222" s="241"/>
      <c r="L222" s="241"/>
      <c r="M222" s="241"/>
      <c r="N222" s="241"/>
      <c r="O222" s="241"/>
      <c r="P222" s="241"/>
      <c r="Q222" s="241"/>
      <c r="R222" s="241"/>
      <c r="S222" s="241"/>
      <c r="T222" s="241"/>
      <c r="U222" s="241"/>
      <c r="V222" s="241"/>
      <c r="W222" s="241"/>
      <c r="X222" s="241"/>
      <c r="Y222" s="241"/>
      <c r="Z222" s="241"/>
      <c r="AA222" s="241"/>
      <c r="AB222" s="241"/>
      <c r="AC222" s="241"/>
      <c r="AD222" s="241"/>
      <c r="AE222" s="241"/>
      <c r="AF222" s="240"/>
      <c r="AG222" s="240"/>
      <c r="AH222" s="240"/>
      <c r="AI222" s="240"/>
      <c r="AJ222" s="240"/>
      <c r="AK222" s="240"/>
      <c r="AL222" s="240"/>
      <c r="AM222" s="240"/>
      <c r="AN222" s="240"/>
      <c r="AO222" s="240"/>
      <c r="AP222" s="240"/>
      <c r="AQ222" s="240"/>
    </row>
    <row r="223" spans="1:43" ht="15.75">
      <c r="A223" s="241"/>
      <c r="B223" s="241"/>
      <c r="C223" s="241"/>
      <c r="D223" s="241"/>
      <c r="E223" s="241"/>
      <c r="F223" s="241"/>
      <c r="G223" s="241"/>
      <c r="H223" s="241"/>
      <c r="I223" s="241"/>
      <c r="J223" s="241"/>
      <c r="K223" s="241"/>
      <c r="L223" s="241"/>
      <c r="M223" s="241"/>
      <c r="N223" s="241"/>
      <c r="O223" s="241"/>
      <c r="P223" s="241"/>
      <c r="Q223" s="241"/>
      <c r="R223" s="241"/>
      <c r="S223" s="241"/>
      <c r="T223" s="241"/>
      <c r="U223" s="241"/>
      <c r="V223" s="241"/>
      <c r="W223" s="241"/>
      <c r="X223" s="241"/>
      <c r="Y223" s="241"/>
      <c r="Z223" s="241"/>
      <c r="AA223" s="241"/>
      <c r="AB223" s="241"/>
      <c r="AC223" s="241"/>
      <c r="AD223" s="241"/>
      <c r="AE223" s="241"/>
      <c r="AF223" s="240"/>
      <c r="AG223" s="240"/>
      <c r="AH223" s="240"/>
      <c r="AI223" s="240"/>
      <c r="AJ223" s="240"/>
      <c r="AK223" s="240"/>
      <c r="AL223" s="240"/>
      <c r="AM223" s="240"/>
      <c r="AN223" s="240"/>
      <c r="AO223" s="240"/>
      <c r="AP223" s="240"/>
      <c r="AQ223" s="240"/>
    </row>
    <row r="224" spans="1:43" ht="15.75">
      <c r="A224" s="241"/>
      <c r="B224" s="241"/>
      <c r="C224" s="241"/>
      <c r="D224" s="241"/>
      <c r="E224" s="241"/>
      <c r="F224" s="241"/>
      <c r="G224" s="241"/>
      <c r="H224" s="241"/>
      <c r="I224" s="241"/>
      <c r="J224" s="241"/>
      <c r="K224" s="241"/>
      <c r="L224" s="241"/>
      <c r="M224" s="241"/>
      <c r="N224" s="241"/>
      <c r="O224" s="241"/>
      <c r="P224" s="241"/>
      <c r="Q224" s="241"/>
      <c r="R224" s="241"/>
      <c r="S224" s="241"/>
      <c r="T224" s="241"/>
      <c r="U224" s="241"/>
      <c r="V224" s="241"/>
      <c r="W224" s="241"/>
      <c r="X224" s="241"/>
      <c r="Y224" s="241"/>
      <c r="Z224" s="241"/>
      <c r="AA224" s="241"/>
      <c r="AB224" s="241"/>
      <c r="AC224" s="241"/>
      <c r="AD224" s="241"/>
      <c r="AE224" s="241"/>
      <c r="AF224" s="240"/>
      <c r="AG224" s="240"/>
      <c r="AH224" s="240"/>
      <c r="AI224" s="240"/>
      <c r="AJ224" s="240"/>
      <c r="AK224" s="240"/>
      <c r="AL224" s="240"/>
      <c r="AM224" s="240"/>
      <c r="AN224" s="240"/>
      <c r="AO224" s="240"/>
      <c r="AP224" s="240"/>
      <c r="AQ224" s="240"/>
    </row>
    <row r="225" spans="1:43" ht="15.75">
      <c r="A225" s="241"/>
      <c r="B225" s="241"/>
      <c r="C225" s="241"/>
      <c r="D225" s="241"/>
      <c r="E225" s="241"/>
      <c r="F225" s="241"/>
      <c r="G225" s="241"/>
      <c r="H225" s="241"/>
      <c r="I225" s="241"/>
      <c r="J225" s="241"/>
      <c r="K225" s="241"/>
      <c r="L225" s="241"/>
      <c r="M225" s="241"/>
      <c r="N225" s="241"/>
      <c r="O225" s="241"/>
      <c r="P225" s="241"/>
      <c r="Q225" s="241"/>
      <c r="R225" s="241"/>
      <c r="S225" s="241"/>
      <c r="T225" s="241"/>
      <c r="U225" s="241"/>
      <c r="V225" s="241"/>
      <c r="W225" s="241"/>
      <c r="X225" s="241"/>
      <c r="Y225" s="241"/>
      <c r="Z225" s="241"/>
      <c r="AA225" s="241"/>
      <c r="AB225" s="241"/>
      <c r="AC225" s="241"/>
      <c r="AD225" s="241"/>
      <c r="AE225" s="241"/>
      <c r="AF225" s="240"/>
      <c r="AG225" s="240"/>
      <c r="AH225" s="240"/>
      <c r="AI225" s="240"/>
      <c r="AJ225" s="240"/>
      <c r="AK225" s="240"/>
      <c r="AL225" s="240"/>
      <c r="AM225" s="240"/>
      <c r="AN225" s="240"/>
      <c r="AO225" s="240"/>
      <c r="AP225" s="240"/>
      <c r="AQ225" s="240"/>
    </row>
    <row r="226" spans="1:43" ht="15.75">
      <c r="A226" s="241"/>
      <c r="B226" s="241"/>
      <c r="C226" s="241"/>
      <c r="D226" s="241"/>
      <c r="E226" s="241"/>
      <c r="F226" s="241"/>
      <c r="G226" s="241"/>
      <c r="H226" s="241"/>
      <c r="I226" s="241"/>
      <c r="J226" s="241"/>
      <c r="K226" s="241"/>
      <c r="L226" s="241"/>
      <c r="M226" s="241"/>
      <c r="N226" s="241"/>
      <c r="O226" s="241"/>
      <c r="P226" s="241"/>
      <c r="Q226" s="241"/>
      <c r="R226" s="241"/>
      <c r="S226" s="241"/>
      <c r="T226" s="241"/>
      <c r="U226" s="241"/>
      <c r="V226" s="241"/>
      <c r="W226" s="241"/>
      <c r="X226" s="241"/>
      <c r="Y226" s="241"/>
      <c r="Z226" s="241"/>
      <c r="AA226" s="241"/>
      <c r="AB226" s="241"/>
      <c r="AC226" s="241"/>
      <c r="AD226" s="241"/>
      <c r="AE226" s="241"/>
      <c r="AF226" s="240"/>
      <c r="AG226" s="240"/>
      <c r="AH226" s="240"/>
      <c r="AI226" s="240"/>
      <c r="AJ226" s="240"/>
      <c r="AK226" s="240"/>
      <c r="AL226" s="240"/>
      <c r="AM226" s="240"/>
      <c r="AN226" s="240"/>
      <c r="AO226" s="240"/>
      <c r="AP226" s="240"/>
      <c r="AQ226" s="240"/>
    </row>
    <row r="227" spans="1:43" ht="15.75">
      <c r="A227" s="241"/>
      <c r="B227" s="241"/>
      <c r="C227" s="241"/>
      <c r="D227" s="241"/>
      <c r="E227" s="241"/>
      <c r="F227" s="241"/>
      <c r="G227" s="241"/>
      <c r="H227" s="241"/>
      <c r="I227" s="241"/>
      <c r="J227" s="241"/>
      <c r="K227" s="241"/>
      <c r="L227" s="241"/>
      <c r="M227" s="241"/>
      <c r="N227" s="241"/>
      <c r="O227" s="241"/>
      <c r="P227" s="241"/>
      <c r="Q227" s="241"/>
      <c r="R227" s="241"/>
      <c r="S227" s="241"/>
      <c r="T227" s="241"/>
      <c r="U227" s="241"/>
      <c r="V227" s="241"/>
      <c r="W227" s="241"/>
      <c r="X227" s="241"/>
      <c r="Y227" s="241"/>
      <c r="Z227" s="241"/>
      <c r="AA227" s="241"/>
      <c r="AB227" s="241"/>
      <c r="AC227" s="241"/>
      <c r="AD227" s="241"/>
      <c r="AE227" s="241"/>
      <c r="AF227" s="240"/>
      <c r="AG227" s="240"/>
      <c r="AH227" s="240"/>
      <c r="AI227" s="240"/>
      <c r="AJ227" s="240"/>
      <c r="AK227" s="240"/>
      <c r="AL227" s="240"/>
      <c r="AM227" s="240"/>
      <c r="AN227" s="240"/>
      <c r="AO227" s="240"/>
      <c r="AP227" s="240"/>
      <c r="AQ227" s="240"/>
    </row>
    <row r="228" spans="1:43" ht="15.75">
      <c r="A228" s="241"/>
      <c r="B228" s="241"/>
      <c r="C228" s="241"/>
      <c r="D228" s="241"/>
      <c r="E228" s="241"/>
      <c r="F228" s="241"/>
      <c r="G228" s="241"/>
      <c r="H228" s="241"/>
      <c r="I228" s="241"/>
      <c r="J228" s="241"/>
      <c r="K228" s="241"/>
      <c r="L228" s="241"/>
      <c r="M228" s="241"/>
      <c r="N228" s="241"/>
      <c r="O228" s="241"/>
      <c r="P228" s="241"/>
      <c r="Q228" s="241"/>
      <c r="R228" s="241"/>
      <c r="S228" s="241"/>
      <c r="T228" s="241"/>
      <c r="U228" s="241"/>
      <c r="V228" s="241"/>
      <c r="W228" s="241"/>
      <c r="X228" s="241"/>
      <c r="Y228" s="241"/>
      <c r="Z228" s="241"/>
      <c r="AA228" s="241"/>
      <c r="AB228" s="241"/>
      <c r="AC228" s="241"/>
      <c r="AD228" s="241"/>
      <c r="AE228" s="241"/>
      <c r="AF228" s="240"/>
      <c r="AG228" s="240"/>
      <c r="AH228" s="240"/>
      <c r="AI228" s="240"/>
      <c r="AJ228" s="240"/>
      <c r="AK228" s="240"/>
      <c r="AL228" s="240"/>
      <c r="AM228" s="240"/>
      <c r="AN228" s="240"/>
      <c r="AO228" s="240"/>
      <c r="AP228" s="240"/>
      <c r="AQ228" s="240"/>
    </row>
    <row r="229" spans="1:43" ht="15.75">
      <c r="A229" s="241"/>
      <c r="B229" s="241"/>
      <c r="C229" s="241"/>
      <c r="D229" s="241"/>
      <c r="E229" s="241"/>
      <c r="F229" s="241"/>
      <c r="G229" s="241"/>
      <c r="H229" s="241"/>
      <c r="I229" s="241"/>
      <c r="J229" s="241"/>
      <c r="K229" s="241"/>
      <c r="L229" s="241"/>
      <c r="M229" s="241"/>
      <c r="N229" s="241"/>
      <c r="O229" s="241"/>
      <c r="P229" s="241"/>
      <c r="Q229" s="241"/>
      <c r="R229" s="241"/>
      <c r="S229" s="241"/>
      <c r="T229" s="241"/>
      <c r="U229" s="241"/>
      <c r="V229" s="241"/>
      <c r="W229" s="241"/>
      <c r="X229" s="241"/>
      <c r="Y229" s="241"/>
      <c r="Z229" s="241"/>
      <c r="AA229" s="241"/>
      <c r="AB229" s="241"/>
      <c r="AC229" s="241"/>
      <c r="AD229" s="241"/>
      <c r="AE229" s="241"/>
      <c r="AF229" s="240"/>
      <c r="AG229" s="240"/>
      <c r="AH229" s="240"/>
      <c r="AI229" s="240"/>
      <c r="AJ229" s="240"/>
      <c r="AK229" s="240"/>
      <c r="AL229" s="240"/>
      <c r="AM229" s="240"/>
      <c r="AN229" s="240"/>
      <c r="AO229" s="240"/>
      <c r="AP229" s="240"/>
      <c r="AQ229" s="240"/>
    </row>
    <row r="230" spans="1:43" ht="15.75">
      <c r="A230" s="241"/>
      <c r="B230" s="241"/>
      <c r="C230" s="241"/>
      <c r="D230" s="241"/>
      <c r="E230" s="241"/>
      <c r="F230" s="241"/>
      <c r="G230" s="241"/>
      <c r="H230" s="241"/>
      <c r="I230" s="241"/>
      <c r="J230" s="241"/>
      <c r="K230" s="241"/>
      <c r="L230" s="241"/>
      <c r="M230" s="241"/>
      <c r="N230" s="241"/>
      <c r="O230" s="241"/>
      <c r="P230" s="241"/>
      <c r="Q230" s="241"/>
      <c r="R230" s="241"/>
      <c r="S230" s="241"/>
      <c r="T230" s="241"/>
      <c r="U230" s="241"/>
      <c r="V230" s="241"/>
      <c r="W230" s="241"/>
      <c r="X230" s="241"/>
      <c r="Y230" s="241"/>
      <c r="Z230" s="241"/>
      <c r="AA230" s="241"/>
      <c r="AB230" s="241"/>
      <c r="AC230" s="241"/>
      <c r="AD230" s="241"/>
      <c r="AE230" s="241"/>
      <c r="AF230" s="240"/>
      <c r="AG230" s="240"/>
      <c r="AH230" s="240"/>
      <c r="AI230" s="240"/>
      <c r="AJ230" s="240"/>
      <c r="AK230" s="240"/>
      <c r="AL230" s="240"/>
      <c r="AM230" s="240"/>
      <c r="AN230" s="240"/>
      <c r="AO230" s="240"/>
      <c r="AP230" s="240"/>
      <c r="AQ230" s="240"/>
    </row>
    <row r="231" spans="1:43" ht="15.75">
      <c r="A231" s="241"/>
      <c r="B231" s="241"/>
      <c r="C231" s="241"/>
      <c r="D231" s="241"/>
      <c r="E231" s="241"/>
      <c r="F231" s="241"/>
      <c r="G231" s="241"/>
      <c r="H231" s="241"/>
      <c r="I231" s="241"/>
      <c r="J231" s="241"/>
      <c r="K231" s="241"/>
      <c r="L231" s="241"/>
      <c r="M231" s="241"/>
      <c r="N231" s="241"/>
      <c r="O231" s="241"/>
      <c r="P231" s="241"/>
      <c r="Q231" s="241"/>
      <c r="R231" s="241"/>
      <c r="S231" s="241"/>
      <c r="T231" s="241"/>
      <c r="U231" s="241"/>
      <c r="V231" s="241"/>
      <c r="W231" s="241"/>
      <c r="X231" s="241"/>
      <c r="Y231" s="241"/>
      <c r="Z231" s="241"/>
      <c r="AA231" s="241"/>
      <c r="AB231" s="241"/>
      <c r="AC231" s="241"/>
      <c r="AD231" s="241"/>
      <c r="AE231" s="241"/>
      <c r="AF231" s="240"/>
      <c r="AG231" s="240"/>
      <c r="AH231" s="240"/>
      <c r="AI231" s="240"/>
      <c r="AJ231" s="240"/>
      <c r="AK231" s="240"/>
      <c r="AL231" s="240"/>
      <c r="AM231" s="240"/>
      <c r="AN231" s="240"/>
      <c r="AO231" s="240"/>
      <c r="AP231" s="240"/>
      <c r="AQ231" s="240"/>
    </row>
    <row r="232" spans="1:43" ht="15.75">
      <c r="A232" s="241"/>
      <c r="B232" s="241"/>
      <c r="C232" s="241"/>
      <c r="D232" s="241"/>
      <c r="E232" s="241"/>
      <c r="F232" s="241"/>
      <c r="G232" s="241"/>
      <c r="H232" s="241"/>
      <c r="I232" s="241"/>
      <c r="J232" s="241"/>
      <c r="K232" s="241"/>
      <c r="L232" s="241"/>
      <c r="M232" s="241"/>
      <c r="N232" s="241"/>
      <c r="O232" s="241"/>
      <c r="P232" s="241"/>
      <c r="Q232" s="241"/>
      <c r="R232" s="241"/>
      <c r="S232" s="241"/>
      <c r="T232" s="241"/>
      <c r="U232" s="241"/>
      <c r="V232" s="241"/>
      <c r="W232" s="241"/>
      <c r="X232" s="241"/>
      <c r="Y232" s="241"/>
      <c r="Z232" s="241"/>
      <c r="AA232" s="241"/>
      <c r="AB232" s="241"/>
      <c r="AC232" s="241"/>
      <c r="AD232" s="241"/>
      <c r="AE232" s="241"/>
      <c r="AF232" s="240"/>
      <c r="AG232" s="240"/>
      <c r="AH232" s="240"/>
      <c r="AI232" s="240"/>
      <c r="AJ232" s="240"/>
      <c r="AK232" s="240"/>
      <c r="AL232" s="240"/>
      <c r="AM232" s="240"/>
      <c r="AN232" s="240"/>
      <c r="AO232" s="240"/>
      <c r="AP232" s="240"/>
      <c r="AQ232" s="240"/>
    </row>
    <row r="233" spans="1:43" ht="15.75">
      <c r="A233" s="241"/>
      <c r="B233" s="241"/>
      <c r="C233" s="241"/>
      <c r="D233" s="241"/>
      <c r="E233" s="241"/>
      <c r="F233" s="241"/>
      <c r="G233" s="241"/>
      <c r="H233" s="241"/>
      <c r="I233" s="241"/>
      <c r="J233" s="241"/>
      <c r="K233" s="241"/>
      <c r="L233" s="241"/>
      <c r="M233" s="241"/>
      <c r="N233" s="241"/>
      <c r="O233" s="241"/>
      <c r="P233" s="241"/>
      <c r="Q233" s="241"/>
      <c r="R233" s="241"/>
      <c r="S233" s="241"/>
      <c r="T233" s="241"/>
      <c r="U233" s="241"/>
      <c r="V233" s="241"/>
      <c r="W233" s="241"/>
      <c r="X233" s="241"/>
      <c r="Y233" s="241"/>
      <c r="Z233" s="241"/>
      <c r="AA233" s="241"/>
      <c r="AB233" s="241"/>
      <c r="AC233" s="241"/>
      <c r="AD233" s="241"/>
      <c r="AE233" s="241"/>
      <c r="AF233" s="240"/>
      <c r="AG233" s="240"/>
      <c r="AH233" s="240"/>
      <c r="AI233" s="240"/>
      <c r="AJ233" s="240"/>
      <c r="AK233" s="240"/>
      <c r="AL233" s="240"/>
      <c r="AM233" s="240"/>
      <c r="AN233" s="240"/>
      <c r="AO233" s="240"/>
      <c r="AP233" s="240"/>
      <c r="AQ233" s="240"/>
    </row>
    <row r="234" spans="1:43" ht="15.75">
      <c r="A234" s="241"/>
      <c r="B234" s="241"/>
      <c r="C234" s="241"/>
      <c r="D234" s="241"/>
      <c r="E234" s="241"/>
      <c r="F234" s="241"/>
      <c r="G234" s="241"/>
      <c r="H234" s="241"/>
      <c r="I234" s="241"/>
      <c r="J234" s="241"/>
      <c r="K234" s="241"/>
      <c r="L234" s="241"/>
      <c r="M234" s="241"/>
      <c r="N234" s="241"/>
      <c r="O234" s="241"/>
      <c r="P234" s="241"/>
      <c r="Q234" s="241"/>
      <c r="R234" s="241"/>
      <c r="S234" s="241"/>
      <c r="T234" s="241"/>
      <c r="U234" s="241"/>
      <c r="V234" s="241"/>
      <c r="W234" s="241"/>
      <c r="X234" s="241"/>
      <c r="Y234" s="241"/>
      <c r="Z234" s="241"/>
      <c r="AA234" s="241"/>
      <c r="AB234" s="241"/>
      <c r="AC234" s="241"/>
      <c r="AD234" s="241"/>
      <c r="AE234" s="241"/>
      <c r="AF234" s="240"/>
      <c r="AG234" s="240"/>
      <c r="AH234" s="240"/>
      <c r="AI234" s="240"/>
      <c r="AJ234" s="240"/>
      <c r="AK234" s="240"/>
      <c r="AL234" s="240"/>
      <c r="AM234" s="240"/>
      <c r="AN234" s="240"/>
      <c r="AO234" s="240"/>
      <c r="AP234" s="240"/>
      <c r="AQ234" s="240"/>
    </row>
    <row r="235" spans="1:43" ht="15.75">
      <c r="A235" s="241"/>
      <c r="B235" s="241"/>
      <c r="C235" s="241"/>
      <c r="D235" s="241"/>
      <c r="E235" s="241"/>
      <c r="F235" s="241"/>
      <c r="G235" s="241"/>
      <c r="H235" s="241"/>
      <c r="I235" s="241"/>
      <c r="J235" s="241"/>
      <c r="K235" s="241"/>
      <c r="L235" s="241"/>
      <c r="M235" s="241"/>
      <c r="N235" s="241"/>
      <c r="O235" s="241"/>
      <c r="P235" s="241"/>
      <c r="Q235" s="241"/>
      <c r="R235" s="241"/>
      <c r="S235" s="241"/>
      <c r="T235" s="241"/>
      <c r="U235" s="241"/>
      <c r="V235" s="241"/>
      <c r="W235" s="241"/>
      <c r="X235" s="241"/>
      <c r="Y235" s="241"/>
      <c r="Z235" s="241"/>
      <c r="AA235" s="241"/>
      <c r="AB235" s="241"/>
      <c r="AC235" s="241"/>
      <c r="AD235" s="241"/>
      <c r="AE235" s="241"/>
      <c r="AF235" s="240"/>
      <c r="AG235" s="240"/>
      <c r="AH235" s="240"/>
      <c r="AI235" s="240"/>
      <c r="AJ235" s="240"/>
      <c r="AK235" s="240"/>
      <c r="AL235" s="240"/>
      <c r="AM235" s="240"/>
      <c r="AN235" s="240"/>
      <c r="AO235" s="240"/>
      <c r="AP235" s="240"/>
      <c r="AQ235" s="240"/>
    </row>
    <row r="236" spans="1:43" ht="15.75">
      <c r="A236" s="241"/>
      <c r="B236" s="241"/>
      <c r="C236" s="241"/>
      <c r="D236" s="241"/>
      <c r="E236" s="241"/>
      <c r="F236" s="241"/>
      <c r="G236" s="241"/>
      <c r="H236" s="241"/>
      <c r="I236" s="241"/>
      <c r="J236" s="241"/>
      <c r="K236" s="241"/>
      <c r="L236" s="241"/>
      <c r="M236" s="241"/>
      <c r="N236" s="241"/>
      <c r="O236" s="241"/>
      <c r="P236" s="241"/>
      <c r="Q236" s="241"/>
      <c r="R236" s="241"/>
      <c r="S236" s="241"/>
      <c r="T236" s="241"/>
      <c r="U236" s="241"/>
      <c r="V236" s="241"/>
      <c r="W236" s="241"/>
      <c r="X236" s="241"/>
      <c r="Y236" s="241"/>
      <c r="Z236" s="241"/>
      <c r="AA236" s="241"/>
      <c r="AB236" s="241"/>
      <c r="AC236" s="241"/>
      <c r="AD236" s="241"/>
      <c r="AE236" s="241"/>
      <c r="AF236" s="240"/>
      <c r="AG236" s="240"/>
      <c r="AH236" s="240"/>
      <c r="AI236" s="240"/>
      <c r="AJ236" s="240"/>
      <c r="AK236" s="240"/>
      <c r="AL236" s="240"/>
      <c r="AM236" s="240"/>
      <c r="AN236" s="240"/>
      <c r="AO236" s="240"/>
      <c r="AP236" s="240"/>
      <c r="AQ236" s="240"/>
    </row>
    <row r="237" spans="1:43" ht="15.75">
      <c r="A237" s="241"/>
      <c r="B237" s="241"/>
      <c r="C237" s="241"/>
      <c r="D237" s="241"/>
      <c r="E237" s="241"/>
      <c r="F237" s="241"/>
      <c r="G237" s="241"/>
      <c r="H237" s="241"/>
      <c r="I237" s="241"/>
      <c r="J237" s="241"/>
      <c r="K237" s="241"/>
      <c r="L237" s="241"/>
      <c r="M237" s="241"/>
      <c r="N237" s="241"/>
      <c r="O237" s="241"/>
      <c r="P237" s="241"/>
      <c r="Q237" s="241"/>
      <c r="R237" s="241"/>
      <c r="S237" s="241"/>
      <c r="T237" s="241"/>
      <c r="U237" s="241"/>
      <c r="V237" s="241"/>
      <c r="W237" s="241"/>
      <c r="X237" s="241"/>
      <c r="Y237" s="241"/>
      <c r="Z237" s="241"/>
      <c r="AA237" s="241"/>
      <c r="AB237" s="241"/>
      <c r="AC237" s="241"/>
      <c r="AD237" s="241"/>
      <c r="AE237" s="241"/>
      <c r="AF237" s="240"/>
      <c r="AG237" s="240"/>
      <c r="AH237" s="240"/>
      <c r="AI237" s="240"/>
      <c r="AJ237" s="240"/>
      <c r="AK237" s="240"/>
      <c r="AL237" s="240"/>
      <c r="AM237" s="240"/>
      <c r="AN237" s="240"/>
      <c r="AO237" s="240"/>
      <c r="AP237" s="240"/>
      <c r="AQ237" s="240"/>
    </row>
    <row r="238" spans="1:43" ht="15.75">
      <c r="A238" s="241"/>
      <c r="B238" s="241"/>
      <c r="C238" s="241"/>
      <c r="D238" s="241"/>
      <c r="E238" s="241"/>
      <c r="F238" s="241"/>
      <c r="G238" s="241"/>
      <c r="H238" s="241"/>
      <c r="I238" s="241"/>
      <c r="J238" s="241"/>
      <c r="K238" s="241"/>
      <c r="L238" s="241"/>
      <c r="M238" s="241"/>
      <c r="N238" s="241"/>
      <c r="O238" s="241"/>
      <c r="P238" s="241"/>
      <c r="Q238" s="241"/>
      <c r="R238" s="241"/>
      <c r="S238" s="241"/>
      <c r="T238" s="241"/>
      <c r="U238" s="241"/>
      <c r="V238" s="241"/>
      <c r="W238" s="241"/>
      <c r="X238" s="241"/>
      <c r="Y238" s="241"/>
      <c r="Z238" s="241"/>
      <c r="AA238" s="241"/>
      <c r="AB238" s="241"/>
      <c r="AC238" s="241"/>
      <c r="AD238" s="241"/>
      <c r="AE238" s="241"/>
      <c r="AF238" s="240"/>
      <c r="AG238" s="240"/>
      <c r="AH238" s="240"/>
      <c r="AI238" s="240"/>
      <c r="AJ238" s="240"/>
      <c r="AK238" s="240"/>
      <c r="AL238" s="240"/>
      <c r="AM238" s="240"/>
      <c r="AN238" s="240"/>
      <c r="AO238" s="240"/>
      <c r="AP238" s="240"/>
      <c r="AQ238" s="240"/>
    </row>
    <row r="239" spans="1:43" ht="15.75">
      <c r="A239" s="241"/>
      <c r="B239" s="241"/>
      <c r="C239" s="241"/>
      <c r="D239" s="241"/>
      <c r="E239" s="241"/>
      <c r="F239" s="241"/>
      <c r="G239" s="241"/>
      <c r="H239" s="241"/>
      <c r="I239" s="241"/>
      <c r="J239" s="241"/>
      <c r="K239" s="241"/>
      <c r="L239" s="241"/>
      <c r="M239" s="241"/>
      <c r="N239" s="241"/>
      <c r="O239" s="241"/>
      <c r="P239" s="241"/>
      <c r="Q239" s="241"/>
      <c r="R239" s="241"/>
      <c r="S239" s="241"/>
      <c r="T239" s="241"/>
      <c r="U239" s="241"/>
      <c r="V239" s="241"/>
      <c r="W239" s="241"/>
      <c r="X239" s="241"/>
      <c r="Y239" s="241"/>
      <c r="Z239" s="241"/>
      <c r="AA239" s="241"/>
      <c r="AB239" s="241"/>
      <c r="AC239" s="241"/>
      <c r="AD239" s="241"/>
      <c r="AE239" s="241"/>
      <c r="AF239" s="240"/>
      <c r="AG239" s="240"/>
      <c r="AH239" s="240"/>
      <c r="AI239" s="240"/>
      <c r="AJ239" s="240"/>
      <c r="AK239" s="240"/>
      <c r="AL239" s="240"/>
      <c r="AM239" s="240"/>
      <c r="AN239" s="240"/>
      <c r="AO239" s="240"/>
      <c r="AP239" s="240"/>
      <c r="AQ239" s="240"/>
    </row>
    <row r="240" spans="1:43" ht="15.75">
      <c r="A240" s="241"/>
      <c r="B240" s="241"/>
      <c r="C240" s="241"/>
      <c r="D240" s="241"/>
      <c r="E240" s="241"/>
      <c r="F240" s="241"/>
      <c r="G240" s="241"/>
      <c r="H240" s="241"/>
      <c r="I240" s="241"/>
      <c r="J240" s="241"/>
      <c r="K240" s="241"/>
      <c r="L240" s="241"/>
      <c r="M240" s="241"/>
      <c r="N240" s="241"/>
      <c r="O240" s="241"/>
      <c r="P240" s="241"/>
      <c r="Q240" s="241"/>
      <c r="R240" s="241"/>
      <c r="S240" s="241"/>
      <c r="T240" s="241"/>
      <c r="U240" s="241"/>
      <c r="V240" s="241"/>
      <c r="W240" s="241"/>
      <c r="X240" s="241"/>
      <c r="Y240" s="241"/>
      <c r="Z240" s="241"/>
      <c r="AA240" s="241"/>
      <c r="AB240" s="241"/>
      <c r="AC240" s="241"/>
      <c r="AD240" s="241"/>
      <c r="AE240" s="241"/>
      <c r="AF240" s="240"/>
      <c r="AG240" s="240"/>
      <c r="AH240" s="240"/>
      <c r="AI240" s="240"/>
      <c r="AJ240" s="240"/>
      <c r="AK240" s="240"/>
      <c r="AL240" s="240"/>
      <c r="AM240" s="240"/>
      <c r="AN240" s="240"/>
      <c r="AO240" s="240"/>
      <c r="AP240" s="240"/>
      <c r="AQ240" s="240"/>
    </row>
    <row r="241" spans="1:43" ht="15.75">
      <c r="A241" s="241"/>
      <c r="B241" s="241"/>
      <c r="C241" s="241"/>
      <c r="D241" s="241"/>
      <c r="E241" s="241"/>
      <c r="F241" s="241"/>
      <c r="G241" s="241"/>
      <c r="H241" s="241"/>
      <c r="I241" s="241"/>
      <c r="J241" s="241"/>
      <c r="K241" s="241"/>
      <c r="L241" s="241"/>
      <c r="M241" s="241"/>
      <c r="N241" s="241"/>
      <c r="O241" s="241"/>
      <c r="P241" s="241"/>
      <c r="Q241" s="241"/>
      <c r="R241" s="241"/>
      <c r="S241" s="241"/>
      <c r="T241" s="241"/>
      <c r="U241" s="241"/>
      <c r="V241" s="241"/>
      <c r="W241" s="241"/>
      <c r="X241" s="241"/>
      <c r="Y241" s="241"/>
      <c r="Z241" s="241"/>
      <c r="AA241" s="241"/>
      <c r="AB241" s="241"/>
      <c r="AC241" s="241"/>
      <c r="AD241" s="241"/>
      <c r="AE241" s="241"/>
      <c r="AF241" s="240"/>
      <c r="AG241" s="240"/>
      <c r="AH241" s="240"/>
      <c r="AI241" s="240"/>
      <c r="AJ241" s="240"/>
      <c r="AK241" s="240"/>
      <c r="AL241" s="240"/>
      <c r="AM241" s="240"/>
      <c r="AN241" s="240"/>
      <c r="AO241" s="240"/>
      <c r="AP241" s="240"/>
      <c r="AQ241" s="240"/>
    </row>
    <row r="242" spans="1:43" ht="15.75">
      <c r="A242" s="241"/>
      <c r="B242" s="241"/>
      <c r="C242" s="241"/>
      <c r="D242" s="241"/>
      <c r="E242" s="241"/>
      <c r="F242" s="241"/>
      <c r="G242" s="241"/>
      <c r="H242" s="241"/>
      <c r="I242" s="241"/>
      <c r="J242" s="241"/>
      <c r="K242" s="241"/>
      <c r="L242" s="241"/>
      <c r="M242" s="241"/>
      <c r="N242" s="241"/>
      <c r="O242" s="241"/>
      <c r="P242" s="241"/>
      <c r="Q242" s="241"/>
      <c r="R242" s="241"/>
      <c r="S242" s="241"/>
      <c r="T242" s="241"/>
      <c r="U242" s="241"/>
      <c r="V242" s="241"/>
      <c r="W242" s="241"/>
      <c r="X242" s="241"/>
      <c r="Y242" s="241"/>
      <c r="Z242" s="241"/>
      <c r="AA242" s="241"/>
      <c r="AB242" s="241"/>
      <c r="AC242" s="241"/>
      <c r="AD242" s="241"/>
      <c r="AE242" s="241"/>
      <c r="AF242" s="240"/>
      <c r="AG242" s="240"/>
      <c r="AH242" s="240"/>
      <c r="AI242" s="240"/>
      <c r="AJ242" s="240"/>
      <c r="AK242" s="240"/>
      <c r="AL242" s="240"/>
      <c r="AM242" s="240"/>
      <c r="AN242" s="240"/>
      <c r="AO242" s="240"/>
      <c r="AP242" s="240"/>
      <c r="AQ242" s="240"/>
    </row>
    <row r="243" spans="1:43" ht="15.75">
      <c r="A243" s="241"/>
      <c r="B243" s="241"/>
      <c r="C243" s="241"/>
      <c r="D243" s="241"/>
      <c r="E243" s="241"/>
      <c r="F243" s="241"/>
      <c r="G243" s="241"/>
      <c r="H243" s="241"/>
      <c r="I243" s="241"/>
      <c r="J243" s="241"/>
      <c r="K243" s="241"/>
      <c r="L243" s="241"/>
      <c r="M243" s="241"/>
      <c r="N243" s="241"/>
      <c r="O243" s="241"/>
      <c r="P243" s="241"/>
      <c r="Q243" s="241"/>
      <c r="R243" s="241"/>
      <c r="S243" s="241"/>
      <c r="T243" s="241"/>
      <c r="U243" s="241"/>
      <c r="V243" s="241"/>
      <c r="W243" s="241"/>
      <c r="X243" s="241"/>
      <c r="Y243" s="241"/>
      <c r="Z243" s="241"/>
      <c r="AA243" s="241"/>
      <c r="AB243" s="241"/>
      <c r="AC243" s="241"/>
      <c r="AD243" s="241"/>
      <c r="AE243" s="241"/>
      <c r="AF243" s="240"/>
      <c r="AG243" s="240"/>
      <c r="AH243" s="240"/>
      <c r="AI243" s="240"/>
      <c r="AJ243" s="240"/>
      <c r="AK243" s="240"/>
      <c r="AL243" s="240"/>
      <c r="AM243" s="240"/>
      <c r="AN243" s="240"/>
      <c r="AO243" s="240"/>
      <c r="AP243" s="240"/>
      <c r="AQ243" s="240"/>
    </row>
    <row r="244" spans="1:43" ht="15.75">
      <c r="A244" s="241"/>
      <c r="B244" s="241"/>
      <c r="C244" s="241"/>
      <c r="D244" s="241"/>
      <c r="E244" s="241"/>
      <c r="F244" s="241"/>
      <c r="G244" s="241"/>
      <c r="H244" s="241"/>
      <c r="I244" s="241"/>
      <c r="J244" s="241"/>
      <c r="K244" s="241"/>
      <c r="L244" s="241"/>
      <c r="M244" s="241"/>
      <c r="N244" s="241"/>
      <c r="O244" s="241"/>
      <c r="P244" s="241"/>
      <c r="Q244" s="241"/>
      <c r="R244" s="241"/>
      <c r="S244" s="241"/>
      <c r="T244" s="241"/>
      <c r="U244" s="241"/>
      <c r="V244" s="241"/>
      <c r="W244" s="241"/>
      <c r="X244" s="241"/>
      <c r="Y244" s="241"/>
      <c r="Z244" s="241"/>
      <c r="AA244" s="241"/>
      <c r="AB244" s="241"/>
      <c r="AC244" s="241"/>
      <c r="AD244" s="241"/>
      <c r="AE244" s="241"/>
      <c r="AF244" s="240"/>
      <c r="AG244" s="240"/>
      <c r="AH244" s="240"/>
      <c r="AI244" s="240"/>
      <c r="AJ244" s="240"/>
      <c r="AK244" s="240"/>
      <c r="AL244" s="240"/>
      <c r="AM244" s="240"/>
      <c r="AN244" s="240"/>
      <c r="AO244" s="240"/>
      <c r="AP244" s="240"/>
      <c r="AQ244" s="240"/>
    </row>
    <row r="245" spans="1:43" ht="15.75">
      <c r="A245" s="241"/>
      <c r="B245" s="241"/>
      <c r="C245" s="241"/>
      <c r="D245" s="241"/>
      <c r="E245" s="241"/>
      <c r="F245" s="241"/>
      <c r="G245" s="241"/>
      <c r="H245" s="241"/>
      <c r="I245" s="241"/>
      <c r="J245" s="241"/>
      <c r="K245" s="241"/>
      <c r="L245" s="241"/>
      <c r="M245" s="241"/>
      <c r="N245" s="241"/>
      <c r="O245" s="241"/>
      <c r="P245" s="241"/>
      <c r="Q245" s="241"/>
      <c r="R245" s="241"/>
      <c r="S245" s="241"/>
      <c r="T245" s="241"/>
      <c r="U245" s="241"/>
      <c r="V245" s="241"/>
      <c r="W245" s="241"/>
      <c r="X245" s="241"/>
      <c r="Y245" s="241"/>
      <c r="Z245" s="241"/>
      <c r="AA245" s="241"/>
      <c r="AB245" s="241"/>
      <c r="AC245" s="241"/>
      <c r="AD245" s="241"/>
      <c r="AE245" s="241"/>
      <c r="AF245" s="240"/>
      <c r="AG245" s="240"/>
      <c r="AH245" s="240"/>
      <c r="AI245" s="240"/>
      <c r="AJ245" s="240"/>
      <c r="AK245" s="240"/>
      <c r="AL245" s="240"/>
      <c r="AM245" s="240"/>
      <c r="AN245" s="240"/>
      <c r="AO245" s="240"/>
      <c r="AP245" s="240"/>
      <c r="AQ245" s="240"/>
    </row>
    <row r="246" spans="1:43" ht="15.75">
      <c r="A246" s="241"/>
      <c r="B246" s="241"/>
      <c r="C246" s="241"/>
      <c r="D246" s="241"/>
      <c r="E246" s="241"/>
      <c r="F246" s="241"/>
      <c r="G246" s="241"/>
      <c r="H246" s="241"/>
      <c r="I246" s="241"/>
      <c r="J246" s="241"/>
      <c r="K246" s="241"/>
      <c r="L246" s="241"/>
      <c r="M246" s="241"/>
      <c r="N246" s="241"/>
      <c r="O246" s="241"/>
      <c r="P246" s="241"/>
      <c r="Q246" s="241"/>
      <c r="R246" s="241"/>
      <c r="S246" s="241"/>
      <c r="T246" s="241"/>
      <c r="U246" s="241"/>
      <c r="V246" s="241"/>
      <c r="W246" s="241"/>
      <c r="X246" s="241"/>
      <c r="Y246" s="241"/>
      <c r="Z246" s="241"/>
      <c r="AA246" s="241"/>
      <c r="AB246" s="241"/>
      <c r="AC246" s="241"/>
      <c r="AD246" s="241"/>
      <c r="AE246" s="241"/>
      <c r="AF246" s="240"/>
      <c r="AG246" s="240"/>
      <c r="AH246" s="240"/>
      <c r="AI246" s="240"/>
      <c r="AJ246" s="240"/>
      <c r="AK246" s="240"/>
      <c r="AL246" s="240"/>
      <c r="AM246" s="240"/>
      <c r="AN246" s="240"/>
      <c r="AO246" s="240"/>
      <c r="AP246" s="240"/>
      <c r="AQ246" s="240"/>
    </row>
    <row r="247" spans="1:43" ht="15.75">
      <c r="A247" s="241"/>
      <c r="B247" s="241"/>
      <c r="C247" s="241"/>
      <c r="D247" s="241"/>
      <c r="E247" s="241"/>
      <c r="F247" s="241"/>
      <c r="G247" s="241"/>
      <c r="H247" s="241"/>
      <c r="I247" s="241"/>
      <c r="J247" s="241"/>
      <c r="K247" s="241"/>
      <c r="L247" s="241"/>
      <c r="M247" s="241"/>
      <c r="N247" s="241"/>
      <c r="O247" s="241"/>
      <c r="P247" s="241"/>
      <c r="Q247" s="241"/>
      <c r="R247" s="241"/>
      <c r="S247" s="241"/>
      <c r="T247" s="241"/>
      <c r="U247" s="241"/>
      <c r="V247" s="241"/>
      <c r="W247" s="241"/>
      <c r="X247" s="241"/>
      <c r="Y247" s="241"/>
      <c r="Z247" s="241"/>
      <c r="AA247" s="241"/>
      <c r="AB247" s="241"/>
      <c r="AC247" s="241"/>
      <c r="AD247" s="241"/>
      <c r="AE247" s="241"/>
      <c r="AF247" s="240"/>
      <c r="AG247" s="240"/>
      <c r="AH247" s="240"/>
      <c r="AI247" s="240"/>
      <c r="AJ247" s="240"/>
      <c r="AK247" s="240"/>
      <c r="AL247" s="240"/>
      <c r="AM247" s="240"/>
      <c r="AN247" s="240"/>
      <c r="AO247" s="240"/>
      <c r="AP247" s="240"/>
      <c r="AQ247" s="240"/>
    </row>
    <row r="248" spans="1:43" ht="15.75">
      <c r="A248" s="241"/>
      <c r="B248" s="241"/>
      <c r="C248" s="241"/>
      <c r="D248" s="241"/>
      <c r="E248" s="241"/>
      <c r="F248" s="241"/>
      <c r="G248" s="241"/>
      <c r="H248" s="241"/>
      <c r="I248" s="241"/>
      <c r="J248" s="241"/>
      <c r="K248" s="241"/>
      <c r="L248" s="241"/>
      <c r="M248" s="241"/>
      <c r="N248" s="241"/>
      <c r="O248" s="241"/>
      <c r="P248" s="241"/>
      <c r="Q248" s="241"/>
      <c r="R248" s="241"/>
      <c r="S248" s="241"/>
      <c r="T248" s="241"/>
      <c r="U248" s="241"/>
      <c r="V248" s="241"/>
      <c r="W248" s="241"/>
      <c r="X248" s="241"/>
      <c r="Y248" s="241"/>
      <c r="Z248" s="241"/>
      <c r="AA248" s="241"/>
      <c r="AB248" s="241"/>
      <c r="AC248" s="241"/>
      <c r="AD248" s="241"/>
      <c r="AE248" s="241"/>
      <c r="AF248" s="240"/>
      <c r="AG248" s="240"/>
      <c r="AH248" s="240"/>
      <c r="AI248" s="240"/>
      <c r="AJ248" s="240"/>
      <c r="AK248" s="240"/>
      <c r="AL248" s="240"/>
      <c r="AM248" s="240"/>
      <c r="AN248" s="240"/>
      <c r="AO248" s="240"/>
      <c r="AP248" s="240"/>
      <c r="AQ248" s="240"/>
    </row>
    <row r="249" spans="1:43" ht="15.75">
      <c r="A249" s="241"/>
      <c r="B249" s="241"/>
      <c r="C249" s="241"/>
      <c r="D249" s="241"/>
      <c r="E249" s="241"/>
      <c r="F249" s="241"/>
      <c r="G249" s="241"/>
      <c r="H249" s="241"/>
      <c r="I249" s="241"/>
      <c r="J249" s="241"/>
      <c r="K249" s="241"/>
      <c r="L249" s="241"/>
      <c r="M249" s="241"/>
      <c r="N249" s="241"/>
      <c r="O249" s="241"/>
      <c r="P249" s="241"/>
      <c r="Q249" s="241"/>
      <c r="R249" s="241"/>
      <c r="S249" s="241"/>
      <c r="T249" s="241"/>
      <c r="U249" s="241"/>
      <c r="V249" s="241"/>
      <c r="W249" s="241"/>
      <c r="X249" s="241"/>
      <c r="Y249" s="241"/>
      <c r="Z249" s="241"/>
      <c r="AA249" s="241"/>
      <c r="AB249" s="241"/>
      <c r="AC249" s="241"/>
      <c r="AD249" s="241"/>
      <c r="AE249" s="241"/>
      <c r="AF249" s="240"/>
      <c r="AG249" s="240"/>
      <c r="AH249" s="240"/>
      <c r="AI249" s="240"/>
      <c r="AJ249" s="240"/>
      <c r="AK249" s="240"/>
      <c r="AL249" s="240"/>
      <c r="AM249" s="240"/>
      <c r="AN249" s="240"/>
      <c r="AO249" s="240"/>
      <c r="AP249" s="240"/>
      <c r="AQ249" s="240"/>
    </row>
    <row r="250" spans="1:43" ht="15.75">
      <c r="A250" s="241"/>
      <c r="B250" s="241"/>
      <c r="C250" s="241"/>
      <c r="D250" s="241"/>
      <c r="E250" s="241"/>
      <c r="F250" s="241"/>
      <c r="G250" s="241"/>
      <c r="H250" s="241"/>
      <c r="I250" s="241"/>
      <c r="J250" s="241"/>
      <c r="K250" s="241"/>
      <c r="L250" s="241"/>
      <c r="M250" s="241"/>
      <c r="N250" s="241"/>
      <c r="O250" s="241"/>
      <c r="P250" s="241"/>
      <c r="Q250" s="241"/>
      <c r="R250" s="241"/>
      <c r="S250" s="241"/>
      <c r="T250" s="241"/>
      <c r="U250" s="241"/>
      <c r="V250" s="241"/>
      <c r="W250" s="241"/>
      <c r="X250" s="241"/>
      <c r="Y250" s="241"/>
      <c r="Z250" s="241"/>
      <c r="AA250" s="241"/>
      <c r="AB250" s="241"/>
      <c r="AC250" s="241"/>
      <c r="AD250" s="241"/>
      <c r="AE250" s="241"/>
      <c r="AF250" s="240"/>
      <c r="AG250" s="240"/>
      <c r="AH250" s="240"/>
      <c r="AI250" s="240"/>
      <c r="AJ250" s="240"/>
      <c r="AK250" s="240"/>
      <c r="AL250" s="240"/>
      <c r="AM250" s="240"/>
      <c r="AN250" s="240"/>
      <c r="AO250" s="240"/>
      <c r="AP250" s="240"/>
      <c r="AQ250" s="240"/>
    </row>
    <row r="251" spans="1:43" ht="15.75">
      <c r="A251" s="241"/>
      <c r="B251" s="241"/>
      <c r="C251" s="241"/>
      <c r="D251" s="241"/>
      <c r="E251" s="241"/>
      <c r="F251" s="241"/>
      <c r="G251" s="241"/>
      <c r="H251" s="241"/>
      <c r="I251" s="241"/>
      <c r="J251" s="241"/>
      <c r="K251" s="241"/>
      <c r="L251" s="241"/>
      <c r="M251" s="241"/>
      <c r="N251" s="241"/>
      <c r="O251" s="241"/>
      <c r="P251" s="241"/>
      <c r="Q251" s="241"/>
      <c r="R251" s="241"/>
      <c r="S251" s="241"/>
      <c r="T251" s="241"/>
      <c r="U251" s="241"/>
      <c r="V251" s="241"/>
      <c r="W251" s="241"/>
      <c r="X251" s="241"/>
      <c r="Y251" s="241"/>
      <c r="Z251" s="241"/>
      <c r="AA251" s="241"/>
      <c r="AB251" s="241"/>
      <c r="AC251" s="241"/>
      <c r="AD251" s="241"/>
      <c r="AE251" s="241"/>
      <c r="AF251" s="240"/>
      <c r="AG251" s="240"/>
      <c r="AH251" s="240"/>
      <c r="AI251" s="240"/>
      <c r="AJ251" s="240"/>
      <c r="AK251" s="240"/>
      <c r="AL251" s="240"/>
      <c r="AM251" s="240"/>
      <c r="AN251" s="240"/>
      <c r="AO251" s="240"/>
      <c r="AP251" s="240"/>
      <c r="AQ251" s="240"/>
    </row>
    <row r="252" spans="1:43" ht="15.75">
      <c r="A252" s="241"/>
      <c r="B252" s="241"/>
      <c r="C252" s="241"/>
      <c r="D252" s="241"/>
      <c r="E252" s="241"/>
      <c r="F252" s="241"/>
      <c r="G252" s="241"/>
      <c r="H252" s="241"/>
      <c r="I252" s="241"/>
      <c r="J252" s="241"/>
      <c r="K252" s="241"/>
      <c r="L252" s="241"/>
      <c r="M252" s="241"/>
      <c r="N252" s="241"/>
      <c r="O252" s="241"/>
      <c r="P252" s="241"/>
      <c r="Q252" s="241"/>
      <c r="R252" s="241"/>
      <c r="S252" s="241"/>
      <c r="T252" s="241"/>
      <c r="U252" s="241"/>
      <c r="V252" s="241"/>
      <c r="W252" s="241"/>
      <c r="X252" s="241"/>
      <c r="Y252" s="241"/>
      <c r="Z252" s="241"/>
      <c r="AA252" s="241"/>
      <c r="AB252" s="241"/>
      <c r="AC252" s="241"/>
      <c r="AD252" s="241"/>
      <c r="AE252" s="241"/>
      <c r="AF252" s="240"/>
      <c r="AG252" s="240"/>
      <c r="AH252" s="240"/>
      <c r="AI252" s="240"/>
      <c r="AJ252" s="240"/>
      <c r="AK252" s="240"/>
      <c r="AL252" s="240"/>
      <c r="AM252" s="240"/>
      <c r="AN252" s="240"/>
      <c r="AO252" s="240"/>
      <c r="AP252" s="240"/>
      <c r="AQ252" s="240"/>
    </row>
    <row r="253" spans="1:43" ht="15.75">
      <c r="A253" s="241"/>
      <c r="B253" s="241"/>
      <c r="C253" s="241"/>
      <c r="D253" s="241"/>
      <c r="E253" s="241"/>
      <c r="F253" s="241"/>
      <c r="G253" s="241"/>
      <c r="H253" s="241"/>
      <c r="I253" s="241"/>
      <c r="J253" s="241"/>
      <c r="K253" s="241"/>
      <c r="L253" s="241"/>
      <c r="M253" s="241"/>
      <c r="N253" s="241"/>
      <c r="O253" s="241"/>
      <c r="P253" s="241"/>
      <c r="Q253" s="241"/>
      <c r="R253" s="241"/>
      <c r="S253" s="241"/>
      <c r="T253" s="241"/>
      <c r="U253" s="241"/>
      <c r="V253" s="241"/>
      <c r="W253" s="241"/>
      <c r="X253" s="241"/>
      <c r="Y253" s="241"/>
      <c r="Z253" s="241"/>
      <c r="AA253" s="241"/>
      <c r="AB253" s="241"/>
      <c r="AC253" s="241"/>
      <c r="AD253" s="241"/>
      <c r="AE253" s="241"/>
      <c r="AF253" s="240"/>
      <c r="AG253" s="240"/>
      <c r="AH253" s="240"/>
      <c r="AI253" s="240"/>
      <c r="AJ253" s="240"/>
      <c r="AK253" s="240"/>
      <c r="AL253" s="240"/>
      <c r="AM253" s="240"/>
      <c r="AN253" s="240"/>
      <c r="AO253" s="240"/>
      <c r="AP253" s="240"/>
      <c r="AQ253" s="240"/>
    </row>
    <row r="254" spans="1:43" ht="15.75">
      <c r="A254" s="241"/>
      <c r="B254" s="241"/>
      <c r="C254" s="241"/>
      <c r="D254" s="241"/>
      <c r="E254" s="241"/>
      <c r="F254" s="241"/>
      <c r="G254" s="241"/>
      <c r="H254" s="241"/>
      <c r="I254" s="241"/>
      <c r="J254" s="241"/>
      <c r="K254" s="241"/>
      <c r="L254" s="241"/>
      <c r="M254" s="241"/>
      <c r="N254" s="241"/>
      <c r="O254" s="241"/>
      <c r="P254" s="241"/>
      <c r="Q254" s="241"/>
      <c r="R254" s="241"/>
      <c r="S254" s="241"/>
      <c r="T254" s="241"/>
      <c r="U254" s="241"/>
      <c r="V254" s="241"/>
      <c r="W254" s="241"/>
      <c r="X254" s="241"/>
      <c r="Y254" s="241"/>
      <c r="Z254" s="241"/>
      <c r="AA254" s="241"/>
      <c r="AB254" s="241"/>
      <c r="AC254" s="241"/>
      <c r="AD254" s="241"/>
      <c r="AE254" s="241"/>
      <c r="AF254" s="240"/>
      <c r="AG254" s="240"/>
      <c r="AH254" s="240"/>
      <c r="AI254" s="240"/>
      <c r="AJ254" s="240"/>
      <c r="AK254" s="240"/>
      <c r="AL254" s="240"/>
      <c r="AM254" s="240"/>
      <c r="AN254" s="240"/>
      <c r="AO254" s="240"/>
      <c r="AP254" s="240"/>
      <c r="AQ254" s="240"/>
    </row>
    <row r="255" spans="1:43" ht="15.75">
      <c r="A255" s="241"/>
      <c r="B255" s="241"/>
      <c r="C255" s="241"/>
      <c r="D255" s="241"/>
      <c r="E255" s="241"/>
      <c r="F255" s="241"/>
      <c r="G255" s="241"/>
      <c r="H255" s="241"/>
      <c r="I255" s="241"/>
      <c r="J255" s="241"/>
      <c r="K255" s="241"/>
      <c r="L255" s="241"/>
      <c r="M255" s="241"/>
      <c r="N255" s="241"/>
      <c r="O255" s="241"/>
      <c r="P255" s="241"/>
      <c r="Q255" s="241"/>
      <c r="R255" s="241"/>
      <c r="S255" s="241"/>
      <c r="T255" s="241"/>
      <c r="U255" s="241"/>
      <c r="V255" s="241"/>
      <c r="W255" s="241"/>
      <c r="X255" s="241"/>
      <c r="Y255" s="241"/>
      <c r="Z255" s="241"/>
      <c r="AA255" s="241"/>
      <c r="AB255" s="241"/>
      <c r="AC255" s="241"/>
      <c r="AD255" s="241"/>
      <c r="AE255" s="241"/>
      <c r="AF255" s="240"/>
      <c r="AG255" s="240"/>
      <c r="AH255" s="240"/>
      <c r="AI255" s="240"/>
      <c r="AJ255" s="240"/>
      <c r="AK255" s="240"/>
      <c r="AL255" s="240"/>
      <c r="AM255" s="240"/>
      <c r="AN255" s="240"/>
      <c r="AO255" s="240"/>
      <c r="AP255" s="240"/>
      <c r="AQ255" s="240"/>
    </row>
    <row r="256" spans="1:43" ht="15.75">
      <c r="A256" s="241"/>
      <c r="B256" s="241"/>
      <c r="C256" s="241"/>
      <c r="D256" s="241"/>
      <c r="E256" s="241"/>
      <c r="F256" s="241"/>
      <c r="G256" s="241"/>
      <c r="H256" s="241"/>
      <c r="I256" s="241"/>
      <c r="J256" s="241"/>
      <c r="K256" s="241"/>
      <c r="L256" s="241"/>
      <c r="M256" s="241"/>
      <c r="N256" s="241"/>
      <c r="O256" s="241"/>
      <c r="P256" s="241"/>
      <c r="Q256" s="241"/>
      <c r="R256" s="241"/>
      <c r="S256" s="241"/>
      <c r="T256" s="241"/>
      <c r="U256" s="241"/>
      <c r="V256" s="241"/>
      <c r="W256" s="241"/>
      <c r="X256" s="241"/>
      <c r="Y256" s="241"/>
      <c r="Z256" s="241"/>
      <c r="AA256" s="241"/>
      <c r="AB256" s="241"/>
      <c r="AC256" s="241"/>
      <c r="AD256" s="241"/>
      <c r="AE256" s="241"/>
      <c r="AF256" s="240"/>
      <c r="AG256" s="240"/>
      <c r="AH256" s="240"/>
      <c r="AI256" s="240"/>
      <c r="AJ256" s="240"/>
      <c r="AK256" s="240"/>
      <c r="AL256" s="240"/>
      <c r="AM256" s="240"/>
      <c r="AN256" s="240"/>
      <c r="AO256" s="240"/>
      <c r="AP256" s="240"/>
      <c r="AQ256" s="240"/>
    </row>
    <row r="257" spans="1:43" ht="15.75">
      <c r="A257" s="241"/>
      <c r="B257" s="241"/>
      <c r="C257" s="241"/>
      <c r="D257" s="241"/>
      <c r="E257" s="241"/>
      <c r="F257" s="241"/>
      <c r="G257" s="241"/>
      <c r="H257" s="241"/>
      <c r="I257" s="241"/>
      <c r="J257" s="241"/>
      <c r="K257" s="241"/>
      <c r="L257" s="241"/>
      <c r="M257" s="241"/>
      <c r="N257" s="241"/>
      <c r="O257" s="241"/>
      <c r="P257" s="241"/>
      <c r="Q257" s="241"/>
      <c r="R257" s="241"/>
      <c r="S257" s="241"/>
      <c r="T257" s="241"/>
      <c r="U257" s="241"/>
      <c r="V257" s="241"/>
      <c r="W257" s="241"/>
      <c r="X257" s="241"/>
      <c r="Y257" s="241"/>
      <c r="Z257" s="241"/>
      <c r="AA257" s="241"/>
      <c r="AB257" s="241"/>
      <c r="AC257" s="241"/>
      <c r="AD257" s="241"/>
      <c r="AE257" s="241"/>
      <c r="AF257" s="240"/>
      <c r="AG257" s="240"/>
      <c r="AH257" s="240"/>
      <c r="AI257" s="240"/>
      <c r="AJ257" s="240"/>
      <c r="AK257" s="240"/>
      <c r="AL257" s="240"/>
      <c r="AM257" s="240"/>
      <c r="AN257" s="240"/>
      <c r="AO257" s="240"/>
      <c r="AP257" s="240"/>
      <c r="AQ257" s="240"/>
    </row>
    <row r="258" spans="1:43" ht="15.75">
      <c r="A258" s="241"/>
      <c r="B258" s="241"/>
      <c r="C258" s="241"/>
      <c r="D258" s="241"/>
      <c r="E258" s="241"/>
      <c r="F258" s="241"/>
      <c r="G258" s="241"/>
      <c r="H258" s="241"/>
      <c r="I258" s="241"/>
      <c r="J258" s="241"/>
      <c r="K258" s="241"/>
      <c r="L258" s="241"/>
      <c r="M258" s="241"/>
      <c r="N258" s="241"/>
      <c r="O258" s="241"/>
      <c r="P258" s="241"/>
      <c r="Q258" s="241"/>
      <c r="R258" s="241"/>
      <c r="S258" s="241"/>
      <c r="T258" s="241"/>
      <c r="U258" s="241"/>
      <c r="V258" s="241"/>
      <c r="W258" s="241"/>
      <c r="X258" s="241"/>
      <c r="Y258" s="241"/>
      <c r="Z258" s="241"/>
      <c r="AA258" s="241"/>
      <c r="AB258" s="241"/>
      <c r="AC258" s="241"/>
      <c r="AD258" s="241"/>
      <c r="AE258" s="241"/>
      <c r="AF258" s="240"/>
      <c r="AG258" s="240"/>
      <c r="AH258" s="240"/>
      <c r="AI258" s="240"/>
      <c r="AJ258" s="240"/>
      <c r="AK258" s="240"/>
      <c r="AL258" s="240"/>
      <c r="AM258" s="240"/>
      <c r="AN258" s="240"/>
      <c r="AO258" s="240"/>
      <c r="AP258" s="240"/>
      <c r="AQ258" s="240"/>
    </row>
    <row r="259" spans="1:43" ht="15.75">
      <c r="A259" s="241"/>
      <c r="B259" s="241"/>
      <c r="C259" s="241"/>
      <c r="D259" s="241"/>
      <c r="E259" s="241"/>
      <c r="F259" s="241"/>
      <c r="G259" s="241"/>
      <c r="H259" s="241"/>
      <c r="I259" s="241"/>
      <c r="J259" s="241"/>
      <c r="K259" s="241"/>
      <c r="L259" s="241"/>
      <c r="M259" s="241"/>
      <c r="N259" s="241"/>
      <c r="O259" s="241"/>
      <c r="P259" s="241"/>
      <c r="Q259" s="241"/>
      <c r="R259" s="241"/>
      <c r="S259" s="241"/>
      <c r="T259" s="241"/>
      <c r="U259" s="241"/>
      <c r="V259" s="241"/>
      <c r="W259" s="241"/>
      <c r="X259" s="241"/>
      <c r="Y259" s="241"/>
      <c r="Z259" s="241"/>
      <c r="AA259" s="241"/>
      <c r="AB259" s="241"/>
      <c r="AC259" s="241"/>
      <c r="AD259" s="241"/>
      <c r="AE259" s="241"/>
      <c r="AF259" s="240"/>
      <c r="AG259" s="240"/>
      <c r="AH259" s="240"/>
      <c r="AI259" s="240"/>
      <c r="AJ259" s="240"/>
      <c r="AK259" s="240"/>
      <c r="AL259" s="240"/>
      <c r="AM259" s="240"/>
      <c r="AN259" s="240"/>
      <c r="AO259" s="240"/>
      <c r="AP259" s="240"/>
      <c r="AQ259" s="240"/>
    </row>
    <row r="260" spans="1:43" ht="15.75">
      <c r="A260" s="241"/>
      <c r="B260" s="241"/>
      <c r="C260" s="241"/>
      <c r="D260" s="241"/>
      <c r="E260" s="241"/>
      <c r="F260" s="241"/>
      <c r="G260" s="241"/>
      <c r="H260" s="241"/>
      <c r="I260" s="241"/>
      <c r="J260" s="241"/>
      <c r="K260" s="241"/>
      <c r="L260" s="241"/>
      <c r="M260" s="241"/>
      <c r="N260" s="241"/>
      <c r="O260" s="241"/>
      <c r="P260" s="241"/>
      <c r="Q260" s="241"/>
      <c r="R260" s="241"/>
      <c r="S260" s="241"/>
      <c r="T260" s="241"/>
      <c r="U260" s="241"/>
      <c r="V260" s="241"/>
      <c r="W260" s="241"/>
      <c r="X260" s="241"/>
      <c r="Y260" s="241"/>
      <c r="Z260" s="241"/>
      <c r="AA260" s="241"/>
      <c r="AB260" s="241"/>
      <c r="AC260" s="241"/>
      <c r="AD260" s="241"/>
      <c r="AE260" s="241"/>
      <c r="AF260" s="240"/>
      <c r="AG260" s="240"/>
      <c r="AH260" s="240"/>
      <c r="AI260" s="240"/>
      <c r="AJ260" s="240"/>
      <c r="AK260" s="240"/>
      <c r="AL260" s="240"/>
      <c r="AM260" s="240"/>
      <c r="AN260" s="240"/>
      <c r="AO260" s="240"/>
      <c r="AP260" s="240"/>
      <c r="AQ260" s="240"/>
    </row>
    <row r="261" spans="1:43" ht="15.75">
      <c r="A261" s="241"/>
      <c r="B261" s="241"/>
      <c r="C261" s="241"/>
      <c r="D261" s="241"/>
      <c r="E261" s="241"/>
      <c r="F261" s="241"/>
      <c r="G261" s="241"/>
      <c r="H261" s="241"/>
      <c r="I261" s="241"/>
      <c r="J261" s="241"/>
      <c r="K261" s="241"/>
      <c r="L261" s="241"/>
      <c r="M261" s="241"/>
      <c r="N261" s="241"/>
      <c r="O261" s="241"/>
      <c r="P261" s="241"/>
      <c r="Q261" s="241"/>
      <c r="R261" s="241"/>
      <c r="S261" s="241"/>
      <c r="T261" s="241"/>
      <c r="U261" s="241"/>
      <c r="V261" s="241"/>
      <c r="W261" s="241"/>
      <c r="X261" s="241"/>
      <c r="Y261" s="241"/>
      <c r="Z261" s="241"/>
      <c r="AA261" s="241"/>
      <c r="AB261" s="241"/>
      <c r="AC261" s="241"/>
      <c r="AD261" s="241"/>
      <c r="AE261" s="241"/>
      <c r="AF261" s="240"/>
      <c r="AG261" s="240"/>
      <c r="AH261" s="240"/>
      <c r="AI261" s="240"/>
      <c r="AJ261" s="240"/>
      <c r="AK261" s="240"/>
      <c r="AL261" s="240"/>
      <c r="AM261" s="240"/>
      <c r="AN261" s="240"/>
      <c r="AO261" s="240"/>
      <c r="AP261" s="240"/>
      <c r="AQ261" s="240"/>
    </row>
    <row r="262" spans="1:43" ht="15.75">
      <c r="A262" s="241"/>
      <c r="B262" s="241"/>
      <c r="C262" s="241"/>
      <c r="D262" s="241"/>
      <c r="E262" s="241"/>
      <c r="F262" s="241"/>
      <c r="G262" s="241"/>
      <c r="H262" s="241"/>
      <c r="I262" s="241"/>
      <c r="J262" s="241"/>
      <c r="K262" s="241"/>
      <c r="L262" s="241"/>
      <c r="M262" s="241"/>
      <c r="N262" s="241"/>
      <c r="O262" s="241"/>
      <c r="P262" s="241"/>
      <c r="Q262" s="241"/>
      <c r="R262" s="241"/>
      <c r="S262" s="241"/>
      <c r="T262" s="241"/>
      <c r="U262" s="241"/>
      <c r="V262" s="241"/>
      <c r="W262" s="241"/>
      <c r="X262" s="241"/>
      <c r="Y262" s="241"/>
      <c r="Z262" s="241"/>
      <c r="AA262" s="241"/>
      <c r="AB262" s="241"/>
      <c r="AC262" s="241"/>
      <c r="AD262" s="241"/>
      <c r="AE262" s="241"/>
      <c r="AF262" s="240"/>
      <c r="AG262" s="240"/>
      <c r="AH262" s="240"/>
      <c r="AI262" s="240"/>
      <c r="AJ262" s="240"/>
      <c r="AK262" s="240"/>
      <c r="AL262" s="240"/>
      <c r="AM262" s="240"/>
      <c r="AN262" s="240"/>
      <c r="AO262" s="240"/>
      <c r="AP262" s="240"/>
      <c r="AQ262" s="240"/>
    </row>
    <row r="263" spans="1:43" ht="15.75">
      <c r="A263" s="241"/>
      <c r="B263" s="241"/>
      <c r="C263" s="241"/>
      <c r="D263" s="241"/>
      <c r="E263" s="241"/>
      <c r="F263" s="241"/>
      <c r="G263" s="241"/>
      <c r="H263" s="241"/>
      <c r="I263" s="241"/>
      <c r="J263" s="241"/>
      <c r="K263" s="241"/>
      <c r="L263" s="241"/>
      <c r="M263" s="241"/>
      <c r="N263" s="241"/>
      <c r="O263" s="241"/>
      <c r="P263" s="241"/>
      <c r="Q263" s="241"/>
      <c r="R263" s="241"/>
      <c r="S263" s="241"/>
      <c r="T263" s="241"/>
      <c r="U263" s="241"/>
      <c r="V263" s="241"/>
      <c r="W263" s="241"/>
      <c r="X263" s="241"/>
      <c r="Y263" s="241"/>
      <c r="Z263" s="241"/>
      <c r="AA263" s="241"/>
      <c r="AB263" s="241"/>
      <c r="AC263" s="241"/>
      <c r="AD263" s="241"/>
      <c r="AE263" s="241"/>
      <c r="AF263" s="240"/>
      <c r="AG263" s="240"/>
      <c r="AH263" s="240"/>
      <c r="AI263" s="240"/>
      <c r="AJ263" s="240"/>
      <c r="AK263" s="240"/>
      <c r="AL263" s="240"/>
      <c r="AM263" s="240"/>
      <c r="AN263" s="240"/>
      <c r="AO263" s="240"/>
      <c r="AP263" s="240"/>
      <c r="AQ263" s="240"/>
    </row>
    <row r="264" spans="1:43" ht="15.75">
      <c r="A264" s="241"/>
      <c r="B264" s="241"/>
      <c r="C264" s="241"/>
      <c r="D264" s="241"/>
      <c r="E264" s="241"/>
      <c r="F264" s="241"/>
      <c r="G264" s="241"/>
      <c r="H264" s="241"/>
      <c r="I264" s="241"/>
      <c r="J264" s="241"/>
      <c r="K264" s="241"/>
      <c r="L264" s="241"/>
      <c r="M264" s="241"/>
      <c r="N264" s="241"/>
      <c r="O264" s="241"/>
      <c r="P264" s="241"/>
      <c r="Q264" s="241"/>
      <c r="R264" s="241"/>
      <c r="S264" s="241"/>
      <c r="T264" s="241"/>
      <c r="U264" s="241"/>
      <c r="V264" s="241"/>
      <c r="W264" s="241"/>
      <c r="X264" s="241"/>
      <c r="Y264" s="241"/>
      <c r="Z264" s="241"/>
      <c r="AA264" s="241"/>
      <c r="AB264" s="241"/>
      <c r="AC264" s="241"/>
      <c r="AD264" s="241"/>
      <c r="AE264" s="241"/>
      <c r="AF264" s="240"/>
      <c r="AG264" s="240"/>
      <c r="AH264" s="240"/>
      <c r="AI264" s="240"/>
      <c r="AJ264" s="240"/>
      <c r="AK264" s="240"/>
      <c r="AL264" s="240"/>
      <c r="AM264" s="240"/>
      <c r="AN264" s="240"/>
      <c r="AO264" s="240"/>
      <c r="AP264" s="240"/>
      <c r="AQ264" s="240"/>
    </row>
    <row r="265" spans="1:43" ht="15.75">
      <c r="A265" s="241"/>
      <c r="B265" s="241"/>
      <c r="C265" s="241"/>
      <c r="D265" s="241"/>
      <c r="E265" s="241"/>
      <c r="F265" s="241"/>
      <c r="G265" s="241"/>
      <c r="H265" s="241"/>
      <c r="I265" s="241"/>
      <c r="J265" s="241"/>
      <c r="K265" s="241"/>
      <c r="L265" s="241"/>
      <c r="M265" s="241"/>
      <c r="N265" s="241"/>
      <c r="O265" s="241"/>
      <c r="P265" s="241"/>
      <c r="Q265" s="241"/>
      <c r="R265" s="241"/>
      <c r="S265" s="241"/>
      <c r="T265" s="241"/>
      <c r="U265" s="241"/>
      <c r="V265" s="241"/>
      <c r="W265" s="241"/>
      <c r="X265" s="241"/>
      <c r="Y265" s="241"/>
      <c r="Z265" s="241"/>
      <c r="AA265" s="241"/>
      <c r="AB265" s="241"/>
      <c r="AC265" s="241"/>
      <c r="AD265" s="241"/>
      <c r="AE265" s="241"/>
      <c r="AF265" s="240"/>
      <c r="AG265" s="240"/>
      <c r="AH265" s="240"/>
      <c r="AI265" s="240"/>
      <c r="AJ265" s="240"/>
      <c r="AK265" s="240"/>
      <c r="AL265" s="240"/>
      <c r="AM265" s="240"/>
      <c r="AN265" s="240"/>
      <c r="AO265" s="240"/>
      <c r="AP265" s="240"/>
      <c r="AQ265" s="240"/>
    </row>
    <row r="266" spans="1:43" ht="15.75">
      <c r="A266" s="241"/>
      <c r="B266" s="241"/>
      <c r="C266" s="241"/>
      <c r="D266" s="241"/>
      <c r="E266" s="241"/>
      <c r="F266" s="241"/>
      <c r="G266" s="241"/>
      <c r="H266" s="241"/>
      <c r="I266" s="241"/>
      <c r="J266" s="241"/>
      <c r="K266" s="241"/>
      <c r="L266" s="241"/>
      <c r="M266" s="241"/>
      <c r="N266" s="241"/>
      <c r="O266" s="241"/>
      <c r="P266" s="241"/>
      <c r="Q266" s="241"/>
      <c r="R266" s="241"/>
      <c r="S266" s="241"/>
      <c r="T266" s="241"/>
      <c r="U266" s="241"/>
      <c r="V266" s="241"/>
      <c r="W266" s="241"/>
      <c r="X266" s="241"/>
      <c r="Y266" s="241"/>
      <c r="Z266" s="241"/>
      <c r="AA266" s="241"/>
      <c r="AB266" s="241"/>
      <c r="AC266" s="241"/>
      <c r="AD266" s="241"/>
      <c r="AE266" s="241"/>
      <c r="AF266" s="240"/>
      <c r="AG266" s="240"/>
      <c r="AH266" s="240"/>
      <c r="AI266" s="240"/>
      <c r="AJ266" s="240"/>
      <c r="AK266" s="240"/>
      <c r="AL266" s="240"/>
      <c r="AM266" s="240"/>
      <c r="AN266" s="240"/>
      <c r="AO266" s="240"/>
      <c r="AP266" s="240"/>
      <c r="AQ266" s="240"/>
    </row>
    <row r="267" spans="1:43" ht="15.75">
      <c r="A267" s="241"/>
      <c r="B267" s="241"/>
      <c r="C267" s="241"/>
      <c r="D267" s="241"/>
      <c r="E267" s="241"/>
      <c r="F267" s="241"/>
      <c r="G267" s="241"/>
      <c r="H267" s="241"/>
      <c r="I267" s="241"/>
      <c r="J267" s="241"/>
      <c r="K267" s="241"/>
      <c r="L267" s="241"/>
      <c r="M267" s="241"/>
      <c r="N267" s="241"/>
      <c r="O267" s="241"/>
      <c r="P267" s="241"/>
      <c r="Q267" s="241"/>
      <c r="R267" s="241"/>
      <c r="S267" s="241"/>
      <c r="T267" s="241"/>
      <c r="U267" s="241"/>
      <c r="V267" s="241"/>
      <c r="W267" s="241"/>
      <c r="X267" s="241"/>
      <c r="Y267" s="241"/>
      <c r="Z267" s="241"/>
      <c r="AA267" s="241"/>
      <c r="AB267" s="241"/>
      <c r="AC267" s="241"/>
      <c r="AD267" s="241"/>
      <c r="AE267" s="241"/>
      <c r="AF267" s="240"/>
      <c r="AG267" s="240"/>
      <c r="AH267" s="240"/>
      <c r="AI267" s="240"/>
      <c r="AJ267" s="240"/>
      <c r="AK267" s="240"/>
      <c r="AL267" s="240"/>
      <c r="AM267" s="240"/>
      <c r="AN267" s="240"/>
      <c r="AO267" s="240"/>
      <c r="AP267" s="240"/>
      <c r="AQ267" s="240"/>
    </row>
    <row r="268" spans="1:43" ht="15.75">
      <c r="A268" s="241"/>
      <c r="B268" s="241"/>
      <c r="C268" s="241"/>
      <c r="D268" s="241"/>
      <c r="E268" s="241"/>
      <c r="F268" s="241"/>
      <c r="G268" s="241"/>
      <c r="H268" s="241"/>
      <c r="I268" s="241"/>
      <c r="J268" s="241"/>
      <c r="K268" s="241"/>
      <c r="L268" s="241"/>
      <c r="M268" s="241"/>
      <c r="N268" s="241"/>
      <c r="O268" s="241"/>
      <c r="P268" s="241"/>
      <c r="Q268" s="241"/>
      <c r="R268" s="241"/>
      <c r="S268" s="241"/>
      <c r="T268" s="241"/>
      <c r="U268" s="241"/>
      <c r="V268" s="241"/>
      <c r="W268" s="241"/>
      <c r="X268" s="241"/>
      <c r="Y268" s="241"/>
      <c r="Z268" s="241"/>
      <c r="AA268" s="241"/>
      <c r="AB268" s="241"/>
      <c r="AC268" s="241"/>
      <c r="AD268" s="241"/>
      <c r="AE268" s="241"/>
      <c r="AF268" s="240"/>
      <c r="AG268" s="240"/>
      <c r="AH268" s="240"/>
      <c r="AI268" s="240"/>
      <c r="AJ268" s="240"/>
      <c r="AK268" s="240"/>
      <c r="AL268" s="240"/>
      <c r="AM268" s="240"/>
      <c r="AN268" s="240"/>
      <c r="AO268" s="240"/>
      <c r="AP268" s="240"/>
      <c r="AQ268" s="240"/>
    </row>
    <row r="269" spans="1:43" ht="15.75">
      <c r="A269" s="241"/>
      <c r="B269" s="241"/>
      <c r="C269" s="241"/>
      <c r="D269" s="241"/>
      <c r="E269" s="241"/>
      <c r="F269" s="241"/>
      <c r="G269" s="241"/>
      <c r="H269" s="241"/>
      <c r="I269" s="241"/>
      <c r="J269" s="241"/>
      <c r="K269" s="241"/>
      <c r="L269" s="241"/>
      <c r="M269" s="241"/>
      <c r="N269" s="241"/>
      <c r="O269" s="241"/>
      <c r="P269" s="241"/>
      <c r="Q269" s="241"/>
      <c r="R269" s="241"/>
      <c r="S269" s="241"/>
      <c r="T269" s="241"/>
      <c r="U269" s="241"/>
      <c r="V269" s="241"/>
      <c r="W269" s="241"/>
      <c r="X269" s="241"/>
      <c r="Y269" s="241"/>
      <c r="Z269" s="241"/>
      <c r="AA269" s="241"/>
      <c r="AB269" s="241"/>
      <c r="AC269" s="241"/>
      <c r="AD269" s="241"/>
      <c r="AE269" s="241"/>
      <c r="AF269" s="240"/>
      <c r="AG269" s="240"/>
      <c r="AH269" s="240"/>
      <c r="AI269" s="240"/>
      <c r="AJ269" s="240"/>
      <c r="AK269" s="240"/>
      <c r="AL269" s="240"/>
      <c r="AM269" s="240"/>
      <c r="AN269" s="240"/>
      <c r="AO269" s="240"/>
      <c r="AP269" s="240"/>
      <c r="AQ269" s="240"/>
    </row>
    <row r="270" spans="1:43" ht="15.75">
      <c r="A270" s="241"/>
      <c r="B270" s="241"/>
      <c r="C270" s="241"/>
      <c r="D270" s="241"/>
      <c r="E270" s="241"/>
      <c r="F270" s="241"/>
      <c r="G270" s="241"/>
      <c r="H270" s="241"/>
      <c r="I270" s="241"/>
      <c r="J270" s="241"/>
      <c r="K270" s="241"/>
      <c r="L270" s="241"/>
      <c r="M270" s="241"/>
      <c r="N270" s="241"/>
      <c r="O270" s="241"/>
      <c r="P270" s="241"/>
      <c r="Q270" s="241"/>
      <c r="R270" s="241"/>
      <c r="S270" s="241"/>
      <c r="T270" s="241"/>
      <c r="U270" s="241"/>
      <c r="V270" s="241"/>
      <c r="W270" s="241"/>
      <c r="X270" s="241"/>
      <c r="Y270" s="241"/>
      <c r="Z270" s="241"/>
      <c r="AA270" s="241"/>
      <c r="AB270" s="241"/>
      <c r="AC270" s="241"/>
      <c r="AD270" s="241"/>
      <c r="AE270" s="241"/>
      <c r="AF270" s="240"/>
      <c r="AG270" s="240"/>
      <c r="AH270" s="240"/>
      <c r="AI270" s="240"/>
      <c r="AJ270" s="240"/>
      <c r="AK270" s="240"/>
      <c r="AL270" s="240"/>
      <c r="AM270" s="240"/>
      <c r="AN270" s="240"/>
      <c r="AO270" s="240"/>
      <c r="AP270" s="240"/>
      <c r="AQ270" s="240"/>
    </row>
    <row r="271" spans="1:43" ht="15.75">
      <c r="A271" s="241"/>
      <c r="B271" s="241"/>
      <c r="C271" s="241"/>
      <c r="D271" s="241"/>
      <c r="E271" s="241"/>
      <c r="F271" s="241"/>
      <c r="G271" s="241"/>
      <c r="H271" s="241"/>
      <c r="I271" s="241"/>
      <c r="J271" s="241"/>
      <c r="K271" s="241"/>
      <c r="L271" s="241"/>
      <c r="M271" s="241"/>
      <c r="N271" s="241"/>
      <c r="O271" s="241"/>
      <c r="P271" s="241"/>
      <c r="Q271" s="241"/>
      <c r="R271" s="241"/>
      <c r="S271" s="241"/>
      <c r="T271" s="241"/>
      <c r="U271" s="241"/>
      <c r="V271" s="241"/>
      <c r="W271" s="241"/>
      <c r="X271" s="241"/>
      <c r="Y271" s="241"/>
      <c r="Z271" s="241"/>
      <c r="AA271" s="241"/>
      <c r="AB271" s="241"/>
      <c r="AC271" s="241"/>
      <c r="AD271" s="241"/>
      <c r="AE271" s="241"/>
      <c r="AF271" s="240"/>
      <c r="AG271" s="240"/>
      <c r="AH271" s="240"/>
      <c r="AI271" s="240"/>
      <c r="AJ271" s="240"/>
      <c r="AK271" s="240"/>
      <c r="AL271" s="240"/>
      <c r="AM271" s="240"/>
      <c r="AN271" s="240"/>
      <c r="AO271" s="240"/>
      <c r="AP271" s="240"/>
      <c r="AQ271" s="240"/>
    </row>
    <row r="272" spans="1:43" ht="15.75">
      <c r="A272" s="241"/>
      <c r="B272" s="241"/>
      <c r="C272" s="241"/>
      <c r="D272" s="241"/>
      <c r="E272" s="241"/>
      <c r="F272" s="241"/>
      <c r="G272" s="241"/>
      <c r="H272" s="241"/>
      <c r="I272" s="241"/>
      <c r="J272" s="241"/>
      <c r="K272" s="241"/>
      <c r="L272" s="241"/>
      <c r="M272" s="241"/>
      <c r="N272" s="241"/>
      <c r="O272" s="241"/>
      <c r="P272" s="241"/>
      <c r="Q272" s="241"/>
      <c r="R272" s="241"/>
      <c r="S272" s="241"/>
      <c r="T272" s="241"/>
      <c r="U272" s="241"/>
      <c r="V272" s="241"/>
      <c r="W272" s="241"/>
      <c r="X272" s="241"/>
      <c r="Y272" s="241"/>
      <c r="Z272" s="241"/>
      <c r="AA272" s="241"/>
      <c r="AB272" s="241"/>
      <c r="AC272" s="241"/>
      <c r="AD272" s="241"/>
      <c r="AE272" s="241"/>
      <c r="AF272" s="240"/>
      <c r="AG272" s="240"/>
      <c r="AH272" s="240"/>
      <c r="AI272" s="240"/>
      <c r="AJ272" s="240"/>
      <c r="AK272" s="240"/>
      <c r="AL272" s="240"/>
      <c r="AM272" s="240"/>
      <c r="AN272" s="240"/>
      <c r="AO272" s="240"/>
      <c r="AP272" s="240"/>
      <c r="AQ272" s="240"/>
    </row>
    <row r="273" spans="1:43" ht="15.75">
      <c r="A273" s="241"/>
      <c r="B273" s="241"/>
      <c r="C273" s="241"/>
      <c r="D273" s="241"/>
      <c r="E273" s="241"/>
      <c r="F273" s="241"/>
      <c r="G273" s="241"/>
      <c r="H273" s="241"/>
      <c r="I273" s="241"/>
      <c r="J273" s="241"/>
      <c r="K273" s="241"/>
      <c r="L273" s="241"/>
      <c r="M273" s="241"/>
      <c r="N273" s="241"/>
      <c r="O273" s="241"/>
      <c r="P273" s="241"/>
      <c r="Q273" s="241"/>
      <c r="R273" s="241"/>
      <c r="S273" s="241"/>
      <c r="T273" s="241"/>
      <c r="U273" s="241"/>
      <c r="V273" s="241"/>
      <c r="W273" s="241"/>
      <c r="X273" s="241"/>
      <c r="Y273" s="241"/>
      <c r="Z273" s="241"/>
      <c r="AA273" s="241"/>
      <c r="AB273" s="241"/>
      <c r="AC273" s="241"/>
      <c r="AD273" s="241"/>
      <c r="AE273" s="241"/>
      <c r="AF273" s="240"/>
      <c r="AG273" s="240"/>
      <c r="AH273" s="240"/>
      <c r="AI273" s="240"/>
      <c r="AJ273" s="240"/>
      <c r="AK273" s="240"/>
      <c r="AL273" s="240"/>
      <c r="AM273" s="240"/>
      <c r="AN273" s="240"/>
      <c r="AO273" s="240"/>
      <c r="AP273" s="240"/>
      <c r="AQ273" s="240"/>
    </row>
    <row r="274" spans="1:43" ht="15.75">
      <c r="A274" s="241"/>
      <c r="B274" s="241"/>
      <c r="C274" s="241"/>
      <c r="D274" s="241"/>
      <c r="E274" s="241"/>
      <c r="F274" s="241"/>
      <c r="G274" s="241"/>
      <c r="H274" s="241"/>
      <c r="I274" s="241"/>
      <c r="J274" s="241"/>
      <c r="K274" s="241"/>
      <c r="L274" s="241"/>
      <c r="M274" s="241"/>
      <c r="N274" s="241"/>
      <c r="O274" s="241"/>
      <c r="P274" s="241"/>
      <c r="Q274" s="241"/>
      <c r="R274" s="241"/>
      <c r="S274" s="241"/>
      <c r="T274" s="241"/>
      <c r="U274" s="241"/>
      <c r="V274" s="241"/>
      <c r="W274" s="241"/>
      <c r="X274" s="241"/>
      <c r="Y274" s="241"/>
      <c r="Z274" s="241"/>
      <c r="AA274" s="241"/>
      <c r="AB274" s="241"/>
      <c r="AC274" s="241"/>
      <c r="AD274" s="241"/>
      <c r="AE274" s="241"/>
      <c r="AF274" s="240"/>
      <c r="AG274" s="240"/>
      <c r="AH274" s="240"/>
      <c r="AI274" s="240"/>
      <c r="AJ274" s="240"/>
      <c r="AK274" s="240"/>
      <c r="AL274" s="240"/>
      <c r="AM274" s="240"/>
      <c r="AN274" s="240"/>
      <c r="AO274" s="240"/>
      <c r="AP274" s="240"/>
      <c r="AQ274" s="240"/>
    </row>
    <row r="275" spans="1:43" ht="15.75">
      <c r="A275" s="241"/>
      <c r="B275" s="241"/>
      <c r="C275" s="241"/>
      <c r="D275" s="241"/>
      <c r="E275" s="241"/>
      <c r="F275" s="241"/>
      <c r="G275" s="241"/>
      <c r="H275" s="241"/>
      <c r="I275" s="241"/>
      <c r="J275" s="241"/>
      <c r="K275" s="241"/>
      <c r="L275" s="241"/>
      <c r="M275" s="241"/>
      <c r="N275" s="241"/>
      <c r="O275" s="241"/>
      <c r="P275" s="241"/>
      <c r="Q275" s="241"/>
      <c r="R275" s="241"/>
      <c r="S275" s="241"/>
      <c r="T275" s="241"/>
      <c r="U275" s="241"/>
      <c r="V275" s="241"/>
      <c r="W275" s="241"/>
      <c r="X275" s="241"/>
      <c r="Y275" s="241"/>
      <c r="Z275" s="241"/>
      <c r="AA275" s="241"/>
      <c r="AB275" s="241"/>
      <c r="AC275" s="241"/>
      <c r="AD275" s="241"/>
      <c r="AE275" s="241"/>
      <c r="AF275" s="240"/>
      <c r="AG275" s="240"/>
      <c r="AH275" s="240"/>
      <c r="AI275" s="240"/>
      <c r="AJ275" s="240"/>
      <c r="AK275" s="240"/>
      <c r="AL275" s="240"/>
      <c r="AM275" s="240"/>
      <c r="AN275" s="240"/>
      <c r="AO275" s="240"/>
      <c r="AP275" s="240"/>
      <c r="AQ275" s="240"/>
    </row>
    <row r="276" spans="1:43" ht="15.75">
      <c r="A276" s="241"/>
      <c r="B276" s="241"/>
      <c r="C276" s="241"/>
      <c r="D276" s="241"/>
      <c r="E276" s="241"/>
      <c r="F276" s="241"/>
      <c r="G276" s="241"/>
      <c r="H276" s="241"/>
      <c r="I276" s="241"/>
      <c r="J276" s="241"/>
      <c r="K276" s="241"/>
      <c r="L276" s="241"/>
      <c r="M276" s="241"/>
      <c r="N276" s="241"/>
      <c r="O276" s="241"/>
      <c r="P276" s="241"/>
      <c r="Q276" s="241"/>
      <c r="R276" s="241"/>
      <c r="S276" s="241"/>
      <c r="T276" s="241"/>
      <c r="U276" s="241"/>
      <c r="V276" s="241"/>
      <c r="W276" s="241"/>
      <c r="X276" s="241"/>
      <c r="Y276" s="241"/>
      <c r="Z276" s="241"/>
      <c r="AA276" s="241"/>
      <c r="AB276" s="241"/>
      <c r="AC276" s="241"/>
      <c r="AD276" s="241"/>
      <c r="AE276" s="241"/>
      <c r="AF276" s="240"/>
      <c r="AG276" s="240"/>
      <c r="AH276" s="240"/>
      <c r="AI276" s="240"/>
      <c r="AJ276" s="240"/>
      <c r="AK276" s="240"/>
      <c r="AL276" s="240"/>
      <c r="AM276" s="240"/>
      <c r="AN276" s="240"/>
      <c r="AO276" s="240"/>
      <c r="AP276" s="240"/>
      <c r="AQ276" s="240"/>
    </row>
    <row r="277" spans="1:43" ht="15.75">
      <c r="A277" s="241"/>
      <c r="B277" s="241"/>
      <c r="C277" s="241"/>
      <c r="D277" s="241"/>
      <c r="E277" s="241"/>
      <c r="F277" s="241"/>
      <c r="G277" s="241"/>
      <c r="H277" s="241"/>
      <c r="I277" s="241"/>
      <c r="J277" s="241"/>
      <c r="K277" s="241"/>
      <c r="L277" s="241"/>
      <c r="M277" s="241"/>
      <c r="N277" s="241"/>
      <c r="O277" s="241"/>
      <c r="P277" s="241"/>
      <c r="Q277" s="241"/>
      <c r="R277" s="241"/>
      <c r="S277" s="241"/>
      <c r="T277" s="241"/>
      <c r="U277" s="241"/>
      <c r="V277" s="241"/>
      <c r="W277" s="241"/>
      <c r="X277" s="241"/>
      <c r="Y277" s="241"/>
      <c r="Z277" s="241"/>
      <c r="AA277" s="241"/>
      <c r="AB277" s="241"/>
      <c r="AC277" s="241"/>
      <c r="AD277" s="241"/>
      <c r="AE277" s="241"/>
      <c r="AF277" s="240"/>
      <c r="AG277" s="240"/>
      <c r="AH277" s="240"/>
      <c r="AI277" s="240"/>
      <c r="AJ277" s="240"/>
      <c r="AK277" s="240"/>
      <c r="AL277" s="240"/>
      <c r="AM277" s="240"/>
      <c r="AN277" s="240"/>
      <c r="AO277" s="240"/>
      <c r="AP277" s="240"/>
      <c r="AQ277" s="240"/>
    </row>
    <row r="278" spans="1:43" ht="15.75">
      <c r="A278" s="241"/>
      <c r="B278" s="241"/>
      <c r="C278" s="241"/>
      <c r="D278" s="241"/>
      <c r="E278" s="241"/>
      <c r="F278" s="241"/>
      <c r="G278" s="241"/>
      <c r="H278" s="241"/>
      <c r="I278" s="241"/>
      <c r="J278" s="241"/>
      <c r="K278" s="241"/>
      <c r="L278" s="241"/>
      <c r="M278" s="241"/>
      <c r="N278" s="241"/>
      <c r="O278" s="241"/>
      <c r="P278" s="241"/>
      <c r="Q278" s="241"/>
      <c r="R278" s="241"/>
      <c r="S278" s="241"/>
      <c r="T278" s="241"/>
      <c r="U278" s="241"/>
      <c r="V278" s="241"/>
      <c r="W278" s="241"/>
      <c r="X278" s="241"/>
      <c r="Y278" s="241"/>
      <c r="Z278" s="241"/>
      <c r="AA278" s="241"/>
      <c r="AB278" s="241"/>
      <c r="AC278" s="241"/>
      <c r="AD278" s="241"/>
      <c r="AE278" s="241"/>
      <c r="AF278" s="240"/>
      <c r="AG278" s="240"/>
      <c r="AH278" s="240"/>
      <c r="AI278" s="240"/>
      <c r="AJ278" s="240"/>
      <c r="AK278" s="240"/>
      <c r="AL278" s="240"/>
      <c r="AM278" s="240"/>
      <c r="AN278" s="240"/>
      <c r="AO278" s="240"/>
      <c r="AP278" s="240"/>
      <c r="AQ278" s="240"/>
    </row>
    <row r="279" spans="1:43" ht="15.75">
      <c r="A279" s="241"/>
      <c r="B279" s="241"/>
      <c r="C279" s="241"/>
      <c r="D279" s="241"/>
      <c r="E279" s="241"/>
      <c r="F279" s="241"/>
      <c r="G279" s="241"/>
      <c r="H279" s="241"/>
      <c r="I279" s="241"/>
      <c r="J279" s="241"/>
      <c r="K279" s="241"/>
      <c r="L279" s="241"/>
      <c r="M279" s="241"/>
      <c r="N279" s="241"/>
      <c r="O279" s="241"/>
      <c r="P279" s="241"/>
      <c r="Q279" s="241"/>
      <c r="R279" s="241"/>
      <c r="S279" s="241"/>
      <c r="T279" s="241"/>
      <c r="U279" s="241"/>
      <c r="V279" s="241"/>
      <c r="W279" s="241"/>
      <c r="X279" s="241"/>
      <c r="Y279" s="241"/>
      <c r="Z279" s="241"/>
      <c r="AA279" s="241"/>
      <c r="AB279" s="241"/>
      <c r="AC279" s="241"/>
      <c r="AD279" s="241"/>
      <c r="AE279" s="241"/>
      <c r="AF279" s="240"/>
      <c r="AG279" s="240"/>
      <c r="AH279" s="240"/>
      <c r="AI279" s="240"/>
      <c r="AJ279" s="240"/>
      <c r="AK279" s="240"/>
      <c r="AL279" s="240"/>
      <c r="AM279" s="240"/>
      <c r="AN279" s="240"/>
      <c r="AO279" s="240"/>
      <c r="AP279" s="240"/>
      <c r="AQ279" s="240"/>
    </row>
    <row r="280" spans="1:43" ht="15.75">
      <c r="A280" s="241"/>
      <c r="B280" s="241"/>
      <c r="C280" s="241"/>
      <c r="D280" s="241"/>
      <c r="E280" s="241"/>
      <c r="F280" s="241"/>
      <c r="G280" s="241"/>
      <c r="H280" s="241"/>
      <c r="I280" s="241"/>
      <c r="J280" s="241"/>
      <c r="K280" s="241"/>
      <c r="L280" s="241"/>
      <c r="M280" s="241"/>
      <c r="N280" s="241"/>
      <c r="O280" s="241"/>
      <c r="P280" s="241"/>
      <c r="Q280" s="241"/>
      <c r="R280" s="241"/>
      <c r="S280" s="241"/>
      <c r="T280" s="241"/>
      <c r="U280" s="241"/>
      <c r="V280" s="241"/>
      <c r="W280" s="241"/>
      <c r="X280" s="241"/>
      <c r="Y280" s="241"/>
      <c r="Z280" s="241"/>
      <c r="AA280" s="241"/>
      <c r="AB280" s="241"/>
      <c r="AC280" s="241"/>
      <c r="AD280" s="241"/>
      <c r="AE280" s="241"/>
      <c r="AF280" s="240"/>
      <c r="AG280" s="240"/>
      <c r="AH280" s="240"/>
      <c r="AI280" s="240"/>
      <c r="AJ280" s="240"/>
      <c r="AK280" s="240"/>
      <c r="AL280" s="240"/>
      <c r="AM280" s="240"/>
      <c r="AN280" s="240"/>
      <c r="AO280" s="240"/>
      <c r="AP280" s="240"/>
      <c r="AQ280" s="240"/>
    </row>
    <row r="281" spans="1:43" ht="15.75">
      <c r="A281" s="241"/>
      <c r="B281" s="241"/>
      <c r="C281" s="241"/>
      <c r="D281" s="241"/>
      <c r="E281" s="241"/>
      <c r="F281" s="241"/>
      <c r="G281" s="241"/>
      <c r="H281" s="241"/>
      <c r="I281" s="241"/>
      <c r="J281" s="241"/>
      <c r="K281" s="241"/>
      <c r="L281" s="241"/>
      <c r="M281" s="241"/>
      <c r="N281" s="241"/>
      <c r="O281" s="241"/>
      <c r="P281" s="241"/>
      <c r="Q281" s="241"/>
      <c r="R281" s="241"/>
      <c r="S281" s="241"/>
      <c r="T281" s="241"/>
      <c r="U281" s="241"/>
      <c r="V281" s="241"/>
      <c r="W281" s="241"/>
      <c r="X281" s="241"/>
      <c r="Y281" s="241"/>
      <c r="Z281" s="241"/>
      <c r="AA281" s="241"/>
      <c r="AB281" s="241"/>
      <c r="AC281" s="241"/>
      <c r="AD281" s="241"/>
      <c r="AE281" s="241"/>
      <c r="AF281" s="240"/>
      <c r="AG281" s="240"/>
      <c r="AH281" s="240"/>
      <c r="AI281" s="240"/>
      <c r="AJ281" s="240"/>
      <c r="AK281" s="240"/>
      <c r="AL281" s="240"/>
      <c r="AM281" s="240"/>
      <c r="AN281" s="240"/>
      <c r="AO281" s="240"/>
      <c r="AP281" s="240"/>
      <c r="AQ281" s="240"/>
    </row>
    <row r="282" spans="1:43" ht="15.75">
      <c r="A282" s="241"/>
      <c r="B282" s="241"/>
      <c r="C282" s="241"/>
      <c r="D282" s="241"/>
      <c r="E282" s="241"/>
      <c r="F282" s="241"/>
      <c r="G282" s="241"/>
      <c r="H282" s="241"/>
      <c r="I282" s="241"/>
      <c r="J282" s="241"/>
      <c r="K282" s="241"/>
      <c r="L282" s="241"/>
      <c r="M282" s="241"/>
      <c r="N282" s="241"/>
      <c r="O282" s="241"/>
      <c r="P282" s="241"/>
      <c r="Q282" s="241"/>
      <c r="R282" s="241"/>
      <c r="S282" s="241"/>
      <c r="T282" s="241"/>
      <c r="U282" s="241"/>
      <c r="V282" s="241"/>
      <c r="W282" s="241"/>
      <c r="X282" s="241"/>
      <c r="Y282" s="241"/>
      <c r="Z282" s="241"/>
      <c r="AA282" s="241"/>
      <c r="AB282" s="241"/>
      <c r="AC282" s="241"/>
      <c r="AD282" s="241"/>
      <c r="AE282" s="241"/>
      <c r="AF282" s="240"/>
      <c r="AG282" s="240"/>
      <c r="AH282" s="240"/>
      <c r="AI282" s="240"/>
      <c r="AJ282" s="240"/>
      <c r="AK282" s="240"/>
      <c r="AL282" s="240"/>
      <c r="AM282" s="240"/>
      <c r="AN282" s="240"/>
      <c r="AO282" s="240"/>
      <c r="AP282" s="240"/>
      <c r="AQ282" s="240"/>
    </row>
    <row r="283" spans="1:43" ht="15.75">
      <c r="A283" s="241"/>
      <c r="B283" s="241"/>
      <c r="C283" s="241"/>
      <c r="D283" s="241"/>
      <c r="E283" s="241"/>
      <c r="F283" s="241"/>
      <c r="G283" s="241"/>
      <c r="H283" s="241"/>
      <c r="I283" s="241"/>
      <c r="J283" s="241"/>
      <c r="K283" s="241"/>
      <c r="L283" s="241"/>
      <c r="M283" s="241"/>
      <c r="N283" s="241"/>
      <c r="O283" s="241"/>
      <c r="P283" s="241"/>
      <c r="Q283" s="241"/>
      <c r="R283" s="241"/>
      <c r="S283" s="241"/>
      <c r="T283" s="241"/>
      <c r="U283" s="241"/>
      <c r="V283" s="241"/>
      <c r="W283" s="241"/>
      <c r="X283" s="241"/>
      <c r="Y283" s="241"/>
      <c r="Z283" s="241"/>
      <c r="AA283" s="241"/>
      <c r="AB283" s="241"/>
      <c r="AC283" s="241"/>
      <c r="AD283" s="241"/>
      <c r="AE283" s="241"/>
      <c r="AF283" s="240"/>
      <c r="AG283" s="240"/>
      <c r="AH283" s="240"/>
      <c r="AI283" s="240"/>
      <c r="AJ283" s="240"/>
      <c r="AK283" s="240"/>
      <c r="AL283" s="240"/>
      <c r="AM283" s="240"/>
      <c r="AN283" s="240"/>
      <c r="AO283" s="240"/>
      <c r="AP283" s="240"/>
      <c r="AQ283" s="240"/>
    </row>
    <row r="284" spans="1:43" ht="15.75">
      <c r="A284" s="241"/>
      <c r="B284" s="241"/>
      <c r="C284" s="241"/>
      <c r="D284" s="241"/>
      <c r="E284" s="241"/>
      <c r="F284" s="241"/>
      <c r="G284" s="241"/>
      <c r="H284" s="241"/>
      <c r="I284" s="241"/>
      <c r="J284" s="241"/>
      <c r="K284" s="241"/>
      <c r="L284" s="241"/>
      <c r="M284" s="241"/>
      <c r="N284" s="241"/>
      <c r="O284" s="241"/>
      <c r="P284" s="241"/>
      <c r="Q284" s="241"/>
      <c r="R284" s="241"/>
      <c r="S284" s="241"/>
      <c r="T284" s="241"/>
      <c r="U284" s="241"/>
      <c r="V284" s="241"/>
      <c r="W284" s="241"/>
      <c r="X284" s="241"/>
      <c r="Y284" s="241"/>
      <c r="Z284" s="241"/>
      <c r="AA284" s="241"/>
      <c r="AB284" s="241"/>
      <c r="AC284" s="241"/>
      <c r="AD284" s="241"/>
      <c r="AE284" s="241"/>
      <c r="AF284" s="240"/>
      <c r="AG284" s="240"/>
      <c r="AH284" s="240"/>
      <c r="AI284" s="240"/>
      <c r="AJ284" s="240"/>
      <c r="AK284" s="240"/>
      <c r="AL284" s="240"/>
      <c r="AM284" s="240"/>
      <c r="AN284" s="240"/>
      <c r="AO284" s="240"/>
      <c r="AP284" s="240"/>
      <c r="AQ284" s="240"/>
    </row>
    <row r="285" spans="1:43" ht="15.75">
      <c r="A285" s="241"/>
      <c r="B285" s="241"/>
      <c r="C285" s="241"/>
      <c r="D285" s="241"/>
      <c r="E285" s="241"/>
      <c r="F285" s="241"/>
      <c r="G285" s="241"/>
      <c r="H285" s="241"/>
      <c r="I285" s="241"/>
      <c r="J285" s="241"/>
      <c r="K285" s="241"/>
      <c r="L285" s="241"/>
      <c r="M285" s="241"/>
      <c r="N285" s="241"/>
      <c r="O285" s="241"/>
      <c r="P285" s="241"/>
      <c r="Q285" s="241"/>
      <c r="R285" s="241"/>
      <c r="S285" s="241"/>
      <c r="T285" s="241"/>
      <c r="U285" s="241"/>
      <c r="V285" s="241"/>
      <c r="W285" s="241"/>
      <c r="X285" s="241"/>
      <c r="Y285" s="241"/>
      <c r="Z285" s="241"/>
      <c r="AA285" s="241"/>
      <c r="AB285" s="241"/>
      <c r="AC285" s="241"/>
      <c r="AD285" s="241"/>
      <c r="AE285" s="241"/>
      <c r="AF285" s="240"/>
      <c r="AG285" s="240"/>
      <c r="AH285" s="240"/>
      <c r="AI285" s="240"/>
      <c r="AJ285" s="240"/>
      <c r="AK285" s="240"/>
      <c r="AL285" s="240"/>
      <c r="AM285" s="240"/>
      <c r="AN285" s="240"/>
      <c r="AO285" s="240"/>
      <c r="AP285" s="240"/>
      <c r="AQ285" s="240"/>
    </row>
    <row r="286" spans="1:43" ht="15.75">
      <c r="A286" s="241"/>
      <c r="B286" s="241"/>
      <c r="C286" s="241"/>
      <c r="D286" s="241"/>
      <c r="E286" s="241"/>
      <c r="F286" s="241"/>
      <c r="G286" s="241"/>
      <c r="H286" s="241"/>
      <c r="I286" s="241"/>
      <c r="J286" s="241"/>
      <c r="K286" s="241"/>
      <c r="L286" s="241"/>
      <c r="M286" s="241"/>
      <c r="N286" s="241"/>
      <c r="O286" s="241"/>
      <c r="P286" s="241"/>
      <c r="Q286" s="241"/>
      <c r="R286" s="241"/>
      <c r="S286" s="241"/>
      <c r="T286" s="241"/>
      <c r="U286" s="241"/>
      <c r="V286" s="241"/>
      <c r="W286" s="241"/>
      <c r="X286" s="241"/>
      <c r="Y286" s="241"/>
      <c r="Z286" s="241"/>
      <c r="AA286" s="241"/>
      <c r="AB286" s="241"/>
      <c r="AC286" s="241"/>
      <c r="AD286" s="241"/>
      <c r="AE286" s="241"/>
      <c r="AF286" s="240"/>
      <c r="AG286" s="240"/>
      <c r="AH286" s="240"/>
      <c r="AI286" s="240"/>
      <c r="AJ286" s="240"/>
      <c r="AK286" s="240"/>
      <c r="AL286" s="240"/>
      <c r="AM286" s="240"/>
      <c r="AN286" s="240"/>
      <c r="AO286" s="240"/>
      <c r="AP286" s="240"/>
      <c r="AQ286" s="240"/>
    </row>
    <row r="287" spans="1:43" ht="15.75">
      <c r="A287" s="241"/>
      <c r="B287" s="241"/>
      <c r="C287" s="241"/>
      <c r="D287" s="241"/>
      <c r="E287" s="241"/>
      <c r="F287" s="241"/>
      <c r="G287" s="241"/>
      <c r="H287" s="241"/>
      <c r="I287" s="241"/>
      <c r="J287" s="241"/>
      <c r="K287" s="241"/>
      <c r="L287" s="241"/>
      <c r="M287" s="241"/>
      <c r="N287" s="241"/>
      <c r="O287" s="241"/>
      <c r="P287" s="241"/>
      <c r="Q287" s="241"/>
      <c r="R287" s="241"/>
      <c r="S287" s="241"/>
      <c r="T287" s="241"/>
      <c r="U287" s="241"/>
      <c r="V287" s="241"/>
      <c r="W287" s="241"/>
      <c r="X287" s="241"/>
      <c r="Y287" s="241"/>
      <c r="Z287" s="241"/>
      <c r="AA287" s="241"/>
      <c r="AB287" s="241"/>
      <c r="AC287" s="241"/>
      <c r="AD287" s="241"/>
      <c r="AE287" s="241"/>
      <c r="AF287" s="240"/>
      <c r="AG287" s="240"/>
      <c r="AH287" s="240"/>
      <c r="AI287" s="240"/>
      <c r="AJ287" s="240"/>
      <c r="AK287" s="240"/>
      <c r="AL287" s="240"/>
      <c r="AM287" s="240"/>
      <c r="AN287" s="240"/>
      <c r="AO287" s="240"/>
      <c r="AP287" s="240"/>
      <c r="AQ287" s="240"/>
    </row>
    <row r="288" spans="1:43" ht="15.75">
      <c r="A288" s="241"/>
      <c r="B288" s="241"/>
      <c r="C288" s="241"/>
      <c r="D288" s="241"/>
      <c r="E288" s="241"/>
      <c r="F288" s="241"/>
      <c r="G288" s="241"/>
      <c r="H288" s="241"/>
      <c r="I288" s="241"/>
      <c r="J288" s="241"/>
      <c r="K288" s="241"/>
      <c r="L288" s="241"/>
      <c r="M288" s="241"/>
      <c r="N288" s="241"/>
      <c r="O288" s="241"/>
      <c r="P288" s="241"/>
      <c r="Q288" s="241"/>
      <c r="R288" s="241"/>
      <c r="S288" s="241"/>
      <c r="T288" s="241"/>
      <c r="U288" s="241"/>
      <c r="V288" s="241"/>
      <c r="W288" s="241"/>
      <c r="X288" s="241"/>
      <c r="Y288" s="241"/>
      <c r="Z288" s="241"/>
      <c r="AA288" s="241"/>
      <c r="AB288" s="241"/>
      <c r="AC288" s="241"/>
      <c r="AD288" s="241"/>
      <c r="AE288" s="241"/>
      <c r="AF288" s="240"/>
      <c r="AG288" s="240"/>
      <c r="AH288" s="240"/>
      <c r="AI288" s="240"/>
      <c r="AJ288" s="240"/>
      <c r="AK288" s="240"/>
      <c r="AL288" s="240"/>
      <c r="AM288" s="240"/>
      <c r="AN288" s="240"/>
      <c r="AO288" s="240"/>
      <c r="AP288" s="240"/>
      <c r="AQ288" s="240"/>
    </row>
    <row r="289" spans="1:43" ht="15.75">
      <c r="A289" s="241"/>
      <c r="B289" s="241"/>
      <c r="C289" s="241"/>
      <c r="D289" s="241"/>
      <c r="E289" s="241"/>
      <c r="F289" s="241"/>
      <c r="G289" s="241"/>
      <c r="H289" s="241"/>
      <c r="I289" s="241"/>
      <c r="J289" s="241"/>
      <c r="K289" s="241"/>
      <c r="L289" s="241"/>
      <c r="M289" s="241"/>
      <c r="N289" s="241"/>
      <c r="O289" s="241"/>
      <c r="P289" s="241"/>
      <c r="Q289" s="241"/>
      <c r="R289" s="241"/>
      <c r="S289" s="241"/>
      <c r="T289" s="241"/>
      <c r="U289" s="241"/>
      <c r="V289" s="241"/>
      <c r="W289" s="241"/>
      <c r="X289" s="241"/>
      <c r="Y289" s="241"/>
      <c r="Z289" s="241"/>
      <c r="AA289" s="241"/>
      <c r="AB289" s="241"/>
      <c r="AC289" s="241"/>
      <c r="AD289" s="241"/>
      <c r="AE289" s="241"/>
      <c r="AF289" s="240"/>
      <c r="AG289" s="240"/>
      <c r="AH289" s="240"/>
      <c r="AI289" s="240"/>
      <c r="AJ289" s="240"/>
      <c r="AK289" s="240"/>
      <c r="AL289" s="240"/>
      <c r="AM289" s="240"/>
      <c r="AN289" s="240"/>
      <c r="AO289" s="240"/>
      <c r="AP289" s="240"/>
      <c r="AQ289" s="240"/>
    </row>
    <row r="290" spans="1:43" ht="15.75">
      <c r="A290" s="241"/>
      <c r="B290" s="241"/>
      <c r="C290" s="241"/>
      <c r="D290" s="241"/>
      <c r="E290" s="241"/>
      <c r="F290" s="241"/>
      <c r="G290" s="241"/>
      <c r="H290" s="241"/>
      <c r="I290" s="241"/>
      <c r="J290" s="241"/>
      <c r="K290" s="241"/>
      <c r="L290" s="241"/>
      <c r="M290" s="241"/>
      <c r="N290" s="241"/>
      <c r="O290" s="241"/>
      <c r="P290" s="241"/>
      <c r="Q290" s="241"/>
      <c r="R290" s="241"/>
      <c r="S290" s="241"/>
      <c r="T290" s="241"/>
      <c r="U290" s="241"/>
      <c r="V290" s="241"/>
      <c r="W290" s="241"/>
      <c r="X290" s="241"/>
      <c r="Y290" s="241"/>
      <c r="Z290" s="241"/>
      <c r="AA290" s="241"/>
      <c r="AB290" s="241"/>
      <c r="AC290" s="241"/>
      <c r="AD290" s="241"/>
      <c r="AE290" s="241"/>
      <c r="AF290" s="240"/>
      <c r="AG290" s="240"/>
      <c r="AH290" s="240"/>
      <c r="AI290" s="240"/>
      <c r="AJ290" s="240"/>
      <c r="AK290" s="240"/>
      <c r="AL290" s="240"/>
      <c r="AM290" s="240"/>
      <c r="AN290" s="240"/>
      <c r="AO290" s="240"/>
      <c r="AP290" s="240"/>
      <c r="AQ290" s="240"/>
    </row>
    <row r="291" spans="1:43" ht="15.75">
      <c r="A291" s="241"/>
      <c r="B291" s="241"/>
      <c r="C291" s="241"/>
      <c r="D291" s="241"/>
      <c r="E291" s="241"/>
      <c r="F291" s="241"/>
      <c r="G291" s="241"/>
      <c r="H291" s="241"/>
      <c r="I291" s="241"/>
      <c r="J291" s="241"/>
      <c r="K291" s="241"/>
      <c r="L291" s="241"/>
      <c r="M291" s="241"/>
      <c r="N291" s="241"/>
      <c r="O291" s="241"/>
      <c r="P291" s="241"/>
      <c r="Q291" s="241"/>
      <c r="R291" s="241"/>
      <c r="S291" s="241"/>
      <c r="T291" s="241"/>
      <c r="U291" s="241"/>
      <c r="V291" s="241"/>
      <c r="W291" s="241"/>
      <c r="X291" s="241"/>
      <c r="Y291" s="241"/>
      <c r="Z291" s="241"/>
      <c r="AA291" s="241"/>
      <c r="AB291" s="241"/>
      <c r="AC291" s="241"/>
      <c r="AD291" s="241"/>
      <c r="AE291" s="241"/>
      <c r="AF291" s="240"/>
      <c r="AG291" s="240"/>
      <c r="AH291" s="240"/>
      <c r="AI291" s="240"/>
      <c r="AJ291" s="240"/>
      <c r="AK291" s="240"/>
      <c r="AL291" s="240"/>
      <c r="AM291" s="240"/>
      <c r="AN291" s="240"/>
      <c r="AO291" s="240"/>
      <c r="AP291" s="240"/>
      <c r="AQ291" s="240"/>
    </row>
    <row r="292" spans="1:43" ht="15.75">
      <c r="A292" s="241"/>
      <c r="B292" s="241"/>
      <c r="C292" s="241"/>
      <c r="D292" s="241"/>
      <c r="E292" s="241"/>
      <c r="F292" s="241"/>
      <c r="G292" s="241"/>
      <c r="H292" s="241"/>
      <c r="I292" s="241"/>
      <c r="J292" s="241"/>
      <c r="K292" s="241"/>
      <c r="L292" s="241"/>
      <c r="M292" s="241"/>
      <c r="N292" s="241"/>
      <c r="O292" s="241"/>
      <c r="P292" s="241"/>
      <c r="Q292" s="241"/>
      <c r="R292" s="241"/>
      <c r="S292" s="241"/>
      <c r="T292" s="241"/>
      <c r="U292" s="241"/>
      <c r="V292" s="241"/>
      <c r="W292" s="241"/>
      <c r="X292" s="241"/>
      <c r="Y292" s="241"/>
      <c r="Z292" s="241"/>
      <c r="AA292" s="241"/>
      <c r="AB292" s="241"/>
      <c r="AC292" s="241"/>
      <c r="AD292" s="241"/>
      <c r="AE292" s="241"/>
      <c r="AF292" s="240"/>
      <c r="AG292" s="240"/>
      <c r="AH292" s="240"/>
      <c r="AI292" s="240"/>
      <c r="AJ292" s="240"/>
      <c r="AK292" s="240"/>
      <c r="AL292" s="240"/>
      <c r="AM292" s="240"/>
      <c r="AN292" s="240"/>
      <c r="AO292" s="240"/>
      <c r="AP292" s="240"/>
      <c r="AQ292" s="240"/>
    </row>
    <row r="293" spans="1:43" ht="15.75">
      <c r="A293" s="241"/>
      <c r="B293" s="241"/>
      <c r="C293" s="241"/>
      <c r="D293" s="241"/>
      <c r="E293" s="241"/>
      <c r="F293" s="241"/>
      <c r="G293" s="241"/>
      <c r="H293" s="241"/>
      <c r="I293" s="241"/>
      <c r="J293" s="241"/>
      <c r="K293" s="241"/>
      <c r="L293" s="241"/>
      <c r="M293" s="241"/>
      <c r="N293" s="241"/>
      <c r="O293" s="241"/>
      <c r="P293" s="241"/>
      <c r="Q293" s="241"/>
      <c r="R293" s="241"/>
      <c r="S293" s="241"/>
      <c r="T293" s="241"/>
      <c r="U293" s="241"/>
      <c r="V293" s="241"/>
      <c r="W293" s="241"/>
      <c r="X293" s="241"/>
      <c r="Y293" s="241"/>
      <c r="Z293" s="241"/>
      <c r="AA293" s="241"/>
      <c r="AB293" s="241"/>
      <c r="AC293" s="241"/>
      <c r="AD293" s="241"/>
      <c r="AE293" s="241"/>
      <c r="AF293" s="240"/>
      <c r="AG293" s="240"/>
      <c r="AH293" s="240"/>
      <c r="AI293" s="240"/>
      <c r="AJ293" s="240"/>
      <c r="AK293" s="240"/>
      <c r="AL293" s="240"/>
      <c r="AM293" s="240"/>
      <c r="AN293" s="240"/>
      <c r="AO293" s="240"/>
      <c r="AP293" s="240"/>
      <c r="AQ293" s="240"/>
    </row>
    <row r="294" spans="1:43" ht="15.75">
      <c r="A294" s="241"/>
      <c r="B294" s="241"/>
      <c r="C294" s="241"/>
      <c r="D294" s="241"/>
      <c r="E294" s="241"/>
      <c r="F294" s="241"/>
      <c r="G294" s="241"/>
      <c r="H294" s="241"/>
      <c r="I294" s="241"/>
      <c r="J294" s="241"/>
      <c r="K294" s="241"/>
      <c r="L294" s="241"/>
      <c r="M294" s="241"/>
      <c r="N294" s="241"/>
      <c r="O294" s="241"/>
      <c r="P294" s="241"/>
      <c r="Q294" s="241"/>
      <c r="R294" s="241"/>
      <c r="S294" s="241"/>
      <c r="T294" s="241"/>
      <c r="U294" s="241"/>
      <c r="V294" s="241"/>
      <c r="W294" s="241"/>
      <c r="X294" s="241"/>
      <c r="Y294" s="241"/>
      <c r="Z294" s="241"/>
      <c r="AA294" s="241"/>
      <c r="AB294" s="241"/>
      <c r="AC294" s="241"/>
      <c r="AD294" s="241"/>
      <c r="AE294" s="241"/>
      <c r="AF294" s="240"/>
      <c r="AG294" s="240"/>
      <c r="AH294" s="240"/>
      <c r="AI294" s="240"/>
      <c r="AJ294" s="240"/>
      <c r="AK294" s="240"/>
      <c r="AL294" s="240"/>
      <c r="AM294" s="240"/>
      <c r="AN294" s="240"/>
      <c r="AO294" s="240"/>
      <c r="AP294" s="240"/>
      <c r="AQ294" s="240"/>
    </row>
    <row r="295" spans="1:43" ht="15.75">
      <c r="A295" s="241"/>
      <c r="B295" s="241"/>
      <c r="C295" s="241"/>
      <c r="D295" s="241"/>
      <c r="E295" s="241"/>
      <c r="F295" s="241"/>
      <c r="G295" s="241"/>
      <c r="H295" s="241"/>
      <c r="I295" s="241"/>
      <c r="J295" s="241"/>
      <c r="K295" s="241"/>
      <c r="L295" s="241"/>
      <c r="M295" s="241"/>
      <c r="N295" s="241"/>
      <c r="O295" s="241"/>
      <c r="P295" s="241"/>
      <c r="Q295" s="241"/>
      <c r="R295" s="241"/>
      <c r="S295" s="241"/>
      <c r="T295" s="241"/>
      <c r="U295" s="241"/>
      <c r="V295" s="241"/>
      <c r="W295" s="241"/>
      <c r="X295" s="241"/>
      <c r="Y295" s="241"/>
      <c r="Z295" s="241"/>
      <c r="AA295" s="241"/>
      <c r="AB295" s="241"/>
      <c r="AC295" s="241"/>
      <c r="AD295" s="241"/>
      <c r="AE295" s="241"/>
      <c r="AF295" s="240"/>
      <c r="AG295" s="240"/>
      <c r="AH295" s="240"/>
      <c r="AI295" s="240"/>
      <c r="AJ295" s="240"/>
      <c r="AK295" s="240"/>
      <c r="AL295" s="240"/>
      <c r="AM295" s="240"/>
      <c r="AN295" s="240"/>
      <c r="AO295" s="240"/>
      <c r="AP295" s="240"/>
      <c r="AQ295" s="240"/>
    </row>
    <row r="296" spans="1:43" ht="15.75">
      <c r="A296" s="241"/>
      <c r="B296" s="241"/>
      <c r="C296" s="241"/>
      <c r="D296" s="241"/>
      <c r="E296" s="241"/>
      <c r="F296" s="241"/>
      <c r="G296" s="241"/>
      <c r="H296" s="241"/>
      <c r="I296" s="241"/>
      <c r="J296" s="241"/>
      <c r="K296" s="241"/>
      <c r="L296" s="241"/>
      <c r="M296" s="241"/>
      <c r="N296" s="241"/>
      <c r="O296" s="241"/>
      <c r="P296" s="241"/>
      <c r="Q296" s="241"/>
      <c r="R296" s="241"/>
      <c r="S296" s="241"/>
      <c r="T296" s="241"/>
      <c r="U296" s="241"/>
      <c r="V296" s="241"/>
      <c r="W296" s="241"/>
      <c r="X296" s="241"/>
      <c r="Y296" s="241"/>
      <c r="Z296" s="241"/>
      <c r="AA296" s="241"/>
      <c r="AB296" s="241"/>
      <c r="AC296" s="241"/>
      <c r="AD296" s="241"/>
      <c r="AE296" s="241"/>
      <c r="AF296" s="240"/>
      <c r="AG296" s="240"/>
      <c r="AH296" s="240"/>
      <c r="AI296" s="240"/>
      <c r="AJ296" s="240"/>
      <c r="AK296" s="240"/>
      <c r="AL296" s="240"/>
      <c r="AM296" s="240"/>
      <c r="AN296" s="240"/>
      <c r="AO296" s="240"/>
      <c r="AP296" s="240"/>
      <c r="AQ296" s="240"/>
    </row>
    <row r="297" spans="1:43" ht="15.75">
      <c r="A297" s="241"/>
      <c r="B297" s="241"/>
      <c r="C297" s="241"/>
      <c r="D297" s="241"/>
      <c r="E297" s="241"/>
      <c r="F297" s="241"/>
      <c r="G297" s="241"/>
      <c r="H297" s="241"/>
      <c r="I297" s="241"/>
      <c r="J297" s="241"/>
      <c r="K297" s="241"/>
      <c r="L297" s="241"/>
      <c r="M297" s="241"/>
      <c r="N297" s="241"/>
      <c r="O297" s="241"/>
      <c r="P297" s="241"/>
      <c r="Q297" s="241"/>
      <c r="R297" s="241"/>
      <c r="S297" s="241"/>
      <c r="T297" s="241"/>
      <c r="U297" s="241"/>
      <c r="V297" s="241"/>
      <c r="W297" s="241"/>
      <c r="X297" s="241"/>
      <c r="Y297" s="241"/>
      <c r="Z297" s="241"/>
      <c r="AA297" s="241"/>
      <c r="AB297" s="241"/>
      <c r="AC297" s="241"/>
      <c r="AD297" s="241"/>
      <c r="AE297" s="241"/>
      <c r="AF297" s="240"/>
      <c r="AG297" s="240"/>
      <c r="AH297" s="240"/>
      <c r="AI297" s="240"/>
      <c r="AJ297" s="240"/>
      <c r="AK297" s="240"/>
      <c r="AL297" s="240"/>
      <c r="AM297" s="240"/>
      <c r="AN297" s="240"/>
      <c r="AO297" s="240"/>
      <c r="AP297" s="240"/>
      <c r="AQ297" s="240"/>
    </row>
    <row r="298" spans="1:43" ht="15.75">
      <c r="A298" s="241"/>
      <c r="B298" s="241"/>
      <c r="C298" s="241"/>
      <c r="D298" s="241"/>
      <c r="E298" s="241"/>
      <c r="F298" s="241"/>
      <c r="G298" s="241"/>
      <c r="H298" s="241"/>
      <c r="I298" s="241"/>
      <c r="J298" s="241"/>
      <c r="K298" s="241"/>
      <c r="L298" s="241"/>
      <c r="M298" s="241"/>
      <c r="N298" s="241"/>
      <c r="O298" s="241"/>
      <c r="P298" s="241"/>
      <c r="Q298" s="241"/>
      <c r="R298" s="241"/>
      <c r="S298" s="241"/>
      <c r="T298" s="241"/>
      <c r="U298" s="241"/>
      <c r="V298" s="241"/>
      <c r="W298" s="241"/>
      <c r="X298" s="241"/>
      <c r="Y298" s="241"/>
      <c r="Z298" s="241"/>
      <c r="AA298" s="241"/>
      <c r="AB298" s="241"/>
      <c r="AC298" s="241"/>
      <c r="AD298" s="241"/>
      <c r="AE298" s="241"/>
      <c r="AF298" s="240"/>
      <c r="AG298" s="240"/>
      <c r="AH298" s="240"/>
      <c r="AI298" s="240"/>
      <c r="AJ298" s="240"/>
      <c r="AK298" s="240"/>
      <c r="AL298" s="240"/>
      <c r="AM298" s="240"/>
      <c r="AN298" s="240"/>
      <c r="AO298" s="240"/>
      <c r="AP298" s="240"/>
      <c r="AQ298" s="240"/>
    </row>
    <row r="299" spans="1:43" ht="15.75">
      <c r="A299" s="241"/>
      <c r="B299" s="241"/>
      <c r="C299" s="241"/>
      <c r="D299" s="241"/>
      <c r="E299" s="241"/>
      <c r="F299" s="241"/>
      <c r="G299" s="241"/>
      <c r="H299" s="241"/>
      <c r="I299" s="241"/>
      <c r="J299" s="241"/>
      <c r="K299" s="241"/>
      <c r="L299" s="241"/>
      <c r="M299" s="241"/>
      <c r="N299" s="241"/>
      <c r="O299" s="241"/>
      <c r="P299" s="241"/>
      <c r="Q299" s="241"/>
      <c r="R299" s="241"/>
      <c r="S299" s="241"/>
      <c r="T299" s="241"/>
      <c r="U299" s="241"/>
      <c r="V299" s="241"/>
      <c r="W299" s="241"/>
      <c r="X299" s="241"/>
      <c r="Y299" s="241"/>
      <c r="Z299" s="241"/>
      <c r="AA299" s="241"/>
      <c r="AB299" s="241"/>
      <c r="AC299" s="241"/>
      <c r="AD299" s="241"/>
      <c r="AE299" s="241"/>
      <c r="AF299" s="240"/>
      <c r="AG299" s="240"/>
      <c r="AH299" s="240"/>
      <c r="AI299" s="240"/>
      <c r="AJ299" s="240"/>
      <c r="AK299" s="240"/>
      <c r="AL299" s="240"/>
      <c r="AM299" s="240"/>
      <c r="AN299" s="240"/>
      <c r="AO299" s="240"/>
      <c r="AP299" s="240"/>
      <c r="AQ299" s="240"/>
    </row>
    <row r="300" spans="1:43" ht="15.75">
      <c r="A300" s="241"/>
      <c r="B300" s="241"/>
      <c r="C300" s="241"/>
      <c r="D300" s="241"/>
      <c r="E300" s="241"/>
      <c r="F300" s="241"/>
      <c r="G300" s="241"/>
      <c r="H300" s="241"/>
      <c r="I300" s="241"/>
      <c r="J300" s="241"/>
      <c r="K300" s="241"/>
      <c r="L300" s="241"/>
      <c r="M300" s="241"/>
      <c r="N300" s="241"/>
      <c r="O300" s="241"/>
      <c r="P300" s="241"/>
      <c r="Q300" s="241"/>
      <c r="R300" s="241"/>
      <c r="S300" s="241"/>
      <c r="T300" s="241"/>
      <c r="U300" s="241"/>
      <c r="V300" s="241"/>
      <c r="W300" s="241"/>
      <c r="X300" s="241"/>
      <c r="Y300" s="241"/>
      <c r="Z300" s="241"/>
      <c r="AA300" s="241"/>
      <c r="AB300" s="241"/>
      <c r="AC300" s="241"/>
      <c r="AD300" s="241"/>
      <c r="AE300" s="241"/>
      <c r="AF300" s="240"/>
      <c r="AG300" s="240"/>
      <c r="AH300" s="240"/>
      <c r="AI300" s="240"/>
      <c r="AJ300" s="240"/>
      <c r="AK300" s="240"/>
      <c r="AL300" s="240"/>
      <c r="AM300" s="240"/>
      <c r="AN300" s="240"/>
      <c r="AO300" s="240"/>
      <c r="AP300" s="240"/>
      <c r="AQ300" s="240"/>
    </row>
    <row r="301" spans="1:43" ht="15.75">
      <c r="A301" s="241"/>
      <c r="B301" s="241"/>
      <c r="C301" s="241"/>
      <c r="D301" s="241"/>
      <c r="E301" s="241"/>
      <c r="F301" s="241"/>
      <c r="G301" s="241"/>
      <c r="H301" s="241"/>
      <c r="I301" s="241"/>
      <c r="J301" s="241"/>
      <c r="K301" s="241"/>
      <c r="L301" s="241"/>
      <c r="M301" s="241"/>
      <c r="N301" s="241"/>
      <c r="O301" s="241"/>
      <c r="P301" s="241"/>
      <c r="Q301" s="241"/>
      <c r="R301" s="241"/>
      <c r="S301" s="241"/>
      <c r="T301" s="241"/>
      <c r="U301" s="241"/>
      <c r="V301" s="241"/>
      <c r="W301" s="241"/>
      <c r="X301" s="241"/>
      <c r="Y301" s="241"/>
      <c r="Z301" s="241"/>
      <c r="AA301" s="241"/>
      <c r="AB301" s="241"/>
      <c r="AC301" s="241"/>
      <c r="AD301" s="241"/>
      <c r="AE301" s="241"/>
      <c r="AF301" s="240"/>
      <c r="AG301" s="240"/>
      <c r="AH301" s="240"/>
      <c r="AI301" s="240"/>
      <c r="AJ301" s="240"/>
      <c r="AK301" s="240"/>
      <c r="AL301" s="240"/>
      <c r="AM301" s="240"/>
      <c r="AN301" s="240"/>
      <c r="AO301" s="240"/>
      <c r="AP301" s="240"/>
      <c r="AQ301" s="240"/>
    </row>
    <row r="302" spans="1:43" ht="15.75">
      <c r="A302" s="241"/>
      <c r="B302" s="241"/>
      <c r="C302" s="241"/>
      <c r="D302" s="241"/>
      <c r="E302" s="241"/>
      <c r="F302" s="241"/>
      <c r="G302" s="241"/>
      <c r="H302" s="241"/>
      <c r="I302" s="241"/>
      <c r="J302" s="241"/>
      <c r="K302" s="241"/>
      <c r="L302" s="241"/>
      <c r="M302" s="241"/>
      <c r="N302" s="241"/>
      <c r="O302" s="241"/>
      <c r="P302" s="241"/>
      <c r="Q302" s="241"/>
      <c r="R302" s="241"/>
      <c r="S302" s="241"/>
      <c r="T302" s="241"/>
      <c r="U302" s="241"/>
      <c r="V302" s="241"/>
      <c r="W302" s="241"/>
      <c r="X302" s="241"/>
      <c r="Y302" s="241"/>
      <c r="Z302" s="241"/>
      <c r="AA302" s="241"/>
      <c r="AB302" s="241"/>
      <c r="AC302" s="241"/>
      <c r="AD302" s="241"/>
      <c r="AE302" s="241"/>
      <c r="AF302" s="240"/>
      <c r="AG302" s="240"/>
      <c r="AH302" s="240"/>
      <c r="AI302" s="240"/>
      <c r="AJ302" s="240"/>
      <c r="AK302" s="240"/>
      <c r="AL302" s="240"/>
      <c r="AM302" s="240"/>
      <c r="AN302" s="240"/>
      <c r="AO302" s="240"/>
      <c r="AP302" s="240"/>
      <c r="AQ302" s="240"/>
    </row>
    <row r="303" spans="1:43" ht="15.75">
      <c r="A303" s="241"/>
      <c r="B303" s="241"/>
      <c r="C303" s="241"/>
      <c r="D303" s="241"/>
      <c r="E303" s="241"/>
      <c r="F303" s="241"/>
      <c r="G303" s="241"/>
      <c r="H303" s="241"/>
      <c r="I303" s="241"/>
      <c r="J303" s="241"/>
      <c r="K303" s="241"/>
      <c r="L303" s="241"/>
      <c r="M303" s="241"/>
      <c r="N303" s="241"/>
      <c r="O303" s="241"/>
      <c r="P303" s="241"/>
      <c r="Q303" s="241"/>
      <c r="R303" s="241"/>
      <c r="S303" s="241"/>
      <c r="T303" s="241"/>
      <c r="U303" s="241"/>
      <c r="V303" s="241"/>
      <c r="W303" s="241"/>
      <c r="X303" s="241"/>
      <c r="Y303" s="241"/>
      <c r="Z303" s="241"/>
      <c r="AA303" s="241"/>
      <c r="AB303" s="241"/>
      <c r="AC303" s="241"/>
      <c r="AD303" s="241"/>
      <c r="AE303" s="241"/>
      <c r="AF303" s="240"/>
      <c r="AG303" s="240"/>
      <c r="AH303" s="240"/>
      <c r="AI303" s="240"/>
      <c r="AJ303" s="240"/>
      <c r="AK303" s="240"/>
      <c r="AL303" s="240"/>
      <c r="AM303" s="240"/>
      <c r="AN303" s="240"/>
      <c r="AO303" s="240"/>
      <c r="AP303" s="240"/>
      <c r="AQ303" s="240"/>
    </row>
    <row r="304" spans="1:43" ht="15.75">
      <c r="A304" s="241"/>
      <c r="B304" s="241"/>
      <c r="C304" s="241"/>
      <c r="D304" s="241"/>
      <c r="E304" s="241"/>
      <c r="F304" s="241"/>
      <c r="G304" s="241"/>
      <c r="H304" s="241"/>
      <c r="I304" s="241"/>
      <c r="J304" s="241"/>
      <c r="K304" s="241"/>
      <c r="L304" s="241"/>
      <c r="M304" s="241"/>
      <c r="N304" s="241"/>
      <c r="O304" s="241"/>
      <c r="P304" s="241"/>
      <c r="Q304" s="241"/>
      <c r="R304" s="241"/>
      <c r="S304" s="241"/>
      <c r="T304" s="241"/>
      <c r="U304" s="241"/>
      <c r="V304" s="241"/>
      <c r="W304" s="241"/>
      <c r="X304" s="241"/>
      <c r="Y304" s="241"/>
      <c r="Z304" s="241"/>
      <c r="AA304" s="241"/>
      <c r="AB304" s="241"/>
      <c r="AC304" s="241"/>
      <c r="AD304" s="241"/>
      <c r="AE304" s="241"/>
      <c r="AF304" s="240"/>
      <c r="AG304" s="240"/>
      <c r="AH304" s="240"/>
      <c r="AI304" s="240"/>
      <c r="AJ304" s="240"/>
      <c r="AK304" s="240"/>
      <c r="AL304" s="240"/>
      <c r="AM304" s="240"/>
      <c r="AN304" s="240"/>
      <c r="AO304" s="240"/>
      <c r="AP304" s="240"/>
      <c r="AQ304" s="240"/>
    </row>
    <row r="305" spans="1:43" ht="15.75">
      <c r="A305" s="241"/>
      <c r="B305" s="241"/>
      <c r="C305" s="241"/>
      <c r="D305" s="241"/>
      <c r="E305" s="241"/>
      <c r="F305" s="241"/>
      <c r="G305" s="241"/>
      <c r="H305" s="241"/>
      <c r="I305" s="241"/>
      <c r="J305" s="241"/>
      <c r="K305" s="241"/>
      <c r="L305" s="241"/>
      <c r="M305" s="241"/>
      <c r="N305" s="241"/>
      <c r="O305" s="241"/>
      <c r="P305" s="241"/>
      <c r="Q305" s="241"/>
      <c r="R305" s="241"/>
      <c r="S305" s="241"/>
      <c r="T305" s="241"/>
      <c r="U305" s="241"/>
      <c r="V305" s="241"/>
      <c r="W305" s="241"/>
      <c r="X305" s="241"/>
      <c r="Y305" s="241"/>
      <c r="Z305" s="241"/>
      <c r="AA305" s="241"/>
      <c r="AB305" s="241"/>
      <c r="AC305" s="241"/>
      <c r="AD305" s="241"/>
      <c r="AE305" s="241"/>
      <c r="AF305" s="240"/>
      <c r="AG305" s="240"/>
      <c r="AH305" s="240"/>
      <c r="AI305" s="240"/>
      <c r="AJ305" s="240"/>
      <c r="AK305" s="240"/>
      <c r="AL305" s="240"/>
      <c r="AM305" s="240"/>
      <c r="AN305" s="240"/>
      <c r="AO305" s="240"/>
      <c r="AP305" s="240"/>
      <c r="AQ305" s="240"/>
    </row>
    <row r="306" spans="1:43" ht="15.75">
      <c r="A306" s="241"/>
      <c r="B306" s="241"/>
      <c r="C306" s="241"/>
      <c r="D306" s="241"/>
      <c r="E306" s="241"/>
      <c r="F306" s="241"/>
      <c r="G306" s="241"/>
      <c r="H306" s="241"/>
      <c r="I306" s="241"/>
      <c r="J306" s="241"/>
      <c r="K306" s="241"/>
      <c r="L306" s="241"/>
      <c r="M306" s="241"/>
      <c r="N306" s="241"/>
      <c r="O306" s="241"/>
      <c r="P306" s="241"/>
      <c r="Q306" s="241"/>
      <c r="R306" s="241"/>
      <c r="S306" s="241"/>
      <c r="T306" s="241"/>
      <c r="U306" s="241"/>
      <c r="V306" s="241"/>
      <c r="W306" s="241"/>
      <c r="X306" s="241"/>
      <c r="Y306" s="241"/>
      <c r="Z306" s="241"/>
      <c r="AA306" s="241"/>
      <c r="AB306" s="241"/>
      <c r="AC306" s="241"/>
      <c r="AD306" s="241"/>
      <c r="AE306" s="241"/>
      <c r="AF306" s="240"/>
      <c r="AG306" s="240"/>
      <c r="AH306" s="240"/>
      <c r="AI306" s="240"/>
      <c r="AJ306" s="240"/>
      <c r="AK306" s="240"/>
      <c r="AL306" s="240"/>
      <c r="AM306" s="240"/>
      <c r="AN306" s="240"/>
      <c r="AO306" s="240"/>
      <c r="AP306" s="240"/>
      <c r="AQ306" s="240"/>
    </row>
    <row r="307" spans="1:43" ht="15.75">
      <c r="A307" s="241"/>
      <c r="B307" s="241"/>
      <c r="C307" s="241"/>
      <c r="D307" s="241"/>
      <c r="E307" s="241"/>
      <c r="F307" s="241"/>
      <c r="G307" s="241"/>
      <c r="H307" s="241"/>
      <c r="I307" s="241"/>
      <c r="J307" s="241"/>
      <c r="K307" s="241"/>
      <c r="L307" s="241"/>
      <c r="M307" s="241"/>
      <c r="N307" s="241"/>
      <c r="O307" s="241"/>
      <c r="P307" s="241"/>
      <c r="Q307" s="241"/>
      <c r="R307" s="241"/>
      <c r="S307" s="241"/>
      <c r="T307" s="241"/>
      <c r="U307" s="241"/>
      <c r="V307" s="241"/>
      <c r="W307" s="241"/>
      <c r="X307" s="241"/>
      <c r="Y307" s="241"/>
      <c r="Z307" s="241"/>
      <c r="AA307" s="241"/>
      <c r="AB307" s="241"/>
      <c r="AC307" s="241"/>
      <c r="AD307" s="241"/>
      <c r="AE307" s="241"/>
      <c r="AF307" s="240"/>
      <c r="AG307" s="240"/>
      <c r="AH307" s="240"/>
      <c r="AI307" s="240"/>
      <c r="AJ307" s="240"/>
      <c r="AK307" s="240"/>
      <c r="AL307" s="240"/>
      <c r="AM307" s="240"/>
      <c r="AN307" s="240"/>
      <c r="AO307" s="240"/>
      <c r="AP307" s="240"/>
      <c r="AQ307" s="240"/>
    </row>
    <row r="308" spans="1:43" ht="15.75">
      <c r="A308" s="241"/>
      <c r="B308" s="241"/>
      <c r="C308" s="241"/>
      <c r="D308" s="241"/>
      <c r="E308" s="241"/>
      <c r="F308" s="241"/>
      <c r="G308" s="241"/>
      <c r="H308" s="241"/>
      <c r="I308" s="241"/>
      <c r="J308" s="241"/>
      <c r="K308" s="241"/>
      <c r="L308" s="241"/>
      <c r="M308" s="241"/>
      <c r="N308" s="241"/>
      <c r="O308" s="241"/>
      <c r="P308" s="241"/>
      <c r="Q308" s="241"/>
      <c r="R308" s="241"/>
      <c r="S308" s="241"/>
      <c r="T308" s="241"/>
      <c r="U308" s="241"/>
      <c r="V308" s="241"/>
      <c r="W308" s="241"/>
      <c r="X308" s="241"/>
      <c r="Y308" s="241"/>
      <c r="Z308" s="241"/>
      <c r="AA308" s="241"/>
      <c r="AB308" s="241"/>
      <c r="AC308" s="241"/>
      <c r="AD308" s="241"/>
      <c r="AE308" s="241"/>
      <c r="AF308" s="240"/>
      <c r="AG308" s="240"/>
      <c r="AH308" s="240"/>
      <c r="AI308" s="240"/>
      <c r="AJ308" s="240"/>
      <c r="AK308" s="240"/>
      <c r="AL308" s="240"/>
      <c r="AM308" s="240"/>
      <c r="AN308" s="240"/>
      <c r="AO308" s="240"/>
      <c r="AP308" s="240"/>
      <c r="AQ308" s="240"/>
    </row>
    <row r="309" spans="1:43" ht="15.75">
      <c r="A309" s="241"/>
      <c r="B309" s="241"/>
      <c r="C309" s="241"/>
      <c r="D309" s="241"/>
      <c r="E309" s="241"/>
      <c r="F309" s="241"/>
      <c r="G309" s="241"/>
      <c r="H309" s="241"/>
      <c r="I309" s="241"/>
      <c r="J309" s="241"/>
      <c r="K309" s="241"/>
      <c r="L309" s="241"/>
      <c r="M309" s="241"/>
      <c r="N309" s="241"/>
      <c r="O309" s="241"/>
      <c r="P309" s="241"/>
      <c r="Q309" s="241"/>
      <c r="R309" s="241"/>
      <c r="S309" s="241"/>
      <c r="T309" s="241"/>
      <c r="U309" s="241"/>
      <c r="V309" s="241"/>
      <c r="W309" s="241"/>
      <c r="X309" s="241"/>
      <c r="Y309" s="241"/>
      <c r="Z309" s="241"/>
      <c r="AA309" s="241"/>
      <c r="AB309" s="241"/>
      <c r="AC309" s="241"/>
      <c r="AD309" s="241"/>
      <c r="AE309" s="241"/>
      <c r="AF309" s="240"/>
      <c r="AG309" s="240"/>
      <c r="AH309" s="240"/>
      <c r="AI309" s="240"/>
      <c r="AJ309" s="240"/>
      <c r="AK309" s="240"/>
      <c r="AL309" s="240"/>
      <c r="AM309" s="240"/>
      <c r="AN309" s="240"/>
      <c r="AO309" s="240"/>
      <c r="AP309" s="240"/>
      <c r="AQ309" s="240"/>
    </row>
    <row r="310" spans="1:43" ht="15.75">
      <c r="A310" s="241"/>
      <c r="B310" s="241"/>
      <c r="C310" s="241"/>
      <c r="D310" s="241"/>
      <c r="E310" s="241"/>
      <c r="F310" s="241"/>
      <c r="G310" s="241"/>
      <c r="H310" s="241"/>
      <c r="I310" s="241"/>
      <c r="J310" s="241"/>
      <c r="K310" s="241"/>
      <c r="L310" s="241"/>
      <c r="M310" s="241"/>
      <c r="N310" s="241"/>
      <c r="O310" s="241"/>
      <c r="P310" s="241"/>
      <c r="Q310" s="241"/>
      <c r="R310" s="241"/>
      <c r="S310" s="241"/>
      <c r="T310" s="241"/>
      <c r="U310" s="241"/>
      <c r="V310" s="241"/>
      <c r="W310" s="241"/>
      <c r="X310" s="241"/>
      <c r="Y310" s="241"/>
      <c r="Z310" s="241"/>
      <c r="AA310" s="241"/>
      <c r="AB310" s="241"/>
      <c r="AC310" s="241"/>
      <c r="AD310" s="241"/>
      <c r="AE310" s="241"/>
      <c r="AF310" s="240"/>
      <c r="AG310" s="240"/>
      <c r="AH310" s="240"/>
      <c r="AI310" s="240"/>
      <c r="AJ310" s="240"/>
      <c r="AK310" s="240"/>
      <c r="AL310" s="240"/>
      <c r="AM310" s="240"/>
      <c r="AN310" s="240"/>
      <c r="AO310" s="240"/>
      <c r="AP310" s="240"/>
      <c r="AQ310" s="240"/>
    </row>
    <row r="311" spans="1:43" ht="15.75">
      <c r="A311" s="241"/>
      <c r="B311" s="241"/>
      <c r="C311" s="241"/>
      <c r="D311" s="241"/>
      <c r="E311" s="241"/>
      <c r="F311" s="241"/>
      <c r="G311" s="241"/>
      <c r="H311" s="241"/>
      <c r="I311" s="241"/>
      <c r="J311" s="241"/>
      <c r="K311" s="241"/>
      <c r="L311" s="241"/>
      <c r="M311" s="241"/>
      <c r="N311" s="241"/>
      <c r="O311" s="241"/>
      <c r="P311" s="241"/>
      <c r="Q311" s="241"/>
      <c r="R311" s="241"/>
      <c r="S311" s="241"/>
      <c r="T311" s="241"/>
      <c r="U311" s="241"/>
      <c r="V311" s="241"/>
      <c r="W311" s="241"/>
      <c r="X311" s="241"/>
      <c r="Y311" s="241"/>
      <c r="Z311" s="241"/>
      <c r="AA311" s="241"/>
      <c r="AB311" s="241"/>
      <c r="AC311" s="241"/>
      <c r="AD311" s="241"/>
      <c r="AE311" s="241"/>
      <c r="AF311" s="240"/>
      <c r="AG311" s="240"/>
      <c r="AH311" s="240"/>
      <c r="AI311" s="240"/>
      <c r="AJ311" s="240"/>
      <c r="AK311" s="240"/>
      <c r="AL311" s="240"/>
      <c r="AM311" s="240"/>
      <c r="AN311" s="240"/>
      <c r="AO311" s="240"/>
      <c r="AP311" s="240"/>
      <c r="AQ311" s="240"/>
    </row>
    <row r="312" spans="1:43" ht="15.75">
      <c r="A312" s="241"/>
      <c r="B312" s="241"/>
      <c r="C312" s="241"/>
      <c r="D312" s="241"/>
      <c r="E312" s="241"/>
      <c r="F312" s="241"/>
      <c r="G312" s="241"/>
      <c r="H312" s="241"/>
      <c r="I312" s="241"/>
      <c r="J312" s="241"/>
      <c r="K312" s="241"/>
      <c r="L312" s="241"/>
      <c r="M312" s="241"/>
      <c r="N312" s="241"/>
      <c r="O312" s="241"/>
      <c r="P312" s="241"/>
      <c r="Q312" s="241"/>
      <c r="R312" s="241"/>
      <c r="S312" s="241"/>
      <c r="T312" s="241"/>
      <c r="U312" s="241"/>
      <c r="V312" s="241"/>
      <c r="W312" s="241"/>
      <c r="X312" s="241"/>
      <c r="Y312" s="241"/>
      <c r="Z312" s="241"/>
      <c r="AA312" s="241"/>
      <c r="AB312" s="241"/>
      <c r="AC312" s="241"/>
      <c r="AD312" s="241"/>
      <c r="AE312" s="241"/>
      <c r="AF312" s="240"/>
      <c r="AG312" s="240"/>
      <c r="AH312" s="240"/>
      <c r="AI312" s="240"/>
      <c r="AJ312" s="240"/>
      <c r="AK312" s="240"/>
      <c r="AL312" s="240"/>
      <c r="AM312" s="240"/>
      <c r="AN312" s="240"/>
      <c r="AO312" s="240"/>
      <c r="AP312" s="240"/>
      <c r="AQ312" s="240"/>
    </row>
    <row r="313" spans="1:43" ht="15.75">
      <c r="A313" s="241"/>
      <c r="B313" s="241"/>
      <c r="C313" s="241"/>
      <c r="D313" s="241"/>
      <c r="E313" s="241"/>
      <c r="F313" s="241"/>
      <c r="G313" s="241"/>
      <c r="H313" s="241"/>
      <c r="I313" s="241"/>
      <c r="J313" s="241"/>
      <c r="K313" s="241"/>
      <c r="L313" s="241"/>
      <c r="M313" s="241"/>
      <c r="N313" s="241"/>
      <c r="O313" s="241"/>
      <c r="P313" s="241"/>
      <c r="Q313" s="241"/>
      <c r="R313" s="241"/>
      <c r="S313" s="241"/>
      <c r="T313" s="241"/>
      <c r="U313" s="241"/>
      <c r="V313" s="241"/>
      <c r="W313" s="241"/>
      <c r="X313" s="241"/>
      <c r="Y313" s="241"/>
      <c r="Z313" s="241"/>
      <c r="AA313" s="241"/>
      <c r="AB313" s="241"/>
      <c r="AC313" s="241"/>
      <c r="AD313" s="241"/>
      <c r="AE313" s="241"/>
      <c r="AF313" s="240"/>
      <c r="AG313" s="240"/>
      <c r="AH313" s="240"/>
      <c r="AI313" s="240"/>
      <c r="AJ313" s="240"/>
      <c r="AK313" s="240"/>
      <c r="AL313" s="240"/>
      <c r="AM313" s="240"/>
      <c r="AN313" s="240"/>
      <c r="AO313" s="240"/>
      <c r="AP313" s="240"/>
      <c r="AQ313" s="240"/>
    </row>
    <row r="314" spans="1:43" ht="15.75">
      <c r="A314" s="241"/>
      <c r="B314" s="241"/>
      <c r="C314" s="241"/>
      <c r="D314" s="241"/>
      <c r="E314" s="241"/>
      <c r="F314" s="241"/>
      <c r="G314" s="241"/>
      <c r="H314" s="241"/>
      <c r="I314" s="241"/>
      <c r="J314" s="241"/>
      <c r="K314" s="241"/>
      <c r="L314" s="241"/>
      <c r="M314" s="241"/>
      <c r="N314" s="241"/>
      <c r="O314" s="241"/>
      <c r="P314" s="241"/>
      <c r="Q314" s="241"/>
      <c r="R314" s="241"/>
      <c r="S314" s="241"/>
      <c r="T314" s="241"/>
      <c r="U314" s="241"/>
      <c r="V314" s="241"/>
      <c r="W314" s="241"/>
      <c r="X314" s="241"/>
      <c r="Y314" s="241"/>
      <c r="Z314" s="241"/>
      <c r="AA314" s="241"/>
      <c r="AB314" s="241"/>
      <c r="AC314" s="241"/>
      <c r="AD314" s="241"/>
      <c r="AE314" s="241"/>
      <c r="AF314" s="240"/>
      <c r="AG314" s="240"/>
      <c r="AH314" s="240"/>
      <c r="AI314" s="240"/>
      <c r="AJ314" s="240"/>
      <c r="AK314" s="240"/>
      <c r="AL314" s="240"/>
      <c r="AM314" s="240"/>
      <c r="AN314" s="240"/>
      <c r="AO314" s="240"/>
      <c r="AP314" s="240"/>
      <c r="AQ314" s="240"/>
    </row>
    <row r="315" spans="1:43" ht="15.75">
      <c r="A315" s="241"/>
      <c r="B315" s="241"/>
      <c r="C315" s="241"/>
      <c r="D315" s="241"/>
      <c r="E315" s="241"/>
      <c r="F315" s="241"/>
      <c r="G315" s="241"/>
      <c r="H315" s="241"/>
      <c r="I315" s="241"/>
      <c r="J315" s="241"/>
      <c r="K315" s="241"/>
      <c r="L315" s="241"/>
      <c r="M315" s="241"/>
      <c r="N315" s="241"/>
      <c r="O315" s="241"/>
      <c r="P315" s="241"/>
      <c r="Q315" s="241"/>
      <c r="R315" s="241"/>
      <c r="S315" s="241"/>
      <c r="T315" s="241"/>
      <c r="U315" s="241"/>
      <c r="V315" s="241"/>
      <c r="W315" s="241"/>
      <c r="X315" s="241"/>
      <c r="Y315" s="241"/>
      <c r="Z315" s="241"/>
      <c r="AA315" s="241"/>
      <c r="AB315" s="241"/>
      <c r="AC315" s="241"/>
      <c r="AD315" s="241"/>
      <c r="AE315" s="241"/>
      <c r="AF315" s="240"/>
      <c r="AG315" s="240"/>
      <c r="AH315" s="240"/>
      <c r="AI315" s="240"/>
      <c r="AJ315" s="240"/>
      <c r="AK315" s="240"/>
      <c r="AL315" s="240"/>
      <c r="AM315" s="240"/>
      <c r="AN315" s="240"/>
      <c r="AO315" s="240"/>
      <c r="AP315" s="240"/>
      <c r="AQ315" s="240"/>
    </row>
    <row r="316" spans="1:43" ht="15.75">
      <c r="A316" s="241"/>
      <c r="B316" s="241"/>
      <c r="C316" s="241"/>
      <c r="D316" s="241"/>
      <c r="E316" s="241"/>
      <c r="F316" s="241"/>
      <c r="G316" s="241"/>
      <c r="H316" s="241"/>
      <c r="I316" s="241"/>
      <c r="J316" s="241"/>
      <c r="K316" s="241"/>
      <c r="L316" s="241"/>
      <c r="M316" s="241"/>
      <c r="N316" s="241"/>
      <c r="O316" s="241"/>
      <c r="P316" s="241"/>
      <c r="Q316" s="241"/>
      <c r="R316" s="241"/>
      <c r="S316" s="241"/>
      <c r="T316" s="241"/>
      <c r="U316" s="241"/>
      <c r="V316" s="241"/>
      <c r="W316" s="241"/>
      <c r="X316" s="241"/>
      <c r="Y316" s="241"/>
      <c r="Z316" s="241"/>
      <c r="AA316" s="241"/>
      <c r="AB316" s="241"/>
      <c r="AC316" s="241"/>
      <c r="AD316" s="241"/>
      <c r="AE316" s="241"/>
      <c r="AF316" s="240"/>
      <c r="AG316" s="240"/>
      <c r="AH316" s="240"/>
      <c r="AI316" s="240"/>
      <c r="AJ316" s="240"/>
      <c r="AK316" s="240"/>
      <c r="AL316" s="240"/>
      <c r="AM316" s="240"/>
      <c r="AN316" s="240"/>
      <c r="AO316" s="240"/>
      <c r="AP316" s="240"/>
      <c r="AQ316" s="240"/>
    </row>
    <row r="317" spans="1:43" ht="15.75">
      <c r="A317" s="241"/>
      <c r="B317" s="241"/>
      <c r="C317" s="241"/>
      <c r="D317" s="241"/>
      <c r="E317" s="241"/>
      <c r="F317" s="241"/>
      <c r="G317" s="241"/>
      <c r="H317" s="241"/>
      <c r="I317" s="241"/>
      <c r="J317" s="241"/>
      <c r="K317" s="241"/>
      <c r="L317" s="241"/>
      <c r="M317" s="241"/>
      <c r="N317" s="241"/>
      <c r="O317" s="241"/>
      <c r="P317" s="241"/>
      <c r="Q317" s="241"/>
      <c r="R317" s="241"/>
      <c r="S317" s="241"/>
      <c r="T317" s="241"/>
      <c r="U317" s="241"/>
      <c r="V317" s="241"/>
      <c r="W317" s="241"/>
      <c r="X317" s="241"/>
      <c r="Y317" s="241"/>
      <c r="Z317" s="241"/>
      <c r="AA317" s="241"/>
      <c r="AB317" s="241"/>
      <c r="AC317" s="241"/>
      <c r="AD317" s="241"/>
      <c r="AE317" s="241"/>
      <c r="AF317" s="240"/>
      <c r="AG317" s="240"/>
      <c r="AH317" s="240"/>
      <c r="AI317" s="240"/>
      <c r="AJ317" s="240"/>
      <c r="AK317" s="240"/>
      <c r="AL317" s="240"/>
      <c r="AM317" s="240"/>
      <c r="AN317" s="240"/>
      <c r="AO317" s="240"/>
      <c r="AP317" s="240"/>
      <c r="AQ317" s="240"/>
    </row>
    <row r="318" spans="1:43" ht="15.75">
      <c r="A318" s="241"/>
      <c r="B318" s="241"/>
      <c r="C318" s="241"/>
      <c r="D318" s="241"/>
      <c r="E318" s="241"/>
      <c r="F318" s="241"/>
      <c r="G318" s="241"/>
      <c r="H318" s="241"/>
      <c r="I318" s="241"/>
      <c r="J318" s="241"/>
      <c r="K318" s="241"/>
      <c r="L318" s="241"/>
      <c r="M318" s="241"/>
      <c r="N318" s="241"/>
      <c r="O318" s="241"/>
      <c r="P318" s="241"/>
      <c r="Q318" s="241"/>
      <c r="R318" s="241"/>
      <c r="S318" s="241"/>
      <c r="T318" s="241"/>
      <c r="U318" s="241"/>
      <c r="V318" s="241"/>
      <c r="W318" s="241"/>
      <c r="X318" s="241"/>
      <c r="Y318" s="241"/>
      <c r="Z318" s="241"/>
      <c r="AA318" s="241"/>
      <c r="AB318" s="241"/>
      <c r="AC318" s="241"/>
      <c r="AD318" s="241"/>
      <c r="AE318" s="241"/>
      <c r="AF318" s="240"/>
      <c r="AG318" s="240"/>
      <c r="AH318" s="240"/>
      <c r="AI318" s="240"/>
      <c r="AJ318" s="240"/>
      <c r="AK318" s="240"/>
      <c r="AL318" s="240"/>
      <c r="AM318" s="240"/>
      <c r="AN318" s="240"/>
      <c r="AO318" s="240"/>
      <c r="AP318" s="240"/>
      <c r="AQ318" s="240"/>
    </row>
    <row r="319" spans="1:43" ht="15.75">
      <c r="A319" s="241"/>
      <c r="B319" s="241"/>
      <c r="C319" s="241"/>
      <c r="D319" s="241"/>
      <c r="E319" s="241"/>
      <c r="F319" s="241"/>
      <c r="G319" s="241"/>
      <c r="H319" s="241"/>
      <c r="I319" s="241"/>
      <c r="J319" s="241"/>
      <c r="K319" s="241"/>
      <c r="L319" s="241"/>
      <c r="M319" s="241"/>
      <c r="N319" s="241"/>
      <c r="O319" s="241"/>
      <c r="P319" s="241"/>
      <c r="Q319" s="241"/>
      <c r="R319" s="241"/>
      <c r="S319" s="241"/>
      <c r="T319" s="241"/>
      <c r="U319" s="241"/>
      <c r="V319" s="241"/>
      <c r="W319" s="241"/>
      <c r="X319" s="241"/>
      <c r="Y319" s="241"/>
      <c r="Z319" s="241"/>
      <c r="AA319" s="241"/>
      <c r="AB319" s="241"/>
      <c r="AC319" s="241"/>
      <c r="AD319" s="241"/>
      <c r="AE319" s="241"/>
      <c r="AF319" s="240"/>
      <c r="AG319" s="240"/>
      <c r="AH319" s="240"/>
      <c r="AI319" s="240"/>
      <c r="AJ319" s="240"/>
      <c r="AK319" s="240"/>
      <c r="AL319" s="240"/>
      <c r="AM319" s="240"/>
      <c r="AN319" s="240"/>
      <c r="AO319" s="240"/>
      <c r="AP319" s="240"/>
      <c r="AQ319" s="240"/>
    </row>
    <row r="320" spans="1:43" ht="15.75">
      <c r="A320" s="241"/>
      <c r="B320" s="241"/>
      <c r="C320" s="241"/>
      <c r="D320" s="241"/>
      <c r="E320" s="241"/>
      <c r="F320" s="241"/>
      <c r="G320" s="241"/>
      <c r="H320" s="241"/>
      <c r="I320" s="241"/>
      <c r="J320" s="241"/>
      <c r="K320" s="241"/>
      <c r="L320" s="241"/>
      <c r="M320" s="241"/>
      <c r="N320" s="241"/>
      <c r="O320" s="241"/>
      <c r="P320" s="241"/>
      <c r="Q320" s="241"/>
      <c r="R320" s="241"/>
      <c r="S320" s="241"/>
      <c r="T320" s="241"/>
      <c r="U320" s="241"/>
      <c r="V320" s="241"/>
      <c r="W320" s="241"/>
      <c r="X320" s="241"/>
      <c r="Y320" s="241"/>
      <c r="Z320" s="241"/>
      <c r="AA320" s="241"/>
      <c r="AB320" s="241"/>
      <c r="AC320" s="241"/>
      <c r="AD320" s="241"/>
      <c r="AE320" s="241"/>
      <c r="AF320" s="240"/>
      <c r="AG320" s="240"/>
      <c r="AH320" s="240"/>
      <c r="AI320" s="240"/>
      <c r="AJ320" s="240"/>
      <c r="AK320" s="240"/>
      <c r="AL320" s="240"/>
      <c r="AM320" s="240"/>
      <c r="AN320" s="240"/>
      <c r="AO320" s="240"/>
      <c r="AP320" s="240"/>
      <c r="AQ320" s="240"/>
    </row>
    <row r="321" spans="1:43" ht="15.75">
      <c r="A321" s="241"/>
      <c r="B321" s="241"/>
      <c r="C321" s="241"/>
      <c r="D321" s="241"/>
      <c r="E321" s="241"/>
      <c r="F321" s="241"/>
      <c r="G321" s="241"/>
      <c r="H321" s="241"/>
      <c r="I321" s="241"/>
      <c r="J321" s="241"/>
      <c r="K321" s="241"/>
      <c r="L321" s="241"/>
      <c r="M321" s="241"/>
      <c r="N321" s="241"/>
      <c r="O321" s="241"/>
      <c r="P321" s="241"/>
      <c r="Q321" s="241"/>
      <c r="R321" s="241"/>
      <c r="S321" s="241"/>
      <c r="T321" s="241"/>
      <c r="U321" s="241"/>
      <c r="V321" s="241"/>
      <c r="W321" s="241"/>
      <c r="X321" s="241"/>
      <c r="Y321" s="241"/>
      <c r="Z321" s="241"/>
      <c r="AA321" s="241"/>
      <c r="AB321" s="241"/>
      <c r="AC321" s="241"/>
      <c r="AD321" s="241"/>
      <c r="AE321" s="241"/>
      <c r="AF321" s="240"/>
      <c r="AG321" s="240"/>
      <c r="AH321" s="240"/>
      <c r="AI321" s="240"/>
      <c r="AJ321" s="240"/>
      <c r="AK321" s="240"/>
      <c r="AL321" s="240"/>
      <c r="AM321" s="240"/>
      <c r="AN321" s="240"/>
      <c r="AO321" s="240"/>
      <c r="AP321" s="240"/>
      <c r="AQ321" s="240"/>
    </row>
    <row r="322" spans="1:43" ht="15.75">
      <c r="A322" s="241"/>
      <c r="B322" s="241"/>
      <c r="C322" s="241"/>
      <c r="D322" s="241"/>
      <c r="E322" s="241"/>
      <c r="F322" s="241"/>
      <c r="G322" s="241"/>
      <c r="H322" s="241"/>
      <c r="I322" s="241"/>
      <c r="J322" s="241"/>
      <c r="K322" s="241"/>
      <c r="L322" s="241"/>
      <c r="M322" s="241"/>
      <c r="N322" s="241"/>
      <c r="O322" s="241"/>
      <c r="P322" s="241"/>
      <c r="Q322" s="241"/>
      <c r="R322" s="241"/>
      <c r="S322" s="241"/>
      <c r="T322" s="241"/>
      <c r="U322" s="241"/>
      <c r="V322" s="241"/>
      <c r="W322" s="241"/>
      <c r="X322" s="241"/>
      <c r="Y322" s="241"/>
      <c r="Z322" s="241"/>
      <c r="AA322" s="241"/>
      <c r="AB322" s="241"/>
      <c r="AC322" s="241"/>
      <c r="AD322" s="241"/>
      <c r="AE322" s="241"/>
      <c r="AF322" s="240"/>
      <c r="AG322" s="240"/>
      <c r="AH322" s="240"/>
      <c r="AI322" s="240"/>
      <c r="AJ322" s="240"/>
      <c r="AK322" s="240"/>
      <c r="AL322" s="240"/>
      <c r="AM322" s="240"/>
      <c r="AN322" s="240"/>
      <c r="AO322" s="240"/>
      <c r="AP322" s="240"/>
      <c r="AQ322" s="240"/>
    </row>
    <row r="323" spans="1:43" ht="15.75">
      <c r="A323" s="241"/>
      <c r="B323" s="241"/>
      <c r="C323" s="241"/>
      <c r="D323" s="241"/>
      <c r="E323" s="241"/>
      <c r="F323" s="241"/>
      <c r="G323" s="241"/>
      <c r="H323" s="241"/>
      <c r="I323" s="241"/>
      <c r="J323" s="241"/>
      <c r="K323" s="241"/>
      <c r="L323" s="241"/>
      <c r="M323" s="241"/>
      <c r="N323" s="241"/>
      <c r="O323" s="241"/>
      <c r="P323" s="241"/>
      <c r="Q323" s="241"/>
      <c r="R323" s="241"/>
      <c r="S323" s="241"/>
      <c r="T323" s="241"/>
      <c r="U323" s="241"/>
      <c r="V323" s="241"/>
      <c r="W323" s="241"/>
      <c r="X323" s="241"/>
      <c r="Y323" s="241"/>
      <c r="Z323" s="241"/>
      <c r="AA323" s="241"/>
      <c r="AB323" s="241"/>
      <c r="AC323" s="241"/>
      <c r="AD323" s="241"/>
      <c r="AE323" s="241"/>
      <c r="AF323" s="240"/>
      <c r="AG323" s="240"/>
      <c r="AH323" s="240"/>
      <c r="AI323" s="240"/>
      <c r="AJ323" s="240"/>
      <c r="AK323" s="240"/>
      <c r="AL323" s="240"/>
      <c r="AM323" s="240"/>
      <c r="AN323" s="240"/>
      <c r="AO323" s="240"/>
      <c r="AP323" s="240"/>
      <c r="AQ323" s="240"/>
    </row>
    <row r="324" spans="1:43" ht="15.75">
      <c r="A324" s="241"/>
      <c r="B324" s="241"/>
      <c r="C324" s="241"/>
      <c r="D324" s="241"/>
      <c r="E324" s="241"/>
      <c r="F324" s="241"/>
      <c r="G324" s="241"/>
      <c r="H324" s="241"/>
      <c r="I324" s="241"/>
      <c r="J324" s="241"/>
      <c r="K324" s="241"/>
      <c r="L324" s="241"/>
      <c r="M324" s="241"/>
      <c r="N324" s="241"/>
      <c r="O324" s="241"/>
      <c r="P324" s="241"/>
      <c r="Q324" s="241"/>
      <c r="R324" s="241"/>
      <c r="S324" s="241"/>
      <c r="T324" s="241"/>
      <c r="U324" s="241"/>
      <c r="V324" s="241"/>
      <c r="W324" s="241"/>
      <c r="X324" s="241"/>
      <c r="Y324" s="241"/>
      <c r="Z324" s="241"/>
      <c r="AA324" s="241"/>
      <c r="AB324" s="241"/>
      <c r="AC324" s="241"/>
      <c r="AD324" s="241"/>
      <c r="AE324" s="241"/>
      <c r="AF324" s="240"/>
      <c r="AG324" s="240"/>
      <c r="AH324" s="240"/>
      <c r="AI324" s="240"/>
      <c r="AJ324" s="240"/>
      <c r="AK324" s="240"/>
      <c r="AL324" s="240"/>
      <c r="AM324" s="240"/>
      <c r="AN324" s="240"/>
      <c r="AO324" s="240"/>
      <c r="AP324" s="240"/>
      <c r="AQ324" s="240"/>
    </row>
    <row r="325" spans="1:43" ht="15.75">
      <c r="A325" s="241"/>
      <c r="B325" s="241"/>
      <c r="C325" s="241"/>
      <c r="D325" s="241"/>
      <c r="E325" s="241"/>
      <c r="F325" s="241"/>
      <c r="G325" s="241"/>
      <c r="H325" s="241"/>
      <c r="I325" s="241"/>
      <c r="J325" s="241"/>
      <c r="K325" s="241"/>
      <c r="L325" s="241"/>
      <c r="M325" s="241"/>
      <c r="N325" s="241"/>
      <c r="O325" s="241"/>
      <c r="P325" s="241"/>
      <c r="Q325" s="241"/>
      <c r="R325" s="241"/>
      <c r="S325" s="241"/>
      <c r="T325" s="241"/>
      <c r="U325" s="241"/>
      <c r="V325" s="241"/>
      <c r="W325" s="241"/>
      <c r="X325" s="241"/>
      <c r="Y325" s="241"/>
      <c r="Z325" s="241"/>
      <c r="AA325" s="241"/>
      <c r="AB325" s="241"/>
      <c r="AC325" s="241"/>
      <c r="AD325" s="241"/>
      <c r="AE325" s="241"/>
      <c r="AF325" s="240"/>
      <c r="AG325" s="240"/>
      <c r="AH325" s="240"/>
      <c r="AI325" s="240"/>
      <c r="AJ325" s="240"/>
      <c r="AK325" s="240"/>
      <c r="AL325" s="240"/>
      <c r="AM325" s="240"/>
      <c r="AN325" s="240"/>
      <c r="AO325" s="240"/>
      <c r="AP325" s="240"/>
      <c r="AQ325" s="240"/>
    </row>
    <row r="326" spans="1:43" ht="15.75">
      <c r="A326" s="241"/>
      <c r="B326" s="241"/>
      <c r="C326" s="241"/>
      <c r="D326" s="241"/>
      <c r="E326" s="241"/>
      <c r="F326" s="241"/>
      <c r="G326" s="241"/>
      <c r="H326" s="241"/>
      <c r="I326" s="241"/>
      <c r="J326" s="241"/>
      <c r="K326" s="241"/>
      <c r="L326" s="241"/>
      <c r="M326" s="241"/>
      <c r="N326" s="241"/>
      <c r="O326" s="241"/>
      <c r="P326" s="241"/>
      <c r="Q326" s="241"/>
      <c r="R326" s="241"/>
      <c r="S326" s="241"/>
      <c r="T326" s="241"/>
      <c r="U326" s="241"/>
      <c r="V326" s="241"/>
      <c r="W326" s="241"/>
      <c r="X326" s="241"/>
      <c r="Y326" s="241"/>
      <c r="Z326" s="241"/>
      <c r="AA326" s="241"/>
      <c r="AB326" s="241"/>
      <c r="AC326" s="241"/>
      <c r="AD326" s="241"/>
      <c r="AE326" s="241"/>
      <c r="AF326" s="240"/>
      <c r="AG326" s="240"/>
      <c r="AH326" s="240"/>
      <c r="AI326" s="240"/>
      <c r="AJ326" s="240"/>
      <c r="AK326" s="240"/>
      <c r="AL326" s="240"/>
      <c r="AM326" s="240"/>
      <c r="AN326" s="240"/>
      <c r="AO326" s="240"/>
      <c r="AP326" s="240"/>
      <c r="AQ326" s="240"/>
    </row>
    <row r="327" spans="1:43" ht="15.75">
      <c r="A327" s="241"/>
      <c r="B327" s="241"/>
      <c r="C327" s="241"/>
      <c r="D327" s="241"/>
      <c r="E327" s="241"/>
      <c r="F327" s="241"/>
      <c r="G327" s="241"/>
      <c r="H327" s="241"/>
      <c r="I327" s="241"/>
      <c r="J327" s="241"/>
      <c r="K327" s="241"/>
      <c r="L327" s="241"/>
      <c r="M327" s="241"/>
      <c r="N327" s="241"/>
      <c r="O327" s="241"/>
      <c r="P327" s="241"/>
      <c r="Q327" s="241"/>
      <c r="R327" s="241"/>
      <c r="S327" s="241"/>
      <c r="T327" s="241"/>
      <c r="U327" s="241"/>
      <c r="V327" s="241"/>
      <c r="W327" s="241"/>
      <c r="X327" s="241"/>
      <c r="Y327" s="241"/>
      <c r="Z327" s="241"/>
      <c r="AA327" s="241"/>
      <c r="AB327" s="241"/>
      <c r="AC327" s="241"/>
      <c r="AD327" s="241"/>
      <c r="AE327" s="241"/>
      <c r="AF327" s="240"/>
      <c r="AG327" s="240"/>
      <c r="AH327" s="240"/>
      <c r="AI327" s="240"/>
      <c r="AJ327" s="240"/>
      <c r="AK327" s="240"/>
      <c r="AL327" s="240"/>
      <c r="AM327" s="240"/>
      <c r="AN327" s="240"/>
      <c r="AO327" s="240"/>
      <c r="AP327" s="240"/>
      <c r="AQ327" s="240"/>
    </row>
    <row r="328" spans="1:43" ht="15.75">
      <c r="A328" s="241"/>
      <c r="B328" s="241"/>
      <c r="C328" s="241"/>
      <c r="D328" s="241"/>
      <c r="E328" s="241"/>
      <c r="F328" s="241"/>
      <c r="G328" s="241"/>
      <c r="H328" s="241"/>
      <c r="I328" s="241"/>
      <c r="J328" s="241"/>
      <c r="K328" s="241"/>
      <c r="L328" s="241"/>
      <c r="M328" s="241"/>
      <c r="N328" s="241"/>
      <c r="O328" s="241"/>
      <c r="P328" s="241"/>
      <c r="Q328" s="241"/>
      <c r="R328" s="241"/>
      <c r="S328" s="241"/>
      <c r="T328" s="241"/>
      <c r="U328" s="241"/>
      <c r="V328" s="241"/>
      <c r="W328" s="241"/>
      <c r="X328" s="241"/>
      <c r="Y328" s="241"/>
      <c r="Z328" s="241"/>
      <c r="AA328" s="241"/>
      <c r="AB328" s="241"/>
      <c r="AC328" s="241"/>
      <c r="AD328" s="241"/>
      <c r="AE328" s="241"/>
      <c r="AF328" s="240"/>
      <c r="AG328" s="240"/>
      <c r="AH328" s="240"/>
      <c r="AI328" s="240"/>
      <c r="AJ328" s="240"/>
      <c r="AK328" s="240"/>
      <c r="AL328" s="240"/>
      <c r="AM328" s="240"/>
      <c r="AN328" s="240"/>
      <c r="AO328" s="240"/>
      <c r="AP328" s="240"/>
      <c r="AQ328" s="240"/>
    </row>
    <row r="329" spans="1:43" ht="15.75">
      <c r="A329" s="241"/>
      <c r="B329" s="241"/>
      <c r="C329" s="241"/>
      <c r="D329" s="241"/>
      <c r="E329" s="241"/>
      <c r="F329" s="241"/>
      <c r="G329" s="241"/>
      <c r="H329" s="241"/>
      <c r="I329" s="241"/>
      <c r="J329" s="241"/>
      <c r="K329" s="241"/>
      <c r="L329" s="241"/>
      <c r="M329" s="241"/>
      <c r="N329" s="241"/>
      <c r="O329" s="241"/>
      <c r="P329" s="241"/>
      <c r="Q329" s="241"/>
      <c r="R329" s="241"/>
      <c r="S329" s="241"/>
      <c r="T329" s="241"/>
      <c r="U329" s="241"/>
      <c r="V329" s="241"/>
      <c r="W329" s="241"/>
      <c r="X329" s="241"/>
      <c r="Y329" s="241"/>
      <c r="Z329" s="241"/>
      <c r="AA329" s="241"/>
      <c r="AB329" s="241"/>
      <c r="AC329" s="241"/>
      <c r="AD329" s="241"/>
      <c r="AE329" s="241"/>
      <c r="AF329" s="240"/>
      <c r="AG329" s="240"/>
      <c r="AH329" s="240"/>
      <c r="AI329" s="240"/>
      <c r="AJ329" s="240"/>
      <c r="AK329" s="240"/>
      <c r="AL329" s="240"/>
      <c r="AM329" s="240"/>
      <c r="AN329" s="240"/>
      <c r="AO329" s="240"/>
      <c r="AP329" s="240"/>
      <c r="AQ329" s="240"/>
    </row>
    <row r="330" spans="1:43" ht="15.75">
      <c r="A330" s="241"/>
      <c r="B330" s="241"/>
      <c r="C330" s="241"/>
      <c r="D330" s="241"/>
      <c r="E330" s="241"/>
      <c r="F330" s="241"/>
      <c r="G330" s="241"/>
      <c r="H330" s="241"/>
      <c r="I330" s="241"/>
      <c r="J330" s="241"/>
      <c r="K330" s="241"/>
      <c r="L330" s="241"/>
      <c r="M330" s="241"/>
      <c r="N330" s="241"/>
      <c r="O330" s="241"/>
      <c r="P330" s="241"/>
      <c r="Q330" s="241"/>
      <c r="R330" s="241"/>
      <c r="S330" s="241"/>
      <c r="T330" s="241"/>
      <c r="U330" s="241"/>
      <c r="V330" s="241"/>
      <c r="W330" s="241"/>
      <c r="X330" s="241"/>
      <c r="Y330" s="241"/>
      <c r="Z330" s="241"/>
      <c r="AA330" s="241"/>
      <c r="AB330" s="241"/>
      <c r="AC330" s="241"/>
      <c r="AD330" s="241"/>
      <c r="AE330" s="241"/>
      <c r="AF330" s="240"/>
      <c r="AG330" s="240"/>
      <c r="AH330" s="240"/>
      <c r="AI330" s="240"/>
      <c r="AJ330" s="240"/>
      <c r="AK330" s="240"/>
      <c r="AL330" s="240"/>
      <c r="AM330" s="240"/>
      <c r="AN330" s="240"/>
      <c r="AO330" s="240"/>
      <c r="AP330" s="240"/>
      <c r="AQ330" s="240"/>
    </row>
    <row r="331" spans="1:43" ht="15.75">
      <c r="A331" s="241"/>
      <c r="B331" s="241"/>
      <c r="C331" s="241"/>
      <c r="D331" s="241"/>
      <c r="E331" s="241"/>
      <c r="F331" s="241"/>
      <c r="G331" s="241"/>
      <c r="H331" s="241"/>
      <c r="I331" s="241"/>
      <c r="J331" s="241"/>
      <c r="K331" s="241"/>
      <c r="L331" s="241"/>
      <c r="M331" s="241"/>
      <c r="N331" s="241"/>
      <c r="O331" s="241"/>
      <c r="P331" s="241"/>
      <c r="Q331" s="241"/>
      <c r="R331" s="241"/>
      <c r="S331" s="241"/>
      <c r="T331" s="241"/>
      <c r="U331" s="241"/>
      <c r="V331" s="241"/>
      <c r="W331" s="241"/>
      <c r="X331" s="241"/>
      <c r="Y331" s="241"/>
      <c r="Z331" s="241"/>
      <c r="AA331" s="241"/>
      <c r="AB331" s="241"/>
      <c r="AC331" s="241"/>
      <c r="AD331" s="241"/>
      <c r="AE331" s="241"/>
      <c r="AF331" s="240"/>
      <c r="AG331" s="240"/>
      <c r="AH331" s="240"/>
      <c r="AI331" s="240"/>
      <c r="AJ331" s="240"/>
      <c r="AK331" s="240"/>
      <c r="AL331" s="240"/>
      <c r="AM331" s="240"/>
      <c r="AN331" s="240"/>
      <c r="AO331" s="240"/>
      <c r="AP331" s="240"/>
      <c r="AQ331" s="240"/>
    </row>
    <row r="332" spans="1:43" ht="15.75">
      <c r="A332" s="241"/>
      <c r="B332" s="241"/>
      <c r="C332" s="241"/>
      <c r="D332" s="241"/>
      <c r="E332" s="241"/>
      <c r="F332" s="241"/>
      <c r="G332" s="241"/>
      <c r="H332" s="241"/>
      <c r="I332" s="241"/>
      <c r="J332" s="241"/>
      <c r="K332" s="241"/>
      <c r="L332" s="241"/>
      <c r="M332" s="241"/>
      <c r="N332" s="241"/>
      <c r="O332" s="241"/>
      <c r="P332" s="241"/>
      <c r="Q332" s="241"/>
      <c r="R332" s="241"/>
      <c r="S332" s="241"/>
      <c r="T332" s="241"/>
      <c r="U332" s="241"/>
      <c r="V332" s="241"/>
      <c r="W332" s="241"/>
      <c r="X332" s="241"/>
      <c r="Y332" s="241"/>
      <c r="Z332" s="241"/>
      <c r="AA332" s="241"/>
      <c r="AB332" s="241"/>
      <c r="AC332" s="241"/>
      <c r="AD332" s="241"/>
      <c r="AE332" s="241"/>
      <c r="AF332" s="240"/>
      <c r="AG332" s="240"/>
      <c r="AH332" s="240"/>
      <c r="AI332" s="240"/>
      <c r="AJ332" s="240"/>
      <c r="AK332" s="240"/>
      <c r="AL332" s="240"/>
      <c r="AM332" s="240"/>
      <c r="AN332" s="240"/>
      <c r="AO332" s="240"/>
      <c r="AP332" s="240"/>
      <c r="AQ332" s="240"/>
    </row>
    <row r="333" spans="1:43" ht="15.75">
      <c r="A333" s="241"/>
      <c r="B333" s="241"/>
      <c r="C333" s="241"/>
      <c r="D333" s="241"/>
      <c r="E333" s="241"/>
      <c r="F333" s="241"/>
      <c r="G333" s="241"/>
      <c r="H333" s="241"/>
      <c r="I333" s="241"/>
      <c r="J333" s="241"/>
      <c r="K333" s="241"/>
      <c r="L333" s="241"/>
      <c r="M333" s="241"/>
      <c r="N333" s="241"/>
      <c r="O333" s="241"/>
      <c r="P333" s="241"/>
      <c r="Q333" s="241"/>
      <c r="R333" s="241"/>
      <c r="S333" s="241"/>
      <c r="T333" s="241"/>
      <c r="U333" s="241"/>
      <c r="V333" s="241"/>
      <c r="W333" s="241"/>
      <c r="X333" s="241"/>
      <c r="Y333" s="241"/>
      <c r="Z333" s="241"/>
      <c r="AA333" s="241"/>
      <c r="AB333" s="241"/>
      <c r="AC333" s="241"/>
      <c r="AD333" s="241"/>
      <c r="AE333" s="241"/>
      <c r="AF333" s="240"/>
      <c r="AG333" s="240"/>
      <c r="AH333" s="240"/>
      <c r="AI333" s="240"/>
      <c r="AJ333" s="240"/>
      <c r="AK333" s="240"/>
      <c r="AL333" s="240"/>
      <c r="AM333" s="240"/>
      <c r="AN333" s="240"/>
      <c r="AO333" s="240"/>
      <c r="AP333" s="240"/>
      <c r="AQ333" s="240"/>
    </row>
    <row r="334" spans="1:43" ht="15.75">
      <c r="A334" s="241"/>
      <c r="B334" s="241"/>
      <c r="C334" s="241"/>
      <c r="D334" s="241"/>
      <c r="E334" s="241"/>
      <c r="F334" s="241"/>
      <c r="G334" s="241"/>
      <c r="H334" s="241"/>
      <c r="I334" s="241"/>
      <c r="J334" s="241"/>
      <c r="K334" s="241"/>
      <c r="L334" s="241"/>
      <c r="M334" s="241"/>
      <c r="N334" s="241"/>
      <c r="O334" s="241"/>
      <c r="P334" s="241"/>
      <c r="Q334" s="241"/>
      <c r="R334" s="241"/>
      <c r="S334" s="241"/>
      <c r="T334" s="241"/>
      <c r="U334" s="241"/>
      <c r="V334" s="241"/>
      <c r="W334" s="241"/>
      <c r="X334" s="241"/>
      <c r="Y334" s="241"/>
      <c r="Z334" s="241"/>
      <c r="AA334" s="241"/>
      <c r="AB334" s="241"/>
      <c r="AC334" s="241"/>
      <c r="AD334" s="241"/>
      <c r="AE334" s="241"/>
      <c r="AF334" s="240"/>
      <c r="AG334" s="240"/>
      <c r="AH334" s="240"/>
      <c r="AI334" s="240"/>
      <c r="AJ334" s="240"/>
      <c r="AK334" s="240"/>
      <c r="AL334" s="240"/>
      <c r="AM334" s="240"/>
      <c r="AN334" s="240"/>
      <c r="AO334" s="240"/>
      <c r="AP334" s="240"/>
      <c r="AQ334" s="240"/>
    </row>
    <row r="335" spans="1:43" ht="15.75">
      <c r="A335" s="241"/>
      <c r="B335" s="241"/>
      <c r="C335" s="241"/>
      <c r="D335" s="241"/>
      <c r="E335" s="241"/>
      <c r="F335" s="241"/>
      <c r="G335" s="241"/>
      <c r="H335" s="241"/>
      <c r="I335" s="241"/>
      <c r="J335" s="241"/>
      <c r="K335" s="241"/>
      <c r="L335" s="241"/>
      <c r="M335" s="241"/>
      <c r="N335" s="241"/>
      <c r="O335" s="241"/>
      <c r="P335" s="241"/>
      <c r="Q335" s="241"/>
      <c r="R335" s="241"/>
      <c r="S335" s="241"/>
      <c r="T335" s="241"/>
      <c r="U335" s="241"/>
      <c r="V335" s="241"/>
      <c r="W335" s="241"/>
      <c r="X335" s="241"/>
      <c r="Y335" s="241"/>
      <c r="Z335" s="241"/>
      <c r="AA335" s="241"/>
      <c r="AB335" s="241"/>
      <c r="AC335" s="241"/>
      <c r="AD335" s="241"/>
      <c r="AE335" s="241"/>
      <c r="AF335" s="240"/>
      <c r="AG335" s="240"/>
      <c r="AH335" s="240"/>
      <c r="AI335" s="240"/>
      <c r="AJ335" s="240"/>
      <c r="AK335" s="240"/>
      <c r="AL335" s="240"/>
      <c r="AM335" s="240"/>
      <c r="AN335" s="240"/>
      <c r="AO335" s="240"/>
      <c r="AP335" s="240"/>
      <c r="AQ335" s="240"/>
    </row>
    <row r="336" spans="1:43" ht="15.75">
      <c r="A336" s="241"/>
      <c r="B336" s="241"/>
      <c r="C336" s="241"/>
      <c r="D336" s="241"/>
      <c r="E336" s="241"/>
      <c r="F336" s="241"/>
      <c r="G336" s="241"/>
      <c r="H336" s="241"/>
      <c r="I336" s="241"/>
      <c r="J336" s="241"/>
      <c r="K336" s="241"/>
      <c r="L336" s="241"/>
      <c r="M336" s="241"/>
      <c r="N336" s="241"/>
      <c r="O336" s="241"/>
      <c r="P336" s="241"/>
      <c r="Q336" s="241"/>
      <c r="R336" s="241"/>
      <c r="S336" s="241"/>
      <c r="T336" s="241"/>
      <c r="U336" s="241"/>
      <c r="V336" s="241"/>
      <c r="W336" s="241"/>
      <c r="X336" s="241"/>
      <c r="Y336" s="241"/>
      <c r="Z336" s="241"/>
      <c r="AA336" s="241"/>
      <c r="AB336" s="241"/>
      <c r="AC336" s="241"/>
      <c r="AD336" s="241"/>
      <c r="AE336" s="241"/>
      <c r="AF336" s="240"/>
      <c r="AG336" s="240"/>
      <c r="AH336" s="240"/>
      <c r="AI336" s="240"/>
      <c r="AJ336" s="240"/>
      <c r="AK336" s="240"/>
      <c r="AL336" s="240"/>
      <c r="AM336" s="240"/>
      <c r="AN336" s="240"/>
      <c r="AO336" s="240"/>
      <c r="AP336" s="240"/>
      <c r="AQ336" s="240"/>
    </row>
    <row r="337" spans="1:43" ht="15.75">
      <c r="A337" s="241"/>
      <c r="B337" s="241"/>
      <c r="C337" s="241"/>
      <c r="D337" s="241"/>
      <c r="E337" s="241"/>
      <c r="F337" s="241"/>
      <c r="G337" s="241"/>
      <c r="H337" s="241"/>
      <c r="I337" s="241"/>
      <c r="J337" s="241"/>
      <c r="K337" s="241"/>
      <c r="L337" s="241"/>
      <c r="M337" s="241"/>
      <c r="N337" s="241"/>
      <c r="O337" s="241"/>
      <c r="P337" s="241"/>
      <c r="Q337" s="241"/>
      <c r="R337" s="241"/>
      <c r="S337" s="241"/>
      <c r="T337" s="241"/>
      <c r="U337" s="241"/>
      <c r="V337" s="241"/>
      <c r="W337" s="241"/>
      <c r="X337" s="241"/>
      <c r="Y337" s="241"/>
      <c r="Z337" s="241"/>
      <c r="AA337" s="241"/>
      <c r="AB337" s="241"/>
      <c r="AC337" s="241"/>
      <c r="AD337" s="241"/>
      <c r="AE337" s="241"/>
      <c r="AF337" s="240"/>
      <c r="AG337" s="240"/>
      <c r="AH337" s="240"/>
      <c r="AI337" s="240"/>
      <c r="AJ337" s="240"/>
      <c r="AK337" s="240"/>
      <c r="AL337" s="240"/>
      <c r="AM337" s="240"/>
      <c r="AN337" s="240"/>
      <c r="AO337" s="240"/>
      <c r="AP337" s="240"/>
      <c r="AQ337" s="240"/>
    </row>
    <row r="338" spans="1:43" ht="15.75">
      <c r="A338" s="241"/>
      <c r="B338" s="241"/>
      <c r="C338" s="241"/>
      <c r="D338" s="241"/>
      <c r="E338" s="241"/>
      <c r="F338" s="241"/>
      <c r="G338" s="241"/>
      <c r="H338" s="241"/>
      <c r="I338" s="241"/>
      <c r="J338" s="241"/>
      <c r="K338" s="241"/>
      <c r="L338" s="241"/>
      <c r="M338" s="241"/>
      <c r="N338" s="241"/>
      <c r="O338" s="241"/>
      <c r="P338" s="241"/>
      <c r="Q338" s="241"/>
      <c r="R338" s="241"/>
      <c r="S338" s="241"/>
      <c r="T338" s="241"/>
      <c r="U338" s="241"/>
      <c r="V338" s="241"/>
      <c r="W338" s="241"/>
      <c r="X338" s="241"/>
      <c r="Y338" s="241"/>
      <c r="Z338" s="241"/>
      <c r="AA338" s="241"/>
      <c r="AB338" s="241"/>
      <c r="AC338" s="241"/>
      <c r="AD338" s="241"/>
      <c r="AE338" s="241"/>
      <c r="AF338" s="240"/>
      <c r="AG338" s="240"/>
      <c r="AH338" s="240"/>
      <c r="AI338" s="240"/>
      <c r="AJ338" s="240"/>
      <c r="AK338" s="240"/>
      <c r="AL338" s="240"/>
      <c r="AM338" s="240"/>
      <c r="AN338" s="240"/>
      <c r="AO338" s="240"/>
      <c r="AP338" s="240"/>
      <c r="AQ338" s="240"/>
    </row>
    <row r="339" spans="1:43" ht="15.75">
      <c r="A339" s="241"/>
      <c r="B339" s="241"/>
      <c r="C339" s="241"/>
      <c r="D339" s="241"/>
      <c r="E339" s="241"/>
      <c r="F339" s="241"/>
      <c r="G339" s="241"/>
      <c r="H339" s="241"/>
      <c r="I339" s="241"/>
      <c r="J339" s="241"/>
      <c r="K339" s="241"/>
      <c r="L339" s="241"/>
      <c r="M339" s="241"/>
      <c r="N339" s="241"/>
      <c r="O339" s="241"/>
      <c r="P339" s="241"/>
      <c r="Q339" s="241"/>
      <c r="R339" s="241"/>
      <c r="S339" s="240"/>
      <c r="T339" s="240"/>
      <c r="U339" s="240"/>
      <c r="V339" s="241"/>
      <c r="W339" s="241"/>
      <c r="X339" s="241"/>
      <c r="Y339" s="241"/>
      <c r="Z339" s="241"/>
      <c r="AA339" s="241"/>
      <c r="AB339" s="241"/>
      <c r="AC339" s="241"/>
      <c r="AD339" s="241"/>
      <c r="AE339" s="241"/>
      <c r="AF339" s="240"/>
      <c r="AG339" s="240"/>
      <c r="AH339" s="240"/>
      <c r="AI339" s="240"/>
      <c r="AJ339" s="240"/>
      <c r="AK339" s="240"/>
      <c r="AL339" s="240"/>
      <c r="AM339" s="240"/>
      <c r="AN339" s="240"/>
      <c r="AO339" s="240"/>
      <c r="AP339" s="240"/>
      <c r="AQ339" s="240"/>
    </row>
    <row r="340" spans="1:43" ht="15.75">
      <c r="A340" s="241"/>
      <c r="B340" s="241"/>
      <c r="C340" s="241"/>
      <c r="D340" s="241"/>
      <c r="E340" s="241"/>
      <c r="F340" s="241"/>
      <c r="G340" s="241"/>
      <c r="H340" s="241"/>
      <c r="I340" s="241"/>
      <c r="J340" s="241"/>
      <c r="K340" s="241"/>
      <c r="L340" s="241"/>
      <c r="M340" s="241"/>
      <c r="N340" s="241"/>
      <c r="O340" s="241"/>
      <c r="P340" s="241"/>
      <c r="Q340" s="241"/>
      <c r="R340" s="241"/>
      <c r="S340" s="240"/>
      <c r="T340" s="240"/>
      <c r="U340" s="240"/>
      <c r="V340" s="241"/>
      <c r="W340" s="241"/>
      <c r="X340" s="241"/>
      <c r="Y340" s="241"/>
      <c r="Z340" s="241"/>
      <c r="AA340" s="241"/>
      <c r="AB340" s="241"/>
      <c r="AC340" s="241"/>
      <c r="AD340" s="241"/>
      <c r="AE340" s="241"/>
      <c r="AF340" s="240"/>
      <c r="AG340" s="240"/>
      <c r="AH340" s="240"/>
      <c r="AI340" s="240"/>
      <c r="AJ340" s="240"/>
      <c r="AK340" s="240"/>
      <c r="AL340" s="240"/>
      <c r="AM340" s="240"/>
      <c r="AN340" s="240"/>
      <c r="AO340" s="240"/>
      <c r="AP340" s="240"/>
      <c r="AQ340" s="240"/>
    </row>
    <row r="341" spans="1:43" ht="15.75">
      <c r="A341" s="240"/>
      <c r="B341" s="240"/>
      <c r="C341" s="240"/>
      <c r="D341" s="240"/>
      <c r="E341" s="240"/>
      <c r="F341" s="240"/>
      <c r="G341" s="240"/>
      <c r="H341" s="240"/>
      <c r="I341" s="240"/>
      <c r="J341" s="240"/>
      <c r="K341" s="240"/>
      <c r="L341" s="240"/>
      <c r="M341" s="240"/>
      <c r="N341" s="240"/>
      <c r="O341" s="240"/>
      <c r="P341" s="240"/>
      <c r="Q341" s="240"/>
      <c r="R341" s="240"/>
      <c r="S341" s="240"/>
      <c r="T341" s="240"/>
      <c r="U341" s="240"/>
      <c r="V341" s="240"/>
      <c r="W341" s="240"/>
      <c r="X341" s="240"/>
      <c r="Y341" s="240"/>
      <c r="Z341" s="240"/>
      <c r="AA341" s="240"/>
      <c r="AB341" s="241"/>
      <c r="AC341" s="241"/>
      <c r="AD341" s="241"/>
      <c r="AE341" s="241"/>
      <c r="AF341" s="240"/>
      <c r="AG341" s="240"/>
      <c r="AH341" s="240"/>
      <c r="AI341" s="240"/>
      <c r="AJ341" s="240"/>
      <c r="AK341" s="240"/>
      <c r="AL341" s="240"/>
      <c r="AM341" s="240"/>
      <c r="AN341" s="240"/>
      <c r="AO341" s="240"/>
      <c r="AP341" s="240"/>
      <c r="AQ341" s="240"/>
    </row>
    <row r="342" spans="1:43" ht="15.75">
      <c r="A342" s="240"/>
      <c r="B342" s="240"/>
      <c r="C342" s="240"/>
      <c r="D342" s="240"/>
      <c r="E342" s="240"/>
      <c r="F342" s="240"/>
      <c r="G342" s="240"/>
      <c r="H342" s="240"/>
      <c r="I342" s="240"/>
      <c r="J342" s="240"/>
      <c r="K342" s="240"/>
      <c r="L342" s="240"/>
      <c r="M342" s="240"/>
      <c r="N342" s="240"/>
      <c r="O342" s="240"/>
      <c r="P342" s="240"/>
      <c r="Q342" s="240"/>
      <c r="R342" s="240"/>
      <c r="S342" s="240"/>
      <c r="T342" s="240"/>
      <c r="U342" s="240"/>
      <c r="V342" s="240"/>
      <c r="W342" s="240"/>
      <c r="X342" s="240"/>
      <c r="Y342" s="240"/>
      <c r="Z342" s="240"/>
      <c r="AA342" s="240"/>
      <c r="AB342" s="241"/>
      <c r="AC342" s="241"/>
      <c r="AD342" s="241"/>
      <c r="AE342" s="241"/>
      <c r="AF342" s="240"/>
      <c r="AG342" s="240"/>
      <c r="AH342" s="240"/>
      <c r="AI342" s="240"/>
      <c r="AJ342" s="240"/>
      <c r="AK342" s="240"/>
      <c r="AL342" s="240"/>
      <c r="AM342" s="240"/>
      <c r="AN342" s="240"/>
      <c r="AO342" s="240"/>
      <c r="AP342" s="240"/>
      <c r="AQ342" s="240"/>
    </row>
    <row r="343" spans="1:43" ht="15.75">
      <c r="A343" s="240"/>
      <c r="B343" s="240"/>
      <c r="C343" s="240"/>
      <c r="D343" s="240"/>
      <c r="E343" s="240"/>
      <c r="F343" s="240"/>
      <c r="G343" s="240"/>
      <c r="H343" s="240"/>
      <c r="I343" s="240"/>
      <c r="J343" s="240"/>
      <c r="K343" s="240"/>
      <c r="L343" s="240"/>
      <c r="M343" s="240"/>
      <c r="N343" s="240"/>
      <c r="O343" s="240"/>
      <c r="P343" s="240"/>
      <c r="Q343" s="240"/>
      <c r="R343" s="240"/>
      <c r="S343" s="240"/>
      <c r="T343" s="240"/>
      <c r="U343" s="240"/>
      <c r="V343" s="240"/>
      <c r="W343" s="240"/>
      <c r="X343" s="240"/>
      <c r="Y343" s="240"/>
      <c r="Z343" s="240"/>
      <c r="AA343" s="240"/>
      <c r="AB343" s="241"/>
      <c r="AC343" s="241"/>
      <c r="AD343" s="241"/>
      <c r="AE343" s="241"/>
      <c r="AF343" s="240"/>
      <c r="AG343" s="240"/>
      <c r="AH343" s="240"/>
      <c r="AI343" s="240"/>
      <c r="AJ343" s="240"/>
      <c r="AK343" s="240"/>
      <c r="AL343" s="240"/>
      <c r="AM343" s="240"/>
      <c r="AN343" s="240"/>
      <c r="AO343" s="240"/>
      <c r="AP343" s="240"/>
      <c r="AQ343" s="240"/>
    </row>
    <row r="344" spans="1:43" ht="15.75">
      <c r="A344" s="240"/>
      <c r="B344" s="240"/>
      <c r="C344" s="240"/>
      <c r="D344" s="240"/>
      <c r="E344" s="240"/>
      <c r="F344" s="240"/>
      <c r="G344" s="240"/>
      <c r="H344" s="240"/>
      <c r="I344" s="240"/>
      <c r="J344" s="240"/>
      <c r="K344" s="240"/>
      <c r="L344" s="240"/>
      <c r="M344" s="240"/>
      <c r="N344" s="240"/>
      <c r="O344" s="240"/>
      <c r="P344" s="240"/>
      <c r="Q344" s="240"/>
      <c r="R344" s="240"/>
      <c r="S344" s="240"/>
      <c r="T344" s="240"/>
      <c r="U344" s="240"/>
      <c r="V344" s="240"/>
      <c r="W344" s="240"/>
      <c r="X344" s="240"/>
      <c r="Y344" s="240"/>
      <c r="Z344" s="240"/>
      <c r="AA344" s="240"/>
      <c r="AB344" s="241"/>
      <c r="AC344" s="241"/>
      <c r="AD344" s="241"/>
      <c r="AE344" s="241"/>
      <c r="AF344" s="240"/>
      <c r="AG344" s="240"/>
      <c r="AH344" s="240"/>
      <c r="AI344" s="240"/>
      <c r="AJ344" s="240"/>
      <c r="AK344" s="240"/>
      <c r="AL344" s="240"/>
      <c r="AM344" s="240"/>
      <c r="AN344" s="240"/>
      <c r="AO344" s="240"/>
      <c r="AP344" s="240"/>
      <c r="AQ344" s="240"/>
    </row>
    <row r="345" spans="1:43" ht="15.75">
      <c r="A345" s="240"/>
      <c r="B345" s="240"/>
      <c r="C345" s="240"/>
      <c r="D345" s="240"/>
      <c r="E345" s="240"/>
      <c r="F345" s="240"/>
      <c r="G345" s="240"/>
      <c r="H345" s="240"/>
      <c r="I345" s="240"/>
      <c r="J345" s="240"/>
      <c r="K345" s="240"/>
      <c r="L345" s="240"/>
      <c r="M345" s="240"/>
      <c r="N345" s="240"/>
      <c r="O345" s="240"/>
      <c r="P345" s="240"/>
      <c r="Q345" s="240"/>
      <c r="R345" s="240"/>
      <c r="S345" s="240"/>
      <c r="T345" s="240"/>
      <c r="U345" s="240"/>
      <c r="V345" s="240"/>
      <c r="W345" s="240"/>
      <c r="X345" s="240"/>
      <c r="Y345" s="240"/>
      <c r="Z345" s="240"/>
      <c r="AA345" s="240"/>
      <c r="AB345" s="241"/>
      <c r="AC345" s="241"/>
      <c r="AD345" s="241"/>
      <c r="AE345" s="241"/>
      <c r="AF345" s="240"/>
      <c r="AG345" s="240"/>
      <c r="AH345" s="240"/>
      <c r="AI345" s="240"/>
      <c r="AJ345" s="240"/>
      <c r="AK345" s="240"/>
      <c r="AL345" s="240"/>
      <c r="AM345" s="240"/>
      <c r="AN345" s="240"/>
      <c r="AO345" s="240"/>
      <c r="AP345" s="240"/>
      <c r="AQ345" s="240"/>
    </row>
    <row r="346" spans="1:43" ht="15.75">
      <c r="A346" s="240"/>
      <c r="B346" s="240"/>
      <c r="C346" s="240"/>
      <c r="D346" s="240"/>
      <c r="E346" s="240"/>
      <c r="F346" s="240"/>
      <c r="G346" s="240"/>
      <c r="H346" s="240"/>
      <c r="I346" s="240"/>
      <c r="J346" s="240"/>
      <c r="K346" s="240"/>
      <c r="L346" s="240"/>
      <c r="M346" s="240"/>
      <c r="N346" s="240"/>
      <c r="O346" s="240"/>
      <c r="P346" s="240"/>
      <c r="Q346" s="240"/>
      <c r="R346" s="240"/>
      <c r="S346" s="240"/>
      <c r="T346" s="240"/>
      <c r="U346" s="240"/>
      <c r="V346" s="240"/>
      <c r="W346" s="240"/>
      <c r="X346" s="240"/>
      <c r="Y346" s="240"/>
      <c r="Z346" s="240"/>
      <c r="AA346" s="240"/>
      <c r="AB346" s="241"/>
      <c r="AC346" s="241"/>
      <c r="AD346" s="241"/>
      <c r="AE346" s="241"/>
      <c r="AF346" s="240"/>
      <c r="AG346" s="240"/>
      <c r="AH346" s="240"/>
      <c r="AI346" s="240"/>
      <c r="AJ346" s="240"/>
      <c r="AK346" s="240"/>
      <c r="AL346" s="240"/>
      <c r="AM346" s="240"/>
      <c r="AN346" s="240"/>
      <c r="AO346" s="240"/>
      <c r="AP346" s="240"/>
      <c r="AQ346" s="240"/>
    </row>
    <row r="347" spans="1:43" ht="15.75">
      <c r="A347" s="240"/>
      <c r="B347" s="240"/>
      <c r="C347" s="240"/>
      <c r="D347" s="240"/>
      <c r="E347" s="240"/>
      <c r="F347" s="240"/>
      <c r="G347" s="240"/>
      <c r="H347" s="240"/>
      <c r="I347" s="240"/>
      <c r="J347" s="240"/>
      <c r="K347" s="240"/>
      <c r="L347" s="240"/>
      <c r="M347" s="240"/>
      <c r="N347" s="240"/>
      <c r="O347" s="240"/>
      <c r="P347" s="240"/>
      <c r="Q347" s="240"/>
      <c r="R347" s="240"/>
      <c r="S347" s="240"/>
      <c r="T347" s="240"/>
      <c r="U347" s="240"/>
      <c r="V347" s="240"/>
      <c r="W347" s="240"/>
      <c r="X347" s="240"/>
      <c r="Y347" s="240"/>
      <c r="Z347" s="240"/>
      <c r="AA347" s="240"/>
      <c r="AB347" s="241"/>
      <c r="AC347" s="241"/>
      <c r="AD347" s="241"/>
      <c r="AE347" s="241"/>
      <c r="AF347" s="240"/>
      <c r="AG347" s="240"/>
      <c r="AH347" s="240"/>
      <c r="AI347" s="240"/>
      <c r="AJ347" s="240"/>
      <c r="AK347" s="240"/>
      <c r="AL347" s="240"/>
      <c r="AM347" s="240"/>
      <c r="AN347" s="240"/>
      <c r="AO347" s="240"/>
      <c r="AP347" s="240"/>
      <c r="AQ347" s="240"/>
    </row>
    <row r="348" spans="1:43" ht="15.75">
      <c r="A348" s="240"/>
      <c r="B348" s="240"/>
      <c r="C348" s="240"/>
      <c r="D348" s="240"/>
      <c r="E348" s="240"/>
      <c r="F348" s="240"/>
      <c r="G348" s="240"/>
      <c r="H348" s="240"/>
      <c r="I348" s="240"/>
      <c r="J348" s="240"/>
      <c r="K348" s="240"/>
      <c r="L348" s="240"/>
      <c r="M348" s="240"/>
      <c r="N348" s="240"/>
      <c r="O348" s="240"/>
      <c r="P348" s="240"/>
      <c r="Q348" s="240"/>
      <c r="R348" s="240"/>
      <c r="S348" s="240"/>
      <c r="T348" s="240"/>
      <c r="U348" s="240"/>
      <c r="V348" s="240"/>
      <c r="W348" s="240"/>
      <c r="X348" s="240"/>
      <c r="Y348" s="240"/>
      <c r="Z348" s="240"/>
      <c r="AA348" s="240"/>
      <c r="AB348" s="241"/>
      <c r="AC348" s="241"/>
      <c r="AD348" s="241"/>
      <c r="AE348" s="241"/>
      <c r="AF348" s="240"/>
      <c r="AG348" s="240"/>
      <c r="AH348" s="240"/>
      <c r="AI348" s="240"/>
      <c r="AJ348" s="240"/>
      <c r="AK348" s="240"/>
      <c r="AL348" s="240"/>
      <c r="AM348" s="240"/>
      <c r="AN348" s="240"/>
      <c r="AO348" s="240"/>
      <c r="AP348" s="240"/>
      <c r="AQ348" s="240"/>
    </row>
    <row r="349" spans="1:43" ht="15.75">
      <c r="A349" s="240"/>
      <c r="B349" s="240"/>
      <c r="C349" s="240"/>
      <c r="D349" s="240"/>
      <c r="E349" s="240"/>
      <c r="F349" s="240"/>
      <c r="G349" s="240"/>
      <c r="H349" s="240"/>
      <c r="I349" s="240"/>
      <c r="J349" s="240"/>
      <c r="K349" s="240"/>
      <c r="L349" s="240"/>
      <c r="M349" s="240"/>
      <c r="N349" s="240"/>
      <c r="O349" s="240"/>
      <c r="P349" s="240"/>
      <c r="Q349" s="240"/>
      <c r="R349" s="240"/>
      <c r="S349" s="240"/>
      <c r="T349" s="240"/>
      <c r="U349" s="240"/>
      <c r="V349" s="240"/>
      <c r="W349" s="240"/>
      <c r="X349" s="240"/>
      <c r="Y349" s="240"/>
      <c r="Z349" s="240"/>
      <c r="AA349" s="240"/>
      <c r="AB349" s="241"/>
      <c r="AC349" s="241"/>
      <c r="AD349" s="241"/>
      <c r="AE349" s="241"/>
      <c r="AF349" s="240"/>
      <c r="AG349" s="240"/>
      <c r="AH349" s="240"/>
      <c r="AI349" s="240"/>
      <c r="AJ349" s="240"/>
      <c r="AK349" s="240"/>
      <c r="AL349" s="240"/>
      <c r="AM349" s="240"/>
      <c r="AN349" s="240"/>
      <c r="AO349" s="240"/>
      <c r="AP349" s="240"/>
      <c r="AQ349" s="240"/>
    </row>
    <row r="350" spans="1:43" ht="15.75">
      <c r="A350" s="240"/>
      <c r="B350" s="240"/>
      <c r="C350" s="240"/>
      <c r="D350" s="240"/>
      <c r="E350" s="240"/>
      <c r="F350" s="240"/>
      <c r="G350" s="240"/>
      <c r="H350" s="240"/>
      <c r="I350" s="240"/>
      <c r="J350" s="240"/>
      <c r="K350" s="240"/>
      <c r="L350" s="240"/>
      <c r="M350" s="240"/>
      <c r="N350" s="240"/>
      <c r="O350" s="240"/>
      <c r="P350" s="240"/>
      <c r="Q350" s="240"/>
      <c r="R350" s="240"/>
      <c r="S350" s="240"/>
      <c r="T350" s="240"/>
      <c r="U350" s="240"/>
      <c r="V350" s="240"/>
      <c r="W350" s="240"/>
      <c r="X350" s="240"/>
      <c r="Y350" s="240"/>
      <c r="Z350" s="240"/>
      <c r="AA350" s="240"/>
      <c r="AB350" s="241"/>
      <c r="AC350" s="241"/>
      <c r="AD350" s="241"/>
      <c r="AE350" s="241"/>
      <c r="AF350" s="240"/>
      <c r="AG350" s="240"/>
      <c r="AH350" s="240"/>
      <c r="AI350" s="240"/>
      <c r="AJ350" s="240"/>
      <c r="AK350" s="240"/>
      <c r="AL350" s="240"/>
      <c r="AM350" s="240"/>
      <c r="AN350" s="240"/>
      <c r="AO350" s="240"/>
      <c r="AP350" s="240"/>
      <c r="AQ350" s="240"/>
    </row>
    <row r="351" spans="1:43" ht="15.75">
      <c r="A351" s="240"/>
      <c r="B351" s="240"/>
      <c r="C351" s="240"/>
      <c r="D351" s="240"/>
      <c r="E351" s="240"/>
      <c r="F351" s="240"/>
      <c r="G351" s="240"/>
      <c r="H351" s="240"/>
      <c r="I351" s="240"/>
      <c r="J351" s="240"/>
      <c r="K351" s="240"/>
      <c r="L351" s="240"/>
      <c r="M351" s="240"/>
      <c r="N351" s="240"/>
      <c r="O351" s="240"/>
      <c r="P351" s="240"/>
      <c r="Q351" s="240"/>
      <c r="R351" s="240"/>
      <c r="S351" s="240"/>
      <c r="T351" s="240"/>
      <c r="U351" s="240"/>
      <c r="V351" s="240"/>
      <c r="W351" s="240"/>
      <c r="X351" s="240"/>
      <c r="Y351" s="240"/>
      <c r="Z351" s="240"/>
      <c r="AA351" s="240"/>
      <c r="AB351" s="241"/>
      <c r="AC351" s="241"/>
      <c r="AD351" s="241"/>
      <c r="AE351" s="241"/>
      <c r="AF351" s="240"/>
      <c r="AG351" s="240"/>
      <c r="AH351" s="240"/>
      <c r="AI351" s="240"/>
      <c r="AJ351" s="240"/>
      <c r="AK351" s="240"/>
      <c r="AL351" s="240"/>
      <c r="AM351" s="240"/>
      <c r="AN351" s="240"/>
      <c r="AO351" s="240"/>
      <c r="AP351" s="240"/>
      <c r="AQ351" s="240"/>
    </row>
    <row r="352" spans="1:43" ht="15.75">
      <c r="A352" s="240"/>
      <c r="B352" s="240"/>
      <c r="C352" s="240"/>
      <c r="D352" s="240"/>
      <c r="E352" s="240"/>
      <c r="F352" s="240"/>
      <c r="G352" s="240"/>
      <c r="H352" s="240"/>
      <c r="I352" s="240"/>
      <c r="J352" s="240"/>
      <c r="K352" s="240"/>
      <c r="L352" s="240"/>
      <c r="M352" s="240"/>
      <c r="N352" s="240"/>
      <c r="O352" s="240"/>
      <c r="P352" s="240"/>
      <c r="Q352" s="240"/>
      <c r="R352" s="240"/>
      <c r="V352" s="240"/>
      <c r="W352" s="240"/>
      <c r="X352" s="240"/>
      <c r="Y352" s="240"/>
      <c r="Z352" s="240"/>
      <c r="AA352" s="240"/>
      <c r="AB352" s="241"/>
      <c r="AC352" s="241"/>
      <c r="AD352" s="241"/>
      <c r="AE352" s="241"/>
      <c r="AF352" s="240"/>
      <c r="AG352" s="240"/>
      <c r="AH352" s="240"/>
      <c r="AI352" s="240"/>
      <c r="AJ352" s="240"/>
      <c r="AK352" s="240"/>
      <c r="AL352" s="240"/>
      <c r="AM352" s="240"/>
      <c r="AN352" s="240"/>
      <c r="AO352" s="240"/>
      <c r="AP352" s="240"/>
      <c r="AQ352" s="240"/>
    </row>
    <row r="353" spans="1:43" ht="15.75">
      <c r="A353" s="240"/>
      <c r="B353" s="240"/>
      <c r="C353" s="240"/>
      <c r="D353" s="240"/>
      <c r="E353" s="240"/>
      <c r="F353" s="240"/>
      <c r="G353" s="240"/>
      <c r="H353" s="240"/>
      <c r="I353" s="240"/>
      <c r="J353" s="240"/>
      <c r="K353" s="240"/>
      <c r="L353" s="240"/>
      <c r="M353" s="240"/>
      <c r="N353" s="240"/>
      <c r="O353" s="240"/>
      <c r="P353" s="240"/>
      <c r="Q353" s="240"/>
      <c r="R353" s="240"/>
      <c r="V353" s="240"/>
      <c r="W353" s="240"/>
      <c r="X353" s="240"/>
      <c r="Y353" s="240"/>
      <c r="Z353" s="240"/>
      <c r="AA353" s="240"/>
      <c r="AB353" s="241"/>
      <c r="AC353" s="241"/>
      <c r="AD353" s="241"/>
      <c r="AE353" s="241"/>
      <c r="AF353" s="240"/>
      <c r="AG353" s="240"/>
      <c r="AH353" s="240"/>
      <c r="AI353" s="240"/>
      <c r="AJ353" s="240"/>
      <c r="AK353" s="240"/>
      <c r="AL353" s="240"/>
      <c r="AM353" s="240"/>
      <c r="AN353" s="240"/>
      <c r="AO353" s="240"/>
      <c r="AP353" s="240"/>
      <c r="AQ353" s="240"/>
    </row>
    <row r="354" spans="1:43" ht="15.75">
      <c r="AB354" s="241"/>
      <c r="AC354" s="241"/>
      <c r="AD354" s="241"/>
      <c r="AE354" s="241"/>
      <c r="AF354" s="240"/>
      <c r="AG354" s="240"/>
      <c r="AH354" s="240"/>
      <c r="AI354" s="240"/>
      <c r="AJ354" s="240"/>
      <c r="AK354" s="240"/>
      <c r="AL354" s="240"/>
      <c r="AM354" s="240"/>
      <c r="AN354" s="240"/>
      <c r="AO354" s="240"/>
      <c r="AP354" s="240"/>
      <c r="AQ354" s="240"/>
    </row>
    <row r="355" spans="1:43" ht="15.75">
      <c r="AB355" s="241"/>
      <c r="AC355" s="241"/>
      <c r="AD355" s="241"/>
      <c r="AE355" s="241"/>
      <c r="AF355" s="240"/>
      <c r="AG355" s="240"/>
      <c r="AH355" s="240"/>
      <c r="AI355" s="240"/>
      <c r="AJ355" s="240"/>
      <c r="AK355" s="240"/>
      <c r="AL355" s="240"/>
      <c r="AM355" s="240"/>
      <c r="AN355" s="240"/>
      <c r="AO355" s="240"/>
      <c r="AP355" s="240"/>
      <c r="AQ355" s="240"/>
    </row>
    <row r="356" spans="1:43" ht="15.75">
      <c r="AB356" s="241"/>
      <c r="AC356" s="241"/>
      <c r="AD356" s="241"/>
      <c r="AE356" s="241"/>
      <c r="AF356" s="240"/>
      <c r="AG356" s="240"/>
      <c r="AH356" s="240"/>
      <c r="AI356" s="240"/>
      <c r="AJ356" s="240"/>
      <c r="AK356" s="240"/>
      <c r="AL356" s="240"/>
      <c r="AM356" s="240"/>
      <c r="AN356" s="240"/>
      <c r="AO356" s="240"/>
      <c r="AP356" s="240"/>
      <c r="AQ356" s="240"/>
    </row>
    <row r="357" spans="1:43" ht="15.75">
      <c r="AB357" s="241"/>
      <c r="AC357" s="241"/>
      <c r="AD357" s="241"/>
      <c r="AE357" s="241"/>
      <c r="AF357" s="240"/>
      <c r="AG357" s="240"/>
      <c r="AH357" s="240"/>
      <c r="AI357" s="240"/>
      <c r="AJ357" s="240"/>
      <c r="AK357" s="240"/>
      <c r="AL357" s="240"/>
      <c r="AM357" s="240"/>
      <c r="AN357" s="240"/>
      <c r="AO357" s="240"/>
      <c r="AP357" s="240"/>
      <c r="AQ357" s="240"/>
    </row>
    <row r="358" spans="1:43">
      <c r="AB358" s="240"/>
      <c r="AC358" s="240"/>
      <c r="AD358" s="240"/>
      <c r="AE358" s="240"/>
      <c r="AF358" s="240"/>
      <c r="AG358" s="240"/>
      <c r="AH358" s="240"/>
      <c r="AI358" s="240"/>
      <c r="AJ358" s="240"/>
      <c r="AK358" s="240"/>
      <c r="AL358" s="240"/>
      <c r="AM358" s="240"/>
      <c r="AN358" s="240"/>
      <c r="AO358" s="240"/>
      <c r="AP358" s="240"/>
      <c r="AQ358" s="240"/>
    </row>
    <row r="359" spans="1:43">
      <c r="AB359" s="240"/>
      <c r="AC359" s="240"/>
      <c r="AD359" s="240"/>
      <c r="AE359" s="240"/>
      <c r="AF359" s="240"/>
      <c r="AG359" s="240"/>
      <c r="AH359" s="240"/>
      <c r="AI359" s="240"/>
      <c r="AJ359" s="240"/>
      <c r="AK359" s="240"/>
      <c r="AL359" s="240"/>
      <c r="AM359" s="240"/>
      <c r="AN359" s="240"/>
      <c r="AO359" s="240"/>
      <c r="AP359" s="240"/>
      <c r="AQ359" s="240"/>
    </row>
    <row r="360" spans="1:43">
      <c r="AB360" s="240"/>
      <c r="AC360" s="240"/>
      <c r="AD360" s="240"/>
      <c r="AE360" s="240"/>
      <c r="AF360" s="240"/>
      <c r="AG360" s="240"/>
      <c r="AH360" s="240"/>
      <c r="AI360" s="240"/>
      <c r="AJ360" s="240"/>
      <c r="AK360" s="240"/>
      <c r="AL360" s="240"/>
      <c r="AM360" s="240"/>
      <c r="AN360" s="240"/>
      <c r="AO360" s="240"/>
      <c r="AP360" s="240"/>
      <c r="AQ360" s="240"/>
    </row>
    <row r="361" spans="1:43">
      <c r="AB361" s="240"/>
      <c r="AC361" s="240"/>
      <c r="AD361" s="240"/>
      <c r="AE361" s="240"/>
      <c r="AF361" s="240"/>
      <c r="AG361" s="240"/>
      <c r="AH361" s="240"/>
      <c r="AI361" s="240"/>
      <c r="AJ361" s="240"/>
      <c r="AK361" s="240"/>
      <c r="AL361" s="240"/>
      <c r="AM361" s="240"/>
      <c r="AN361" s="240"/>
      <c r="AO361" s="240"/>
      <c r="AP361" s="240"/>
      <c r="AQ361" s="240"/>
    </row>
    <row r="362" spans="1:43">
      <c r="AB362" s="240"/>
      <c r="AC362" s="240"/>
      <c r="AD362" s="240"/>
      <c r="AE362" s="240"/>
      <c r="AF362" s="240"/>
      <c r="AG362" s="240"/>
      <c r="AH362" s="240"/>
      <c r="AI362" s="240"/>
      <c r="AJ362" s="240"/>
      <c r="AK362" s="240"/>
      <c r="AL362" s="240"/>
      <c r="AM362" s="240"/>
      <c r="AN362" s="240"/>
      <c r="AO362" s="240"/>
      <c r="AP362" s="240"/>
      <c r="AQ362" s="240"/>
    </row>
    <row r="363" spans="1:43">
      <c r="AB363" s="240"/>
      <c r="AC363" s="240"/>
      <c r="AD363" s="240"/>
      <c r="AE363" s="240"/>
      <c r="AF363" s="240"/>
      <c r="AG363" s="240"/>
      <c r="AH363" s="240"/>
      <c r="AI363" s="240"/>
      <c r="AJ363" s="240"/>
      <c r="AK363" s="240"/>
      <c r="AL363" s="240"/>
      <c r="AM363" s="240"/>
      <c r="AN363" s="240"/>
      <c r="AO363" s="240"/>
      <c r="AP363" s="240"/>
      <c r="AQ363" s="240"/>
    </row>
    <row r="364" spans="1:43">
      <c r="AB364" s="240"/>
      <c r="AC364" s="240"/>
      <c r="AD364" s="240"/>
      <c r="AE364" s="240"/>
      <c r="AF364" s="240"/>
      <c r="AG364" s="240"/>
      <c r="AH364" s="240"/>
      <c r="AI364" s="240"/>
      <c r="AJ364" s="240"/>
      <c r="AK364" s="240"/>
      <c r="AL364" s="240"/>
      <c r="AM364" s="240"/>
      <c r="AN364" s="240"/>
      <c r="AO364" s="240"/>
      <c r="AP364" s="240"/>
      <c r="AQ364" s="240"/>
    </row>
    <row r="365" spans="1:43">
      <c r="AB365" s="240"/>
      <c r="AC365" s="240"/>
      <c r="AD365" s="240"/>
      <c r="AE365" s="240"/>
      <c r="AF365" s="240"/>
      <c r="AG365" s="240"/>
      <c r="AH365" s="240"/>
      <c r="AI365" s="240"/>
      <c r="AJ365" s="240"/>
      <c r="AK365" s="240"/>
      <c r="AL365" s="240"/>
      <c r="AM365" s="240"/>
      <c r="AN365" s="240"/>
      <c r="AO365" s="240"/>
      <c r="AP365" s="240"/>
      <c r="AQ365" s="240"/>
    </row>
    <row r="366" spans="1:43">
      <c r="AB366" s="240"/>
      <c r="AC366" s="240"/>
      <c r="AD366" s="240"/>
      <c r="AE366" s="240"/>
      <c r="AF366" s="240"/>
      <c r="AG366" s="240"/>
      <c r="AH366" s="240"/>
      <c r="AI366" s="240"/>
      <c r="AJ366" s="240"/>
      <c r="AK366" s="240"/>
      <c r="AL366" s="240"/>
      <c r="AM366" s="240"/>
      <c r="AN366" s="240"/>
      <c r="AO366" s="240"/>
      <c r="AP366" s="240"/>
      <c r="AQ366" s="240"/>
    </row>
    <row r="367" spans="1:43">
      <c r="AB367" s="240"/>
      <c r="AC367" s="240"/>
      <c r="AD367" s="240"/>
      <c r="AE367" s="240"/>
      <c r="AF367" s="240"/>
      <c r="AG367" s="240"/>
      <c r="AH367" s="240"/>
      <c r="AI367" s="240"/>
      <c r="AJ367" s="240"/>
      <c r="AK367" s="240"/>
      <c r="AL367" s="240"/>
      <c r="AM367" s="240"/>
      <c r="AN367" s="240"/>
      <c r="AO367" s="240"/>
      <c r="AP367" s="240"/>
      <c r="AQ367" s="240"/>
    </row>
    <row r="368" spans="1:43">
      <c r="AB368" s="240"/>
      <c r="AC368" s="240"/>
      <c r="AD368" s="240"/>
      <c r="AE368" s="240"/>
      <c r="AF368" s="240"/>
      <c r="AG368" s="240"/>
      <c r="AH368" s="240"/>
      <c r="AI368" s="240"/>
      <c r="AJ368" s="240"/>
      <c r="AK368" s="240"/>
      <c r="AL368" s="240"/>
      <c r="AM368" s="240"/>
      <c r="AN368" s="240"/>
      <c r="AO368" s="240"/>
      <c r="AP368" s="240"/>
      <c r="AQ368" s="240"/>
    </row>
    <row r="369" spans="28:43">
      <c r="AB369" s="240"/>
      <c r="AC369" s="240"/>
      <c r="AD369" s="240"/>
      <c r="AE369" s="240"/>
      <c r="AF369" s="240"/>
      <c r="AG369" s="240"/>
      <c r="AH369" s="240"/>
      <c r="AI369" s="240"/>
      <c r="AJ369" s="240"/>
      <c r="AK369" s="240"/>
      <c r="AL369" s="240"/>
      <c r="AM369" s="240"/>
      <c r="AN369" s="240"/>
      <c r="AO369" s="240"/>
      <c r="AP369" s="240"/>
      <c r="AQ369" s="240"/>
    </row>
    <row r="370" spans="28:43">
      <c r="AB370" s="240"/>
      <c r="AC370" s="240"/>
      <c r="AD370" s="240"/>
      <c r="AE370" s="240"/>
      <c r="AF370" s="240"/>
      <c r="AG370" s="240"/>
      <c r="AH370" s="240"/>
      <c r="AI370" s="240"/>
      <c r="AJ370" s="240"/>
      <c r="AK370" s="240"/>
      <c r="AL370" s="240"/>
      <c r="AM370" s="240"/>
      <c r="AN370" s="240"/>
      <c r="AO370" s="240"/>
      <c r="AP370" s="240"/>
      <c r="AQ370" s="240"/>
    </row>
  </sheetData>
  <mergeCells count="5">
    <mergeCell ref="B1:M1"/>
    <mergeCell ref="P1:Y1"/>
    <mergeCell ref="AA5:AB5"/>
    <mergeCell ref="AA4:AD4"/>
    <mergeCell ref="AC5:AD5"/>
  </mergeCells>
  <pageMargins left="0.7" right="0.7" top="0.75" bottom="0.75" header="0.3" footer="0.3"/>
  <pageSetup orientation="portrait" r:id="rId1"/>
  <ignoredErrors>
    <ignoredError sqref="U20:W20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85BFD-3680-46E9-B2FB-856ED16297C1}">
  <dimension ref="C3:X39"/>
  <sheetViews>
    <sheetView showGridLines="0" topLeftCell="A6" zoomScale="80" zoomScaleNormal="80" workbookViewId="0">
      <selection activeCell="L15" sqref="L15"/>
    </sheetView>
  </sheetViews>
  <sheetFormatPr defaultColWidth="8.88671875" defaultRowHeight="15.75"/>
  <cols>
    <col min="1" max="16384" width="8.88671875" style="576"/>
  </cols>
  <sheetData>
    <row r="3" spans="3:24" ht="25.5">
      <c r="C3" s="581" t="s">
        <v>400</v>
      </c>
    </row>
    <row r="4" spans="3:24" ht="26.25">
      <c r="C4" s="580" t="s">
        <v>399</v>
      </c>
    </row>
    <row r="5" spans="3:24" ht="26.25">
      <c r="C5" s="580" t="s">
        <v>398</v>
      </c>
    </row>
    <row r="6" spans="3:24" ht="26.25">
      <c r="C6" s="580"/>
    </row>
    <row r="8" spans="3:24" ht="20.25">
      <c r="C8" s="579" t="s">
        <v>397</v>
      </c>
      <c r="D8" s="577"/>
      <c r="E8" s="577"/>
      <c r="F8" s="577"/>
      <c r="G8" s="577"/>
      <c r="H8" s="577"/>
      <c r="I8" s="577"/>
      <c r="J8" s="577"/>
      <c r="K8" s="577"/>
      <c r="N8" s="577"/>
      <c r="O8" s="579" t="s">
        <v>396</v>
      </c>
      <c r="P8" s="577"/>
      <c r="Q8" s="577"/>
      <c r="R8" s="577"/>
      <c r="S8" s="577"/>
      <c r="T8" s="577"/>
      <c r="U8" s="577"/>
      <c r="V8" s="577"/>
      <c r="W8" s="577"/>
      <c r="X8" s="577"/>
    </row>
    <row r="9" spans="3:24">
      <c r="C9" s="577"/>
      <c r="D9" s="577"/>
      <c r="E9" s="577"/>
      <c r="F9" s="577"/>
      <c r="G9" s="577"/>
      <c r="H9" s="577"/>
      <c r="I9" s="577"/>
      <c r="J9" s="577"/>
      <c r="K9" s="577"/>
      <c r="N9" s="577"/>
      <c r="O9" s="577"/>
      <c r="P9" s="577"/>
      <c r="Q9" s="577"/>
      <c r="R9" s="577"/>
      <c r="S9" s="577"/>
      <c r="T9" s="577"/>
      <c r="U9" s="577"/>
      <c r="V9" s="577"/>
      <c r="W9" s="577"/>
      <c r="X9" s="577"/>
    </row>
    <row r="10" spans="3:24" ht="18.75">
      <c r="C10" s="578" t="s">
        <v>395</v>
      </c>
      <c r="D10" s="577"/>
      <c r="E10" s="577"/>
      <c r="F10" s="577"/>
      <c r="G10" s="577"/>
      <c r="H10" s="577"/>
      <c r="I10" s="577"/>
      <c r="J10" s="577"/>
      <c r="K10" s="577"/>
      <c r="N10" s="577"/>
      <c r="O10" s="578" t="s">
        <v>394</v>
      </c>
      <c r="P10" s="577"/>
      <c r="Q10" s="577"/>
      <c r="R10" s="577"/>
      <c r="S10" s="577"/>
      <c r="T10" s="577"/>
      <c r="U10" s="577"/>
      <c r="V10" s="577"/>
      <c r="W10" s="577"/>
      <c r="X10" s="577"/>
    </row>
    <row r="11" spans="3:24" ht="18.75">
      <c r="C11" s="578" t="s">
        <v>393</v>
      </c>
      <c r="D11" s="578"/>
      <c r="E11" s="577"/>
      <c r="F11" s="577"/>
      <c r="G11" s="577"/>
      <c r="H11" s="577"/>
      <c r="I11" s="577"/>
      <c r="J11" s="577"/>
      <c r="K11" s="577"/>
      <c r="N11" s="577"/>
      <c r="O11" s="578" t="s">
        <v>392</v>
      </c>
      <c r="P11" s="577"/>
      <c r="Q11" s="577"/>
      <c r="R11" s="577"/>
      <c r="S11" s="577"/>
      <c r="T11" s="577"/>
      <c r="U11" s="577"/>
      <c r="V11" s="577"/>
      <c r="W11" s="577"/>
      <c r="X11" s="577"/>
    </row>
    <row r="12" spans="3:24" ht="18.75">
      <c r="C12" s="578" t="s">
        <v>391</v>
      </c>
      <c r="D12" s="577"/>
      <c r="E12" s="577"/>
      <c r="F12" s="577"/>
      <c r="G12" s="577"/>
      <c r="H12" s="577"/>
      <c r="I12" s="577"/>
      <c r="J12" s="577"/>
      <c r="K12" s="577"/>
      <c r="N12" s="577"/>
      <c r="O12" s="577"/>
      <c r="P12" s="577"/>
      <c r="Q12" s="577"/>
      <c r="R12" s="577"/>
      <c r="S12" s="577"/>
      <c r="T12" s="577"/>
      <c r="U12" s="577"/>
      <c r="V12" s="577"/>
      <c r="W12" s="577"/>
      <c r="X12" s="577"/>
    </row>
    <row r="13" spans="3:24" ht="18.75">
      <c r="C13" s="578" t="s">
        <v>390</v>
      </c>
      <c r="D13" s="577"/>
      <c r="E13" s="577"/>
      <c r="F13" s="577"/>
      <c r="G13" s="577"/>
      <c r="H13" s="577"/>
      <c r="I13" s="577"/>
      <c r="J13" s="577"/>
      <c r="K13" s="577"/>
      <c r="N13" s="577"/>
      <c r="O13" s="577"/>
      <c r="P13" s="577"/>
      <c r="Q13" s="577"/>
      <c r="R13" s="577"/>
      <c r="S13" s="577"/>
      <c r="T13" s="577"/>
      <c r="U13" s="577"/>
      <c r="V13" s="577"/>
      <c r="W13" s="577"/>
      <c r="X13" s="577"/>
    </row>
    <row r="14" spans="3:24">
      <c r="C14" s="577"/>
      <c r="D14" s="577"/>
      <c r="E14" s="577"/>
      <c r="F14" s="577"/>
      <c r="G14" s="577"/>
      <c r="H14" s="577"/>
      <c r="I14" s="577"/>
      <c r="J14" s="577"/>
      <c r="K14" s="577"/>
      <c r="N14" s="577"/>
      <c r="O14" s="577"/>
      <c r="P14" s="577"/>
      <c r="Q14" s="577"/>
      <c r="R14" s="577"/>
      <c r="S14" s="577"/>
      <c r="T14" s="577"/>
      <c r="U14" s="577"/>
      <c r="V14" s="577"/>
      <c r="W14" s="577"/>
      <c r="X14" s="577"/>
    </row>
    <row r="15" spans="3:24">
      <c r="C15" s="577"/>
      <c r="D15" s="577"/>
      <c r="E15" s="577"/>
      <c r="F15" s="577"/>
      <c r="G15" s="577"/>
      <c r="H15" s="577"/>
      <c r="I15" s="577"/>
      <c r="J15" s="577"/>
      <c r="K15" s="577"/>
      <c r="N15" s="577"/>
      <c r="O15" s="577"/>
      <c r="P15" s="577"/>
      <c r="Q15" s="577"/>
      <c r="R15" s="577"/>
      <c r="S15" s="577"/>
      <c r="T15" s="577"/>
      <c r="U15" s="577"/>
      <c r="V15" s="577"/>
      <c r="W15" s="577"/>
      <c r="X15" s="577"/>
    </row>
    <row r="16" spans="3:24">
      <c r="C16" s="577"/>
      <c r="D16" s="577"/>
      <c r="E16" s="577"/>
      <c r="F16" s="577"/>
      <c r="G16" s="577"/>
      <c r="H16" s="577"/>
      <c r="I16" s="577"/>
      <c r="J16" s="577"/>
      <c r="K16" s="577"/>
      <c r="N16" s="577"/>
      <c r="O16" s="577"/>
      <c r="P16" s="577"/>
      <c r="Q16" s="577"/>
      <c r="R16" s="577"/>
      <c r="S16" s="577"/>
      <c r="T16" s="577"/>
      <c r="U16" s="577"/>
      <c r="V16" s="577"/>
      <c r="W16" s="577"/>
      <c r="X16" s="577"/>
    </row>
    <row r="17" spans="3:24">
      <c r="C17" s="577"/>
      <c r="D17" s="577"/>
      <c r="E17" s="577"/>
      <c r="F17" s="577"/>
      <c r="G17" s="577"/>
      <c r="H17" s="577"/>
      <c r="I17" s="577"/>
      <c r="J17" s="577"/>
      <c r="K17" s="577"/>
      <c r="N17" s="577"/>
      <c r="O17" s="577"/>
      <c r="P17" s="577"/>
      <c r="Q17" s="577"/>
      <c r="R17" s="577"/>
      <c r="S17" s="577"/>
      <c r="T17" s="577"/>
      <c r="U17" s="577"/>
      <c r="V17" s="577"/>
      <c r="W17" s="577"/>
      <c r="X17" s="577"/>
    </row>
    <row r="18" spans="3:24">
      <c r="C18" s="577"/>
      <c r="D18" s="577"/>
      <c r="E18" s="577"/>
      <c r="F18" s="577"/>
      <c r="G18" s="577"/>
      <c r="H18" s="577"/>
      <c r="I18" s="577"/>
      <c r="J18" s="577"/>
      <c r="K18" s="577"/>
      <c r="N18" s="577"/>
      <c r="O18" s="577"/>
      <c r="P18" s="577"/>
      <c r="Q18" s="577"/>
      <c r="R18" s="577"/>
      <c r="S18" s="577"/>
      <c r="T18" s="577"/>
      <c r="U18" s="577"/>
      <c r="V18" s="577"/>
      <c r="W18" s="577"/>
      <c r="X18" s="577"/>
    </row>
    <row r="19" spans="3:24">
      <c r="C19" s="577"/>
      <c r="D19" s="577"/>
      <c r="E19" s="577"/>
      <c r="F19" s="577"/>
      <c r="G19" s="577"/>
      <c r="H19" s="577"/>
      <c r="I19" s="577"/>
      <c r="J19" s="577"/>
      <c r="K19" s="577"/>
      <c r="N19" s="577"/>
      <c r="O19" s="577"/>
      <c r="P19" s="577"/>
      <c r="Q19" s="577"/>
      <c r="R19" s="577"/>
      <c r="S19" s="577"/>
      <c r="T19" s="577"/>
      <c r="U19" s="577"/>
      <c r="V19" s="577"/>
      <c r="W19" s="577"/>
      <c r="X19" s="577"/>
    </row>
    <row r="20" spans="3:24">
      <c r="C20" s="577"/>
      <c r="D20" s="577"/>
      <c r="E20" s="577"/>
      <c r="F20" s="577"/>
      <c r="G20" s="577"/>
      <c r="H20" s="577"/>
      <c r="I20" s="577"/>
      <c r="J20" s="577"/>
      <c r="K20" s="577"/>
      <c r="N20" s="577"/>
      <c r="O20" s="577"/>
      <c r="P20" s="577"/>
      <c r="Q20" s="577"/>
      <c r="R20" s="577"/>
      <c r="S20" s="577"/>
      <c r="T20" s="577"/>
      <c r="U20" s="577"/>
      <c r="V20" s="577"/>
      <c r="W20" s="577"/>
      <c r="X20" s="577"/>
    </row>
    <row r="21" spans="3:24">
      <c r="C21" s="577"/>
      <c r="D21" s="577"/>
      <c r="E21" s="577"/>
      <c r="F21" s="577"/>
      <c r="G21" s="577"/>
      <c r="H21" s="577"/>
      <c r="I21" s="577"/>
      <c r="J21" s="577"/>
      <c r="K21" s="577"/>
      <c r="N21" s="577"/>
      <c r="O21" s="577"/>
      <c r="P21" s="577"/>
      <c r="Q21" s="577"/>
      <c r="R21" s="577"/>
      <c r="S21" s="577"/>
      <c r="T21" s="577"/>
      <c r="U21" s="577"/>
      <c r="V21" s="577"/>
      <c r="W21" s="577"/>
      <c r="X21" s="577"/>
    </row>
    <row r="22" spans="3:24">
      <c r="C22" s="577"/>
      <c r="D22" s="577"/>
      <c r="E22" s="577"/>
      <c r="F22" s="577"/>
      <c r="G22" s="577"/>
      <c r="H22" s="577"/>
      <c r="I22" s="577"/>
      <c r="J22" s="577"/>
      <c r="K22" s="577"/>
      <c r="N22" s="577"/>
      <c r="O22" s="577"/>
      <c r="P22" s="577"/>
      <c r="Q22" s="577"/>
      <c r="R22" s="577"/>
      <c r="S22" s="577"/>
      <c r="T22" s="577"/>
      <c r="U22" s="577"/>
      <c r="V22" s="577"/>
      <c r="W22" s="577"/>
      <c r="X22" s="577"/>
    </row>
    <row r="23" spans="3:24">
      <c r="C23" s="577"/>
      <c r="D23" s="577"/>
      <c r="E23" s="577"/>
      <c r="F23" s="577"/>
      <c r="G23" s="577"/>
      <c r="H23" s="577"/>
      <c r="I23" s="577"/>
      <c r="J23" s="577"/>
      <c r="K23" s="577"/>
      <c r="N23" s="577"/>
      <c r="O23" s="577"/>
      <c r="P23" s="577"/>
      <c r="Q23" s="577"/>
      <c r="R23" s="577"/>
      <c r="S23" s="577"/>
      <c r="T23" s="577"/>
      <c r="U23" s="577"/>
      <c r="V23" s="577"/>
      <c r="W23" s="577"/>
      <c r="X23" s="577"/>
    </row>
    <row r="24" spans="3:24">
      <c r="C24" s="577"/>
      <c r="D24" s="577"/>
      <c r="E24" s="577"/>
      <c r="F24" s="577"/>
      <c r="G24" s="577"/>
      <c r="H24" s="577"/>
      <c r="I24" s="577"/>
      <c r="J24" s="577"/>
      <c r="K24" s="577"/>
      <c r="N24" s="577"/>
      <c r="O24" s="577"/>
      <c r="P24" s="577"/>
      <c r="Q24" s="577"/>
      <c r="R24" s="577"/>
      <c r="S24" s="577"/>
      <c r="T24" s="577"/>
      <c r="U24" s="577"/>
      <c r="V24" s="577"/>
      <c r="W24" s="577"/>
      <c r="X24" s="577"/>
    </row>
    <row r="25" spans="3:24">
      <c r="C25" s="577"/>
      <c r="D25" s="577"/>
      <c r="E25" s="577"/>
      <c r="F25" s="577"/>
      <c r="G25" s="577"/>
      <c r="H25" s="577"/>
      <c r="I25" s="577"/>
      <c r="J25" s="577"/>
      <c r="K25" s="577"/>
      <c r="N25" s="577"/>
      <c r="O25" s="577"/>
      <c r="P25" s="577"/>
      <c r="Q25" s="577"/>
      <c r="R25" s="577"/>
      <c r="S25" s="577"/>
      <c r="T25" s="577"/>
      <c r="U25" s="577"/>
      <c r="V25" s="577"/>
      <c r="W25" s="577"/>
      <c r="X25" s="577"/>
    </row>
    <row r="26" spans="3:24">
      <c r="C26" s="577"/>
      <c r="D26" s="577"/>
      <c r="E26" s="577"/>
      <c r="F26" s="577"/>
      <c r="G26" s="577"/>
      <c r="H26" s="577"/>
      <c r="I26" s="577"/>
      <c r="J26" s="577"/>
      <c r="K26" s="577"/>
      <c r="N26" s="577"/>
      <c r="O26" s="577"/>
      <c r="P26" s="577"/>
      <c r="Q26" s="577"/>
      <c r="R26" s="577"/>
      <c r="S26" s="577"/>
      <c r="T26" s="577"/>
      <c r="U26" s="577"/>
      <c r="V26" s="577"/>
      <c r="W26" s="577"/>
      <c r="X26" s="577"/>
    </row>
    <row r="27" spans="3:24">
      <c r="C27" s="577"/>
      <c r="D27" s="577"/>
      <c r="E27" s="577"/>
      <c r="F27" s="577"/>
      <c r="G27" s="577"/>
      <c r="H27" s="577"/>
      <c r="I27" s="577"/>
      <c r="J27" s="577"/>
      <c r="K27" s="577"/>
      <c r="N27" s="577"/>
      <c r="O27" s="577"/>
      <c r="P27" s="577"/>
      <c r="Q27" s="577"/>
      <c r="R27" s="577"/>
      <c r="S27" s="577"/>
      <c r="T27" s="577"/>
      <c r="U27" s="577"/>
      <c r="V27" s="577"/>
      <c r="W27" s="577"/>
      <c r="X27" s="577"/>
    </row>
    <row r="28" spans="3:24">
      <c r="C28" s="577"/>
      <c r="D28" s="577"/>
      <c r="E28" s="577"/>
      <c r="F28" s="577"/>
      <c r="G28" s="577"/>
      <c r="H28" s="577"/>
      <c r="I28" s="577"/>
      <c r="J28" s="577"/>
      <c r="K28" s="577"/>
      <c r="N28" s="577"/>
      <c r="O28" s="577"/>
      <c r="P28" s="577"/>
      <c r="Q28" s="577"/>
      <c r="R28" s="577"/>
      <c r="S28" s="577"/>
      <c r="T28" s="577"/>
      <c r="U28" s="577"/>
      <c r="V28" s="577"/>
      <c r="W28" s="577"/>
      <c r="X28" s="577"/>
    </row>
    <row r="29" spans="3:24">
      <c r="C29" s="577"/>
      <c r="D29" s="577"/>
      <c r="E29" s="577"/>
      <c r="F29" s="577"/>
      <c r="G29" s="577"/>
      <c r="H29" s="577"/>
      <c r="I29" s="577"/>
      <c r="J29" s="577"/>
      <c r="K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</row>
    <row r="30" spans="3:24">
      <c r="C30" s="577"/>
      <c r="D30" s="577"/>
      <c r="E30" s="577"/>
      <c r="F30" s="577"/>
      <c r="G30" s="577"/>
      <c r="H30" s="577"/>
      <c r="I30" s="577"/>
      <c r="J30" s="577"/>
      <c r="K30" s="577"/>
      <c r="N30" s="577"/>
      <c r="O30" s="577"/>
      <c r="P30" s="577"/>
      <c r="Q30" s="577"/>
      <c r="R30" s="577"/>
      <c r="S30" s="577"/>
      <c r="T30" s="577"/>
      <c r="U30" s="577"/>
      <c r="V30" s="577"/>
      <c r="W30" s="577"/>
      <c r="X30" s="577"/>
    </row>
    <row r="31" spans="3:24">
      <c r="C31" s="577"/>
      <c r="D31" s="577"/>
      <c r="E31" s="577"/>
      <c r="F31" s="577"/>
      <c r="G31" s="577"/>
      <c r="H31" s="577"/>
      <c r="I31" s="577"/>
      <c r="J31" s="577"/>
      <c r="K31" s="577"/>
      <c r="N31" s="577"/>
      <c r="O31" s="577"/>
      <c r="P31" s="577"/>
      <c r="Q31" s="577"/>
      <c r="R31" s="577"/>
      <c r="S31" s="577"/>
      <c r="T31" s="577"/>
      <c r="U31" s="577"/>
      <c r="V31" s="577"/>
      <c r="W31" s="577"/>
      <c r="X31" s="577"/>
    </row>
    <row r="32" spans="3:24">
      <c r="C32" s="577"/>
      <c r="D32" s="577"/>
      <c r="E32" s="577"/>
      <c r="F32" s="577"/>
      <c r="G32" s="577"/>
      <c r="H32" s="577"/>
      <c r="I32" s="577"/>
      <c r="J32" s="577"/>
      <c r="K32" s="577"/>
      <c r="N32" s="577"/>
      <c r="O32" s="577"/>
      <c r="P32" s="577"/>
      <c r="Q32" s="577"/>
      <c r="R32" s="577"/>
      <c r="S32" s="577"/>
      <c r="T32" s="577"/>
      <c r="U32" s="577"/>
      <c r="V32" s="577"/>
      <c r="W32" s="577"/>
      <c r="X32" s="577"/>
    </row>
    <row r="33" spans="3:24">
      <c r="C33" s="577"/>
      <c r="D33" s="577"/>
      <c r="E33" s="577"/>
      <c r="F33" s="577"/>
      <c r="G33" s="577"/>
      <c r="H33" s="577"/>
      <c r="I33" s="577"/>
      <c r="J33" s="577"/>
      <c r="K33" s="577"/>
      <c r="N33" s="577"/>
      <c r="O33" s="577"/>
      <c r="P33" s="577"/>
      <c r="Q33" s="577"/>
      <c r="R33" s="577"/>
      <c r="S33" s="577"/>
      <c r="T33" s="577"/>
      <c r="U33" s="577"/>
      <c r="V33" s="577"/>
      <c r="W33" s="577"/>
      <c r="X33" s="577"/>
    </row>
    <row r="34" spans="3:24">
      <c r="C34" s="577"/>
      <c r="D34" s="577"/>
      <c r="E34" s="577"/>
      <c r="F34" s="577"/>
      <c r="G34" s="577"/>
      <c r="H34" s="577"/>
      <c r="I34" s="577"/>
      <c r="J34" s="577"/>
      <c r="K34" s="577"/>
      <c r="N34" s="577"/>
      <c r="O34" s="577"/>
      <c r="P34" s="577"/>
      <c r="Q34" s="577"/>
      <c r="R34" s="577"/>
      <c r="S34" s="577"/>
      <c r="T34" s="577"/>
      <c r="U34" s="577"/>
      <c r="V34" s="577"/>
      <c r="W34" s="577"/>
      <c r="X34" s="577"/>
    </row>
    <row r="35" spans="3:24">
      <c r="C35" s="577"/>
      <c r="D35" s="577"/>
      <c r="E35" s="577"/>
      <c r="F35" s="577"/>
      <c r="G35" s="577"/>
      <c r="H35" s="577"/>
      <c r="I35" s="577"/>
      <c r="J35" s="577"/>
      <c r="K35" s="577"/>
      <c r="N35" s="577"/>
      <c r="O35" s="577"/>
      <c r="P35" s="577"/>
      <c r="Q35" s="577"/>
      <c r="R35" s="577"/>
      <c r="S35" s="577"/>
      <c r="T35" s="577"/>
      <c r="U35" s="577"/>
      <c r="V35" s="577"/>
      <c r="W35" s="577"/>
      <c r="X35" s="577"/>
    </row>
    <row r="36" spans="3:24">
      <c r="C36" s="577"/>
      <c r="D36" s="577"/>
      <c r="E36" s="577"/>
      <c r="F36" s="577"/>
      <c r="G36" s="577"/>
      <c r="H36" s="577"/>
      <c r="I36" s="577"/>
      <c r="J36" s="577"/>
      <c r="K36" s="577"/>
      <c r="N36" s="577"/>
      <c r="O36" s="577"/>
      <c r="P36" s="577"/>
      <c r="Q36" s="577"/>
      <c r="R36" s="577"/>
      <c r="S36" s="577"/>
      <c r="T36" s="577"/>
      <c r="U36" s="577"/>
      <c r="V36" s="577"/>
      <c r="W36" s="577"/>
      <c r="X36" s="577"/>
    </row>
    <row r="37" spans="3:24">
      <c r="C37" s="577"/>
      <c r="D37" s="577"/>
      <c r="E37" s="577"/>
      <c r="F37" s="577"/>
      <c r="G37" s="577"/>
      <c r="H37" s="577"/>
      <c r="I37" s="577"/>
      <c r="J37" s="577"/>
      <c r="K37" s="577"/>
      <c r="N37" s="577"/>
      <c r="O37" s="577"/>
      <c r="P37" s="577"/>
      <c r="Q37" s="577"/>
      <c r="R37" s="577"/>
      <c r="S37" s="577"/>
      <c r="T37" s="577"/>
      <c r="U37" s="577"/>
      <c r="V37" s="577"/>
      <c r="W37" s="577"/>
      <c r="X37" s="577"/>
    </row>
    <row r="38" spans="3:24">
      <c r="C38" s="577"/>
      <c r="D38" s="577"/>
      <c r="E38" s="577"/>
      <c r="F38" s="577"/>
      <c r="G38" s="577"/>
      <c r="H38" s="577"/>
      <c r="I38" s="577"/>
      <c r="J38" s="577"/>
      <c r="K38" s="577"/>
      <c r="N38" s="577"/>
      <c r="O38" s="577"/>
      <c r="P38" s="577"/>
      <c r="Q38" s="577"/>
      <c r="R38" s="577"/>
      <c r="S38" s="577"/>
      <c r="T38" s="577"/>
      <c r="U38" s="577"/>
      <c r="V38" s="577"/>
      <c r="W38" s="577"/>
      <c r="X38" s="577"/>
    </row>
    <row r="39" spans="3:24">
      <c r="N39" s="577"/>
      <c r="O39" s="577"/>
      <c r="P39" s="577"/>
      <c r="Q39" s="577"/>
      <c r="R39" s="577"/>
      <c r="S39" s="577"/>
      <c r="T39" s="577"/>
      <c r="U39" s="577"/>
      <c r="V39" s="577"/>
      <c r="W39" s="577"/>
      <c r="X39" s="57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 tint="0.59999389629810485"/>
  </sheetPr>
  <dimension ref="A1:AT113"/>
  <sheetViews>
    <sheetView workbookViewId="0">
      <selection activeCell="C5" sqref="C5"/>
    </sheetView>
  </sheetViews>
  <sheetFormatPr defaultColWidth="13" defaultRowHeight="15"/>
  <cols>
    <col min="1" max="1" width="3.77734375" customWidth="1"/>
    <col min="2" max="2" width="26.109375" style="52" bestFit="1" customWidth="1"/>
    <col min="3" max="3" width="16.5546875" style="52" customWidth="1"/>
    <col min="4" max="4" width="16.5546875" style="52" hidden="1" customWidth="1"/>
    <col min="5" max="5" width="5.6640625" style="52" customWidth="1"/>
    <col min="6" max="6" width="4.44140625" customWidth="1"/>
    <col min="7" max="7" width="6.6640625" customWidth="1"/>
    <col min="8" max="8" width="11.6640625" customWidth="1"/>
    <col min="9" max="9" width="13.77734375" customWidth="1"/>
    <col min="10" max="10" width="10.33203125" customWidth="1"/>
    <col min="11" max="11" width="11.77734375" bestFit="1" customWidth="1"/>
    <col min="12" max="13" width="14.33203125" customWidth="1"/>
    <col min="14" max="14" width="11.33203125" customWidth="1"/>
    <col min="15" max="15" width="4.88671875" style="52" customWidth="1"/>
    <col min="16" max="16" width="31.44140625" style="52" customWidth="1"/>
    <col min="17" max="17" width="13" style="25"/>
    <col min="18" max="18" width="10.77734375" style="1" customWidth="1"/>
    <col min="20" max="20" width="10.44140625" customWidth="1"/>
    <col min="21" max="21" width="12.21875" customWidth="1"/>
    <col min="23" max="24" width="13.77734375" customWidth="1"/>
    <col min="25" max="25" width="12.44140625" customWidth="1"/>
    <col min="27" max="27" width="12.33203125" customWidth="1"/>
    <col min="30" max="30" width="12.77734375" customWidth="1"/>
    <col min="31" max="31" width="13.44140625" customWidth="1"/>
    <col min="32" max="32" width="16.109375" customWidth="1"/>
    <col min="33" max="33" width="14.109375" customWidth="1"/>
    <col min="34" max="34" width="12.77734375" customWidth="1"/>
    <col min="36" max="36" width="10.77734375" customWidth="1"/>
    <col min="37" max="37" width="12.77734375" customWidth="1"/>
    <col min="38" max="49" width="11.77734375" customWidth="1"/>
  </cols>
  <sheetData>
    <row r="1" spans="1:35" s="39" customFormat="1" ht="15.75" thickBot="1">
      <c r="A1" s="43"/>
      <c r="B1" s="41"/>
      <c r="C1" s="41"/>
      <c r="D1" s="41"/>
      <c r="E1" s="41"/>
      <c r="F1" s="41"/>
      <c r="G1" s="41"/>
      <c r="H1" s="41"/>
      <c r="I1" s="42"/>
      <c r="J1" s="42"/>
      <c r="K1" s="42"/>
      <c r="L1" s="42"/>
      <c r="M1" s="42"/>
      <c r="N1" s="42"/>
      <c r="O1" s="41"/>
      <c r="P1" s="41"/>
      <c r="Q1" s="70"/>
      <c r="R1" s="40"/>
    </row>
    <row r="2" spans="1:35" ht="19.5" thickBot="1">
      <c r="A2" s="43"/>
      <c r="B2" s="557" t="s">
        <v>106</v>
      </c>
      <c r="C2" s="557"/>
      <c r="D2" s="43"/>
      <c r="E2" s="43"/>
      <c r="F2" s="169" t="s">
        <v>112</v>
      </c>
      <c r="G2" s="98"/>
      <c r="H2" s="98"/>
      <c r="I2" s="99" t="s">
        <v>123</v>
      </c>
      <c r="J2" s="98"/>
      <c r="K2" s="98"/>
      <c r="L2" s="98"/>
      <c r="M2" s="169" t="s">
        <v>112</v>
      </c>
      <c r="O2" s="43"/>
      <c r="P2" s="43"/>
      <c r="R2" s="36" t="s">
        <v>1</v>
      </c>
      <c r="S2" s="37"/>
      <c r="T2" s="38"/>
      <c r="AF2" s="558" t="s">
        <v>92</v>
      </c>
      <c r="AG2" s="559"/>
      <c r="AH2" s="559"/>
      <c r="AI2" s="560"/>
    </row>
    <row r="3" spans="1:35" ht="15.75">
      <c r="A3" s="43"/>
      <c r="B3" s="43"/>
      <c r="C3" s="43"/>
      <c r="D3" s="43"/>
      <c r="E3" s="43"/>
      <c r="F3" s="138"/>
      <c r="G3" s="72"/>
      <c r="K3" s="179" t="s">
        <v>121</v>
      </c>
      <c r="M3" s="179" t="s">
        <v>120</v>
      </c>
      <c r="O3" s="43"/>
      <c r="P3" s="43"/>
      <c r="R3"/>
      <c r="T3" t="s">
        <v>8</v>
      </c>
      <c r="V3" s="1" t="s">
        <v>8</v>
      </c>
      <c r="W3" s="1" t="s">
        <v>8</v>
      </c>
      <c r="X3" s="1" t="s">
        <v>8</v>
      </c>
      <c r="Y3" s="1" t="s">
        <v>9</v>
      </c>
      <c r="Z3" s="1" t="s">
        <v>9</v>
      </c>
      <c r="AA3" s="1" t="s">
        <v>9</v>
      </c>
      <c r="AB3" s="1" t="s">
        <v>9</v>
      </c>
      <c r="AC3" s="1" t="s">
        <v>9</v>
      </c>
      <c r="AD3" s="1" t="s">
        <v>9</v>
      </c>
      <c r="AE3" s="1" t="s">
        <v>86</v>
      </c>
      <c r="AF3" s="1" t="s">
        <v>12</v>
      </c>
      <c r="AG3" s="1" t="s">
        <v>89</v>
      </c>
      <c r="AH3" s="1"/>
    </row>
    <row r="4" spans="1:35" ht="19.5" thickBot="1">
      <c r="A4" s="43"/>
      <c r="B4" s="133" t="s">
        <v>115</v>
      </c>
      <c r="C4" s="170"/>
      <c r="D4" s="116"/>
      <c r="E4" s="43"/>
      <c r="F4" s="178"/>
      <c r="G4" s="72"/>
      <c r="H4" s="77" t="s">
        <v>2</v>
      </c>
      <c r="I4" s="77" t="s">
        <v>3</v>
      </c>
      <c r="J4" s="77" t="s">
        <v>4</v>
      </c>
      <c r="K4" s="77" t="s">
        <v>5</v>
      </c>
      <c r="L4" s="77" t="s">
        <v>6</v>
      </c>
      <c r="M4" s="77" t="s">
        <v>7</v>
      </c>
      <c r="O4" s="45"/>
      <c r="P4" s="43"/>
      <c r="R4"/>
      <c r="T4" s="1" t="s">
        <v>14</v>
      </c>
      <c r="V4" s="1" t="s">
        <v>15</v>
      </c>
      <c r="W4" s="1" t="s">
        <v>16</v>
      </c>
      <c r="X4" s="1" t="s">
        <v>17</v>
      </c>
      <c r="Y4" s="1" t="s">
        <v>18</v>
      </c>
      <c r="Z4" s="1" t="s">
        <v>18</v>
      </c>
      <c r="AA4" s="1" t="s">
        <v>18</v>
      </c>
      <c r="AB4" s="1" t="s">
        <v>16</v>
      </c>
      <c r="AC4" s="1" t="s">
        <v>14</v>
      </c>
      <c r="AD4" s="1" t="s">
        <v>14</v>
      </c>
      <c r="AE4" s="1" t="s">
        <v>93</v>
      </c>
      <c r="AF4" s="1" t="s">
        <v>88</v>
      </c>
      <c r="AG4" s="1" t="s">
        <v>90</v>
      </c>
      <c r="AH4" s="1" t="s">
        <v>91</v>
      </c>
      <c r="AI4" s="1" t="s">
        <v>87</v>
      </c>
    </row>
    <row r="5" spans="1:35" ht="15.75">
      <c r="A5" s="43"/>
      <c r="B5" s="134" t="s">
        <v>32</v>
      </c>
      <c r="C5" s="575">
        <f>'Pro Forma IS'!P3</f>
        <v>358220.42499999999</v>
      </c>
      <c r="D5" s="116"/>
      <c r="E5" s="43"/>
      <c r="F5" s="139" t="s">
        <v>10</v>
      </c>
      <c r="G5" s="76"/>
      <c r="H5" s="76"/>
      <c r="I5" s="77" t="s">
        <v>11</v>
      </c>
      <c r="J5" s="77" t="s">
        <v>12</v>
      </c>
      <c r="K5" s="78" t="s">
        <v>13</v>
      </c>
      <c r="L5" s="78" t="s">
        <v>118</v>
      </c>
      <c r="M5" s="78" t="s">
        <v>12</v>
      </c>
      <c r="O5" s="49"/>
      <c r="P5" s="43"/>
      <c r="R5" s="2"/>
      <c r="T5" s="1" t="s">
        <v>22</v>
      </c>
      <c r="U5" s="1" t="s">
        <v>23</v>
      </c>
      <c r="V5" s="1" t="s">
        <v>24</v>
      </c>
      <c r="W5" s="1" t="s">
        <v>25</v>
      </c>
      <c r="X5" s="1" t="s">
        <v>26</v>
      </c>
      <c r="Y5" s="1" t="s">
        <v>27</v>
      </c>
      <c r="Z5" s="1" t="s">
        <v>28</v>
      </c>
      <c r="AA5" s="1" t="s">
        <v>29</v>
      </c>
      <c r="AB5" s="1" t="s">
        <v>30</v>
      </c>
      <c r="AC5" s="1" t="s">
        <v>22</v>
      </c>
      <c r="AD5" s="1" t="s">
        <v>31</v>
      </c>
      <c r="AE5" s="1" t="s">
        <v>20</v>
      </c>
      <c r="AF5" s="1" t="s">
        <v>85</v>
      </c>
      <c r="AG5" s="1" t="s">
        <v>85</v>
      </c>
      <c r="AH5" s="1" t="s">
        <v>20</v>
      </c>
      <c r="AI5" s="1" t="s">
        <v>86</v>
      </c>
    </row>
    <row r="6" spans="1:35" ht="15.75">
      <c r="A6" s="43"/>
      <c r="B6" s="134" t="s">
        <v>33</v>
      </c>
      <c r="C6" s="130">
        <f>'Pro Forma IS'!V44</f>
        <v>233950.06173355138</v>
      </c>
      <c r="D6" s="116"/>
      <c r="E6" s="43"/>
      <c r="F6" s="140" t="s">
        <v>19</v>
      </c>
      <c r="G6" s="76"/>
      <c r="H6" s="76"/>
      <c r="I6" s="95"/>
      <c r="J6" s="97" t="s">
        <v>117</v>
      </c>
      <c r="K6" s="96"/>
      <c r="L6" s="97" t="s">
        <v>119</v>
      </c>
      <c r="M6" s="97" t="s">
        <v>21</v>
      </c>
      <c r="O6" s="49"/>
      <c r="P6" s="43"/>
      <c r="R6" s="3">
        <v>1</v>
      </c>
      <c r="S6" s="117">
        <f>Revenue/Investment*100</f>
        <v>416.05339096750276</v>
      </c>
      <c r="T6" s="118">
        <f>EXP(y_inter1-(slope*LN(+S6)))</f>
        <v>4.9506241969734281</v>
      </c>
      <c r="U6" s="119">
        <f>(+S6*T6/100)/100</f>
        <v>0.20597239845565649</v>
      </c>
      <c r="V6" s="119">
        <f>regDebt_weighted</f>
        <v>3.5860000000000003E-2</v>
      </c>
      <c r="W6" s="119">
        <f>+U6-V6</f>
        <v>0.17011239845565648</v>
      </c>
      <c r="X6" s="119">
        <f>+((W6*(1-0.34))-Pfd_weighted)/Equity_percent</f>
        <v>0.30838425285096882</v>
      </c>
      <c r="Y6" s="119">
        <f>X6*equityP</f>
        <v>0.18503055171058128</v>
      </c>
      <c r="Z6" s="119">
        <f>+Y6/(1-taxrate)</f>
        <v>0.23421588824124212</v>
      </c>
      <c r="AA6" s="119">
        <f>debtP*Debt_Rate</f>
        <v>2.6000000000000002E-2</v>
      </c>
      <c r="AB6" s="119">
        <f>AA6+Z6</f>
        <v>0.26021588824124214</v>
      </c>
      <c r="AC6" s="119">
        <f>AB6/(S6/100)</f>
        <v>6.2543869102022809E-2</v>
      </c>
      <c r="AD6" s="119">
        <f>1-AC6</f>
        <v>0.93745613089797719</v>
      </c>
      <c r="AE6" s="120">
        <f>expenses/(AD6)</f>
        <v>249558.41027937341</v>
      </c>
      <c r="AF6" s="121">
        <f>+AE6-Revenue</f>
        <v>-108662.01472062658</v>
      </c>
      <c r="AG6" s="122">
        <f ca="1">+AF6/$J$49</f>
        <v>-120680.73524959914</v>
      </c>
      <c r="AH6" s="122">
        <f ca="1">+AG6*$J$47</f>
        <v>-2727.3846166409407</v>
      </c>
      <c r="AI6" s="120">
        <f ca="1">ROUND(+AH6+AE6,5)</f>
        <v>246831.02566000001</v>
      </c>
    </row>
    <row r="7" spans="1:35" ht="15.75">
      <c r="A7" s="43"/>
      <c r="B7" s="134" t="s">
        <v>104</v>
      </c>
      <c r="C7" s="130">
        <f>Assets!P43</f>
        <v>86099.628744037807</v>
      </c>
      <c r="D7" s="116"/>
      <c r="E7" s="43"/>
      <c r="F7" s="141">
        <v>1</v>
      </c>
      <c r="G7" s="76"/>
      <c r="H7" s="79" t="s">
        <v>32</v>
      </c>
      <c r="I7" s="80">
        <f>IF(A65=TRUE,C5,0)</f>
        <v>358220.42499999999</v>
      </c>
      <c r="J7" s="80">
        <f ca="1">(+$I8/($R51))-I7</f>
        <v>-104975.6433527442</v>
      </c>
      <c r="K7" s="80">
        <f ca="1">+I7+J7</f>
        <v>253244.78164725579</v>
      </c>
      <c r="L7" s="80">
        <f ca="1">((+J7/J49*K35)-J7)</f>
        <v>-2634.857779311089</v>
      </c>
      <c r="M7" s="80">
        <f ca="1">IFERROR(+K7+L7,0.00001)</f>
        <v>250609.92386794469</v>
      </c>
      <c r="O7" s="49"/>
      <c r="P7" s="43"/>
      <c r="R7" s="35">
        <v>2</v>
      </c>
      <c r="S7" s="123">
        <f>Revenue/Investment*100</f>
        <v>416.05339096750276</v>
      </c>
      <c r="T7" s="6">
        <f>EXP(y_inter1-(slope*LN(+S7)))</f>
        <v>4.9506241969734281</v>
      </c>
      <c r="U7" s="4">
        <f>(+S7*T7/100)/100</f>
        <v>0.20597239845565649</v>
      </c>
      <c r="V7" s="4">
        <f>regDebt_weighted</f>
        <v>3.5860000000000003E-2</v>
      </c>
      <c r="W7" s="4">
        <f>+U7-V7</f>
        <v>0.17011239845565648</v>
      </c>
      <c r="X7" s="4">
        <f>+((W7*(1-0.34))-Pfd_weighted)/Equity_percent</f>
        <v>0.30838425285096882</v>
      </c>
      <c r="Y7" s="4">
        <f>X7*equityP</f>
        <v>0.18503055171058128</v>
      </c>
      <c r="Z7" s="4">
        <f>+Y7/(1-taxrate)</f>
        <v>0.23421588824124212</v>
      </c>
      <c r="AA7" s="4">
        <f>debtP*Debt_Rate</f>
        <v>2.6000000000000002E-2</v>
      </c>
      <c r="AB7" s="4">
        <f>AA7+Z7</f>
        <v>0.26021588824124214</v>
      </c>
      <c r="AC7" s="4">
        <f>AB7/(S7/100)</f>
        <v>6.2543869102022809E-2</v>
      </c>
      <c r="AD7" s="4">
        <f>1-AC7</f>
        <v>0.93745613089797719</v>
      </c>
      <c r="AE7" s="124">
        <f>expenses/(AD7)</f>
        <v>249558.41027937341</v>
      </c>
      <c r="AF7" s="125">
        <f>+AE7-Revenue</f>
        <v>-108662.01472062658</v>
      </c>
      <c r="AG7" s="126">
        <f ca="1">+AF7/$J$49</f>
        <v>-120680.73524959914</v>
      </c>
      <c r="AH7" s="126">
        <f ca="1">+AG7*$J$47</f>
        <v>-2727.3846166409407</v>
      </c>
      <c r="AI7" s="124">
        <f ca="1">ROUND(+AH7+AE7,5)</f>
        <v>246831.02566000001</v>
      </c>
    </row>
    <row r="8" spans="1:35" ht="15.75">
      <c r="A8" s="43"/>
      <c r="B8" s="134" t="s">
        <v>114</v>
      </c>
      <c r="C8" s="131">
        <v>0.4</v>
      </c>
      <c r="D8" s="116"/>
      <c r="E8" s="43"/>
      <c r="F8" s="142">
        <f>+F7+1</f>
        <v>2</v>
      </c>
      <c r="G8" s="76"/>
      <c r="H8" s="79" t="s">
        <v>33</v>
      </c>
      <c r="I8" s="80">
        <f>IF(A65=TRUE,C6,0)</f>
        <v>233950.06173355138</v>
      </c>
      <c r="J8" s="72"/>
      <c r="K8" s="80">
        <f>+I8</f>
        <v>233950.06173355138</v>
      </c>
      <c r="L8" s="80">
        <f ca="1">+L7</f>
        <v>-2634.857779311089</v>
      </c>
      <c r="M8" s="80">
        <f ca="1">IFERROR(+K8+L8,0.00001)</f>
        <v>231315.20395424031</v>
      </c>
      <c r="O8" s="49"/>
      <c r="P8" s="43"/>
      <c r="R8" s="5">
        <v>3</v>
      </c>
      <c r="S8" s="123">
        <f>Revenue/Investment*100</f>
        <v>416.05339096750276</v>
      </c>
      <c r="T8" s="6">
        <f>EXP(y_inter1-(slope*LN(+S8)))</f>
        <v>4.9506241969734281</v>
      </c>
      <c r="U8" s="4">
        <f>(+S8*T8/100)/100</f>
        <v>0.20597239845565649</v>
      </c>
      <c r="V8" s="4">
        <f>regDebt_weighted</f>
        <v>3.5860000000000003E-2</v>
      </c>
      <c r="W8" s="4">
        <f>+U8-V8</f>
        <v>0.17011239845565648</v>
      </c>
      <c r="X8" s="4">
        <f>+((W8*(1-0.34))-Pfd_weighted)/Equity_percent</f>
        <v>0.30838425285096882</v>
      </c>
      <c r="Y8" s="4">
        <f>X8*equityP</f>
        <v>0.18503055171058128</v>
      </c>
      <c r="Z8" s="4">
        <f>+Y8/(1-taxrate)</f>
        <v>0.23421588824124212</v>
      </c>
      <c r="AA8" s="4">
        <f>debtP*Debt_Rate</f>
        <v>2.6000000000000002E-2</v>
      </c>
      <c r="AB8" s="4">
        <f>AA8+Z8</f>
        <v>0.26021588824124214</v>
      </c>
      <c r="AC8" s="4">
        <f>AB8/(S8/100)</f>
        <v>6.2543869102022809E-2</v>
      </c>
      <c r="AD8" s="4">
        <f>1-AC8</f>
        <v>0.93745613089797719</v>
      </c>
      <c r="AE8" s="124">
        <f>expenses/(AD8)</f>
        <v>249558.41027937341</v>
      </c>
      <c r="AF8" s="125">
        <f>+AE8-Revenue</f>
        <v>-108662.01472062658</v>
      </c>
      <c r="AG8" s="126">
        <f ca="1">+AF8/$J$49</f>
        <v>-120680.73524959914</v>
      </c>
      <c r="AH8" s="126">
        <f ca="1">+AG8*$J$47</f>
        <v>-2727.3846166409407</v>
      </c>
      <c r="AI8" s="124">
        <f ca="1">ROUND(+AH8+AE8,5)</f>
        <v>246831.02566000001</v>
      </c>
    </row>
    <row r="9" spans="1:35" ht="15.75">
      <c r="A9" s="43"/>
      <c r="B9" s="134" t="s">
        <v>113</v>
      </c>
      <c r="C9" s="131">
        <v>6.5000000000000002E-2</v>
      </c>
      <c r="D9" s="116"/>
      <c r="E9" s="43"/>
      <c r="F9" s="142">
        <f t="shared" ref="F9:F49" si="0">+F8+1</f>
        <v>3</v>
      </c>
      <c r="G9" s="76"/>
      <c r="H9" s="79" t="s">
        <v>34</v>
      </c>
      <c r="I9" s="81">
        <f>+I7-I8</f>
        <v>124270.36326644861</v>
      </c>
      <c r="J9" s="72"/>
      <c r="K9" s="81">
        <f ca="1">+K7-K8</f>
        <v>19294.719913704408</v>
      </c>
      <c r="L9" s="76"/>
      <c r="M9" s="81">
        <f ca="1">+M7-M8</f>
        <v>19294.719913704379</v>
      </c>
      <c r="O9" s="49"/>
      <c r="P9" s="43"/>
      <c r="R9" s="7">
        <v>4</v>
      </c>
      <c r="S9" s="123">
        <f>Revenue/Investment*100</f>
        <v>416.05339096750276</v>
      </c>
      <c r="T9" s="6">
        <f>EXP(y_inter1-(slope*LN(+S9)))</f>
        <v>4.9506241969734281</v>
      </c>
      <c r="U9" s="4">
        <f>(+S9*T9/100)/100</f>
        <v>0.20597239845565649</v>
      </c>
      <c r="V9" s="4">
        <f>regDebt_weighted</f>
        <v>3.5860000000000003E-2</v>
      </c>
      <c r="W9" s="4">
        <f>+U9-V9</f>
        <v>0.17011239845565648</v>
      </c>
      <c r="X9" s="4">
        <f>+((W9*(1-0.34))-Pfd_weighted)/Equity_percent</f>
        <v>0.30838425285096882</v>
      </c>
      <c r="Y9" s="4">
        <f>X9*equityP</f>
        <v>0.18503055171058128</v>
      </c>
      <c r="Z9" s="4">
        <f>+Y9/(1-taxrate)</f>
        <v>0.23421588824124212</v>
      </c>
      <c r="AA9" s="4">
        <f>debtP*Debt_Rate</f>
        <v>2.6000000000000002E-2</v>
      </c>
      <c r="AB9" s="4">
        <f>AA9+Z9</f>
        <v>0.26021588824124214</v>
      </c>
      <c r="AC9" s="4">
        <f>AB9/(S9/100)</f>
        <v>6.2543869102022809E-2</v>
      </c>
      <c r="AD9" s="4">
        <f>1-AC9</f>
        <v>0.93745613089797719</v>
      </c>
      <c r="AE9" s="124">
        <f>expenses/(AD9)</f>
        <v>249558.41027937341</v>
      </c>
      <c r="AF9" s="125">
        <f>+AE9-Revenue</f>
        <v>-108662.01472062658</v>
      </c>
      <c r="AG9" s="126">
        <f ca="1">+AF9/$J$49</f>
        <v>-120680.73524959914</v>
      </c>
      <c r="AH9" s="126">
        <f ca="1">+AG9*$J$47</f>
        <v>-2727.3846166409407</v>
      </c>
      <c r="AI9" s="124">
        <f ca="1">ROUND(+AH9+AE9,5)</f>
        <v>246831.02566000001</v>
      </c>
    </row>
    <row r="10" spans="1:35" ht="15.75">
      <c r="A10" s="43"/>
      <c r="B10" s="197" t="s">
        <v>98</v>
      </c>
      <c r="C10" s="131">
        <v>0.21</v>
      </c>
      <c r="D10" s="116"/>
      <c r="E10" s="43"/>
      <c r="F10" s="142">
        <f t="shared" si="0"/>
        <v>4</v>
      </c>
      <c r="G10" s="76"/>
      <c r="H10" s="76"/>
      <c r="I10" s="72"/>
      <c r="J10" s="72"/>
      <c r="K10" s="80"/>
      <c r="L10" s="76"/>
      <c r="M10" s="76"/>
      <c r="N10" s="76"/>
      <c r="O10" s="49"/>
      <c r="P10" s="43"/>
      <c r="R10" s="1" t="s">
        <v>36</v>
      </c>
    </row>
    <row r="11" spans="1:35" ht="15.75">
      <c r="A11" s="43"/>
      <c r="B11" s="134" t="s">
        <v>97</v>
      </c>
      <c r="C11" s="132">
        <v>1.7500000000000002E-2</v>
      </c>
      <c r="D11" s="116"/>
      <c r="E11" s="43"/>
      <c r="F11" s="142">
        <f t="shared" si="0"/>
        <v>5</v>
      </c>
      <c r="G11" s="76"/>
      <c r="H11" s="79" t="s">
        <v>35</v>
      </c>
      <c r="I11" s="80">
        <f>+K11</f>
        <v>2238.5903473449835</v>
      </c>
      <c r="J11" s="72"/>
      <c r="K11" s="80">
        <f>+M27</f>
        <v>2238.5903473449835</v>
      </c>
      <c r="L11" s="76"/>
      <c r="M11" s="80">
        <f>+K11</f>
        <v>2238.5903473449835</v>
      </c>
      <c r="O11" s="49"/>
      <c r="P11" s="43"/>
      <c r="R11" s="3">
        <v>1</v>
      </c>
      <c r="S11" s="117">
        <f ca="1">IF((AI6/Investment*100)&gt;0,(AI6/Investment*100),0)</f>
        <v>286.68070845438166</v>
      </c>
      <c r="T11" s="118">
        <f ca="1">EXP(y_inter1-(slope*LN(S11)))</f>
        <v>6.3862216949249593</v>
      </c>
      <c r="U11" s="119">
        <f ca="1">(+S11*T11/100)/100</f>
        <v>0.18308065598478293</v>
      </c>
      <c r="V11" s="119">
        <f>regDebt_weighted</f>
        <v>3.5860000000000003E-2</v>
      </c>
      <c r="W11" s="119">
        <f ca="1">+U11-V11</f>
        <v>0.14722065598478293</v>
      </c>
      <c r="X11" s="119">
        <f ca="1">+((W11*(1-0.34))-Pfd_weighted)/Equity_percent</f>
        <v>0.26446404927313005</v>
      </c>
      <c r="Y11" s="119">
        <f ca="1">+X11*equityP</f>
        <v>0.15867842956387804</v>
      </c>
      <c r="Z11" s="119">
        <f ca="1">+Y11/(1-taxrate)</f>
        <v>0.20085877159984561</v>
      </c>
      <c r="AA11" s="119">
        <f>debtP*Debt_Rate</f>
        <v>2.6000000000000002E-2</v>
      </c>
      <c r="AB11" s="119">
        <f ca="1">+AA11+Z11</f>
        <v>0.2268587715998456</v>
      </c>
      <c r="AC11" s="119">
        <f ca="1">+AB11/(S11/100)</f>
        <v>7.9132904625127481E-2</v>
      </c>
      <c r="AD11" s="119">
        <f ca="1">1-AC11</f>
        <v>0.92086709537487255</v>
      </c>
      <c r="AE11" s="120">
        <f ca="1">expenses/(AD11)</f>
        <v>254054.10064990266</v>
      </c>
      <c r="AF11" s="121">
        <f ca="1">+AE11-Revenue</f>
        <v>-104166.32435009733</v>
      </c>
      <c r="AG11" s="122">
        <f ca="1">+AF11/$J$49</f>
        <v>-115687.79249251049</v>
      </c>
      <c r="AH11" s="122">
        <f ca="1">+AG11*$J$47</f>
        <v>-2614.5441103307371</v>
      </c>
      <c r="AI11" s="120">
        <f ca="1">ROUND(+AH11+AE11,5)</f>
        <v>251439.55653999999</v>
      </c>
    </row>
    <row r="12" spans="1:35" ht="15.75">
      <c r="A12" s="43"/>
      <c r="B12" s="134" t="s">
        <v>99</v>
      </c>
      <c r="C12" s="132">
        <v>5.1000000000000004E-3</v>
      </c>
      <c r="D12" s="116"/>
      <c r="E12" s="43"/>
      <c r="F12" s="142">
        <f t="shared" si="0"/>
        <v>6</v>
      </c>
      <c r="G12" s="76"/>
      <c r="H12" s="79" t="s">
        <v>37</v>
      </c>
      <c r="I12" s="80">
        <v>0</v>
      </c>
      <c r="J12" s="80">
        <f ca="1">+K12-I12</f>
        <v>3581.7872089354792</v>
      </c>
      <c r="K12" s="80">
        <f ca="1">+(K9-K11)*taxrate</f>
        <v>3581.7872089354792</v>
      </c>
      <c r="L12" s="76"/>
      <c r="M12" s="80">
        <f ca="1">+K12</f>
        <v>3581.7872089354792</v>
      </c>
      <c r="O12" s="49"/>
      <c r="P12" s="43"/>
      <c r="R12" s="35">
        <v>2</v>
      </c>
      <c r="S12" s="123">
        <f ca="1">IF((AI7/Investment*100)&gt;0,(AI7/Investment*100),0)</f>
        <v>286.68070845438166</v>
      </c>
      <c r="T12" s="34">
        <f ca="1">EXP(y_inter2-(slope*LN(+S12)))</f>
        <v>6.2953597189564112</v>
      </c>
      <c r="U12" s="4">
        <f ca="1">(+S12*T12/100)/100</f>
        <v>0.18047581842056012</v>
      </c>
      <c r="V12" s="4">
        <f>regDebt_weighted</f>
        <v>3.5860000000000003E-2</v>
      </c>
      <c r="W12" s="4">
        <f ca="1">+U12-V12</f>
        <v>0.14461581842056012</v>
      </c>
      <c r="X12" s="4">
        <f ca="1">+((W12*(1-0.34))-Pfd_weighted)/Equity_percent</f>
        <v>0.25946639580688863</v>
      </c>
      <c r="Y12" s="4">
        <f ca="1">+X12*equityP</f>
        <v>0.15567983748413317</v>
      </c>
      <c r="Z12" s="4">
        <f ca="1">+Y12/(1-taxrate)</f>
        <v>0.19706308542295337</v>
      </c>
      <c r="AA12" s="4">
        <f>debtP*Debt_Rate</f>
        <v>2.6000000000000002E-2</v>
      </c>
      <c r="AB12" s="4">
        <f ca="1">+AA12+Z12</f>
        <v>0.22306308542295336</v>
      </c>
      <c r="AC12" s="4">
        <f ca="1">+AB12/(S12/100)</f>
        <v>7.780889290583308E-2</v>
      </c>
      <c r="AD12" s="4">
        <f ca="1">1-AC12</f>
        <v>0.92219110709416696</v>
      </c>
      <c r="AE12" s="124">
        <f ca="1">expenses/(AD12)</f>
        <v>253689.34913147261</v>
      </c>
      <c r="AF12" s="125">
        <f ca="1">+AE12-Revenue</f>
        <v>-104531.07586852738</v>
      </c>
      <c r="AG12" s="126">
        <f ca="1">+AF12/$J$49</f>
        <v>-116092.88788431523</v>
      </c>
      <c r="AH12" s="126">
        <f ca="1">+AG12*$J$47</f>
        <v>-2623.6992661855247</v>
      </c>
      <c r="AI12" s="124">
        <f ca="1">ROUND(+AH12+AE12,5)</f>
        <v>251065.64986999999</v>
      </c>
    </row>
    <row r="13" spans="1:35" ht="15.75">
      <c r="A13" s="43"/>
      <c r="B13" s="134" t="s">
        <v>100</v>
      </c>
      <c r="C13" s="132">
        <v>0</v>
      </c>
      <c r="D13" s="116"/>
      <c r="E13" s="43"/>
      <c r="F13" s="142">
        <f t="shared" si="0"/>
        <v>7</v>
      </c>
      <c r="G13" s="76"/>
      <c r="H13" s="76"/>
      <c r="I13" s="72"/>
      <c r="J13" s="72"/>
      <c r="K13" s="80"/>
      <c r="L13" s="76"/>
      <c r="M13" s="76"/>
      <c r="O13" s="49"/>
      <c r="P13" s="43"/>
      <c r="R13" s="5">
        <v>3</v>
      </c>
      <c r="S13" s="123">
        <f ca="1">IF((AI8/Investment*100)&gt;0,(AI8/Investment*100),0)</f>
        <v>286.68070845438166</v>
      </c>
      <c r="T13" s="6">
        <f ca="1">EXP(y_inter3-(slope*LN(S13)))</f>
        <v>6.2341535335760092</v>
      </c>
      <c r="U13" s="4">
        <f ca="1">(+S13*T13/100)/100</f>
        <v>0.17872115516189571</v>
      </c>
      <c r="V13" s="4">
        <f>regDebt_weighted</f>
        <v>3.5860000000000003E-2</v>
      </c>
      <c r="W13" s="4">
        <f ca="1">+U13-V13</f>
        <v>0.14286115516189571</v>
      </c>
      <c r="X13" s="4">
        <f ca="1">+((W13*(1-0.34))-Pfd_weighted)/Equity_percent</f>
        <v>0.25609989071759059</v>
      </c>
      <c r="Y13" s="4">
        <f ca="1">+X13*equityP</f>
        <v>0.15365993443055434</v>
      </c>
      <c r="Z13" s="4">
        <f ca="1">+Y13/(1-taxrate)</f>
        <v>0.19450624611462575</v>
      </c>
      <c r="AA13" s="4">
        <f>debtP*Debt_Rate</f>
        <v>2.6000000000000002E-2</v>
      </c>
      <c r="AB13" s="4">
        <f ca="1">+AA13+Z13</f>
        <v>0.22050624611462574</v>
      </c>
      <c r="AC13" s="4">
        <f ca="1">+AB13/(S13/100)</f>
        <v>7.6917015903675293E-2</v>
      </c>
      <c r="AD13" s="4">
        <f ca="1">1-AC13</f>
        <v>0.92308298409632472</v>
      </c>
      <c r="AE13" s="124">
        <f ca="1">expenses/(AD13)</f>
        <v>253444.23607004594</v>
      </c>
      <c r="AF13" s="125">
        <f ca="1">+AE13-Revenue</f>
        <v>-104776.18892995405</v>
      </c>
      <c r="AG13" s="126">
        <f ca="1">+AF13/$J$49</f>
        <v>-116365.11203318919</v>
      </c>
      <c r="AH13" s="126">
        <f ca="1">+AG13*$J$47</f>
        <v>-2629.8515319500757</v>
      </c>
      <c r="AI13" s="124">
        <f ca="1">ROUND(+AH13+AE13,5)</f>
        <v>250814.38454</v>
      </c>
    </row>
    <row r="14" spans="1:35" ht="16.5" thickBot="1">
      <c r="A14" s="43"/>
      <c r="B14" s="135" t="s">
        <v>101</v>
      </c>
      <c r="C14" s="132">
        <v>0</v>
      </c>
      <c r="D14" s="116"/>
      <c r="E14" s="43"/>
      <c r="F14" s="142">
        <f t="shared" si="0"/>
        <v>8</v>
      </c>
      <c r="G14" s="76"/>
      <c r="H14" s="76" t="s">
        <v>38</v>
      </c>
      <c r="I14" s="106">
        <f>+I9-SUM(I11:I13)</f>
        <v>122031.77291910362</v>
      </c>
      <c r="J14" s="72"/>
      <c r="K14" s="106">
        <f ca="1">+K9-SUM(K11:K13)</f>
        <v>13474.342357423946</v>
      </c>
      <c r="L14" s="76"/>
      <c r="M14" s="106">
        <f ca="1">+M9-SUM(M11:M13)</f>
        <v>13474.342357423917</v>
      </c>
      <c r="O14" s="49"/>
      <c r="P14" s="43"/>
      <c r="R14" s="7">
        <v>4</v>
      </c>
      <c r="S14" s="123">
        <f ca="1">IF((AI9/Investment*100)&gt;0,(AI9/Investment*100),0)</f>
        <v>286.68070845438166</v>
      </c>
      <c r="T14" s="8">
        <f ca="1">EXP(y_inter4-(slope*LN(S14)))</f>
        <v>6.195001823694799</v>
      </c>
      <c r="U14" s="4">
        <f ca="1">(+S14*T14/100)/100</f>
        <v>0.17759875116930116</v>
      </c>
      <c r="V14" s="4">
        <f>regDebt_weighted</f>
        <v>3.5860000000000003E-2</v>
      </c>
      <c r="W14" s="4">
        <f ca="1">+U14-V14</f>
        <v>0.14173875116930115</v>
      </c>
      <c r="X14" s="4">
        <f ca="1">+((W14*(1-0.34))-Pfd_weighted)/Equity_percent</f>
        <v>0.25394644119691501</v>
      </c>
      <c r="Y14" s="4">
        <f ca="1">+X14*equityP</f>
        <v>0.152367864718149</v>
      </c>
      <c r="Z14" s="4">
        <f ca="1">+Y14/(1-taxrate)</f>
        <v>0.1928707148331</v>
      </c>
      <c r="AA14" s="4">
        <f>debtP*Debt_Rate</f>
        <v>2.6000000000000002E-2</v>
      </c>
      <c r="AB14" s="4">
        <f ca="1">+AA14+Z14</f>
        <v>0.2188707148331</v>
      </c>
      <c r="AC14" s="4">
        <f ca="1">+AB14/(S14/100)</f>
        <v>7.6346509680796329E-2</v>
      </c>
      <c r="AD14" s="4">
        <f ca="1">1-AC14</f>
        <v>0.92365349031920363</v>
      </c>
      <c r="AE14" s="124">
        <f ca="1">expenses/(AD14)</f>
        <v>253287.69304244281</v>
      </c>
      <c r="AF14" s="125">
        <f ca="1">+AE14-Revenue</f>
        <v>-104932.73195755717</v>
      </c>
      <c r="AG14" s="126">
        <f ca="1">+AF14/$J$49</f>
        <v>-116538.96973054473</v>
      </c>
      <c r="AH14" s="126">
        <f ca="1">+AG14*$J$47</f>
        <v>-2633.7807159103113</v>
      </c>
      <c r="AI14" s="124">
        <f ca="1">ROUND(+AH14+AE14,5)</f>
        <v>250653.91232999999</v>
      </c>
    </row>
    <row r="15" spans="1:35" ht="16.5" thickTop="1">
      <c r="A15" s="43"/>
      <c r="B15" s="561"/>
      <c r="C15" s="561"/>
      <c r="D15" s="43"/>
      <c r="E15" s="43"/>
      <c r="F15" s="142">
        <f t="shared" si="0"/>
        <v>9</v>
      </c>
      <c r="G15" s="72"/>
      <c r="H15" s="72"/>
      <c r="I15" s="72"/>
      <c r="J15" s="72"/>
      <c r="K15" s="73"/>
      <c r="L15" s="72"/>
      <c r="M15" s="72"/>
      <c r="O15" s="49"/>
      <c r="P15" s="43"/>
      <c r="R15" s="1" t="s">
        <v>40</v>
      </c>
    </row>
    <row r="16" spans="1:35" ht="15.75">
      <c r="A16" s="43"/>
      <c r="B16" s="198" t="s">
        <v>124</v>
      </c>
      <c r="C16" s="562"/>
      <c r="D16" s="562"/>
      <c r="E16" s="43"/>
      <c r="F16" s="142">
        <f t="shared" si="0"/>
        <v>10</v>
      </c>
      <c r="G16" s="72"/>
      <c r="H16" s="180" t="s">
        <v>39</v>
      </c>
      <c r="I16" s="181">
        <f>+I8/I7</f>
        <v>0.65308967721076039</v>
      </c>
      <c r="J16" s="182"/>
      <c r="K16" s="181">
        <f ca="1">+K8/K7</f>
        <v>0.92381000000000002</v>
      </c>
      <c r="L16" s="183"/>
      <c r="M16" s="181">
        <f ca="1">+M8/M7</f>
        <v>0.92300895504891711</v>
      </c>
      <c r="O16" s="49"/>
      <c r="P16" s="43"/>
      <c r="R16" s="3">
        <v>1</v>
      </c>
      <c r="S16" s="117">
        <f ca="1">AI11/Investment*100</f>
        <v>292.03326449582579</v>
      </c>
      <c r="T16" s="118">
        <f ca="1">EXP(y_inter1-(slope*LN(+S16)))</f>
        <v>6.3059639800253864</v>
      </c>
      <c r="U16" s="119">
        <f ca="1">(+S16*T16/100)/100</f>
        <v>0.18415512468799039</v>
      </c>
      <c r="V16" s="119">
        <f>regDebt_weighted</f>
        <v>3.5860000000000003E-2</v>
      </c>
      <c r="W16" s="119">
        <f ca="1">+U16-V16</f>
        <v>0.14829512468799039</v>
      </c>
      <c r="X16" s="119">
        <f ca="1">+((W16*(1-0.34))-Pfd_weighted)/Equity_percent</f>
        <v>0.26652552992463274</v>
      </c>
      <c r="Y16" s="119">
        <f ca="1">+X16*equityP</f>
        <v>0.15991531795477965</v>
      </c>
      <c r="Z16" s="119">
        <f ca="1">+Y16/(1-taxrate)</f>
        <v>0.20242445310731599</v>
      </c>
      <c r="AA16" s="119">
        <f>debtP*Debt_Rate</f>
        <v>2.6000000000000002E-2</v>
      </c>
      <c r="AB16" s="119">
        <f ca="1">+AA16+Z16</f>
        <v>0.22842445310731599</v>
      </c>
      <c r="AC16" s="119">
        <f ca="1">+AB16/(S16/100)</f>
        <v>7.8218641804958147E-2</v>
      </c>
      <c r="AD16" s="119">
        <f ca="1">1-AC16</f>
        <v>0.92178135819504181</v>
      </c>
      <c r="AE16" s="120">
        <f ca="1">expenses/(AD16)</f>
        <v>253802.11874934594</v>
      </c>
      <c r="AF16" s="121">
        <f ca="1">+AE16-Revenue</f>
        <v>-104418.30625065404</v>
      </c>
      <c r="AG16" s="122">
        <f ca="1">+AF16/$J$49</f>
        <v>-115967.64521847879</v>
      </c>
      <c r="AH16" s="122">
        <f ca="1">+AG16*$J$47</f>
        <v>-2620.868781937621</v>
      </c>
      <c r="AI16" s="120">
        <f ca="1">ROUND(+AH16+AE16,5)</f>
        <v>251181.24997</v>
      </c>
    </row>
    <row r="17" spans="1:35" ht="15.75">
      <c r="A17" s="43"/>
      <c r="B17" s="563"/>
      <c r="C17" s="562"/>
      <c r="D17" s="43" t="s">
        <v>102</v>
      </c>
      <c r="E17" s="43"/>
      <c r="F17" s="142">
        <f t="shared" si="0"/>
        <v>11</v>
      </c>
      <c r="G17" s="72"/>
      <c r="H17" s="184"/>
      <c r="I17" s="184"/>
      <c r="J17" s="173"/>
      <c r="K17" s="184"/>
      <c r="L17" s="180"/>
      <c r="M17" s="180"/>
      <c r="N17" s="83"/>
      <c r="O17" s="43"/>
      <c r="P17" s="43"/>
      <c r="R17" s="35">
        <v>2</v>
      </c>
      <c r="S17" s="123">
        <f ca="1">AI12/Investment*100</f>
        <v>291.59899239099298</v>
      </c>
      <c r="T17" s="34">
        <f ca="1">EXP(y_inter2-(slope*LN(+S17)))</f>
        <v>6.2225716302824594</v>
      </c>
      <c r="U17" s="4">
        <f ca="1">(+S17*T17/100)/100</f>
        <v>0.18144956174711435</v>
      </c>
      <c r="V17" s="4">
        <f>regDebt_weighted</f>
        <v>3.5860000000000003E-2</v>
      </c>
      <c r="W17" s="4">
        <f ca="1">+U17-V17</f>
        <v>0.14558956174711435</v>
      </c>
      <c r="X17" s="4">
        <f ca="1">+((W17*(1-0.34))-Pfd_weighted)/Equity_percent</f>
        <v>0.26133462428225424</v>
      </c>
      <c r="Y17" s="4">
        <f ca="1">+X17*equityP</f>
        <v>0.15680077456935254</v>
      </c>
      <c r="Z17" s="4">
        <f ca="1">+Y17/(1-taxrate)</f>
        <v>0.1984819931257627</v>
      </c>
      <c r="AA17" s="4">
        <f>debtP*Debt_Rate</f>
        <v>2.6000000000000002E-2</v>
      </c>
      <c r="AB17" s="4">
        <f ca="1">+AA17+Z17</f>
        <v>0.2244819931257627</v>
      </c>
      <c r="AC17" s="4">
        <f ca="1">+AB17/(S17/100)</f>
        <v>7.6983116877428759E-2</v>
      </c>
      <c r="AD17" s="4">
        <f ca="1">1-AC17</f>
        <v>0.92301688312257124</v>
      </c>
      <c r="AE17" s="124">
        <f ca="1">expenses/(AD17)</f>
        <v>253462.38623728856</v>
      </c>
      <c r="AF17" s="125">
        <f ca="1">+AE17-Revenue</f>
        <v>-104758.03876271143</v>
      </c>
      <c r="AG17" s="126">
        <f ca="1">+AF17/$J$49</f>
        <v>-116344.95434024217</v>
      </c>
      <c r="AH17" s="126">
        <f ca="1">+AG17*$J$47</f>
        <v>-2629.3959680894732</v>
      </c>
      <c r="AI17" s="124">
        <f ca="1">ROUND(+AH17+AE17,5)</f>
        <v>250832.99027000001</v>
      </c>
    </row>
    <row r="18" spans="1:35" ht="15.75">
      <c r="A18" s="43"/>
      <c r="B18" s="556" t="s">
        <v>125</v>
      </c>
      <c r="C18" s="556"/>
      <c r="D18" s="43"/>
      <c r="E18" s="43"/>
      <c r="F18" s="142">
        <f t="shared" si="0"/>
        <v>12</v>
      </c>
      <c r="G18" s="72"/>
      <c r="H18" s="185" t="s">
        <v>83</v>
      </c>
      <c r="I18" s="186"/>
      <c r="J18" s="186"/>
      <c r="K18" s="186"/>
      <c r="L18" s="186"/>
      <c r="M18" s="187"/>
      <c r="N18" s="295">
        <f ca="1">N21/'Pro Forma IS'!U11</f>
        <v>2.5393717624711772E-2</v>
      </c>
      <c r="O18" s="43"/>
      <c r="P18" s="43"/>
      <c r="R18" s="5">
        <v>3</v>
      </c>
      <c r="S18" s="123">
        <f ca="1">AI13/Investment*100</f>
        <v>291.30716148107467</v>
      </c>
      <c r="T18" s="6">
        <f ca="1">EXP(y_inter3-(slope*LN(S18)))</f>
        <v>6.1662928523452925</v>
      </c>
      <c r="U18" s="4">
        <f ca="1">(+S18*T18/100)/100</f>
        <v>0.17962852676777466</v>
      </c>
      <c r="V18" s="4">
        <f>regDebt_weighted</f>
        <v>3.5860000000000003E-2</v>
      </c>
      <c r="W18" s="4">
        <f ca="1">+U18-V18</f>
        <v>0.14376852676777466</v>
      </c>
      <c r="X18" s="4">
        <f ca="1">+((W18*(1-0.34))-Pfd_weighted)/Equity_percent</f>
        <v>0.25784077810096295</v>
      </c>
      <c r="Y18" s="4">
        <f ca="1">+X18*equityP</f>
        <v>0.15470446686057776</v>
      </c>
      <c r="Z18" s="4">
        <f ca="1">+Y18/(1-taxrate)</f>
        <v>0.19582843906402247</v>
      </c>
      <c r="AA18" s="4">
        <f>debtP*Debt_Rate</f>
        <v>2.6000000000000002E-2</v>
      </c>
      <c r="AB18" s="4">
        <f ca="1">+AA18+Z18</f>
        <v>0.22182843906402247</v>
      </c>
      <c r="AC18" s="4">
        <f ca="1">+AB18/(S18/100)</f>
        <v>7.6149325658934744E-2</v>
      </c>
      <c r="AD18" s="4">
        <f ca="1">1-AC18</f>
        <v>0.92385067434106527</v>
      </c>
      <c r="AE18" s="124">
        <f ca="1">expenses/(AD18)</f>
        <v>253233.63204818335</v>
      </c>
      <c r="AF18" s="125">
        <f ca="1">+AE18-Revenue</f>
        <v>-104986.79295181663</v>
      </c>
      <c r="AG18" s="126">
        <f ca="1">+AF18/$J$49</f>
        <v>-116599.01021987609</v>
      </c>
      <c r="AH18" s="126">
        <f ca="1">+AG18*$J$47</f>
        <v>-2635.1376309692</v>
      </c>
      <c r="AI18" s="124">
        <f ca="1">ROUND(+AH18+AE18,5)</f>
        <v>250598.49442</v>
      </c>
    </row>
    <row r="19" spans="1:35" ht="16.5" thickBot="1">
      <c r="A19" s="43"/>
      <c r="B19" s="43"/>
      <c r="C19" s="43"/>
      <c r="D19" s="43"/>
      <c r="E19" s="43"/>
      <c r="F19" s="142">
        <f t="shared" si="0"/>
        <v>13</v>
      </c>
      <c r="G19" s="72"/>
      <c r="H19" s="188"/>
      <c r="I19" s="174" t="s">
        <v>122</v>
      </c>
      <c r="J19" s="175">
        <f>+Revenue</f>
        <v>358220.42499999999</v>
      </c>
      <c r="K19" s="176"/>
      <c r="L19" s="174" t="s">
        <v>126</v>
      </c>
      <c r="M19" s="189">
        <f ca="1">+J7</f>
        <v>-104975.6433527442</v>
      </c>
      <c r="O19" s="43"/>
      <c r="P19" s="43"/>
      <c r="R19" s="7">
        <v>4</v>
      </c>
      <c r="S19" s="123">
        <f ca="1">AI14/Investment*100</f>
        <v>291.12078180401812</v>
      </c>
      <c r="T19" s="8">
        <f ca="1">EXP(y_inter4-(slope*LN(S19)))</f>
        <v>6.1302490567119792</v>
      </c>
      <c r="U19" s="4">
        <f ca="1">(+S19*T19/100)/100</f>
        <v>0.17846428980433363</v>
      </c>
      <c r="V19" s="4">
        <f>regDebt_weighted</f>
        <v>3.5860000000000003E-2</v>
      </c>
      <c r="W19" s="4">
        <f ca="1">+U19-V19</f>
        <v>0.14260428980433362</v>
      </c>
      <c r="X19" s="4">
        <f ca="1">+((W19*(1-0.34))-Pfd_weighted)/Equity_percent</f>
        <v>0.25560706764784941</v>
      </c>
      <c r="Y19" s="4">
        <f ca="1">+X19*equityP</f>
        <v>0.15336424058870965</v>
      </c>
      <c r="Z19" s="4">
        <f ca="1">+Y19/(1-taxrate)</f>
        <v>0.19413195011229067</v>
      </c>
      <c r="AA19" s="4">
        <f>debtP*Debt_Rate</f>
        <v>2.6000000000000002E-2</v>
      </c>
      <c r="AB19" s="4">
        <f ca="1">+AA19+Z19</f>
        <v>0.22013195011229067</v>
      </c>
      <c r="AC19" s="4">
        <f ca="1">+AB19/(S19/100)</f>
        <v>7.5615333521769343E-2</v>
      </c>
      <c r="AD19" s="4">
        <f ca="1">1-AC19</f>
        <v>0.9243846664782307</v>
      </c>
      <c r="AE19" s="124">
        <f ca="1">expenses/(AD19)</f>
        <v>253087.34579605979</v>
      </c>
      <c r="AF19" s="125">
        <f ca="1">+AE19-Revenue</f>
        <v>-105133.0792039402</v>
      </c>
      <c r="AG19" s="126">
        <f ca="1">+AF19/$J$49</f>
        <v>-116761.47667614941</v>
      </c>
      <c r="AH19" s="126">
        <f ca="1">+AG19*$J$47</f>
        <v>-2638.8093728809768</v>
      </c>
      <c r="AI19" s="124">
        <f ca="1">ROUND(+AH19+AE19,5)</f>
        <v>250448.53641999999</v>
      </c>
    </row>
    <row r="20" spans="1:35" ht="15.75">
      <c r="A20" s="43"/>
      <c r="B20" s="115"/>
      <c r="C20" s="43"/>
      <c r="D20" s="43"/>
      <c r="E20" s="43"/>
      <c r="F20" s="142">
        <f t="shared" si="0"/>
        <v>14</v>
      </c>
      <c r="G20" s="72"/>
      <c r="H20" s="188"/>
      <c r="I20" s="174" t="s">
        <v>42</v>
      </c>
      <c r="J20" s="175">
        <f ca="1">+J21-J19</f>
        <v>-107610.5011320553</v>
      </c>
      <c r="K20" s="176"/>
      <c r="L20" s="174" t="s">
        <v>41</v>
      </c>
      <c r="M20" s="175">
        <f ca="1">+L8</f>
        <v>-2634.857779311089</v>
      </c>
      <c r="N20" s="482" t="s">
        <v>87</v>
      </c>
      <c r="O20" s="43"/>
      <c r="P20" s="43"/>
      <c r="R20" s="1" t="s">
        <v>43</v>
      </c>
    </row>
    <row r="21" spans="1:35" ht="16.5" thickBot="1">
      <c r="A21" s="43"/>
      <c r="B21" s="115" t="s">
        <v>0</v>
      </c>
      <c r="C21" s="43"/>
      <c r="D21" s="43"/>
      <c r="E21" s="43"/>
      <c r="F21" s="142">
        <f t="shared" si="0"/>
        <v>15</v>
      </c>
      <c r="G21" s="72"/>
      <c r="H21" s="188"/>
      <c r="I21" s="190" t="s">
        <v>83</v>
      </c>
      <c r="J21" s="191">
        <f ca="1">+M7</f>
        <v>250609.92386794469</v>
      </c>
      <c r="K21" s="177"/>
      <c r="L21" s="190" t="s">
        <v>42</v>
      </c>
      <c r="M21" s="191">
        <f ca="1">+M19+M20</f>
        <v>-107610.50113205529</v>
      </c>
      <c r="N21" s="483">
        <f ca="1">M21+'Recycling LG 2019'!M21</f>
        <v>14438.336477869816</v>
      </c>
      <c r="O21" s="43"/>
      <c r="P21" s="43"/>
      <c r="R21" s="3">
        <v>1</v>
      </c>
      <c r="S21" s="117">
        <f ca="1">AI16/Investment*100</f>
        <v>291.7332555715505</v>
      </c>
      <c r="T21" s="118">
        <f ca="1">EXP(y_inter1-(slope*LN(+S21)))</f>
        <v>6.3103967544498678</v>
      </c>
      <c r="U21" s="119">
        <f ca="1">(+S21*T21/100)/100</f>
        <v>0.18409525891238063</v>
      </c>
      <c r="V21" s="119">
        <f>regDebt_weighted</f>
        <v>3.5860000000000003E-2</v>
      </c>
      <c r="W21" s="119">
        <f ca="1">+U21-V21</f>
        <v>0.14823525891238062</v>
      </c>
      <c r="X21" s="119">
        <f ca="1">+((W21*(1-0.34))-Pfd_weighted)/Equity_percent</f>
        <v>0.26641067116910233</v>
      </c>
      <c r="Y21" s="119">
        <f ca="1">+X21*equityP</f>
        <v>0.15984640270146139</v>
      </c>
      <c r="Z21" s="119">
        <f ca="1">+Y21/(1-taxrate)</f>
        <v>0.20233721860944479</v>
      </c>
      <c r="AA21" s="119">
        <f>debtP*Debt_Rate</f>
        <v>2.6000000000000002E-2</v>
      </c>
      <c r="AB21" s="119">
        <f ca="1">+AA21+Z21</f>
        <v>0.22833721860944478</v>
      </c>
      <c r="AC21" s="119">
        <f ca="1">+AB21/(S21/100)</f>
        <v>7.8269177150235028E-2</v>
      </c>
      <c r="AD21" s="119">
        <f ca="1">1-AC21</f>
        <v>0.92173082284976493</v>
      </c>
      <c r="AE21" s="120">
        <f ca="1">expenses/(AD21)</f>
        <v>253816.03385057184</v>
      </c>
      <c r="AF21" s="121">
        <f ca="1">+AE21-Revenue</f>
        <v>-104404.39114942815</v>
      </c>
      <c r="AG21" s="122">
        <f ca="1">+AF21/$J$49</f>
        <v>-115952.19101719851</v>
      </c>
      <c r="AH21" s="122">
        <f ca="1">+AG21*$J$47</f>
        <v>-2620.5195169886865</v>
      </c>
      <c r="AI21" s="120">
        <f ca="1">ROUND(+AH21+AE21,5)</f>
        <v>251195.51433000001</v>
      </c>
    </row>
    <row r="22" spans="1:35" ht="16.5" thickTop="1">
      <c r="A22" s="43"/>
      <c r="B22" s="43" t="s">
        <v>109</v>
      </c>
      <c r="C22" s="43"/>
      <c r="D22" s="43"/>
      <c r="E22" s="43"/>
      <c r="F22" s="142">
        <f t="shared" si="0"/>
        <v>16</v>
      </c>
      <c r="G22" s="72"/>
      <c r="H22" s="192"/>
      <c r="I22" s="193"/>
      <c r="J22" s="389" t="s">
        <v>347</v>
      </c>
      <c r="K22" s="388">
        <f ca="1">+(J21/J19)-1</f>
        <v>-0.30040303015121295</v>
      </c>
      <c r="L22" s="193"/>
      <c r="M22" s="193"/>
      <c r="N22" s="489"/>
      <c r="O22" s="43"/>
      <c r="P22" s="43"/>
      <c r="R22" s="35">
        <v>2</v>
      </c>
      <c r="S22" s="123">
        <f ca="1">AI17/Investment*100</f>
        <v>291.32877101676189</v>
      </c>
      <c r="T22" s="34">
        <f ca="1">EXP(y_inter2-(slope*LN(+S22)))</f>
        <v>6.2265170122663767</v>
      </c>
      <c r="U22" s="4">
        <f ca="1">(+S22*T22/100)/100</f>
        <v>0.18139635488985234</v>
      </c>
      <c r="V22" s="4">
        <f>regDebt_weighted</f>
        <v>3.5860000000000003E-2</v>
      </c>
      <c r="W22" s="4">
        <f ca="1">+U22-V22</f>
        <v>0.14553635488985234</v>
      </c>
      <c r="X22" s="4">
        <f ca="1">+((W22*(1-0.34))-Pfd_weighted)/Equity_percent</f>
        <v>0.2612325413584376</v>
      </c>
      <c r="Y22" s="4">
        <f ca="1">+X22*equityP</f>
        <v>0.15673952481506256</v>
      </c>
      <c r="Z22" s="4">
        <f ca="1">+Y22/(1-taxrate)</f>
        <v>0.19840446179121843</v>
      </c>
      <c r="AA22" s="4">
        <f>debtP*Debt_Rate</f>
        <v>2.6000000000000002E-2</v>
      </c>
      <c r="AB22" s="4">
        <f ca="1">+AA22+Z22</f>
        <v>0.22440446179121842</v>
      </c>
      <c r="AC22" s="4">
        <f ca="1">+AB22/(S22/100)</f>
        <v>7.7027909398727765E-2</v>
      </c>
      <c r="AD22" s="4">
        <f ca="1">1-AC22</f>
        <v>0.92297209060127228</v>
      </c>
      <c r="AE22" s="124">
        <f ca="1">expenses/(AD22)</f>
        <v>253474.68695520802</v>
      </c>
      <c r="AF22" s="125">
        <f ca="1">+AE22-Revenue</f>
        <v>-104745.73804479197</v>
      </c>
      <c r="AG22" s="126">
        <f ca="1">+AF22/$J$49</f>
        <v>-116331.29308348714</v>
      </c>
      <c r="AH22" s="126">
        <f ca="1">+AG22*$J$47</f>
        <v>-2629.0872236868095</v>
      </c>
      <c r="AI22" s="124">
        <f ca="1">ROUND(+AH22+AE22,5)</f>
        <v>250845.59972999999</v>
      </c>
    </row>
    <row r="23" spans="1:35" ht="15.75">
      <c r="A23" s="43"/>
      <c r="B23" s="43" t="s">
        <v>108</v>
      </c>
      <c r="C23" s="43"/>
      <c r="D23" s="43"/>
      <c r="E23" s="43"/>
      <c r="F23" s="142">
        <f t="shared" si="0"/>
        <v>17</v>
      </c>
      <c r="H23" s="72"/>
      <c r="I23" s="72"/>
      <c r="J23" s="72"/>
      <c r="K23" s="72"/>
      <c r="L23" s="72"/>
      <c r="M23" s="72"/>
      <c r="N23" s="489"/>
      <c r="O23" s="43"/>
      <c r="P23" s="43"/>
      <c r="R23" s="5">
        <v>3</v>
      </c>
      <c r="S23" s="123">
        <f ca="1">AI18/Investment*100</f>
        <v>291.05641693879352</v>
      </c>
      <c r="T23" s="6">
        <f ca="1">EXP(y_inter3-(slope*LN(S23)))</f>
        <v>6.1699241832172822</v>
      </c>
      <c r="U23" s="4">
        <f ca="1">(+S23*T23/100)/100</f>
        <v>0.17957960255512342</v>
      </c>
      <c r="V23" s="4">
        <f>regDebt_weighted</f>
        <v>3.5860000000000003E-2</v>
      </c>
      <c r="W23" s="4">
        <f ca="1">+U23-V23</f>
        <v>0.14371960255512342</v>
      </c>
      <c r="X23" s="4">
        <f ca="1">+((W23*(1-0.34))-Pfd_weighted)/Equity_percent</f>
        <v>0.25774691187901588</v>
      </c>
      <c r="Y23" s="4">
        <f ca="1">+X23*equityP</f>
        <v>0.15464814712740951</v>
      </c>
      <c r="Z23" s="4">
        <f ca="1">+Y23/(1-taxrate)</f>
        <v>0.19575714826254367</v>
      </c>
      <c r="AA23" s="4">
        <f>debtP*Debt_Rate</f>
        <v>2.6000000000000002E-2</v>
      </c>
      <c r="AB23" s="4">
        <f ca="1">+AA23+Z23</f>
        <v>0.22175714826254367</v>
      </c>
      <c r="AC23" s="4">
        <f ca="1">+AB23/(S23/100)</f>
        <v>7.6190434347708322E-2</v>
      </c>
      <c r="AD23" s="4">
        <f ca="1">1-AC23</f>
        <v>0.92380956565229166</v>
      </c>
      <c r="AE23" s="124">
        <f ca="1">expenses/(AD23)</f>
        <v>253244.90071539997</v>
      </c>
      <c r="AF23" s="125">
        <f ca="1">+AE23-Revenue</f>
        <v>-104975.52428460002</v>
      </c>
      <c r="AG23" s="126">
        <f ca="1">+AF23/$J$49</f>
        <v>-116586.49516529623</v>
      </c>
      <c r="AH23" s="126">
        <f ca="1">+AG23*$J$47</f>
        <v>-2634.8547907356951</v>
      </c>
      <c r="AI23" s="124">
        <f ca="1">ROUND(+AH23+AE23,5)</f>
        <v>250610.04592</v>
      </c>
    </row>
    <row r="24" spans="1:35" ht="15.75">
      <c r="A24" s="43"/>
      <c r="B24" s="43" t="s">
        <v>110</v>
      </c>
      <c r="C24" s="43"/>
      <c r="D24" s="43"/>
      <c r="E24" s="43"/>
      <c r="F24" s="142">
        <f t="shared" si="0"/>
        <v>18</v>
      </c>
      <c r="H24" s="100"/>
      <c r="J24" s="145" t="s">
        <v>105</v>
      </c>
      <c r="K24" s="101" t="s">
        <v>44</v>
      </c>
      <c r="L24" s="101"/>
      <c r="M24" s="101"/>
      <c r="N24" s="101"/>
      <c r="O24" s="43"/>
      <c r="P24" s="43"/>
      <c r="R24" s="7">
        <v>4</v>
      </c>
      <c r="S24" s="123">
        <f ca="1">AI19/Investment*100</f>
        <v>290.882248940409</v>
      </c>
      <c r="T24" s="8">
        <f ca="1">EXP(y_inter4-(slope*LN(S24)))</f>
        <v>6.133685422078992</v>
      </c>
      <c r="U24" s="4">
        <f ca="1">(+S24*T24/100)/100</f>
        <v>0.1784180209867339</v>
      </c>
      <c r="V24" s="4">
        <f>regDebt_weighted</f>
        <v>3.5860000000000003E-2</v>
      </c>
      <c r="W24" s="4">
        <f ca="1">+U24-V24</f>
        <v>0.1425580209867339</v>
      </c>
      <c r="X24" s="4">
        <f ca="1">+((W24*(1-0.34))-Pfd_weighted)/Equity_percent</f>
        <v>0.25551829607919874</v>
      </c>
      <c r="Y24" s="4">
        <f ca="1">+X24*equityP</f>
        <v>0.15331097764751925</v>
      </c>
      <c r="Z24" s="4">
        <f ca="1">+Y24/(1-taxrate)</f>
        <v>0.19406452866774587</v>
      </c>
      <c r="AA24" s="4">
        <f>debtP*Debt_Rate</f>
        <v>2.6000000000000002E-2</v>
      </c>
      <c r="AB24" s="4">
        <f ca="1">+AA24+Z24</f>
        <v>0.22006452866774587</v>
      </c>
      <c r="AC24" s="4">
        <f ca="1">+AB24/(S24/100)</f>
        <v>7.565416228366309E-2</v>
      </c>
      <c r="AD24" s="4">
        <f ca="1">1-AC24</f>
        <v>0.92434583771633694</v>
      </c>
      <c r="AE24" s="124">
        <f ca="1">expenses/(AD24)</f>
        <v>253097.97717220418</v>
      </c>
      <c r="AF24" s="125">
        <f ca="1">+AE24-Revenue</f>
        <v>-105122.44782779581</v>
      </c>
      <c r="AG24" s="126">
        <f ca="1">+AF24/$J$49</f>
        <v>-116749.66940114977</v>
      </c>
      <c r="AH24" s="126">
        <f ca="1">+AG24*$J$47</f>
        <v>-2638.542528465985</v>
      </c>
      <c r="AI24" s="124">
        <f ca="1">ROUND(+AH24+AE24,5)</f>
        <v>250459.43463999999</v>
      </c>
    </row>
    <row r="25" spans="1:35" ht="15.75">
      <c r="A25" s="43"/>
      <c r="B25" s="43" t="s">
        <v>111</v>
      </c>
      <c r="C25" s="43"/>
      <c r="D25" s="43"/>
      <c r="E25" s="43"/>
      <c r="F25" s="142">
        <f t="shared" si="0"/>
        <v>19</v>
      </c>
      <c r="H25" s="84" t="s">
        <v>45</v>
      </c>
      <c r="I25" s="85" t="s">
        <v>46</v>
      </c>
      <c r="J25" s="86" t="s">
        <v>47</v>
      </c>
      <c r="K25" s="84" t="s">
        <v>116</v>
      </c>
      <c r="L25" s="86" t="s">
        <v>49</v>
      </c>
      <c r="M25" s="86" t="s">
        <v>47</v>
      </c>
      <c r="O25" s="43"/>
      <c r="P25" s="43"/>
      <c r="R25" s="1" t="s">
        <v>50</v>
      </c>
      <c r="W25" s="9"/>
      <c r="X25" s="13"/>
      <c r="Y25" s="10"/>
      <c r="Z25" s="10"/>
      <c r="AA25" s="13"/>
      <c r="AC25" s="13"/>
      <c r="AD25" s="13"/>
      <c r="AE25" s="10"/>
      <c r="AF25" s="9"/>
    </row>
    <row r="26" spans="1:35" ht="15.75">
      <c r="A26" s="43"/>
      <c r="B26" s="43"/>
      <c r="C26" s="43"/>
      <c r="D26" s="43"/>
      <c r="E26" s="43"/>
      <c r="F26" s="142">
        <f t="shared" si="0"/>
        <v>20</v>
      </c>
      <c r="H26" s="79" t="s">
        <v>27</v>
      </c>
      <c r="I26" s="88">
        <f>1-I27</f>
        <v>0.6</v>
      </c>
      <c r="J26" s="87">
        <f>+I26*J28</f>
        <v>51659.77724642268</v>
      </c>
      <c r="K26" s="83">
        <f ca="1">+K34</f>
        <v>0.26082850286306614</v>
      </c>
      <c r="L26" s="88">
        <f ca="1">+K26*I26</f>
        <v>0.15649710171783968</v>
      </c>
      <c r="M26" s="80">
        <f ca="1">+J26*K26</f>
        <v>13474.342357423917</v>
      </c>
      <c r="O26" s="43"/>
      <c r="P26" s="43"/>
      <c r="R26" s="3">
        <v>1</v>
      </c>
      <c r="S26" s="117">
        <f ca="1">AI21/Investment*100</f>
        <v>291.74982284391638</v>
      </c>
      <c r="T26" s="118">
        <f ca="1">EXP(y_inter1-(slope*LN(+S26)))</f>
        <v>6.3101517649334307</v>
      </c>
      <c r="U26" s="119">
        <f ca="1">(+S26*T26/100)/100</f>
        <v>0.18409856595375548</v>
      </c>
      <c r="V26" s="119">
        <f>regDebt_weighted</f>
        <v>3.5860000000000003E-2</v>
      </c>
      <c r="W26" s="119">
        <f ca="1">+U26-V26</f>
        <v>0.14823856595375548</v>
      </c>
      <c r="X26" s="119">
        <f ca="1">+((W26*(1-0.34))-Pfd_weighted)/Equity_percent</f>
        <v>0.2664170160740657</v>
      </c>
      <c r="Y26" s="119">
        <f ca="1">+X26*equityP</f>
        <v>0.15985020964443941</v>
      </c>
      <c r="Z26" s="119">
        <f ca="1">+Y26/(1-taxrate)</f>
        <v>0.20234203752460683</v>
      </c>
      <c r="AA26" s="119">
        <f>debtP*Debt_Rate</f>
        <v>2.6000000000000002E-2</v>
      </c>
      <c r="AB26" s="119">
        <f ca="1">+AA26+Z26</f>
        <v>0.22834203752460683</v>
      </c>
      <c r="AC26" s="119">
        <f ca="1">+AB26/(S26/100)</f>
        <v>7.8266384294179273E-2</v>
      </c>
      <c r="AD26" s="119">
        <f ca="1">1-AC26</f>
        <v>0.92173361570582069</v>
      </c>
      <c r="AE26" s="120">
        <f ca="1">expenses/(AD26)</f>
        <v>253815.26478710806</v>
      </c>
      <c r="AF26" s="121">
        <f ca="1">+AE26-Revenue</f>
        <v>-104405.16021289193</v>
      </c>
      <c r="AG26" s="122">
        <f ca="1">+AF26/$J$49</f>
        <v>-115953.04514404773</v>
      </c>
      <c r="AH26" s="122">
        <f ca="1">+AG26*$J$47</f>
        <v>-2620.5388202554791</v>
      </c>
      <c r="AI26" s="120">
        <f ca="1">ROUND(+AH26+AE26,5)</f>
        <v>251194.72597</v>
      </c>
    </row>
    <row r="27" spans="1:35" ht="15.75">
      <c r="A27" s="43"/>
      <c r="B27" s="43"/>
      <c r="C27" s="43"/>
      <c r="D27" s="43"/>
      <c r="E27" s="43"/>
      <c r="F27" s="142">
        <f t="shared" si="0"/>
        <v>21</v>
      </c>
      <c r="H27" s="79" t="s">
        <v>29</v>
      </c>
      <c r="I27" s="88">
        <f>IF(A65=TRUE,C8,0)</f>
        <v>0.4</v>
      </c>
      <c r="J27" s="90">
        <f>+I27*J28</f>
        <v>34439.851497615127</v>
      </c>
      <c r="K27" s="83">
        <f>IF(A65=TRUE,C9,0)</f>
        <v>6.5000000000000002E-2</v>
      </c>
      <c r="L27" s="88">
        <f>+K27*I27</f>
        <v>2.6000000000000002E-2</v>
      </c>
      <c r="M27" s="105">
        <f>+K27*J27</f>
        <v>2238.5903473449835</v>
      </c>
      <c r="O27" s="43"/>
      <c r="P27" s="43"/>
      <c r="R27" s="35">
        <v>2</v>
      </c>
      <c r="S27" s="123">
        <f ca="1">AI22/Investment*100</f>
        <v>291.34341621347636</v>
      </c>
      <c r="T27" s="34">
        <f ca="1">EXP(y_inter2-(slope*LN(+S27)))</f>
        <v>6.2263030263670629</v>
      </c>
      <c r="U27" s="4">
        <f ca="1">(+S27*T27/100)/100</f>
        <v>0.18139923940820868</v>
      </c>
      <c r="V27" s="4">
        <f>regDebt_weighted</f>
        <v>3.5860000000000003E-2</v>
      </c>
      <c r="W27" s="4">
        <f ca="1">+U27-V27</f>
        <v>0.14553923940820868</v>
      </c>
      <c r="X27" s="4">
        <f ca="1">+((W27*(1-0.34))-Pfd_weighted)/Equity_percent</f>
        <v>0.26123807560877244</v>
      </c>
      <c r="Y27" s="4">
        <f ca="1">+X27*equityP</f>
        <v>0.15674284536526345</v>
      </c>
      <c r="Z27" s="4">
        <f ca="1">+Y27/(1-taxrate)</f>
        <v>0.19840866501932081</v>
      </c>
      <c r="AA27" s="4">
        <f>debtP*Debt_Rate</f>
        <v>2.6000000000000002E-2</v>
      </c>
      <c r="AB27" s="4">
        <f ca="1">+AA27+Z27</f>
        <v>0.2244086650193208</v>
      </c>
      <c r="AC27" s="4">
        <f ca="1">+AB27/(S27/100)</f>
        <v>7.7025480079800271E-2</v>
      </c>
      <c r="AD27" s="4">
        <f ca="1">1-AC27</f>
        <v>0.92297451992019974</v>
      </c>
      <c r="AE27" s="124">
        <f ca="1">expenses/(AD27)</f>
        <v>253474.01979610301</v>
      </c>
      <c r="AF27" s="125">
        <f ca="1">+AE27-Revenue</f>
        <v>-104746.40520389698</v>
      </c>
      <c r="AG27" s="126">
        <f ca="1">+AF27/$J$49</f>
        <v>-116332.03403469743</v>
      </c>
      <c r="AH27" s="126">
        <f ca="1">+AG27*$J$47</f>
        <v>-2629.103969184162</v>
      </c>
      <c r="AI27" s="124">
        <f ca="1">ROUND(+AH27+AE27,5)</f>
        <v>250844.91583000001</v>
      </c>
    </row>
    <row r="28" spans="1:35" ht="16.5" thickBot="1">
      <c r="A28" s="43"/>
      <c r="B28" s="43"/>
      <c r="C28" s="43"/>
      <c r="D28" s="43"/>
      <c r="E28" s="43"/>
      <c r="F28" s="142">
        <f t="shared" si="0"/>
        <v>22</v>
      </c>
      <c r="H28" s="79" t="s">
        <v>103</v>
      </c>
      <c r="I28" s="91">
        <f>SUM(I26:I27)</f>
        <v>1</v>
      </c>
      <c r="J28" s="136">
        <f>IF(A65=TRUE,C7,0)</f>
        <v>86099.628744037807</v>
      </c>
      <c r="K28" s="144"/>
      <c r="L28" s="143">
        <f ca="1">SUM(L26:L27)</f>
        <v>0.18249710171783967</v>
      </c>
      <c r="M28" s="136">
        <f ca="1">SUM(M26:M27)</f>
        <v>15712.9327047689</v>
      </c>
      <c r="O28" s="43"/>
      <c r="P28" s="43"/>
      <c r="R28" s="5">
        <v>3</v>
      </c>
      <c r="S28" s="123">
        <f ca="1">AI23/Investment*100</f>
        <v>291.06983337295065</v>
      </c>
      <c r="T28" s="6">
        <f ca="1">EXP(y_inter3-(slope*LN(S28)))</f>
        <v>6.1697297504653275</v>
      </c>
      <c r="U28" s="4">
        <f ca="1">(+S28*T28/100)/100</f>
        <v>0.17958222104240792</v>
      </c>
      <c r="V28" s="4">
        <f>regDebt_weighted</f>
        <v>3.5860000000000003E-2</v>
      </c>
      <c r="W28" s="4">
        <f ca="1">+U28-V28</f>
        <v>0.14372222104240792</v>
      </c>
      <c r="X28" s="4">
        <f ca="1">+((W28*(1-0.34))-Pfd_weighted)/Equity_percent</f>
        <v>0.25775193572089888</v>
      </c>
      <c r="Y28" s="4">
        <f ca="1">+X28*equityP</f>
        <v>0.15465116143253932</v>
      </c>
      <c r="Z28" s="4">
        <f ca="1">+Y28/(1-taxrate)</f>
        <v>0.19576096383865735</v>
      </c>
      <c r="AA28" s="4">
        <f>debtP*Debt_Rate</f>
        <v>2.6000000000000002E-2</v>
      </c>
      <c r="AB28" s="4">
        <f ca="1">+AA28+Z28</f>
        <v>0.22176096383865734</v>
      </c>
      <c r="AC28" s="4">
        <f ca="1">+AB28/(S28/100)</f>
        <v>7.6188233342104131E-2</v>
      </c>
      <c r="AD28" s="4">
        <f ca="1">1-AC28</f>
        <v>0.92381176665789588</v>
      </c>
      <c r="AE28" s="124">
        <f ca="1">expenses/(AD28)</f>
        <v>253244.29735282567</v>
      </c>
      <c r="AF28" s="125">
        <f ca="1">+AE28-Revenue</f>
        <v>-104976.12764717432</v>
      </c>
      <c r="AG28" s="126">
        <f ca="1">+AF28/$J$49</f>
        <v>-116587.16526366756</v>
      </c>
      <c r="AH28" s="126">
        <f ca="1">+AG28*$J$47</f>
        <v>-2634.8699349588869</v>
      </c>
      <c r="AI28" s="124">
        <f ca="1">ROUND(+AH28+AE28,5)</f>
        <v>250609.42741999999</v>
      </c>
    </row>
    <row r="29" spans="1:35" ht="16.5" thickTop="1">
      <c r="A29" s="43"/>
      <c r="B29" s="43"/>
      <c r="C29" s="43"/>
      <c r="D29" s="43"/>
      <c r="E29" s="43"/>
      <c r="F29" s="142">
        <f t="shared" si="0"/>
        <v>23</v>
      </c>
      <c r="G29" s="72"/>
      <c r="H29" s="72"/>
      <c r="I29" s="72"/>
      <c r="J29" s="72"/>
      <c r="K29" s="72"/>
      <c r="L29" s="72"/>
      <c r="M29" s="72"/>
      <c r="N29" s="72"/>
      <c r="O29" s="43"/>
      <c r="P29" s="43"/>
      <c r="R29" s="7">
        <v>4</v>
      </c>
      <c r="S29" s="123">
        <f ca="1">AI24/Investment*100</f>
        <v>290.89490662564987</v>
      </c>
      <c r="T29" s="8">
        <f ca="1">EXP(y_inter4-(slope*LN(S29)))</f>
        <v>6.1335029530397325</v>
      </c>
      <c r="U29" s="4">
        <f ca="1">(+S29*T29/100)/100</f>
        <v>0.17842047688126406</v>
      </c>
      <c r="V29" s="4">
        <f>regDebt_weighted</f>
        <v>3.5860000000000003E-2</v>
      </c>
      <c r="W29" s="4">
        <f ca="1">+U29-V29</f>
        <v>0.14256047688126405</v>
      </c>
      <c r="X29" s="4">
        <f ca="1">+((W29*(1-0.34))-Pfd_weighted)/Equity_percent</f>
        <v>0.25552300796986704</v>
      </c>
      <c r="Y29" s="4">
        <f ca="1">+X29*equityP</f>
        <v>0.15331380478192022</v>
      </c>
      <c r="Z29" s="4">
        <f ca="1">+Y29/(1-taxrate)</f>
        <v>0.19406810731888635</v>
      </c>
      <c r="AA29" s="4">
        <f>debtP*Debt_Rate</f>
        <v>2.6000000000000002E-2</v>
      </c>
      <c r="AB29" s="4">
        <f ca="1">+AA29+Z29</f>
        <v>0.22006810731888635</v>
      </c>
      <c r="AC29" s="4">
        <f ca="1">+AB29/(S29/100)</f>
        <v>7.5652100571870814E-2</v>
      </c>
      <c r="AD29" s="4">
        <f ca="1">1-AC29</f>
        <v>0.92434789942812923</v>
      </c>
      <c r="AE29" s="124">
        <f ca="1">expenses/(AD29)</f>
        <v>253097.41264981549</v>
      </c>
      <c r="AF29" s="125">
        <f ca="1">+AE29-Revenue</f>
        <v>-105123.01235018449</v>
      </c>
      <c r="AG29" s="126">
        <f ca="1">+AF29/$J$49</f>
        <v>-116750.29636336013</v>
      </c>
      <c r="AH29" s="126">
        <f ca="1">+AG29*$J$47</f>
        <v>-2638.5566978119391</v>
      </c>
      <c r="AI29" s="124">
        <f ca="1">ROUND(+AH29+AE29,5)</f>
        <v>250458.85595</v>
      </c>
    </row>
    <row r="30" spans="1:35" ht="15.75">
      <c r="A30" s="43"/>
      <c r="B30" s="43"/>
      <c r="C30" s="43"/>
      <c r="D30" s="43"/>
      <c r="E30" s="43"/>
      <c r="F30" s="142">
        <f t="shared" si="0"/>
        <v>24</v>
      </c>
      <c r="G30" s="72"/>
      <c r="H30" s="72"/>
      <c r="I30" s="72"/>
      <c r="J30" s="107" t="s">
        <v>94</v>
      </c>
      <c r="K30" s="107" t="s">
        <v>96</v>
      </c>
      <c r="L30" s="72"/>
      <c r="M30" s="72"/>
      <c r="N30" s="72"/>
      <c r="O30" s="43"/>
      <c r="P30" s="43"/>
      <c r="R30" s="1" t="s">
        <v>53</v>
      </c>
      <c r="W30" s="9"/>
      <c r="X30" s="13"/>
      <c r="Y30" s="10"/>
      <c r="Z30" s="10"/>
      <c r="AA30" s="13"/>
      <c r="AC30" s="13"/>
      <c r="AD30" s="13"/>
      <c r="AE30" s="10"/>
      <c r="AF30" s="9"/>
      <c r="AH30" s="10"/>
    </row>
    <row r="31" spans="1:35" ht="15.75">
      <c r="A31" s="43"/>
      <c r="B31" s="43"/>
      <c r="C31" s="43"/>
      <c r="D31" s="43"/>
      <c r="E31" s="43"/>
      <c r="F31" s="142">
        <f t="shared" si="0"/>
        <v>25</v>
      </c>
      <c r="G31" s="72"/>
      <c r="H31" s="102" t="s">
        <v>51</v>
      </c>
      <c r="I31" s="103"/>
      <c r="J31" s="104" t="s">
        <v>95</v>
      </c>
      <c r="K31" s="104" t="s">
        <v>95</v>
      </c>
      <c r="L31" s="72"/>
      <c r="M31" s="72"/>
      <c r="N31" s="72"/>
      <c r="O31" s="43"/>
      <c r="P31" s="43"/>
      <c r="R31" s="3">
        <v>1</v>
      </c>
      <c r="S31" s="117">
        <f ca="1">AI26/Investment*100</f>
        <v>291.74890720698329</v>
      </c>
      <c r="T31" s="118">
        <f ca="1">EXP(y_inter1-(slope*LN(+S31)))</f>
        <v>6.3101653043570325</v>
      </c>
      <c r="U31" s="119">
        <f ca="1">(+S31*T31/100)/100</f>
        <v>0.1840983831841585</v>
      </c>
      <c r="V31" s="119">
        <f>regDebt_weighted</f>
        <v>3.5860000000000003E-2</v>
      </c>
      <c r="W31" s="119">
        <f ca="1">+U31-V31</f>
        <v>0.1482383831841585</v>
      </c>
      <c r="X31" s="119">
        <f ca="1">+((W31*(1-0.34))-Pfd_weighted)/Equity_percent</f>
        <v>0.26641666541146686</v>
      </c>
      <c r="Y31" s="119">
        <f ca="1">+X31*equityP</f>
        <v>0.15984999924688012</v>
      </c>
      <c r="Z31" s="119">
        <f ca="1">+Y31/(1-taxrate)</f>
        <v>0.20234177119858243</v>
      </c>
      <c r="AA31" s="119">
        <f>debtP*Debt_Rate</f>
        <v>2.6000000000000002E-2</v>
      </c>
      <c r="AB31" s="119">
        <f ca="1">+AA31+Z31</f>
        <v>0.22834177119858243</v>
      </c>
      <c r="AC31" s="119">
        <f ca="1">+AB31/(S31/100)</f>
        <v>7.8266538642622493E-2</v>
      </c>
      <c r="AD31" s="119">
        <f ca="1">1-AC31</f>
        <v>0.92173346135737755</v>
      </c>
      <c r="AE31" s="120">
        <f ca="1">expenses/(AD31)</f>
        <v>253815.30728962383</v>
      </c>
      <c r="AF31" s="121">
        <f ca="1">+AE31-Revenue</f>
        <v>-104405.11771037616</v>
      </c>
      <c r="AG31" s="122">
        <f ca="1">+AF31/$J$49</f>
        <v>-115952.99794047924</v>
      </c>
      <c r="AH31" s="122">
        <f ca="1">+AG31*$J$47</f>
        <v>-2620.5377534548311</v>
      </c>
      <c r="AI31" s="120">
        <f ca="1">ROUND(+AH31+AE31,5)</f>
        <v>251194.76954000001</v>
      </c>
    </row>
    <row r="32" spans="1:35" ht="15.75">
      <c r="A32" s="43"/>
      <c r="B32" s="43"/>
      <c r="C32" s="43"/>
      <c r="D32" s="43"/>
      <c r="E32" s="43"/>
      <c r="F32" s="142">
        <f t="shared" si="0"/>
        <v>26</v>
      </c>
      <c r="G32" s="72"/>
      <c r="H32" s="76"/>
      <c r="I32" s="76"/>
      <c r="J32" s="76"/>
      <c r="K32" s="76"/>
      <c r="L32" s="72"/>
      <c r="M32" s="72"/>
      <c r="N32" s="72"/>
      <c r="O32" s="43"/>
      <c r="P32" s="43"/>
      <c r="R32" s="35">
        <v>2</v>
      </c>
      <c r="S32" s="123">
        <f ca="1">AI27/Investment*100</f>
        <v>291.34262190110832</v>
      </c>
      <c r="T32" s="34">
        <f ca="1">EXP(y_inter2-(slope*LN(+S32)))</f>
        <v>6.2263146318679743</v>
      </c>
      <c r="U32" s="4">
        <f ca="1">(+S32*T32/100)/100</f>
        <v>0.18139908296296497</v>
      </c>
      <c r="V32" s="4">
        <f>regDebt_weighted</f>
        <v>3.5860000000000003E-2</v>
      </c>
      <c r="W32" s="4">
        <f ca="1">+U32-V32</f>
        <v>0.14553908296296497</v>
      </c>
      <c r="X32" s="4">
        <f ca="1">+((W32*(1-0.34))-Pfd_weighted)/Equity_percent</f>
        <v>0.26123777545220023</v>
      </c>
      <c r="Y32" s="4">
        <f ca="1">+X32*equityP</f>
        <v>0.15674266527132014</v>
      </c>
      <c r="Z32" s="4">
        <f ca="1">+Y32/(1-taxrate)</f>
        <v>0.19840843705230396</v>
      </c>
      <c r="AA32" s="4">
        <f>debtP*Debt_Rate</f>
        <v>2.6000000000000002E-2</v>
      </c>
      <c r="AB32" s="4">
        <f ca="1">+AA32+Z32</f>
        <v>0.22440843705230396</v>
      </c>
      <c r="AC32" s="4">
        <f ca="1">+AB32/(S32/100)</f>
        <v>7.7025611833916929E-2</v>
      </c>
      <c r="AD32" s="4">
        <f ca="1">1-AC32</f>
        <v>0.92297438816608302</v>
      </c>
      <c r="AE32" s="124">
        <f ca="1">expenses/(AD32)</f>
        <v>253474.0559793883</v>
      </c>
      <c r="AF32" s="125">
        <f ca="1">+AE32-Revenue</f>
        <v>-104746.36902061169</v>
      </c>
      <c r="AG32" s="126">
        <f ca="1">+AF32/$J$49</f>
        <v>-116331.99384930712</v>
      </c>
      <c r="AH32" s="126">
        <f ca="1">+AG32*$J$47</f>
        <v>-2629.1030609943414</v>
      </c>
      <c r="AI32" s="124">
        <f ca="1">ROUND(+AH32+AE32,5)</f>
        <v>250844.95292000001</v>
      </c>
    </row>
    <row r="33" spans="1:46" ht="15.75">
      <c r="A33" s="43"/>
      <c r="B33" s="43"/>
      <c r="C33" s="43"/>
      <c r="D33" s="43"/>
      <c r="E33" s="43"/>
      <c r="F33" s="142">
        <f t="shared" si="0"/>
        <v>27</v>
      </c>
      <c r="G33" s="72"/>
      <c r="H33" s="76" t="s">
        <v>54</v>
      </c>
      <c r="I33" s="76"/>
      <c r="J33" s="89">
        <f ca="1">+K9/J28</f>
        <v>0.22409759711118987</v>
      </c>
      <c r="K33" s="89">
        <f ca="1">+(M14+M11)/J28</f>
        <v>0.18249710171783967</v>
      </c>
      <c r="L33" s="72"/>
      <c r="M33" s="72"/>
      <c r="N33" s="72"/>
      <c r="O33" s="43"/>
      <c r="P33" s="43"/>
      <c r="R33" s="5">
        <v>3</v>
      </c>
      <c r="S33" s="123">
        <f ca="1">AI28/Investment*100</f>
        <v>291.06911501909826</v>
      </c>
      <c r="T33" s="6">
        <f ca="1">EXP(y_inter3-(slope*LN(S33)))</f>
        <v>6.1697401605627675</v>
      </c>
      <c r="U33" s="4">
        <f ca="1">(+S33*T33/100)/100</f>
        <v>0.1795820808432794</v>
      </c>
      <c r="V33" s="4">
        <f>regDebt_weighted</f>
        <v>3.5860000000000003E-2</v>
      </c>
      <c r="W33" s="4">
        <f ca="1">+U33-V33</f>
        <v>0.14372208084327939</v>
      </c>
      <c r="X33" s="4">
        <f ca="1">+((W33*(1-0.34))-Pfd_weighted)/Equity_percent</f>
        <v>0.2577516667341988</v>
      </c>
      <c r="Y33" s="4">
        <f ca="1">+X33*equityP</f>
        <v>0.15465100004051927</v>
      </c>
      <c r="Z33" s="4">
        <f ca="1">+Y33/(1-taxrate)</f>
        <v>0.19576075954496108</v>
      </c>
      <c r="AA33" s="4">
        <f>debtP*Debt_Rate</f>
        <v>2.6000000000000002E-2</v>
      </c>
      <c r="AB33" s="4">
        <f ca="1">+AA33+Z33</f>
        <v>0.22176075954496108</v>
      </c>
      <c r="AC33" s="4">
        <f ca="1">+AB33/(S33/100)</f>
        <v>7.6188351186078404E-2</v>
      </c>
      <c r="AD33" s="4">
        <f ca="1">1-AC33</f>
        <v>0.92381164881392164</v>
      </c>
      <c r="AE33" s="124">
        <f ca="1">expenses/(AD33)</f>
        <v>253244.32965737011</v>
      </c>
      <c r="AF33" s="125">
        <f ca="1">+AE33-Revenue</f>
        <v>-104976.09534262988</v>
      </c>
      <c r="AG33" s="126">
        <f ca="1">+AF33/$J$49</f>
        <v>-116587.1293860319</v>
      </c>
      <c r="AH33" s="126">
        <f ca="1">+AG33*$J$47</f>
        <v>-2634.8691241243209</v>
      </c>
      <c r="AI33" s="124">
        <f ca="1">ROUND(+AH33+AE33,5)</f>
        <v>250609.46053000001</v>
      </c>
    </row>
    <row r="34" spans="1:46" ht="15.75">
      <c r="A34" s="43"/>
      <c r="B34" s="43"/>
      <c r="C34" s="43"/>
      <c r="D34" s="43"/>
      <c r="E34" s="43"/>
      <c r="F34" s="142">
        <f t="shared" si="0"/>
        <v>28</v>
      </c>
      <c r="G34" s="72"/>
      <c r="H34" s="76" t="s">
        <v>55</v>
      </c>
      <c r="I34" s="76"/>
      <c r="J34" s="89">
        <f ca="1">+(M9-M11)/J26</f>
        <v>0.33016266185198256</v>
      </c>
      <c r="K34" s="89">
        <f ca="1">+M14/J26</f>
        <v>0.26082850286306614</v>
      </c>
      <c r="L34" s="72"/>
      <c r="M34" s="72"/>
      <c r="N34" s="72"/>
      <c r="O34" s="46"/>
      <c r="P34" s="43"/>
      <c r="R34" s="7">
        <v>4</v>
      </c>
      <c r="S34" s="123">
        <f ca="1">AI29/Investment*100</f>
        <v>290.89423450893065</v>
      </c>
      <c r="T34" s="8">
        <f ca="1">EXP(y_inter4-(slope*LN(S34)))</f>
        <v>6.1335126417178598</v>
      </c>
      <c r="U34" s="4">
        <f ca="1">(+S34*T34/100)/100</f>
        <v>0.17842034647633662</v>
      </c>
      <c r="V34" s="4">
        <f>regDebt_weighted</f>
        <v>3.5860000000000003E-2</v>
      </c>
      <c r="W34" s="4">
        <f ca="1">+U34-V34</f>
        <v>0.14256034647633661</v>
      </c>
      <c r="X34" s="4">
        <f ca="1">+((W34*(1-0.34))-Pfd_weighted)/Equity_percent</f>
        <v>0.25552275777436673</v>
      </c>
      <c r="Y34" s="4">
        <f ca="1">+X34*equityP</f>
        <v>0.15331365466462002</v>
      </c>
      <c r="Z34" s="4">
        <f ca="1">+Y34/(1-taxrate)</f>
        <v>0.19406791729698736</v>
      </c>
      <c r="AA34" s="4">
        <f>debtP*Debt_Rate</f>
        <v>2.6000000000000002E-2</v>
      </c>
      <c r="AB34" s="4">
        <f ca="1">+AA34+Z34</f>
        <v>0.22006791729698735</v>
      </c>
      <c r="AC34" s="4">
        <f ca="1">+AB34/(S34/100)</f>
        <v>7.5652210044139301E-2</v>
      </c>
      <c r="AD34" s="4">
        <f ca="1">1-AC34</f>
        <v>0.92434778995586075</v>
      </c>
      <c r="AE34" s="124">
        <f ca="1">expenses/(AD34)</f>
        <v>253097.44262462392</v>
      </c>
      <c r="AF34" s="125">
        <f ca="1">+AE34-Revenue</f>
        <v>-105122.98237537607</v>
      </c>
      <c r="AG34" s="126">
        <f ca="1">+AF34/$J$49</f>
        <v>-116750.26307314434</v>
      </c>
      <c r="AH34" s="126">
        <f ca="1">+AG34*$J$47</f>
        <v>-2638.5559454530621</v>
      </c>
      <c r="AI34" s="124">
        <f ca="1">ROUND(+AH34+AE34,5)</f>
        <v>250458.88668</v>
      </c>
    </row>
    <row r="35" spans="1:46" ht="15.75">
      <c r="A35" s="43"/>
      <c r="B35" s="43"/>
      <c r="C35" s="43"/>
      <c r="D35" s="43"/>
      <c r="E35" s="43"/>
      <c r="F35" s="142">
        <f t="shared" si="0"/>
        <v>29</v>
      </c>
      <c r="G35" s="72"/>
      <c r="H35" s="92" t="s">
        <v>31</v>
      </c>
      <c r="I35" s="76"/>
      <c r="J35" s="89">
        <f ca="1">+K8/K7</f>
        <v>0.92381000000000002</v>
      </c>
      <c r="K35" s="89">
        <f ca="1">+M8/M7</f>
        <v>0.92300895504891711</v>
      </c>
      <c r="L35" s="72"/>
      <c r="M35" s="72"/>
      <c r="N35" s="72"/>
      <c r="O35" s="43"/>
      <c r="P35" s="43"/>
      <c r="R35" s="1" t="s">
        <v>84</v>
      </c>
      <c r="X35" s="13"/>
      <c r="Y35" s="14"/>
      <c r="Z35" s="10"/>
      <c r="AA35" s="13"/>
      <c r="AC35" s="13"/>
      <c r="AD35" s="13"/>
      <c r="AE35" s="10"/>
      <c r="AF35" s="9"/>
      <c r="AH35" s="10"/>
    </row>
    <row r="36" spans="1:46" ht="15.75">
      <c r="A36" s="43"/>
      <c r="B36" s="43"/>
      <c r="C36" s="43"/>
      <c r="D36" s="43"/>
      <c r="E36" s="43"/>
      <c r="F36" s="142">
        <f t="shared" si="0"/>
        <v>30</v>
      </c>
      <c r="G36" s="72"/>
      <c r="H36" s="76" t="s">
        <v>56</v>
      </c>
      <c r="I36" s="76"/>
      <c r="J36" s="89">
        <f ca="1">+K9/K7</f>
        <v>7.6189999999999952E-2</v>
      </c>
      <c r="K36" s="89">
        <f ca="1">+J36</f>
        <v>7.6189999999999952E-2</v>
      </c>
      <c r="L36" s="72"/>
      <c r="M36" s="72"/>
      <c r="N36" s="72"/>
      <c r="O36" s="43"/>
      <c r="P36" s="43"/>
      <c r="R36" s="3">
        <v>1</v>
      </c>
      <c r="S36" s="117">
        <f ca="1">AI31/Investment*100</f>
        <v>291.74895781115043</v>
      </c>
      <c r="T36" s="118">
        <f ca="1">EXP(y_inter1-(slope*LN(+S36)))</f>
        <v>6.3101645560768569</v>
      </c>
      <c r="U36" s="119">
        <f ca="1">(+S36*T36/100)/100</f>
        <v>0.18409839328522837</v>
      </c>
      <c r="V36" s="119">
        <f>regDebt_weighted</f>
        <v>3.5860000000000003E-2</v>
      </c>
      <c r="W36" s="119">
        <f ca="1">+U36-V36</f>
        <v>0.14823839328522836</v>
      </c>
      <c r="X36" s="119">
        <f ca="1">+((W36*(1-0.34))-Pfd_weighted)/Equity_percent</f>
        <v>0.26641668479142649</v>
      </c>
      <c r="Y36" s="119">
        <f ca="1">+X36*equityP</f>
        <v>0.1598500108748559</v>
      </c>
      <c r="Z36" s="119">
        <f ca="1">+Y36/(1-taxrate)</f>
        <v>0.2023417859175391</v>
      </c>
      <c r="AA36" s="119">
        <f>debtP*Debt_Rate</f>
        <v>2.6000000000000002E-2</v>
      </c>
      <c r="AB36" s="119">
        <f ca="1">+AA36+Z36</f>
        <v>0.22834178591753909</v>
      </c>
      <c r="AC36" s="119">
        <f ca="1">+AB36/(S36/100)</f>
        <v>7.82665301122841E-2</v>
      </c>
      <c r="AD36" s="119">
        <f ca="1">1-AC36</f>
        <v>0.92173346988771587</v>
      </c>
      <c r="AE36" s="120">
        <f ca="1">expenses/(AD36)</f>
        <v>253815.30494064713</v>
      </c>
      <c r="AF36" s="121">
        <f ca="1">+AE36-Revenue</f>
        <v>-104405.12005935286</v>
      </c>
      <c r="AG36" s="122">
        <f ca="1">+AF36/$J$49</f>
        <v>-115953.00054926793</v>
      </c>
      <c r="AH36" s="122">
        <f ca="1">+AG36*$J$47</f>
        <v>-2620.5378124134554</v>
      </c>
      <c r="AI36" s="120">
        <f ca="1">ROUND(+AH36+AE36,5)</f>
        <v>251194.76712999999</v>
      </c>
    </row>
    <row r="37" spans="1:46" ht="15.75">
      <c r="A37" s="43"/>
      <c r="B37" s="43"/>
      <c r="C37" s="43"/>
      <c r="D37" s="43"/>
      <c r="E37" s="43"/>
      <c r="F37" s="142">
        <f t="shared" si="0"/>
        <v>31</v>
      </c>
      <c r="G37" s="72"/>
      <c r="H37" s="76" t="s">
        <v>57</v>
      </c>
      <c r="I37" s="74"/>
      <c r="J37" s="93">
        <f ca="1">+S39/100</f>
        <v>2.908942702001414</v>
      </c>
      <c r="K37" s="93">
        <f ca="1">+J37</f>
        <v>2.908942702001414</v>
      </c>
      <c r="L37" s="72"/>
      <c r="M37" s="72"/>
      <c r="N37" s="72"/>
      <c r="O37" s="43"/>
      <c r="P37" s="43"/>
      <c r="R37" s="35">
        <v>2</v>
      </c>
      <c r="S37" s="123">
        <f ca="1">AI32/Investment*100</f>
        <v>291.34266497911051</v>
      </c>
      <c r="T37" s="34">
        <f ca="1">EXP(y_inter2-(slope*LN(+S37)))</f>
        <v>6.2263140024646031</v>
      </c>
      <c r="U37" s="4">
        <f ca="1">(+S37*T37/100)/100</f>
        <v>0.18139909144747893</v>
      </c>
      <c r="V37" s="4">
        <f>regDebt_weighted</f>
        <v>3.5860000000000003E-2</v>
      </c>
      <c r="W37" s="4">
        <f ca="1">+U37-V37</f>
        <v>0.14553909144747892</v>
      </c>
      <c r="X37" s="4">
        <f ca="1">+((W37*(1-0.34))-Pfd_weighted)/Equity_percent</f>
        <v>0.26123779173062817</v>
      </c>
      <c r="Y37" s="4">
        <f ca="1">+X37*equityP</f>
        <v>0.15674267503837688</v>
      </c>
      <c r="Z37" s="4">
        <f ca="1">+Y37/(1-taxrate)</f>
        <v>0.19840844941566693</v>
      </c>
      <c r="AA37" s="4">
        <f>debtP*Debt_Rate</f>
        <v>2.6000000000000002E-2</v>
      </c>
      <c r="AB37" s="4">
        <f ca="1">+AA37+Z37</f>
        <v>0.22440844941566693</v>
      </c>
      <c r="AC37" s="4">
        <f ca="1">+AB37/(S37/100)</f>
        <v>7.7025604688471278E-2</v>
      </c>
      <c r="AD37" s="4">
        <f ca="1">1-AC37</f>
        <v>0.92297439531152869</v>
      </c>
      <c r="AE37" s="124">
        <f ca="1">expenses/(AD37)</f>
        <v>253474.05401705313</v>
      </c>
      <c r="AF37" s="125">
        <f ca="1">+AE37-Revenue</f>
        <v>-104746.37098294686</v>
      </c>
      <c r="AG37" s="126">
        <f ca="1">+AF37/$J$49</f>
        <v>-116331.99602868923</v>
      </c>
      <c r="AH37" s="126">
        <f ca="1">+AG37*$J$47</f>
        <v>-2629.1031102483767</v>
      </c>
      <c r="AI37" s="124">
        <f ca="1">ROUND(+AH37+AE37,5)</f>
        <v>250844.95091000001</v>
      </c>
    </row>
    <row r="38" spans="1:46" ht="15.75">
      <c r="A38" s="43"/>
      <c r="B38" s="43"/>
      <c r="C38" s="43"/>
      <c r="D38" s="43"/>
      <c r="E38" s="43"/>
      <c r="F38" s="142">
        <f t="shared" si="0"/>
        <v>32</v>
      </c>
      <c r="G38" s="72"/>
      <c r="H38" s="76" t="s">
        <v>58</v>
      </c>
      <c r="I38" s="72"/>
      <c r="J38" s="89">
        <f>+C10</f>
        <v>0.21</v>
      </c>
      <c r="K38" s="89">
        <f>+J38</f>
        <v>0.21</v>
      </c>
      <c r="L38" s="72"/>
      <c r="M38" s="72"/>
      <c r="N38" s="72"/>
      <c r="O38" s="43"/>
      <c r="P38" s="43"/>
      <c r="Q38" s="71"/>
      <c r="R38" s="5">
        <v>3</v>
      </c>
      <c r="S38" s="123">
        <f ca="1">AI33/Investment*100</f>
        <v>291.06915347454867</v>
      </c>
      <c r="T38" s="6">
        <f ca="1">EXP(y_inter3-(slope*LN(S38)))</f>
        <v>6.1697396032806298</v>
      </c>
      <c r="U38" s="4">
        <f ca="1">(+S38*T38/100)/100</f>
        <v>0.17958208834852904</v>
      </c>
      <c r="V38" s="4">
        <f>regDebt_weighted</f>
        <v>3.5860000000000003E-2</v>
      </c>
      <c r="W38" s="4">
        <f ca="1">+U38-V38</f>
        <v>0.14372208834852904</v>
      </c>
      <c r="X38" s="4">
        <f ca="1">+((W38*(1-0.34))-Pfd_weighted)/Equity_percent</f>
        <v>0.2577516811338057</v>
      </c>
      <c r="Y38" s="4">
        <f ca="1">+X38*equityP</f>
        <v>0.15465100868028342</v>
      </c>
      <c r="Z38" s="4">
        <f ca="1">+Y38/(1-taxrate)</f>
        <v>0.19576077048137142</v>
      </c>
      <c r="AA38" s="4">
        <f>debtP*Debt_Rate</f>
        <v>2.6000000000000002E-2</v>
      </c>
      <c r="AB38" s="4">
        <f ca="1">+AA38+Z38</f>
        <v>0.22176077048137141</v>
      </c>
      <c r="AC38" s="4">
        <f ca="1">+AB38/(S38/100)</f>
        <v>7.6188344877555825E-2</v>
      </c>
      <c r="AD38" s="4">
        <f ca="1">1-AC38</f>
        <v>0.92381165512244423</v>
      </c>
      <c r="AE38" s="124">
        <f ca="1">expenses/(AD38)</f>
        <v>253244.32792801587</v>
      </c>
      <c r="AF38" s="125">
        <f ca="1">+AE38-Revenue</f>
        <v>-104976.09707198411</v>
      </c>
      <c r="AG38" s="126">
        <f ca="1">+AF38/$J$49</f>
        <v>-116587.13130666387</v>
      </c>
      <c r="AH38" s="126">
        <f ca="1">+AG38*$J$47</f>
        <v>-2634.8691675306036</v>
      </c>
      <c r="AI38" s="124">
        <f ca="1">ROUND(+AH38+AE38,5)</f>
        <v>250609.45876000001</v>
      </c>
    </row>
    <row r="39" spans="1:46" ht="15.75">
      <c r="A39" s="43"/>
      <c r="B39" s="43"/>
      <c r="C39" s="43"/>
      <c r="D39" s="43"/>
      <c r="E39" s="43"/>
      <c r="F39" s="142">
        <f t="shared" si="0"/>
        <v>33</v>
      </c>
      <c r="G39" s="72"/>
      <c r="H39" s="72"/>
      <c r="I39" s="72"/>
      <c r="J39" s="72"/>
      <c r="K39" s="72"/>
      <c r="L39" s="72"/>
      <c r="M39" s="72"/>
      <c r="N39" s="72"/>
      <c r="O39" s="43"/>
      <c r="P39" s="43"/>
      <c r="R39" s="7">
        <v>4</v>
      </c>
      <c r="S39" s="123">
        <f ca="1">AI34/Investment*100</f>
        <v>290.89427020014142</v>
      </c>
      <c r="T39" s="8">
        <f ca="1">EXP(y_inter4-(slope*LN(S39)))</f>
        <v>6.1335121272219686</v>
      </c>
      <c r="U39" s="4">
        <f ca="1">(+S39*T39/100)/100</f>
        <v>0.17842035340119516</v>
      </c>
      <c r="V39" s="4">
        <f>regDebt_weighted</f>
        <v>3.5860000000000003E-2</v>
      </c>
      <c r="W39" s="4">
        <f ca="1">+U39-V39</f>
        <v>0.14256035340119516</v>
      </c>
      <c r="X39" s="4">
        <f ca="1">+((W39*(1-0.34))-Pfd_weighted)/Equity_percent</f>
        <v>0.25552277106043259</v>
      </c>
      <c r="Y39" s="4">
        <f ca="1">+X39*equityP</f>
        <v>0.15331366263625953</v>
      </c>
      <c r="Z39" s="4">
        <f ca="1">+Y39/(1-taxrate)</f>
        <v>0.19406792738767029</v>
      </c>
      <c r="AA39" s="4">
        <f>debtP*Debt_Rate</f>
        <v>2.6000000000000002E-2</v>
      </c>
      <c r="AB39" s="4">
        <f ca="1">+AA39+Z39</f>
        <v>0.22006792738767028</v>
      </c>
      <c r="AC39" s="4">
        <f ca="1">+AB39/(S39/100)</f>
        <v>7.5652204230856418E-2</v>
      </c>
      <c r="AD39" s="4">
        <f ca="1">1-AC39</f>
        <v>0.92434779576914361</v>
      </c>
      <c r="AE39" s="124">
        <f ca="1">expenses/(AD39)</f>
        <v>253097.44103287777</v>
      </c>
      <c r="AF39" s="125">
        <f ca="1">+AE39-Revenue</f>
        <v>-105122.98396712221</v>
      </c>
      <c r="AG39" s="126">
        <f ca="1">+AF39/$J$49</f>
        <v>-116750.26484094789</v>
      </c>
      <c r="AH39" s="126">
        <f ca="1">+AG39*$J$47</f>
        <v>-2638.5559854054227</v>
      </c>
      <c r="AI39" s="124">
        <f ca="1">ROUND(+AH39+AE39,5)</f>
        <v>250458.88505000001</v>
      </c>
    </row>
    <row r="40" spans="1:46" ht="15.75">
      <c r="A40" s="43"/>
      <c r="B40" s="43"/>
      <c r="C40" s="43"/>
      <c r="D40" s="43"/>
      <c r="E40" s="43"/>
      <c r="F40" s="142">
        <f t="shared" si="0"/>
        <v>34</v>
      </c>
      <c r="G40" s="74"/>
      <c r="H40" s="72"/>
      <c r="I40" s="72"/>
      <c r="J40" s="72"/>
      <c r="K40" s="72"/>
      <c r="L40" s="72"/>
      <c r="M40" s="72"/>
      <c r="N40" s="72"/>
      <c r="O40" s="43"/>
      <c r="P40" s="43"/>
      <c r="X40" s="13"/>
      <c r="Y40" s="14"/>
      <c r="Z40" s="10"/>
      <c r="AA40" s="13"/>
      <c r="AC40" s="13"/>
      <c r="AD40" s="13"/>
      <c r="AE40" s="10"/>
      <c r="AF40" s="9"/>
      <c r="AH40" s="10"/>
    </row>
    <row r="41" spans="1:46" ht="15.75">
      <c r="A41" s="43"/>
      <c r="B41" s="43"/>
      <c r="C41" s="43"/>
      <c r="D41" s="43"/>
      <c r="E41" s="43"/>
      <c r="F41" s="142">
        <f t="shared" si="0"/>
        <v>35</v>
      </c>
      <c r="G41" s="72"/>
      <c r="H41" s="102" t="s">
        <v>61</v>
      </c>
      <c r="I41" s="94"/>
      <c r="J41" s="72"/>
      <c r="K41" s="72"/>
      <c r="L41" s="72"/>
      <c r="M41" s="72"/>
      <c r="N41" s="72"/>
      <c r="O41" s="43"/>
      <c r="P41" s="43"/>
      <c r="R41" s="28" t="s">
        <v>59</v>
      </c>
      <c r="S41" s="29"/>
      <c r="T41" s="15"/>
      <c r="U41" s="15"/>
      <c r="V41" s="16"/>
      <c r="X41" s="12"/>
      <c r="Y41" s="14"/>
      <c r="Z41" s="10"/>
      <c r="AA41" s="13"/>
      <c r="AC41" s="13"/>
      <c r="AD41" s="13"/>
      <c r="AE41" s="10"/>
      <c r="AF41" s="9"/>
      <c r="AH41" s="10"/>
    </row>
    <row r="42" spans="1:46" ht="15.75">
      <c r="A42" s="43"/>
      <c r="B42" s="43"/>
      <c r="C42" s="43"/>
      <c r="D42" s="43"/>
      <c r="E42" s="43"/>
      <c r="F42" s="142">
        <f t="shared" si="0"/>
        <v>36</v>
      </c>
      <c r="G42" s="72"/>
      <c r="H42" s="72"/>
      <c r="I42" s="72"/>
      <c r="J42" s="108" t="s">
        <v>48</v>
      </c>
      <c r="K42" s="194" t="s">
        <v>20</v>
      </c>
      <c r="L42" s="72"/>
      <c r="M42" s="72"/>
      <c r="N42" s="72"/>
      <c r="O42" s="43"/>
      <c r="P42" s="43"/>
      <c r="R42" s="30" t="s">
        <v>60</v>
      </c>
      <c r="S42" s="31"/>
      <c r="T42" s="17"/>
      <c r="U42" s="17"/>
      <c r="V42" s="18"/>
      <c r="X42" s="13"/>
      <c r="Y42" s="14"/>
      <c r="Z42" s="10"/>
      <c r="AA42" s="13"/>
      <c r="AC42" s="13"/>
      <c r="AD42" s="13"/>
      <c r="AE42" s="10"/>
      <c r="AH42" s="10"/>
    </row>
    <row r="43" spans="1:46" ht="15.75">
      <c r="A43" s="43"/>
      <c r="B43" s="43"/>
      <c r="C43" s="43"/>
      <c r="D43" s="43"/>
      <c r="E43" s="43"/>
      <c r="F43" s="142">
        <f t="shared" si="0"/>
        <v>37</v>
      </c>
      <c r="G43" s="72"/>
      <c r="H43" s="76" t="s">
        <v>62</v>
      </c>
      <c r="I43" s="75"/>
      <c r="J43" s="127">
        <f>IF($A$65=TRUE,C11,0)</f>
        <v>1.7500000000000002E-2</v>
      </c>
      <c r="K43" s="128">
        <f ca="1">+J43*($J$7/$J$49)</f>
        <v>-2040.2659795550562</v>
      </c>
      <c r="L43" s="72"/>
      <c r="M43" s="72"/>
      <c r="N43" s="72"/>
      <c r="O43" s="43"/>
      <c r="P43" s="43"/>
      <c r="R43" s="5">
        <v>0</v>
      </c>
      <c r="S43" s="32">
        <v>1</v>
      </c>
      <c r="T43" s="17"/>
      <c r="U43" s="19" t="s">
        <v>56</v>
      </c>
      <c r="V43" s="20">
        <f ca="1">VLOOKUP(R49,R36:AE39,12)</f>
        <v>7.6188344877555825E-2</v>
      </c>
      <c r="AA43" s="13"/>
      <c r="AC43" s="13"/>
      <c r="AH43" s="10"/>
      <c r="AL43" s="13"/>
      <c r="AM43" s="13"/>
      <c r="AN43" s="13"/>
      <c r="AO43" s="13"/>
      <c r="AP43" s="13"/>
      <c r="AQ43" s="13"/>
      <c r="AR43" s="13"/>
      <c r="AS43" s="13"/>
      <c r="AT43" s="13"/>
    </row>
    <row r="44" spans="1:46" ht="15.75">
      <c r="A44" s="43"/>
      <c r="B44" s="43"/>
      <c r="C44" s="43"/>
      <c r="D44" s="43"/>
      <c r="E44" s="43"/>
      <c r="F44" s="142">
        <f t="shared" si="0"/>
        <v>38</v>
      </c>
      <c r="G44" s="72"/>
      <c r="H44" s="76" t="s">
        <v>63</v>
      </c>
      <c r="I44" s="75"/>
      <c r="J44" s="127">
        <f>IF($A$65=TRUE,C12,0)</f>
        <v>5.1000000000000004E-3</v>
      </c>
      <c r="K44" s="128">
        <f ca="1">+J44*($J$7/$J$49)</f>
        <v>-594.59179975604502</v>
      </c>
      <c r="L44" s="72"/>
      <c r="M44" s="72"/>
      <c r="N44" s="72"/>
      <c r="O44" s="43"/>
      <c r="P44" s="43"/>
      <c r="R44" s="5">
        <v>50</v>
      </c>
      <c r="S44" s="32">
        <v>2</v>
      </c>
      <c r="T44" s="17"/>
      <c r="U44" s="19" t="s">
        <v>31</v>
      </c>
      <c r="V44" s="20">
        <f ca="1">ROUND(1-V43,5)</f>
        <v>0.92381000000000002</v>
      </c>
      <c r="Y44" s="66"/>
      <c r="Z44" s="1"/>
      <c r="AA44" s="1"/>
      <c r="AC44" s="13"/>
      <c r="AF44" s="9"/>
      <c r="AH44" s="10"/>
      <c r="AL44" s="13"/>
      <c r="AM44" s="13"/>
      <c r="AN44" s="13"/>
      <c r="AO44" s="13"/>
      <c r="AP44" s="13"/>
      <c r="AQ44" s="13"/>
      <c r="AR44" s="13"/>
      <c r="AS44" s="13"/>
      <c r="AT44" s="13"/>
    </row>
    <row r="45" spans="1:46" ht="15.75">
      <c r="A45" s="43"/>
      <c r="B45" s="43"/>
      <c r="C45" s="43"/>
      <c r="D45" s="43"/>
      <c r="E45" s="43"/>
      <c r="F45" s="142">
        <f t="shared" si="0"/>
        <v>39</v>
      </c>
      <c r="G45" s="72"/>
      <c r="H45" s="76" t="s">
        <v>66</v>
      </c>
      <c r="I45" s="75"/>
      <c r="J45" s="127">
        <f>IF($A$65=TRUE,C13,0)</f>
        <v>0</v>
      </c>
      <c r="K45" s="128">
        <f ca="1">+J45*($J$7/$J$49)</f>
        <v>0</v>
      </c>
      <c r="L45" s="72"/>
      <c r="M45" s="72"/>
      <c r="N45" s="72"/>
      <c r="O45" s="43"/>
      <c r="P45" s="43"/>
      <c r="R45" s="5">
        <v>125</v>
      </c>
      <c r="S45" s="32">
        <v>3</v>
      </c>
      <c r="T45" s="17"/>
      <c r="U45" s="151" t="s">
        <v>107</v>
      </c>
      <c r="V45" s="168">
        <f ca="1">+M7/Revenue-1</f>
        <v>-0.30040303015121295</v>
      </c>
      <c r="W45" s="11"/>
      <c r="X45" s="13"/>
      <c r="Y45" s="66"/>
      <c r="Z45" s="10"/>
      <c r="AA45" s="13"/>
      <c r="AC45" s="13"/>
      <c r="AD45" s="13"/>
      <c r="AE45" s="10"/>
      <c r="AF45" s="9"/>
      <c r="AH45" s="10"/>
      <c r="AL45" s="13"/>
      <c r="AM45" s="13"/>
      <c r="AN45" s="13"/>
      <c r="AO45" s="13"/>
      <c r="AP45" s="13"/>
      <c r="AQ45" s="13"/>
      <c r="AR45" s="13"/>
      <c r="AS45" s="13"/>
      <c r="AT45" s="13"/>
    </row>
    <row r="46" spans="1:46" ht="15.75">
      <c r="A46" s="43"/>
      <c r="B46" s="43"/>
      <c r="C46" s="43"/>
      <c r="D46" s="43"/>
      <c r="E46" s="43"/>
      <c r="F46" s="142">
        <f t="shared" si="0"/>
        <v>40</v>
      </c>
      <c r="G46" s="72"/>
      <c r="H46" s="76" t="s">
        <v>69</v>
      </c>
      <c r="I46" s="75"/>
      <c r="J46" s="127">
        <f>IF($A$65=TRUE,C14,0)</f>
        <v>0</v>
      </c>
      <c r="K46" s="128">
        <f ca="1">+J46*($J$7/$J$49)</f>
        <v>0</v>
      </c>
      <c r="L46" s="72"/>
      <c r="M46" s="72"/>
      <c r="N46" s="72"/>
      <c r="O46" s="43"/>
      <c r="P46" s="43"/>
      <c r="R46" s="7">
        <v>401</v>
      </c>
      <c r="S46" s="33">
        <v>4</v>
      </c>
      <c r="T46" s="21"/>
      <c r="U46" s="21"/>
      <c r="V46" s="22"/>
      <c r="X46" s="13"/>
      <c r="Y46" s="14"/>
      <c r="Z46" s="10"/>
      <c r="AA46" s="13"/>
      <c r="AC46" s="13"/>
      <c r="AD46" s="13"/>
      <c r="AE46" s="10"/>
      <c r="AF46" s="9"/>
      <c r="AH46" s="10"/>
      <c r="AL46" s="13"/>
      <c r="AM46" s="13"/>
      <c r="AN46" s="13"/>
      <c r="AO46" s="13"/>
      <c r="AP46" s="13"/>
      <c r="AQ46" s="13"/>
      <c r="AR46" s="13"/>
      <c r="AS46" s="13"/>
      <c r="AT46" s="13"/>
    </row>
    <row r="47" spans="1:46" ht="16.5" thickBot="1">
      <c r="A47" s="43"/>
      <c r="B47" s="43"/>
      <c r="C47" s="43"/>
      <c r="D47" s="43"/>
      <c r="E47" s="43"/>
      <c r="F47" s="142">
        <f t="shared" si="0"/>
        <v>41</v>
      </c>
      <c r="G47" s="72"/>
      <c r="H47" s="76" t="s">
        <v>71</v>
      </c>
      <c r="I47" s="74"/>
      <c r="J47" s="137">
        <f>SUM(J43:J46)</f>
        <v>2.2600000000000002E-2</v>
      </c>
      <c r="K47" s="136">
        <f ca="1">+K43+K44+K45+K46</f>
        <v>-2634.8577793111012</v>
      </c>
      <c r="L47" s="72"/>
      <c r="M47" s="72"/>
      <c r="N47" s="72"/>
      <c r="O47" s="43"/>
      <c r="P47" s="43"/>
      <c r="R47" s="5"/>
      <c r="S47" s="172"/>
      <c r="T47" s="17"/>
      <c r="U47" s="17"/>
      <c r="V47" s="17"/>
      <c r="X47" s="13"/>
      <c r="Y47" s="14"/>
      <c r="Z47" s="10"/>
      <c r="AA47" s="13"/>
      <c r="AC47" s="13"/>
      <c r="AD47" s="13"/>
      <c r="AE47" s="10"/>
      <c r="AF47" s="9"/>
      <c r="AH47" s="10"/>
      <c r="AL47" s="13"/>
      <c r="AM47" s="13"/>
      <c r="AN47" s="13"/>
      <c r="AO47" s="13"/>
      <c r="AP47" s="13"/>
      <c r="AQ47" s="13"/>
      <c r="AR47" s="13"/>
      <c r="AS47" s="13"/>
      <c r="AT47" s="13"/>
    </row>
    <row r="48" spans="1:46" ht="16.5" thickTop="1">
      <c r="A48" s="43"/>
      <c r="B48" s="43"/>
      <c r="C48" s="43"/>
      <c r="D48" s="43"/>
      <c r="E48" s="43"/>
      <c r="F48" s="142">
        <f t="shared" si="0"/>
        <v>42</v>
      </c>
      <c r="G48" s="72"/>
      <c r="H48" s="76"/>
      <c r="I48" s="74"/>
      <c r="J48" s="171"/>
      <c r="K48" s="105"/>
      <c r="L48" s="72"/>
      <c r="M48" s="72"/>
      <c r="N48" s="72"/>
      <c r="O48" s="43"/>
      <c r="P48" s="43"/>
      <c r="R48" s="147">
        <f ca="1">VLOOKUP(R49,R36:S39,2)</f>
        <v>291.06915347454867</v>
      </c>
      <c r="S48" s="148" t="s">
        <v>64</v>
      </c>
      <c r="T48" s="16"/>
      <c r="V48" s="163"/>
      <c r="X48" t="s">
        <v>65</v>
      </c>
      <c r="AC48" s="13"/>
      <c r="AF48" s="9"/>
      <c r="AH48" s="10"/>
    </row>
    <row r="49" spans="1:46" ht="15.75">
      <c r="A49" s="43"/>
      <c r="B49" s="43"/>
      <c r="C49" s="43"/>
      <c r="D49" s="43"/>
      <c r="E49" s="43"/>
      <c r="F49" s="142">
        <f t="shared" si="0"/>
        <v>43</v>
      </c>
      <c r="G49" s="178"/>
      <c r="H49" s="195" t="s">
        <v>73</v>
      </c>
      <c r="I49" s="100"/>
      <c r="J49" s="196">
        <f ca="1">((K35)-J47)</f>
        <v>0.90040895504891716</v>
      </c>
      <c r="K49" s="100"/>
      <c r="L49" s="100"/>
      <c r="M49" s="100"/>
      <c r="N49" s="100"/>
      <c r="O49" s="43"/>
      <c r="P49" s="43"/>
      <c r="R49" s="149">
        <f ca="1">VLOOKUP(S36,R43:S46,2)</f>
        <v>3</v>
      </c>
      <c r="S49" s="150" t="s">
        <v>67</v>
      </c>
      <c r="T49" s="18"/>
      <c r="X49" t="s">
        <v>68</v>
      </c>
      <c r="AA49" s="1"/>
      <c r="AC49" s="13"/>
      <c r="AH49" s="10"/>
    </row>
    <row r="50" spans="1:46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7"/>
      <c r="L50" s="43"/>
      <c r="M50" s="43"/>
      <c r="N50" s="48"/>
      <c r="O50" s="43"/>
      <c r="P50" s="43"/>
      <c r="R50" s="149"/>
      <c r="S50" s="151"/>
      <c r="T50" s="18"/>
      <c r="X50" t="s">
        <v>70</v>
      </c>
      <c r="AA50" s="13"/>
      <c r="AC50" s="13"/>
      <c r="AD50" s="13"/>
      <c r="AE50" s="10"/>
      <c r="AH50" s="10"/>
    </row>
    <row r="51" spans="1:46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7"/>
      <c r="L51" s="43"/>
      <c r="M51" s="43"/>
      <c r="N51" s="48"/>
      <c r="O51" s="43"/>
      <c r="P51" s="43"/>
      <c r="R51" s="152">
        <f ca="1">+V44</f>
        <v>0.92381000000000002</v>
      </c>
      <c r="S51" s="146" t="s">
        <v>31</v>
      </c>
      <c r="T51" s="26"/>
      <c r="X51" t="s">
        <v>72</v>
      </c>
      <c r="AA51" s="13"/>
      <c r="AC51" s="13"/>
      <c r="AD51" s="13"/>
      <c r="AE51" s="10"/>
      <c r="AF51" s="13"/>
      <c r="AH51" s="10"/>
      <c r="AL51" s="13"/>
      <c r="AM51" s="13"/>
      <c r="AN51" s="13"/>
      <c r="AO51" s="13"/>
      <c r="AP51" s="13"/>
      <c r="AQ51" s="13"/>
      <c r="AR51" s="13"/>
      <c r="AS51" s="13"/>
      <c r="AT51" s="13"/>
    </row>
    <row r="52" spans="1:46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Z52" s="10"/>
      <c r="AA52" s="13"/>
      <c r="AC52" s="13"/>
      <c r="AD52" s="13"/>
      <c r="AE52" s="10"/>
      <c r="AF52" s="9"/>
      <c r="AH52" s="10"/>
      <c r="AL52" s="13"/>
      <c r="AM52" s="13"/>
      <c r="AN52" s="13"/>
      <c r="AO52" s="13"/>
      <c r="AP52" s="13"/>
      <c r="AQ52" s="13"/>
      <c r="AR52" s="13"/>
      <c r="AS52" s="13"/>
      <c r="AT52" s="13"/>
    </row>
    <row r="53" spans="1:46">
      <c r="A53" s="43"/>
      <c r="B53" s="43"/>
      <c r="C53" s="43"/>
      <c r="D53" s="43"/>
      <c r="E53" s="43"/>
      <c r="F53" s="43"/>
      <c r="G53" s="43"/>
      <c r="H53" s="43"/>
      <c r="I53" s="43"/>
      <c r="J53" s="44"/>
      <c r="K53" s="44"/>
      <c r="L53" s="44"/>
      <c r="M53" s="44"/>
      <c r="N53" s="43"/>
      <c r="O53" s="43"/>
      <c r="P53" s="43"/>
      <c r="R53"/>
      <c r="Z53" s="10"/>
      <c r="AA53" s="13"/>
      <c r="AC53" s="13"/>
      <c r="AD53" s="13"/>
      <c r="AE53" s="10"/>
      <c r="AF53" s="9"/>
      <c r="AH53" s="10"/>
      <c r="AL53" s="13"/>
      <c r="AM53" s="13"/>
      <c r="AN53" s="13"/>
      <c r="AO53" s="13"/>
      <c r="AP53" s="13"/>
      <c r="AQ53" s="13"/>
      <c r="AR53" s="13"/>
      <c r="AS53" s="13"/>
      <c r="AT53" s="13"/>
    </row>
    <row r="54" spans="1:46" ht="15.7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4"/>
      <c r="L54" s="44"/>
      <c r="M54" s="44"/>
      <c r="N54" s="43"/>
      <c r="O54" s="43"/>
      <c r="P54" s="43"/>
      <c r="R54"/>
      <c r="S54" t="s">
        <v>74</v>
      </c>
      <c r="T54" s="13"/>
      <c r="U54" s="23"/>
      <c r="W54" s="68" t="s">
        <v>75</v>
      </c>
      <c r="X54" s="59"/>
      <c r="Y54" s="59"/>
      <c r="Z54" s="59"/>
      <c r="AC54" s="13"/>
      <c r="AF54" s="9"/>
      <c r="AH54" s="10"/>
      <c r="AL54" s="13"/>
      <c r="AM54" s="13"/>
      <c r="AN54" s="13"/>
      <c r="AO54" s="13"/>
      <c r="AP54" s="13"/>
      <c r="AQ54" s="13"/>
      <c r="AR54" s="13"/>
      <c r="AS54" s="13"/>
      <c r="AT54" s="13"/>
    </row>
    <row r="55" spans="1:46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50"/>
      <c r="M55" s="50"/>
      <c r="N55" s="43"/>
      <c r="O55" s="43"/>
      <c r="P55" s="43"/>
      <c r="R55" s="24"/>
      <c r="S55" s="166" t="s">
        <v>46</v>
      </c>
      <c r="T55" s="166" t="s">
        <v>76</v>
      </c>
      <c r="U55" s="167" t="s">
        <v>49</v>
      </c>
      <c r="W55" s="54" t="s">
        <v>77</v>
      </c>
      <c r="X55" s="63">
        <v>5.7225999999999999</v>
      </c>
      <c r="Y55" s="62" t="s">
        <v>78</v>
      </c>
      <c r="Z55" s="65">
        <v>5.6985000000000001</v>
      </c>
      <c r="AA55" s="1"/>
      <c r="AC55" s="13"/>
      <c r="AH55" s="10"/>
    </row>
    <row r="56" spans="1:46">
      <c r="A56" s="43"/>
      <c r="B56" s="43"/>
      <c r="C56" s="43"/>
      <c r="D56" s="43"/>
      <c r="E56" s="43"/>
      <c r="F56" s="43"/>
      <c r="G56" s="43"/>
      <c r="H56" s="43"/>
      <c r="I56" s="43"/>
      <c r="J56" s="50"/>
      <c r="K56" s="43"/>
      <c r="L56" s="50"/>
      <c r="M56" s="50"/>
      <c r="N56" s="43"/>
      <c r="O56" s="43"/>
      <c r="P56" s="43"/>
      <c r="R56" s="25" t="s">
        <v>29</v>
      </c>
      <c r="S56" s="164">
        <v>0.56200000000000006</v>
      </c>
      <c r="T56" s="164">
        <v>6.3799999999999996E-2</v>
      </c>
      <c r="U56" s="20">
        <f>ROUND(+S56*T56,5)</f>
        <v>3.5860000000000003E-2</v>
      </c>
      <c r="W56" s="55" t="s">
        <v>79</v>
      </c>
      <c r="X56" s="64">
        <v>5.7082699999999997</v>
      </c>
      <c r="Y56" s="61" t="s">
        <v>80</v>
      </c>
      <c r="Z56" s="67">
        <v>5.6921999999999997</v>
      </c>
      <c r="AA56" s="13"/>
      <c r="AC56" s="13"/>
      <c r="AD56" s="13"/>
      <c r="AE56" s="10"/>
      <c r="AH56" s="10"/>
    </row>
    <row r="57" spans="1:46">
      <c r="A57" s="43"/>
      <c r="B57" s="43"/>
      <c r="C57" s="43"/>
      <c r="D57" s="43"/>
      <c r="E57" s="44"/>
      <c r="F57" s="43"/>
      <c r="G57" s="43"/>
      <c r="H57" s="43"/>
      <c r="I57" s="43"/>
      <c r="J57" s="50"/>
      <c r="K57" s="43"/>
      <c r="L57" s="50"/>
      <c r="M57" s="50"/>
      <c r="N57" s="43"/>
      <c r="O57" s="43"/>
      <c r="P57" s="43"/>
      <c r="R57" s="25" t="s">
        <v>81</v>
      </c>
      <c r="S57" s="164">
        <v>9.4E-2</v>
      </c>
      <c r="T57" s="164">
        <v>6.59E-2</v>
      </c>
      <c r="U57" s="20">
        <f>ROUND(+S57*T57,5)</f>
        <v>6.1900000000000002E-3</v>
      </c>
      <c r="W57" s="25"/>
      <c r="X57" s="17"/>
      <c r="Y57" s="60"/>
      <c r="Z57" s="56"/>
      <c r="AA57" s="13"/>
      <c r="AC57" s="13"/>
      <c r="AD57" s="13"/>
      <c r="AE57" s="10"/>
      <c r="AF57" s="9"/>
      <c r="AH57" s="10"/>
      <c r="AL57" s="13"/>
    </row>
    <row r="58" spans="1:46" ht="15.75">
      <c r="A58" s="43"/>
      <c r="B58" s="43"/>
      <c r="C58" s="43"/>
      <c r="D58" s="43"/>
      <c r="E58" s="44"/>
      <c r="F58" s="44"/>
      <c r="G58" s="44"/>
      <c r="H58" s="51"/>
      <c r="I58" s="44"/>
      <c r="J58" s="50"/>
      <c r="K58" s="43"/>
      <c r="L58" s="43"/>
      <c r="M58" s="43"/>
      <c r="N58" s="43"/>
      <c r="O58" s="43"/>
      <c r="P58" s="43"/>
      <c r="R58" s="25" t="s">
        <v>27</v>
      </c>
      <c r="S58" s="165">
        <v>0.34399999999999997</v>
      </c>
      <c r="T58" s="111"/>
      <c r="U58" s="112"/>
      <c r="W58" s="27"/>
      <c r="X58" s="57" t="s">
        <v>82</v>
      </c>
      <c r="Y58" s="69">
        <v>0.68367</v>
      </c>
      <c r="Z58" s="58"/>
      <c r="AA58" s="13"/>
      <c r="AC58" s="13"/>
      <c r="AD58" s="13"/>
      <c r="AE58" s="10"/>
      <c r="AF58" s="9"/>
      <c r="AH58" s="10"/>
    </row>
    <row r="59" spans="1:46" ht="15.7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R59" s="27"/>
      <c r="S59" s="165">
        <f>SUM(S56:S58)</f>
        <v>1</v>
      </c>
      <c r="T59" s="113"/>
      <c r="U59" s="114"/>
      <c r="X59" s="13"/>
      <c r="Y59" s="14"/>
      <c r="Z59" s="10"/>
      <c r="AA59" s="13"/>
      <c r="AC59" s="13"/>
      <c r="AD59" s="13"/>
      <c r="AE59" s="10"/>
      <c r="AF59" s="9"/>
      <c r="AH59" s="10"/>
    </row>
    <row r="60" spans="1:46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X60" s="53"/>
      <c r="AC60" s="13"/>
      <c r="AF60" s="9"/>
      <c r="AH60" s="10"/>
      <c r="AL60" s="9"/>
      <c r="AM60" s="9"/>
      <c r="AN60" s="9"/>
      <c r="AO60" s="9"/>
      <c r="AP60" s="9"/>
      <c r="AQ60" s="9"/>
      <c r="AR60" s="9"/>
      <c r="AS60" s="9"/>
      <c r="AT60" s="9"/>
    </row>
    <row r="61" spans="1:46">
      <c r="A61" s="43"/>
      <c r="B61" s="43"/>
      <c r="C61" s="43"/>
      <c r="D61" s="43"/>
      <c r="E61" s="44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W61" s="154" t="s">
        <v>51</v>
      </c>
      <c r="X61" s="155"/>
      <c r="Y61" s="163" t="s">
        <v>52</v>
      </c>
      <c r="Z61" s="153" t="s">
        <v>17</v>
      </c>
      <c r="AC61" s="13"/>
      <c r="AH61" s="10"/>
      <c r="AL61" s="9"/>
      <c r="AM61" s="9"/>
      <c r="AN61" s="9"/>
      <c r="AO61" s="9"/>
      <c r="AP61" s="9"/>
      <c r="AQ61" s="9"/>
      <c r="AR61" s="9"/>
      <c r="AS61" s="9"/>
      <c r="AT61" s="9"/>
    </row>
    <row r="62" spans="1:46">
      <c r="A62" s="43"/>
      <c r="B62" s="43"/>
      <c r="C62" s="43"/>
      <c r="D62" s="43"/>
      <c r="E62" s="43"/>
      <c r="F62" s="44"/>
      <c r="G62" s="44"/>
      <c r="H62" s="44"/>
      <c r="I62" s="44"/>
      <c r="J62" s="44"/>
      <c r="K62" s="44"/>
      <c r="L62" s="44"/>
      <c r="M62" s="44"/>
      <c r="N62" s="44"/>
      <c r="O62" s="43"/>
      <c r="P62" s="43"/>
      <c r="W62" s="156"/>
      <c r="X62" s="109"/>
      <c r="Y62" s="109"/>
      <c r="Z62" s="157"/>
      <c r="AC62" s="13"/>
      <c r="AD62" s="13"/>
      <c r="AE62" s="10"/>
      <c r="AH62" s="10"/>
      <c r="AL62" s="9"/>
      <c r="AM62" s="9"/>
      <c r="AN62" s="9"/>
      <c r="AO62" s="9"/>
      <c r="AP62" s="9"/>
      <c r="AQ62" s="9"/>
      <c r="AR62" s="9"/>
      <c r="AS62" s="9"/>
      <c r="AT62" s="9"/>
    </row>
    <row r="63" spans="1:46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W63" s="25" t="s">
        <v>54</v>
      </c>
      <c r="X63" s="109"/>
      <c r="Y63" s="20">
        <f t="shared" ref="Y63:Z68" ca="1" si="1">+J33</f>
        <v>0.22409759711118987</v>
      </c>
      <c r="Z63" s="20">
        <f ca="1">+K33</f>
        <v>0.18249710171783967</v>
      </c>
      <c r="AC63" s="13"/>
      <c r="AD63" s="13"/>
      <c r="AE63" s="10"/>
      <c r="AF63" s="9"/>
      <c r="AH63" s="10"/>
      <c r="AL63" s="9"/>
      <c r="AM63" s="9"/>
      <c r="AN63" s="9"/>
      <c r="AO63" s="9"/>
      <c r="AP63" s="9"/>
      <c r="AQ63" s="9"/>
      <c r="AR63" s="9"/>
      <c r="AS63" s="9"/>
      <c r="AT63" s="9"/>
    </row>
    <row r="64" spans="1:46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W64" s="25" t="s">
        <v>55</v>
      </c>
      <c r="X64" s="109"/>
      <c r="Y64" s="20">
        <f t="shared" ca="1" si="1"/>
        <v>0.33016266185198256</v>
      </c>
      <c r="Z64" s="20">
        <f t="shared" ca="1" si="1"/>
        <v>0.26082850286306614</v>
      </c>
      <c r="AC64" s="13"/>
      <c r="AD64" s="13"/>
      <c r="AE64" s="10"/>
      <c r="AF64" s="9"/>
      <c r="AH64" s="10"/>
    </row>
    <row r="65" spans="1:38">
      <c r="A65" t="b">
        <v>1</v>
      </c>
      <c r="F65" s="43"/>
      <c r="G65" s="43"/>
      <c r="H65" s="43"/>
      <c r="I65" s="43"/>
      <c r="J65" s="43"/>
      <c r="K65" s="43"/>
      <c r="L65" s="43"/>
      <c r="M65" s="43"/>
      <c r="N65" s="43"/>
      <c r="W65" s="25" t="s">
        <v>31</v>
      </c>
      <c r="X65" s="109"/>
      <c r="Y65" s="20">
        <f t="shared" ca="1" si="1"/>
        <v>0.92381000000000002</v>
      </c>
      <c r="Z65" s="20">
        <f t="shared" ca="1" si="1"/>
        <v>0.92300895504891711</v>
      </c>
      <c r="AC65" s="13"/>
      <c r="AD65" s="13"/>
      <c r="AE65" s="10"/>
      <c r="AF65" s="9"/>
      <c r="AH65" s="10"/>
    </row>
    <row r="66" spans="1:38">
      <c r="H66" s="9"/>
      <c r="I66" s="9"/>
      <c r="J66" s="9"/>
      <c r="K66" s="9"/>
      <c r="L66" s="9"/>
      <c r="M66" s="9"/>
      <c r="N66" s="9"/>
      <c r="O66" s="9"/>
      <c r="W66" s="25" t="s">
        <v>56</v>
      </c>
      <c r="X66" s="109"/>
      <c r="Y66" s="20">
        <f t="shared" ca="1" si="1"/>
        <v>7.6189999999999952E-2</v>
      </c>
      <c r="Z66" s="20">
        <f t="shared" ca="1" si="1"/>
        <v>7.6189999999999952E-2</v>
      </c>
      <c r="AC66" s="13"/>
      <c r="AF66" s="9"/>
      <c r="AH66" s="10"/>
      <c r="AL66" s="9"/>
    </row>
    <row r="67" spans="1:38">
      <c r="H67" s="9"/>
      <c r="I67" s="9"/>
      <c r="J67" s="9"/>
      <c r="K67" s="9"/>
      <c r="L67" s="9"/>
      <c r="M67" s="9"/>
      <c r="N67" s="9"/>
      <c r="O67" s="9"/>
      <c r="W67" s="25" t="s">
        <v>57</v>
      </c>
      <c r="X67" s="159"/>
      <c r="Y67" s="20">
        <f t="shared" ca="1" si="1"/>
        <v>2.908942702001414</v>
      </c>
      <c r="Z67" s="20">
        <f t="shared" ca="1" si="1"/>
        <v>2.908942702001414</v>
      </c>
      <c r="AC67" s="13"/>
      <c r="AH67" s="10"/>
    </row>
    <row r="68" spans="1:38">
      <c r="O68" s="9"/>
      <c r="W68" s="25" t="s">
        <v>58</v>
      </c>
      <c r="X68" s="110"/>
      <c r="Y68" s="20">
        <f t="shared" si="1"/>
        <v>0.21</v>
      </c>
      <c r="Z68" s="20">
        <f t="shared" si="1"/>
        <v>0.21</v>
      </c>
      <c r="AC68" s="13"/>
      <c r="AD68" s="13"/>
      <c r="AE68" s="10"/>
      <c r="AH68" s="10"/>
    </row>
    <row r="69" spans="1:38" ht="15.75">
      <c r="O69" s="9"/>
      <c r="W69" s="25"/>
      <c r="X69" s="17"/>
      <c r="Y69" s="111"/>
      <c r="Z69" s="158"/>
      <c r="AC69" s="13"/>
      <c r="AD69" s="13"/>
      <c r="AE69" s="10"/>
      <c r="AF69" s="9"/>
      <c r="AH69" s="10"/>
    </row>
    <row r="70" spans="1:38">
      <c r="O70" s="9"/>
      <c r="W70" s="27"/>
      <c r="X70" s="160"/>
      <c r="Y70" s="161"/>
      <c r="Z70" s="162"/>
      <c r="AA70" s="13"/>
      <c r="AC70" s="13"/>
      <c r="AD70" s="13"/>
      <c r="AE70" s="10"/>
      <c r="AF70" s="9"/>
      <c r="AH70" s="10"/>
    </row>
    <row r="71" spans="1:38">
      <c r="X71" s="13"/>
      <c r="Y71" s="14"/>
      <c r="Z71" s="10"/>
      <c r="AA71" s="13"/>
      <c r="AC71" s="13"/>
      <c r="AD71" s="13"/>
      <c r="AE71" s="10"/>
      <c r="AF71" s="9"/>
      <c r="AH71" s="10"/>
    </row>
    <row r="72" spans="1:38">
      <c r="AC72" s="13"/>
      <c r="AF72" s="9"/>
      <c r="AH72" s="10"/>
    </row>
    <row r="73" spans="1:38">
      <c r="Y73" s="1"/>
      <c r="Z73" s="1"/>
      <c r="AA73" s="1"/>
      <c r="AC73" s="13"/>
      <c r="AH73" s="10"/>
    </row>
    <row r="74" spans="1:38">
      <c r="X74" s="13"/>
      <c r="Y74" s="14"/>
      <c r="Z74" s="10"/>
      <c r="AA74" s="13"/>
      <c r="AC74" s="13"/>
      <c r="AD74" s="13"/>
      <c r="AE74" s="10"/>
      <c r="AH74" s="10"/>
    </row>
    <row r="75" spans="1:38">
      <c r="X75" s="13"/>
      <c r="Y75" s="14"/>
      <c r="Z75" s="10"/>
      <c r="AA75" s="13"/>
      <c r="AC75" s="13"/>
      <c r="AD75" s="13"/>
      <c r="AE75" s="10"/>
      <c r="AF75" s="9"/>
      <c r="AH75" s="10"/>
    </row>
    <row r="76" spans="1:38">
      <c r="X76" s="13"/>
      <c r="Y76" s="14"/>
      <c r="Z76" s="10"/>
      <c r="AA76" s="13"/>
      <c r="AC76" s="13"/>
      <c r="AD76" s="13"/>
      <c r="AE76" s="10"/>
      <c r="AF76" s="9"/>
      <c r="AH76" s="10"/>
    </row>
    <row r="77" spans="1:38">
      <c r="X77" s="13"/>
      <c r="Y77" s="14"/>
      <c r="Z77" s="10"/>
      <c r="AA77" s="13"/>
      <c r="AC77" s="13"/>
      <c r="AD77" s="13"/>
      <c r="AE77" s="10"/>
      <c r="AF77" s="9"/>
      <c r="AH77" s="10"/>
    </row>
    <row r="78" spans="1:38">
      <c r="AC78" s="13"/>
      <c r="AF78" s="9"/>
      <c r="AH78" s="10"/>
    </row>
    <row r="80" spans="1:38">
      <c r="X80" s="13"/>
      <c r="Y80" s="14"/>
      <c r="Z80" s="10"/>
      <c r="AA80" s="13"/>
      <c r="AD80" s="13"/>
      <c r="AE80" s="10"/>
    </row>
    <row r="81" spans="24:32">
      <c r="X81" s="13"/>
      <c r="Y81" s="14"/>
      <c r="Z81" s="10"/>
      <c r="AA81" s="13"/>
      <c r="AD81" s="13"/>
      <c r="AE81" s="10"/>
      <c r="AF81" s="9"/>
    </row>
    <row r="82" spans="24:32">
      <c r="X82" s="13"/>
      <c r="Y82" s="14"/>
      <c r="Z82" s="10"/>
      <c r="AA82" s="13"/>
      <c r="AD82" s="13"/>
      <c r="AE82" s="10"/>
      <c r="AF82" s="9"/>
    </row>
    <row r="83" spans="24:32">
      <c r="X83" s="13"/>
      <c r="Y83" s="14"/>
      <c r="Z83" s="10"/>
      <c r="AA83" s="13"/>
      <c r="AD83" s="13"/>
      <c r="AE83" s="10"/>
      <c r="AF83" s="9"/>
    </row>
    <row r="84" spans="24:32">
      <c r="AF84" s="9"/>
    </row>
    <row r="86" spans="24:32">
      <c r="X86" s="13"/>
      <c r="Y86" s="14"/>
      <c r="Z86" s="10"/>
      <c r="AA86" s="13"/>
      <c r="AD86" s="13"/>
      <c r="AE86" s="10"/>
    </row>
    <row r="87" spans="24:32">
      <c r="X87" s="13"/>
      <c r="Y87" s="14"/>
      <c r="Z87" s="10"/>
      <c r="AA87" s="13"/>
      <c r="AD87" s="13"/>
      <c r="AE87" s="10"/>
      <c r="AF87" s="9"/>
    </row>
    <row r="88" spans="24:32">
      <c r="X88" s="13"/>
      <c r="Y88" s="14"/>
      <c r="Z88" s="10"/>
      <c r="AA88" s="13"/>
      <c r="AD88" s="13"/>
      <c r="AE88" s="10"/>
      <c r="AF88" s="9"/>
    </row>
    <row r="89" spans="24:32">
      <c r="X89" s="13"/>
      <c r="Y89" s="14"/>
      <c r="Z89" s="10"/>
      <c r="AA89" s="13"/>
      <c r="AD89" s="13"/>
      <c r="AE89" s="10"/>
      <c r="AF89" s="9"/>
    </row>
    <row r="90" spans="24:32">
      <c r="AF90" s="9"/>
    </row>
    <row r="92" spans="24:32">
      <c r="X92" s="13"/>
      <c r="Y92" s="14"/>
      <c r="Z92" s="10"/>
      <c r="AA92" s="13"/>
      <c r="AD92" s="13"/>
      <c r="AE92" s="10"/>
    </row>
    <row r="93" spans="24:32">
      <c r="X93" s="13"/>
      <c r="Y93" s="14"/>
      <c r="Z93" s="10"/>
      <c r="AA93" s="13"/>
      <c r="AD93" s="13"/>
      <c r="AE93" s="10"/>
      <c r="AF93" s="9"/>
    </row>
    <row r="94" spans="24:32">
      <c r="X94" s="13"/>
      <c r="Y94" s="14"/>
      <c r="Z94" s="10"/>
      <c r="AA94" s="13"/>
      <c r="AD94" s="13"/>
      <c r="AE94" s="10"/>
      <c r="AF94" s="9"/>
    </row>
    <row r="95" spans="24:32">
      <c r="X95" s="13"/>
      <c r="Y95" s="14"/>
      <c r="Z95" s="10"/>
      <c r="AA95" s="13"/>
      <c r="AD95" s="13"/>
      <c r="AE95" s="10"/>
      <c r="AF95" s="9"/>
    </row>
    <row r="96" spans="24:32">
      <c r="AF96" s="9"/>
    </row>
    <row r="98" spans="24:32">
      <c r="X98" s="13"/>
      <c r="Y98" s="14"/>
      <c r="Z98" s="10"/>
      <c r="AA98" s="13"/>
      <c r="AD98" s="13"/>
      <c r="AE98" s="10"/>
    </row>
    <row r="99" spans="24:32">
      <c r="X99" s="13"/>
      <c r="Y99" s="14"/>
      <c r="Z99" s="10"/>
      <c r="AA99" s="13"/>
      <c r="AD99" s="13"/>
      <c r="AE99" s="10"/>
      <c r="AF99" s="9"/>
    </row>
    <row r="100" spans="24:32">
      <c r="X100" s="13"/>
      <c r="Y100" s="14"/>
      <c r="Z100" s="10"/>
      <c r="AA100" s="13"/>
      <c r="AD100" s="13"/>
      <c r="AE100" s="10"/>
      <c r="AF100" s="9"/>
    </row>
    <row r="101" spans="24:32">
      <c r="X101" s="13"/>
      <c r="Y101" s="14"/>
      <c r="Z101" s="10"/>
      <c r="AA101" s="13"/>
      <c r="AD101" s="13"/>
      <c r="AE101" s="10"/>
      <c r="AF101" s="9"/>
    </row>
    <row r="102" spans="24:32">
      <c r="AF102" s="9"/>
    </row>
    <row r="104" spans="24:32">
      <c r="X104" s="13"/>
      <c r="Y104" s="14"/>
      <c r="Z104" s="10"/>
      <c r="AA104" s="13"/>
      <c r="AD104" s="13"/>
      <c r="AE104" s="10"/>
    </row>
    <row r="105" spans="24:32">
      <c r="X105" s="13"/>
      <c r="Y105" s="14"/>
      <c r="Z105" s="10"/>
      <c r="AA105" s="13"/>
      <c r="AD105" s="13"/>
      <c r="AE105" s="10"/>
      <c r="AF105" s="9"/>
    </row>
    <row r="106" spans="24:32">
      <c r="X106" s="13"/>
      <c r="Y106" s="14"/>
      <c r="Z106" s="10"/>
      <c r="AA106" s="13"/>
      <c r="AD106" s="13"/>
      <c r="AE106" s="10"/>
      <c r="AF106" s="9"/>
    </row>
    <row r="107" spans="24:32">
      <c r="X107" s="13"/>
      <c r="Y107" s="14"/>
      <c r="Z107" s="10"/>
      <c r="AA107" s="13"/>
      <c r="AD107" s="13"/>
      <c r="AE107" s="10"/>
      <c r="AF107" s="9"/>
    </row>
    <row r="108" spans="24:32">
      <c r="AF108" s="9"/>
    </row>
    <row r="110" spans="24:32">
      <c r="X110" s="13"/>
      <c r="Y110" s="14"/>
      <c r="Z110" s="10"/>
      <c r="AA110" s="13"/>
      <c r="AD110" s="13"/>
      <c r="AE110" s="10"/>
    </row>
    <row r="111" spans="24:32">
      <c r="X111" s="13"/>
      <c r="Y111" s="14"/>
      <c r="Z111" s="10"/>
      <c r="AA111" s="13"/>
      <c r="AD111" s="13"/>
      <c r="AE111" s="10"/>
    </row>
    <row r="112" spans="24:32">
      <c r="X112" s="13"/>
      <c r="Y112" s="14"/>
      <c r="Z112" s="10"/>
      <c r="AA112" s="13"/>
      <c r="AD112" s="13"/>
      <c r="AE112" s="10"/>
    </row>
    <row r="113" spans="24:31">
      <c r="X113" s="13"/>
      <c r="Y113" s="14"/>
      <c r="Z113" s="10"/>
      <c r="AA113" s="13"/>
      <c r="AD113" s="13"/>
      <c r="AE113" s="10"/>
    </row>
  </sheetData>
  <mergeCells count="6">
    <mergeCell ref="B18:C18"/>
    <mergeCell ref="B2:C2"/>
    <mergeCell ref="AF2:AI2"/>
    <mergeCell ref="B15:C15"/>
    <mergeCell ref="C16:D16"/>
    <mergeCell ref="B17:C17"/>
  </mergeCells>
  <pageMargins left="0.25" right="0.25" top="0.3" bottom="0.44" header="0.23" footer="0.21"/>
  <pageSetup scale="99" orientation="portrait" r:id="rId1"/>
  <headerFooter alignWithMargins="0"/>
  <ignoredErrors>
    <ignoredError sqref="J26:J27" unlockedFormula="1"/>
    <ignoredError sqref="J12" evalError="1"/>
  </ignoredErrors>
  <drawing r:id="rId2"/>
  <legacyDrawing r:id="rId3"/>
  <controls>
    <mc:AlternateContent xmlns:mc="http://schemas.openxmlformats.org/markup-compatibility/2006">
      <mc:Choice Requires="x14">
        <control shapeId="38913" r:id="rId4" name="CheckBox1">
          <controlPr defaultSize="0" autoFill="0" autoLine="0" linkedCell="A65" r:id="rId5">
            <anchor moveWithCells="1">
              <from>
                <xdr:col>2</xdr:col>
                <xdr:colOff>95250</xdr:colOff>
                <xdr:row>14</xdr:row>
                <xdr:rowOff>171450</xdr:rowOff>
              </from>
              <to>
                <xdr:col>2</xdr:col>
                <xdr:colOff>400050</xdr:colOff>
                <xdr:row>16</xdr:row>
                <xdr:rowOff>66675</xdr:rowOff>
              </to>
            </anchor>
          </controlPr>
        </control>
      </mc:Choice>
      <mc:Fallback>
        <control shapeId="38913" r:id="rId4" name="CheckBox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4" tint="0.59999389629810485"/>
  </sheetPr>
  <dimension ref="A1:AT113"/>
  <sheetViews>
    <sheetView topLeftCell="A4" workbookViewId="0">
      <selection activeCell="C24" sqref="C24"/>
    </sheetView>
  </sheetViews>
  <sheetFormatPr defaultColWidth="13" defaultRowHeight="15"/>
  <cols>
    <col min="1" max="1" width="3.77734375" customWidth="1"/>
    <col min="2" max="2" width="26.109375" style="52" bestFit="1" customWidth="1"/>
    <col min="3" max="3" width="16.5546875" style="52" customWidth="1"/>
    <col min="4" max="4" width="16.5546875" style="52" hidden="1" customWidth="1"/>
    <col min="5" max="5" width="5.6640625" style="52" customWidth="1"/>
    <col min="6" max="6" width="4.44140625" customWidth="1"/>
    <col min="7" max="7" width="6.6640625" customWidth="1"/>
    <col min="8" max="8" width="11.6640625" customWidth="1"/>
    <col min="9" max="9" width="13.77734375" customWidth="1"/>
    <col min="10" max="10" width="10.33203125" customWidth="1"/>
    <col min="11" max="11" width="11.77734375" bestFit="1" customWidth="1"/>
    <col min="12" max="13" width="14.33203125" customWidth="1"/>
    <col min="14" max="14" width="10.33203125" customWidth="1"/>
    <col min="15" max="15" width="4.88671875" style="52" customWidth="1"/>
    <col min="16" max="16" width="31.44140625" style="52" customWidth="1"/>
    <col min="17" max="17" width="13" style="25"/>
    <col min="18" max="18" width="10.77734375" style="1" customWidth="1"/>
    <col min="20" max="20" width="10.44140625" customWidth="1"/>
    <col min="21" max="21" width="12.21875" customWidth="1"/>
    <col min="23" max="24" width="13.77734375" customWidth="1"/>
    <col min="25" max="25" width="12.44140625" customWidth="1"/>
    <col min="27" max="27" width="12.33203125" customWidth="1"/>
    <col min="30" max="30" width="12.77734375" customWidth="1"/>
    <col min="31" max="31" width="13.44140625" customWidth="1"/>
    <col min="32" max="32" width="16.109375" customWidth="1"/>
    <col min="33" max="33" width="14.109375" customWidth="1"/>
    <col min="34" max="34" width="12.77734375" customWidth="1"/>
    <col min="36" max="36" width="10.77734375" customWidth="1"/>
    <col min="37" max="37" width="12.77734375" customWidth="1"/>
    <col min="38" max="49" width="11.77734375" customWidth="1"/>
  </cols>
  <sheetData>
    <row r="1" spans="1:35" s="39" customFormat="1" ht="15.75" thickBot="1">
      <c r="A1" s="43"/>
      <c r="B1" s="41"/>
      <c r="C1" s="41"/>
      <c r="D1" s="41"/>
      <c r="E1" s="41"/>
      <c r="F1" s="41"/>
      <c r="G1" s="41"/>
      <c r="H1" s="41"/>
      <c r="I1" s="42"/>
      <c r="J1" s="42"/>
      <c r="K1" s="42"/>
      <c r="L1" s="42"/>
      <c r="M1" s="42"/>
      <c r="N1" s="42"/>
      <c r="O1" s="41"/>
      <c r="P1" s="41"/>
      <c r="Q1" s="70"/>
      <c r="R1" s="40"/>
    </row>
    <row r="2" spans="1:35" ht="19.5" thickBot="1">
      <c r="A2" s="43"/>
      <c r="B2" s="557" t="s">
        <v>106</v>
      </c>
      <c r="C2" s="557"/>
      <c r="D2" s="43"/>
      <c r="E2" s="43"/>
      <c r="F2" s="169" t="s">
        <v>112</v>
      </c>
      <c r="G2" s="98"/>
      <c r="H2" s="98"/>
      <c r="I2" s="99" t="s">
        <v>123</v>
      </c>
      <c r="J2" s="98"/>
      <c r="K2" s="98"/>
      <c r="L2" s="98"/>
      <c r="M2" s="169" t="s">
        <v>112</v>
      </c>
      <c r="O2" s="43"/>
      <c r="P2" s="43"/>
      <c r="R2" s="36" t="s">
        <v>1</v>
      </c>
      <c r="S2" s="37"/>
      <c r="T2" s="38"/>
      <c r="AF2" s="558" t="s">
        <v>92</v>
      </c>
      <c r="AG2" s="559"/>
      <c r="AH2" s="559"/>
      <c r="AI2" s="560"/>
    </row>
    <row r="3" spans="1:35" ht="15.75">
      <c r="A3" s="43"/>
      <c r="B3" s="43"/>
      <c r="C3" s="43"/>
      <c r="D3" s="43"/>
      <c r="E3" s="43"/>
      <c r="F3" s="138"/>
      <c r="G3" s="72"/>
      <c r="K3" s="179" t="s">
        <v>121</v>
      </c>
      <c r="M3" s="179" t="s">
        <v>120</v>
      </c>
      <c r="O3" s="43"/>
      <c r="P3" s="43"/>
      <c r="R3"/>
      <c r="T3" t="s">
        <v>8</v>
      </c>
      <c r="V3" s="1" t="s">
        <v>8</v>
      </c>
      <c r="W3" s="1" t="s">
        <v>8</v>
      </c>
      <c r="X3" s="1" t="s">
        <v>8</v>
      </c>
      <c r="Y3" s="1" t="s">
        <v>9</v>
      </c>
      <c r="Z3" s="1" t="s">
        <v>9</v>
      </c>
      <c r="AA3" s="1" t="s">
        <v>9</v>
      </c>
      <c r="AB3" s="1" t="s">
        <v>9</v>
      </c>
      <c r="AC3" s="1" t="s">
        <v>9</v>
      </c>
      <c r="AD3" s="1" t="s">
        <v>9</v>
      </c>
      <c r="AE3" s="1" t="s">
        <v>86</v>
      </c>
      <c r="AF3" s="1" t="s">
        <v>12</v>
      </c>
      <c r="AG3" s="1" t="s">
        <v>89</v>
      </c>
      <c r="AH3" s="1"/>
    </row>
    <row r="4" spans="1:35" ht="19.5" thickBot="1">
      <c r="A4" s="43"/>
      <c r="B4" s="133" t="s">
        <v>115</v>
      </c>
      <c r="C4" s="170"/>
      <c r="D4" s="116"/>
      <c r="E4" s="43"/>
      <c r="F4" s="178"/>
      <c r="G4" s="72"/>
      <c r="H4" s="77" t="s">
        <v>2</v>
      </c>
      <c r="I4" s="77" t="s">
        <v>3</v>
      </c>
      <c r="J4" s="77" t="s">
        <v>4</v>
      </c>
      <c r="K4" s="77" t="s">
        <v>5</v>
      </c>
      <c r="L4" s="77" t="s">
        <v>6</v>
      </c>
      <c r="M4" s="77" t="s">
        <v>7</v>
      </c>
      <c r="O4" s="45"/>
      <c r="P4" s="43"/>
      <c r="R4"/>
      <c r="T4" s="1" t="s">
        <v>14</v>
      </c>
      <c r="V4" s="1" t="s">
        <v>15</v>
      </c>
      <c r="W4" s="1" t="s">
        <v>16</v>
      </c>
      <c r="X4" s="1" t="s">
        <v>17</v>
      </c>
      <c r="Y4" s="1" t="s">
        <v>18</v>
      </c>
      <c r="Z4" s="1" t="s">
        <v>18</v>
      </c>
      <c r="AA4" s="1" t="s">
        <v>18</v>
      </c>
      <c r="AB4" s="1" t="s">
        <v>16</v>
      </c>
      <c r="AC4" s="1" t="s">
        <v>14</v>
      </c>
      <c r="AD4" s="1" t="s">
        <v>14</v>
      </c>
      <c r="AE4" s="1" t="s">
        <v>93</v>
      </c>
      <c r="AF4" s="1" t="s">
        <v>88</v>
      </c>
      <c r="AG4" s="1" t="s">
        <v>90</v>
      </c>
      <c r="AH4" s="1" t="s">
        <v>91</v>
      </c>
      <c r="AI4" s="1" t="s">
        <v>87</v>
      </c>
    </row>
    <row r="5" spans="1:35" ht="15.75">
      <c r="A5" s="43"/>
      <c r="B5" s="134" t="s">
        <v>32</v>
      </c>
      <c r="C5" s="129">
        <f>'Pro Forma IS'!W11</f>
        <v>121334.40000000001</v>
      </c>
      <c r="D5" s="116"/>
      <c r="E5" s="43"/>
      <c r="F5" s="139" t="s">
        <v>10</v>
      </c>
      <c r="G5" s="76"/>
      <c r="H5" s="76"/>
      <c r="I5" s="77" t="s">
        <v>11</v>
      </c>
      <c r="J5" s="77" t="s">
        <v>12</v>
      </c>
      <c r="K5" s="78" t="s">
        <v>13</v>
      </c>
      <c r="L5" s="78" t="s">
        <v>118</v>
      </c>
      <c r="M5" s="78" t="s">
        <v>12</v>
      </c>
      <c r="O5" s="49"/>
      <c r="P5" s="43"/>
      <c r="R5" s="2"/>
      <c r="T5" s="1" t="s">
        <v>22</v>
      </c>
      <c r="U5" s="1" t="s">
        <v>23</v>
      </c>
      <c r="V5" s="1" t="s">
        <v>24</v>
      </c>
      <c r="W5" s="1" t="s">
        <v>25</v>
      </c>
      <c r="X5" s="1" t="s">
        <v>26</v>
      </c>
      <c r="Y5" s="1" t="s">
        <v>27</v>
      </c>
      <c r="Z5" s="1" t="s">
        <v>28</v>
      </c>
      <c r="AA5" s="1" t="s">
        <v>29</v>
      </c>
      <c r="AB5" s="1" t="s">
        <v>30</v>
      </c>
      <c r="AC5" s="1" t="s">
        <v>22</v>
      </c>
      <c r="AD5" s="1" t="s">
        <v>31</v>
      </c>
      <c r="AE5" s="1" t="s">
        <v>20</v>
      </c>
      <c r="AF5" s="1" t="s">
        <v>85</v>
      </c>
      <c r="AG5" s="1" t="s">
        <v>85</v>
      </c>
      <c r="AH5" s="1" t="s">
        <v>20</v>
      </c>
      <c r="AI5" s="1" t="s">
        <v>86</v>
      </c>
    </row>
    <row r="6" spans="1:35" ht="15.75">
      <c r="A6" s="43"/>
      <c r="B6" s="134" t="s">
        <v>33</v>
      </c>
      <c r="C6" s="130">
        <f>'Pro Forma IS'!W44</f>
        <v>227742.06792732392</v>
      </c>
      <c r="D6" s="116"/>
      <c r="E6" s="43"/>
      <c r="F6" s="140" t="s">
        <v>19</v>
      </c>
      <c r="G6" s="76"/>
      <c r="H6" s="76"/>
      <c r="I6" s="95"/>
      <c r="J6" s="97" t="s">
        <v>117</v>
      </c>
      <c r="K6" s="96"/>
      <c r="L6" s="97" t="s">
        <v>119</v>
      </c>
      <c r="M6" s="97" t="s">
        <v>21</v>
      </c>
      <c r="O6" s="49"/>
      <c r="P6" s="43"/>
      <c r="R6" s="3">
        <v>1</v>
      </c>
      <c r="S6" s="117">
        <f>Revenue/Investment*100</f>
        <v>255.11534352628172</v>
      </c>
      <c r="T6" s="118">
        <f>EXP(y_inter1-(slope*LN(+S6)))</f>
        <v>6.9163984519203314</v>
      </c>
      <c r="U6" s="119">
        <f>(+S6*T6/100)/100</f>
        <v>0.17644793670262984</v>
      </c>
      <c r="V6" s="119">
        <f>regDebt_weighted</f>
        <v>3.5860000000000003E-2</v>
      </c>
      <c r="W6" s="119">
        <f>+U6-V6</f>
        <v>0.14058793670262984</v>
      </c>
      <c r="X6" s="119">
        <f>+((W6*(1-0.34))-Pfd_weighted)/Equity_percent</f>
        <v>0.25173848320853398</v>
      </c>
      <c r="Y6" s="119">
        <f>X6*equityP</f>
        <v>0.15104308992512039</v>
      </c>
      <c r="Z6" s="119">
        <f>+Y6/(1-taxrate)</f>
        <v>0.19119378471534226</v>
      </c>
      <c r="AA6" s="119">
        <f>debtP*Debt_Rate</f>
        <v>2.6000000000000002E-2</v>
      </c>
      <c r="AB6" s="119">
        <f>AA6+Z6</f>
        <v>0.21719378471534226</v>
      </c>
      <c r="AC6" s="119">
        <f>AB6/(S6/100)</f>
        <v>8.5135524078334079E-2</v>
      </c>
      <c r="AD6" s="119">
        <f>1-AC6</f>
        <v>0.91486447592166598</v>
      </c>
      <c r="AE6" s="120">
        <f>expenses/(AD6)</f>
        <v>248935.30563408171</v>
      </c>
      <c r="AF6" s="121">
        <f>+AE6-Revenue</f>
        <v>127600.9056340817</v>
      </c>
      <c r="AG6" s="122">
        <f ca="1">+AF6/$J$49</f>
        <v>137933.04325041734</v>
      </c>
      <c r="AH6" s="122">
        <f ca="1">+AG6*$J$47</f>
        <v>3117.286777459432</v>
      </c>
      <c r="AI6" s="120">
        <f ca="1">ROUND(+AH6+AE6,5)</f>
        <v>252052.59241000001</v>
      </c>
    </row>
    <row r="7" spans="1:35" ht="15.75">
      <c r="A7" s="43"/>
      <c r="B7" s="134" t="s">
        <v>104</v>
      </c>
      <c r="C7" s="130">
        <f>Assets!Q43</f>
        <v>47560.604675077208</v>
      </c>
      <c r="D7" s="116"/>
      <c r="E7" s="43"/>
      <c r="F7" s="141">
        <v>1</v>
      </c>
      <c r="G7" s="76"/>
      <c r="H7" s="79" t="s">
        <v>32</v>
      </c>
      <c r="I7" s="80">
        <f>IF(A65=TRUE,C5,0)</f>
        <v>121334.40000000001</v>
      </c>
      <c r="J7" s="80">
        <f ca="1">(+$I8/($R51))-I7</f>
        <v>119138.29225532057</v>
      </c>
      <c r="K7" s="80">
        <f ca="1">+I7+J7</f>
        <v>240472.69225532058</v>
      </c>
      <c r="L7" s="80">
        <f ca="1">((+J7/J49*K35)-J7)</f>
        <v>2910.5453546045319</v>
      </c>
      <c r="M7" s="80">
        <f ca="1">IFERROR(+K7+L7,0.00001)</f>
        <v>243383.2376099251</v>
      </c>
      <c r="O7" s="49"/>
      <c r="P7" s="43"/>
      <c r="R7" s="35">
        <v>2</v>
      </c>
      <c r="S7" s="123">
        <f>Revenue/Investment*100</f>
        <v>255.11534352628172</v>
      </c>
      <c r="T7" s="6">
        <f>EXP(y_inter1-(slope*LN(+S7)))</f>
        <v>6.9163984519203314</v>
      </c>
      <c r="U7" s="4">
        <f>(+S7*T7/100)/100</f>
        <v>0.17644793670262984</v>
      </c>
      <c r="V7" s="4">
        <f>regDebt_weighted</f>
        <v>3.5860000000000003E-2</v>
      </c>
      <c r="W7" s="4">
        <f>+U7-V7</f>
        <v>0.14058793670262984</v>
      </c>
      <c r="X7" s="4">
        <f>+((W7*(1-0.34))-Pfd_weighted)/Equity_percent</f>
        <v>0.25173848320853398</v>
      </c>
      <c r="Y7" s="4">
        <f>X7*equityP</f>
        <v>0.15104308992512039</v>
      </c>
      <c r="Z7" s="4">
        <f>+Y7/(1-taxrate)</f>
        <v>0.19119378471534226</v>
      </c>
      <c r="AA7" s="4">
        <f>debtP*Debt_Rate</f>
        <v>2.6000000000000002E-2</v>
      </c>
      <c r="AB7" s="4">
        <f>AA7+Z7</f>
        <v>0.21719378471534226</v>
      </c>
      <c r="AC7" s="4">
        <f>AB7/(S7/100)</f>
        <v>8.5135524078334079E-2</v>
      </c>
      <c r="AD7" s="4">
        <f>1-AC7</f>
        <v>0.91486447592166598</v>
      </c>
      <c r="AE7" s="124">
        <f>expenses/(AD7)</f>
        <v>248935.30563408171</v>
      </c>
      <c r="AF7" s="125">
        <f>+AE7-Revenue</f>
        <v>127600.9056340817</v>
      </c>
      <c r="AG7" s="126">
        <f ca="1">+AF7/$J$49</f>
        <v>137933.04325041734</v>
      </c>
      <c r="AH7" s="126">
        <f ca="1">+AG7*$J$47</f>
        <v>3117.286777459432</v>
      </c>
      <c r="AI7" s="124">
        <f ca="1">ROUND(+AH7+AE7,5)</f>
        <v>252052.59241000001</v>
      </c>
    </row>
    <row r="8" spans="1:35" ht="15.75">
      <c r="A8" s="43"/>
      <c r="B8" s="134" t="s">
        <v>114</v>
      </c>
      <c r="C8" s="131">
        <v>0.4</v>
      </c>
      <c r="D8" s="116"/>
      <c r="E8" s="43"/>
      <c r="F8" s="142">
        <f>+F7+1</f>
        <v>2</v>
      </c>
      <c r="G8" s="76"/>
      <c r="H8" s="79" t="s">
        <v>33</v>
      </c>
      <c r="I8" s="80">
        <f>IF(A65=TRUE,C6,0)</f>
        <v>227742.06792732392</v>
      </c>
      <c r="J8" s="72"/>
      <c r="K8" s="80">
        <f>+I8</f>
        <v>227742.06792732392</v>
      </c>
      <c r="L8" s="80">
        <f ca="1">+L7</f>
        <v>2910.5453546045319</v>
      </c>
      <c r="M8" s="80">
        <f ca="1">IFERROR(+K8+L8,0.00001)</f>
        <v>230652.61328192847</v>
      </c>
      <c r="O8" s="49"/>
      <c r="P8" s="43"/>
      <c r="R8" s="5">
        <v>3</v>
      </c>
      <c r="S8" s="123">
        <f>Revenue/Investment*100</f>
        <v>255.11534352628172</v>
      </c>
      <c r="T8" s="6">
        <f>EXP(y_inter1-(slope*LN(+S8)))</f>
        <v>6.9163984519203314</v>
      </c>
      <c r="U8" s="4">
        <f>(+S8*T8/100)/100</f>
        <v>0.17644793670262984</v>
      </c>
      <c r="V8" s="4">
        <f>regDebt_weighted</f>
        <v>3.5860000000000003E-2</v>
      </c>
      <c r="W8" s="4">
        <f>+U8-V8</f>
        <v>0.14058793670262984</v>
      </c>
      <c r="X8" s="4">
        <f>+((W8*(1-0.34))-Pfd_weighted)/Equity_percent</f>
        <v>0.25173848320853398</v>
      </c>
      <c r="Y8" s="4">
        <f>X8*equityP</f>
        <v>0.15104308992512039</v>
      </c>
      <c r="Z8" s="4">
        <f>+Y8/(1-taxrate)</f>
        <v>0.19119378471534226</v>
      </c>
      <c r="AA8" s="4">
        <f>debtP*Debt_Rate</f>
        <v>2.6000000000000002E-2</v>
      </c>
      <c r="AB8" s="4">
        <f>AA8+Z8</f>
        <v>0.21719378471534226</v>
      </c>
      <c r="AC8" s="4">
        <f>AB8/(S8/100)</f>
        <v>8.5135524078334079E-2</v>
      </c>
      <c r="AD8" s="4">
        <f>1-AC8</f>
        <v>0.91486447592166598</v>
      </c>
      <c r="AE8" s="124">
        <f>expenses/(AD8)</f>
        <v>248935.30563408171</v>
      </c>
      <c r="AF8" s="125">
        <f>+AE8-Revenue</f>
        <v>127600.9056340817</v>
      </c>
      <c r="AG8" s="126">
        <f ca="1">+AF8/$J$49</f>
        <v>137933.04325041734</v>
      </c>
      <c r="AH8" s="126">
        <f ca="1">+AG8*$J$47</f>
        <v>3117.286777459432</v>
      </c>
      <c r="AI8" s="124">
        <f ca="1">ROUND(+AH8+AE8,5)</f>
        <v>252052.59241000001</v>
      </c>
    </row>
    <row r="9" spans="1:35" ht="15.75">
      <c r="A9" s="43"/>
      <c r="B9" s="134" t="s">
        <v>113</v>
      </c>
      <c r="C9" s="131">
        <v>6.5000000000000002E-2</v>
      </c>
      <c r="D9" s="116"/>
      <c r="E9" s="43"/>
      <c r="F9" s="142">
        <f t="shared" ref="F9:F49" si="0">+F8+1</f>
        <v>3</v>
      </c>
      <c r="G9" s="76"/>
      <c r="H9" s="79" t="s">
        <v>34</v>
      </c>
      <c r="I9" s="81">
        <f>+I7-I8</f>
        <v>-106407.66792732391</v>
      </c>
      <c r="J9" s="72"/>
      <c r="K9" s="81">
        <f ca="1">+K7-K8</f>
        <v>12730.624327996658</v>
      </c>
      <c r="L9" s="76"/>
      <c r="M9" s="82">
        <f ca="1">+M7-M8</f>
        <v>12730.624327996629</v>
      </c>
      <c r="O9" s="49"/>
      <c r="P9" s="43"/>
      <c r="R9" s="7">
        <v>4</v>
      </c>
      <c r="S9" s="123">
        <f>Revenue/Investment*100</f>
        <v>255.11534352628172</v>
      </c>
      <c r="T9" s="6">
        <f>EXP(y_inter1-(slope*LN(+S9)))</f>
        <v>6.9163984519203314</v>
      </c>
      <c r="U9" s="4">
        <f>(+S9*T9/100)/100</f>
        <v>0.17644793670262984</v>
      </c>
      <c r="V9" s="4">
        <f>regDebt_weighted</f>
        <v>3.5860000000000003E-2</v>
      </c>
      <c r="W9" s="4">
        <f>+U9-V9</f>
        <v>0.14058793670262984</v>
      </c>
      <c r="X9" s="4">
        <f>+((W9*(1-0.34))-Pfd_weighted)/Equity_percent</f>
        <v>0.25173848320853398</v>
      </c>
      <c r="Y9" s="4">
        <f>X9*equityP</f>
        <v>0.15104308992512039</v>
      </c>
      <c r="Z9" s="4">
        <f>+Y9/(1-taxrate)</f>
        <v>0.19119378471534226</v>
      </c>
      <c r="AA9" s="4">
        <f>debtP*Debt_Rate</f>
        <v>2.6000000000000002E-2</v>
      </c>
      <c r="AB9" s="4">
        <f>AA9+Z9</f>
        <v>0.21719378471534226</v>
      </c>
      <c r="AC9" s="4">
        <f>AB9/(S9/100)</f>
        <v>8.5135524078334079E-2</v>
      </c>
      <c r="AD9" s="4">
        <f>1-AC9</f>
        <v>0.91486447592166598</v>
      </c>
      <c r="AE9" s="124">
        <f>expenses/(AD9)</f>
        <v>248935.30563408171</v>
      </c>
      <c r="AF9" s="125">
        <f>+AE9-Revenue</f>
        <v>127600.9056340817</v>
      </c>
      <c r="AG9" s="126">
        <f ca="1">+AF9/$J$49</f>
        <v>137933.04325041734</v>
      </c>
      <c r="AH9" s="126">
        <f ca="1">+AG9*$J$47</f>
        <v>3117.286777459432</v>
      </c>
      <c r="AI9" s="124">
        <f ca="1">ROUND(+AH9+AE9,5)</f>
        <v>252052.59241000001</v>
      </c>
    </row>
    <row r="10" spans="1:35" ht="15.75">
      <c r="A10" s="43"/>
      <c r="B10" s="197" t="s">
        <v>98</v>
      </c>
      <c r="C10" s="131">
        <v>0.21</v>
      </c>
      <c r="D10" s="116"/>
      <c r="E10" s="43"/>
      <c r="F10" s="142">
        <f t="shared" si="0"/>
        <v>4</v>
      </c>
      <c r="G10" s="76"/>
      <c r="H10" s="76"/>
      <c r="I10" s="72"/>
      <c r="J10" s="72"/>
      <c r="K10" s="80"/>
      <c r="L10" s="76"/>
      <c r="M10" s="76"/>
      <c r="N10" s="76"/>
      <c r="O10" s="49"/>
      <c r="P10" s="43"/>
      <c r="R10" s="1" t="s">
        <v>36</v>
      </c>
    </row>
    <row r="11" spans="1:35" ht="15.75">
      <c r="A11" s="43"/>
      <c r="B11" s="134" t="s">
        <v>97</v>
      </c>
      <c r="C11" s="132">
        <v>1.7500000000000002E-2</v>
      </c>
      <c r="D11" s="116"/>
      <c r="E11" s="43"/>
      <c r="F11" s="142">
        <f t="shared" si="0"/>
        <v>5</v>
      </c>
      <c r="G11" s="76"/>
      <c r="H11" s="79" t="s">
        <v>35</v>
      </c>
      <c r="I11" s="80">
        <f>+K11</f>
        <v>1236.5757215520075</v>
      </c>
      <c r="J11" s="72"/>
      <c r="K11" s="80">
        <f>+M27</f>
        <v>1236.5757215520075</v>
      </c>
      <c r="L11" s="76"/>
      <c r="M11" s="80">
        <f>+K11</f>
        <v>1236.5757215520075</v>
      </c>
      <c r="O11" s="49"/>
      <c r="P11" s="43"/>
      <c r="R11" s="3">
        <v>1</v>
      </c>
      <c r="S11" s="117">
        <f ca="1">IF((AI6/Investment*100)&gt;0,(AI6/Investment*100),0)</f>
        <v>529.96086599815885</v>
      </c>
      <c r="T11" s="118">
        <f ca="1">EXP(y_inter1-(slope*LN(S11)))</f>
        <v>4.1957523128635712</v>
      </c>
      <c r="U11" s="119">
        <f ca="1">(+S11*T11/100)/100</f>
        <v>0.22235845292389564</v>
      </c>
      <c r="V11" s="119">
        <f>regDebt_weighted</f>
        <v>3.5860000000000003E-2</v>
      </c>
      <c r="W11" s="119">
        <f ca="1">+U11-V11</f>
        <v>0.18649845292389564</v>
      </c>
      <c r="X11" s="119">
        <f ca="1">+((W11*(1-0.34))-Pfd_weighted)/Equity_percent</f>
        <v>0.33982261316793927</v>
      </c>
      <c r="Y11" s="119">
        <f ca="1">+X11*equityP</f>
        <v>0.20389356790076354</v>
      </c>
      <c r="Z11" s="119">
        <f ca="1">+Y11/(1-taxrate)</f>
        <v>0.25809312392501715</v>
      </c>
      <c r="AA11" s="119">
        <f>debtP*Debt_Rate</f>
        <v>2.6000000000000002E-2</v>
      </c>
      <c r="AB11" s="119">
        <f ca="1">+AA11+Z11</f>
        <v>0.28409312392501718</v>
      </c>
      <c r="AC11" s="119">
        <f ca="1">+AB11/(S11/100)</f>
        <v>5.3606434390195926E-2</v>
      </c>
      <c r="AD11" s="119">
        <f ca="1">1-AC11</f>
        <v>0.94639356560980403</v>
      </c>
      <c r="AE11" s="120">
        <f ca="1">expenses/(AD11)</f>
        <v>240642.02907019918</v>
      </c>
      <c r="AF11" s="121">
        <f ca="1">+AE11-Revenue</f>
        <v>119307.62907019917</v>
      </c>
      <c r="AG11" s="122">
        <f ca="1">+AF11/$J$49</f>
        <v>128968.24108628483</v>
      </c>
      <c r="AH11" s="122">
        <f ca="1">+AG11*$J$47</f>
        <v>2914.6822485500375</v>
      </c>
      <c r="AI11" s="120">
        <f ca="1">ROUND(+AH11+AE11,5)</f>
        <v>243556.71132</v>
      </c>
    </row>
    <row r="12" spans="1:35" ht="15.75">
      <c r="A12" s="43"/>
      <c r="B12" s="134" t="s">
        <v>99</v>
      </c>
      <c r="C12" s="132">
        <v>5.1000000000000004E-3</v>
      </c>
      <c r="D12" s="116"/>
      <c r="E12" s="43"/>
      <c r="F12" s="142">
        <f t="shared" si="0"/>
        <v>6</v>
      </c>
      <c r="G12" s="76"/>
      <c r="H12" s="79" t="s">
        <v>37</v>
      </c>
      <c r="I12" s="291" t="e">
        <f ca="1">IF(I14&lt;0,0,+J38*I14)</f>
        <v>#DIV/0!</v>
      </c>
      <c r="J12" s="80" t="e">
        <f ca="1">+K12-I12</f>
        <v>#DIV/0!</v>
      </c>
      <c r="K12" s="80">
        <f ca="1">+(K9-K11)*taxrate</f>
        <v>2413.7502073533765</v>
      </c>
      <c r="L12" s="76"/>
      <c r="M12" s="80">
        <f ca="1">+K12</f>
        <v>2413.7502073533765</v>
      </c>
      <c r="O12" s="49"/>
      <c r="P12" s="43"/>
      <c r="R12" s="35">
        <v>2</v>
      </c>
      <c r="S12" s="123">
        <f ca="1">IF((AI7/Investment*100)&gt;0,(AI7/Investment*100),0)</f>
        <v>529.96086599815885</v>
      </c>
      <c r="T12" s="34">
        <f ca="1">EXP(y_inter2-(slope*LN(+S12)))</f>
        <v>4.1360559283606113</v>
      </c>
      <c r="U12" s="4">
        <f ca="1">(+S12*T12/100)/100</f>
        <v>0.21919477816108085</v>
      </c>
      <c r="V12" s="4">
        <f>regDebt_weighted</f>
        <v>3.5860000000000003E-2</v>
      </c>
      <c r="W12" s="4">
        <f ca="1">+U12-V12</f>
        <v>0.18333477816108085</v>
      </c>
      <c r="X12" s="4">
        <f ca="1">+((W12*(1-0.34))-Pfd_weighted)/Equity_percent</f>
        <v>0.3337527720532365</v>
      </c>
      <c r="Y12" s="4">
        <f ca="1">+X12*equityP</f>
        <v>0.20025166323194191</v>
      </c>
      <c r="Z12" s="4">
        <f ca="1">+Y12/(1-taxrate)</f>
        <v>0.2534831180151163</v>
      </c>
      <c r="AA12" s="4">
        <f>debtP*Debt_Rate</f>
        <v>2.6000000000000002E-2</v>
      </c>
      <c r="AB12" s="4">
        <f ca="1">+AA12+Z12</f>
        <v>0.27948311801511633</v>
      </c>
      <c r="AC12" s="4">
        <f ca="1">+AB12/(S12/100)</f>
        <v>5.2736557724639102E-2</v>
      </c>
      <c r="AD12" s="4">
        <f ca="1">1-AC12</f>
        <v>0.94726344227536086</v>
      </c>
      <c r="AE12" s="124">
        <f ca="1">expenses/(AD12)</f>
        <v>240421.04631450705</v>
      </c>
      <c r="AF12" s="125">
        <f ca="1">+AE12-Revenue</f>
        <v>119086.64631450704</v>
      </c>
      <c r="AG12" s="126">
        <f ca="1">+AF12/$J$49</f>
        <v>128729.3648506734</v>
      </c>
      <c r="AH12" s="126">
        <f ca="1">+AG12*$J$47</f>
        <v>2909.2836456252194</v>
      </c>
      <c r="AI12" s="124">
        <f ca="1">ROUND(+AH12+AE12,5)</f>
        <v>243330.32996</v>
      </c>
    </row>
    <row r="13" spans="1:35" ht="15.75">
      <c r="A13" s="43"/>
      <c r="B13" s="134" t="s">
        <v>100</v>
      </c>
      <c r="C13" s="132">
        <v>0</v>
      </c>
      <c r="D13" s="116"/>
      <c r="E13" s="43"/>
      <c r="F13" s="142">
        <f t="shared" si="0"/>
        <v>7</v>
      </c>
      <c r="G13" s="76"/>
      <c r="H13" s="76"/>
      <c r="I13" s="72"/>
      <c r="J13" s="72"/>
      <c r="K13" s="80"/>
      <c r="L13" s="76"/>
      <c r="M13" s="76"/>
      <c r="O13" s="49"/>
      <c r="P13" s="43"/>
      <c r="R13" s="5">
        <v>3</v>
      </c>
      <c r="S13" s="123">
        <f ca="1">IF((AI8/Investment*100)&gt;0,(AI8/Investment*100),0)</f>
        <v>529.96086599815885</v>
      </c>
      <c r="T13" s="6">
        <f ca="1">EXP(y_inter3-(slope*LN(S13)))</f>
        <v>4.0958434199105112</v>
      </c>
      <c r="U13" s="4">
        <f ca="1">(+S13*T13/100)/100</f>
        <v>0.21706367258086354</v>
      </c>
      <c r="V13" s="4">
        <f>regDebt_weighted</f>
        <v>3.5860000000000003E-2</v>
      </c>
      <c r="W13" s="4">
        <f ca="1">+U13-V13</f>
        <v>0.18120367258086353</v>
      </c>
      <c r="X13" s="4">
        <f ca="1">+((W13*(1-0.34))-Pfd_weighted)/Equity_percent</f>
        <v>0.32966402297491254</v>
      </c>
      <c r="Y13" s="4">
        <f ca="1">+X13*equityP</f>
        <v>0.19779841378494753</v>
      </c>
      <c r="Z13" s="4">
        <f ca="1">+Y13/(1-taxrate)</f>
        <v>0.25037773896828802</v>
      </c>
      <c r="AA13" s="4">
        <f>debtP*Debt_Rate</f>
        <v>2.6000000000000002E-2</v>
      </c>
      <c r="AB13" s="4">
        <f ca="1">+AA13+Z13</f>
        <v>0.27637773896828804</v>
      </c>
      <c r="AC13" s="4">
        <f ca="1">+AB13/(S13/100)</f>
        <v>5.2150593883520488E-2</v>
      </c>
      <c r="AD13" s="4">
        <f ca="1">1-AC13</f>
        <v>0.9478494061164795</v>
      </c>
      <c r="AE13" s="124">
        <f ca="1">expenses/(AD13)</f>
        <v>240272.4171769298</v>
      </c>
      <c r="AF13" s="125">
        <f ca="1">+AE13-Revenue</f>
        <v>118938.01717692979</v>
      </c>
      <c r="AG13" s="126">
        <f ca="1">+AF13/$J$49</f>
        <v>128568.70087137137</v>
      </c>
      <c r="AH13" s="126">
        <f ca="1">+AG13*$J$47</f>
        <v>2905.6526396929935</v>
      </c>
      <c r="AI13" s="124">
        <f ca="1">ROUND(+AH13+AE13,5)</f>
        <v>243178.06982</v>
      </c>
    </row>
    <row r="14" spans="1:35" ht="16.5" thickBot="1">
      <c r="A14" s="43"/>
      <c r="B14" s="135" t="s">
        <v>101</v>
      </c>
      <c r="C14" s="132">
        <v>0</v>
      </c>
      <c r="D14" s="116"/>
      <c r="E14" s="43"/>
      <c r="F14" s="142">
        <f t="shared" si="0"/>
        <v>8</v>
      </c>
      <c r="G14" s="76"/>
      <c r="H14" s="76" t="s">
        <v>38</v>
      </c>
      <c r="I14" s="106" t="e">
        <f ca="1">+I9-SUM(I11:I13)</f>
        <v>#DIV/0!</v>
      </c>
      <c r="J14" s="72"/>
      <c r="K14" s="106">
        <f ca="1">+K9-SUM(K11:K13)</f>
        <v>9080.2983990912744</v>
      </c>
      <c r="L14" s="76"/>
      <c r="M14" s="106">
        <f ca="1">+M9-SUM(M11:M13)</f>
        <v>9080.2983990912453</v>
      </c>
      <c r="O14" s="49"/>
      <c r="P14" s="43"/>
      <c r="R14" s="7">
        <v>4</v>
      </c>
      <c r="S14" s="123">
        <f ca="1">IF((AI9/Investment*100)&gt;0,(AI9/Investment*100),0)</f>
        <v>529.96086599815885</v>
      </c>
      <c r="T14" s="8">
        <f ca="1">EXP(y_inter4-(slope*LN(S14)))</f>
        <v>4.0701207179540173</v>
      </c>
      <c r="U14" s="4">
        <f ca="1">(+S14*T14/100)/100</f>
        <v>0.21570047004039586</v>
      </c>
      <c r="V14" s="4">
        <f>regDebt_weighted</f>
        <v>3.5860000000000003E-2</v>
      </c>
      <c r="W14" s="4">
        <f ca="1">+U14-V14</f>
        <v>0.17984047004039586</v>
      </c>
      <c r="X14" s="4">
        <f ca="1">+((W14*(1-0.34))-Pfd_weighted)/Equity_percent</f>
        <v>0.32704857624029438</v>
      </c>
      <c r="Y14" s="4">
        <f ca="1">+X14*equityP</f>
        <v>0.19622914574417663</v>
      </c>
      <c r="Z14" s="4">
        <f ca="1">+Y14/(1-taxrate)</f>
        <v>0.24839132372680586</v>
      </c>
      <c r="AA14" s="4">
        <f>debtP*Debt_Rate</f>
        <v>2.6000000000000002E-2</v>
      </c>
      <c r="AB14" s="4">
        <f ca="1">+AA14+Z14</f>
        <v>0.27439132372680586</v>
      </c>
      <c r="AC14" s="4">
        <f ca="1">+AB14/(S14/100)</f>
        <v>5.1775770878855633E-2</v>
      </c>
      <c r="AD14" s="4">
        <f ca="1">1-AC14</f>
        <v>0.94822422912114435</v>
      </c>
      <c r="AE14" s="124">
        <f ca="1">expenses/(AD14)</f>
        <v>240177.44003272857</v>
      </c>
      <c r="AF14" s="125">
        <f ca="1">+AE14-Revenue</f>
        <v>118843.04003272856</v>
      </c>
      <c r="AG14" s="126">
        <f ca="1">+AF14/$J$49</f>
        <v>128466.03321024617</v>
      </c>
      <c r="AH14" s="126">
        <f ca="1">+AG14*$J$47</f>
        <v>2903.3323505515636</v>
      </c>
      <c r="AI14" s="124">
        <f ca="1">ROUND(+AH14+AE14,5)</f>
        <v>243080.77238000001</v>
      </c>
    </row>
    <row r="15" spans="1:35" ht="16.5" thickTop="1">
      <c r="A15" s="43"/>
      <c r="B15" s="561"/>
      <c r="C15" s="561"/>
      <c r="D15" s="43"/>
      <c r="E15" s="43"/>
      <c r="F15" s="142">
        <f t="shared" si="0"/>
        <v>9</v>
      </c>
      <c r="G15" s="72"/>
      <c r="H15" s="72"/>
      <c r="I15" s="72"/>
      <c r="J15" s="72"/>
      <c r="K15" s="73"/>
      <c r="L15" s="72"/>
      <c r="M15" s="72"/>
      <c r="O15" s="49"/>
      <c r="P15" s="43"/>
      <c r="R15" s="1" t="s">
        <v>40</v>
      </c>
    </row>
    <row r="16" spans="1:35" ht="15.75">
      <c r="A16" s="43"/>
      <c r="B16" s="198" t="s">
        <v>124</v>
      </c>
      <c r="C16" s="562"/>
      <c r="D16" s="562"/>
      <c r="E16" s="43"/>
      <c r="F16" s="142">
        <f t="shared" si="0"/>
        <v>10</v>
      </c>
      <c r="G16" s="72"/>
      <c r="H16" s="180" t="s">
        <v>39</v>
      </c>
      <c r="I16" s="181">
        <f>+I8/I7</f>
        <v>1.8769785644246306</v>
      </c>
      <c r="J16" s="182"/>
      <c r="K16" s="181">
        <f ca="1">+K8/K7</f>
        <v>0.94706000000000001</v>
      </c>
      <c r="L16" s="183"/>
      <c r="M16" s="181">
        <f ca="1">+M8/M7</f>
        <v>0.94769309319321227</v>
      </c>
      <c r="O16" s="49"/>
      <c r="P16" s="43"/>
      <c r="R16" s="3">
        <v>1</v>
      </c>
      <c r="S16" s="117">
        <f ca="1">AI11/Investment*100</f>
        <v>512.09759208050821</v>
      </c>
      <c r="T16" s="118">
        <f ca="1">EXP(y_inter1-(slope*LN(+S16)))</f>
        <v>4.2952695049393084</v>
      </c>
      <c r="U16" s="119">
        <f ca="1">(+S16*T16/100)/100</f>
        <v>0.21995971708162565</v>
      </c>
      <c r="V16" s="119">
        <f>regDebt_weighted</f>
        <v>3.5860000000000003E-2</v>
      </c>
      <c r="W16" s="119">
        <f ca="1">+U16-V16</f>
        <v>0.18409971708162565</v>
      </c>
      <c r="X16" s="119">
        <f ca="1">+((W16*(1-0.34))-Pfd_weighted)/Equity_percent</f>
        <v>0.33522038742404919</v>
      </c>
      <c r="Y16" s="119">
        <f ca="1">+X16*equityP</f>
        <v>0.20113223245442952</v>
      </c>
      <c r="Z16" s="119">
        <f ca="1">+Y16/(1-taxrate)</f>
        <v>0.25459776260054368</v>
      </c>
      <c r="AA16" s="119">
        <f>debtP*Debt_Rate</f>
        <v>2.6000000000000002E-2</v>
      </c>
      <c r="AB16" s="119">
        <f ca="1">+AA16+Z16</f>
        <v>0.2805977626005437</v>
      </c>
      <c r="AC16" s="119">
        <f ca="1">+AB16/(S16/100)</f>
        <v>5.4793806286132694E-2</v>
      </c>
      <c r="AD16" s="119">
        <f ca="1">1-AC16</f>
        <v>0.94520619371386727</v>
      </c>
      <c r="AE16" s="120">
        <f ca="1">expenses/(AD16)</f>
        <v>240944.32457376173</v>
      </c>
      <c r="AF16" s="121">
        <f ca="1">+AE16-Revenue</f>
        <v>119609.92457376172</v>
      </c>
      <c r="AG16" s="122">
        <f ca="1">+AF16/$J$49</f>
        <v>129295.0141492196</v>
      </c>
      <c r="AH16" s="122">
        <f ca="1">+AG16*$J$47</f>
        <v>2922.0673197723631</v>
      </c>
      <c r="AI16" s="120">
        <f ca="1">ROUND(+AH16+AE16,5)</f>
        <v>243866.39189</v>
      </c>
    </row>
    <row r="17" spans="1:35" ht="15.75">
      <c r="A17" s="43"/>
      <c r="B17" s="563"/>
      <c r="C17" s="562"/>
      <c r="D17" s="43" t="s">
        <v>102</v>
      </c>
      <c r="E17" s="43"/>
      <c r="F17" s="142">
        <f t="shared" si="0"/>
        <v>11</v>
      </c>
      <c r="G17" s="72"/>
      <c r="H17" s="184"/>
      <c r="I17" s="184"/>
      <c r="J17" s="173"/>
      <c r="K17" s="184"/>
      <c r="L17" s="180"/>
      <c r="M17" s="180"/>
      <c r="N17" s="83"/>
      <c r="O17" s="43"/>
      <c r="P17" s="43"/>
      <c r="R17" s="35">
        <v>2</v>
      </c>
      <c r="S17" s="123">
        <f ca="1">AI12/Investment*100</f>
        <v>511.6216070472089</v>
      </c>
      <c r="T17" s="34">
        <f ca="1">EXP(y_inter2-(slope*LN(+S17)))</f>
        <v>4.2368499459296798</v>
      </c>
      <c r="U17" s="4">
        <f ca="1">(+S17*T17/100)/100</f>
        <v>0.21676639781544227</v>
      </c>
      <c r="V17" s="4">
        <f>regDebt_weighted</f>
        <v>3.5860000000000003E-2</v>
      </c>
      <c r="W17" s="4">
        <f ca="1">+U17-V17</f>
        <v>0.18090639781544227</v>
      </c>
      <c r="X17" s="4">
        <f ca="1">+((W17*(1-0.34))-Pfd_weighted)/Equity_percent</f>
        <v>0.32909367022730202</v>
      </c>
      <c r="Y17" s="4">
        <f ca="1">+X17*equityP</f>
        <v>0.19745620213638121</v>
      </c>
      <c r="Z17" s="4">
        <f ca="1">+Y17/(1-taxrate)</f>
        <v>0.24994455966630533</v>
      </c>
      <c r="AA17" s="4">
        <f>debtP*Debt_Rate</f>
        <v>2.6000000000000002E-2</v>
      </c>
      <c r="AB17" s="4">
        <f ca="1">+AA17+Z17</f>
        <v>0.27594455966630532</v>
      </c>
      <c r="AC17" s="4">
        <f ca="1">+AB17/(S17/100)</f>
        <v>5.393528261226134E-2</v>
      </c>
      <c r="AD17" s="4">
        <f ca="1">1-AC17</f>
        <v>0.94606471738773867</v>
      </c>
      <c r="AE17" s="124">
        <f ca="1">expenses/(AD17)</f>
        <v>240725.67525418589</v>
      </c>
      <c r="AF17" s="125">
        <f ca="1">+AE17-Revenue</f>
        <v>119391.27525418588</v>
      </c>
      <c r="AG17" s="126">
        <f ca="1">+AF17/$J$49</f>
        <v>129058.66029339185</v>
      </c>
      <c r="AH17" s="126">
        <f ca="1">+AG17*$J$47</f>
        <v>2916.725722630656</v>
      </c>
      <c r="AI17" s="124">
        <f ca="1">ROUND(+AH17+AE17,5)</f>
        <v>243642.40098000001</v>
      </c>
    </row>
    <row r="18" spans="1:35" ht="15.75">
      <c r="A18" s="43"/>
      <c r="B18" s="556" t="s">
        <v>125</v>
      </c>
      <c r="C18" s="556"/>
      <c r="D18" s="43"/>
      <c r="E18" s="43"/>
      <c r="F18" s="142">
        <f t="shared" si="0"/>
        <v>12</v>
      </c>
      <c r="G18" s="72"/>
      <c r="H18" s="185" t="s">
        <v>83</v>
      </c>
      <c r="I18" s="186"/>
      <c r="J18" s="186"/>
      <c r="K18" s="186"/>
      <c r="L18" s="186"/>
      <c r="M18" s="187"/>
      <c r="N18" s="173"/>
      <c r="O18" s="43"/>
      <c r="P18" s="43"/>
      <c r="R18" s="5">
        <v>3</v>
      </c>
      <c r="S18" s="123">
        <f ca="1">AI13/Investment*100</f>
        <v>511.30146784578329</v>
      </c>
      <c r="T18" s="6">
        <f ca="1">EXP(y_inter3-(slope*LN(S18)))</f>
        <v>4.1974533054423011</v>
      </c>
      <c r="U18" s="4">
        <f ca="1">(+S18*T18/100)/100</f>
        <v>0.21461640362867831</v>
      </c>
      <c r="V18" s="4">
        <f>regDebt_weighted</f>
        <v>3.5860000000000003E-2</v>
      </c>
      <c r="W18" s="4">
        <f ca="1">+U18-V18</f>
        <v>0.17875640362867831</v>
      </c>
      <c r="X18" s="4">
        <f ca="1">+((W18*(1-0.34))-Pfd_weighted)/Equity_percent</f>
        <v>0.3249686813806037</v>
      </c>
      <c r="Y18" s="4">
        <f ca="1">+X18*equityP</f>
        <v>0.1949812088283622</v>
      </c>
      <c r="Z18" s="4">
        <f ca="1">+Y18/(1-taxrate)</f>
        <v>0.24681165674476227</v>
      </c>
      <c r="AA18" s="4">
        <f>debtP*Debt_Rate</f>
        <v>2.6000000000000002E-2</v>
      </c>
      <c r="AB18" s="4">
        <f ca="1">+AA18+Z18</f>
        <v>0.27281165674476227</v>
      </c>
      <c r="AC18" s="4">
        <f ca="1">+AB18/(S18/100)</f>
        <v>5.3356321837716027E-2</v>
      </c>
      <c r="AD18" s="4">
        <f ca="1">1-AC18</f>
        <v>0.94664367816228401</v>
      </c>
      <c r="AE18" s="124">
        <f ca="1">expenses/(AD18)</f>
        <v>240578.44908386099</v>
      </c>
      <c r="AF18" s="125">
        <f ca="1">+AE18-Revenue</f>
        <v>119244.04908386098</v>
      </c>
      <c r="AG18" s="126">
        <f ca="1">+AF18/$J$49</f>
        <v>128899.51288281428</v>
      </c>
      <c r="AH18" s="126">
        <f ca="1">+AG18*$J$47</f>
        <v>2913.1289911516028</v>
      </c>
      <c r="AI18" s="124">
        <f ca="1">ROUND(+AH18+AE18,5)</f>
        <v>243491.57808000001</v>
      </c>
    </row>
    <row r="19" spans="1:35" ht="16.5" thickBot="1">
      <c r="A19" s="43"/>
      <c r="B19" s="43"/>
      <c r="C19" s="43"/>
      <c r="D19" s="43"/>
      <c r="E19" s="43"/>
      <c r="F19" s="142">
        <f t="shared" si="0"/>
        <v>13</v>
      </c>
      <c r="G19" s="72"/>
      <c r="H19" s="188"/>
      <c r="I19" s="174" t="s">
        <v>122</v>
      </c>
      <c r="J19" s="175">
        <f>+Revenue</f>
        <v>121334.40000000001</v>
      </c>
      <c r="K19" s="176"/>
      <c r="L19" s="174" t="s">
        <v>126</v>
      </c>
      <c r="M19" s="189">
        <f ca="1">+J7</f>
        <v>119138.29225532057</v>
      </c>
      <c r="O19" s="43"/>
      <c r="P19" s="43"/>
      <c r="R19" s="7">
        <v>4</v>
      </c>
      <c r="S19" s="123">
        <f ca="1">AI14/Investment*100</f>
        <v>511.09689214565356</v>
      </c>
      <c r="T19" s="8">
        <f ca="1">EXP(y_inter4-(slope*LN(S19)))</f>
        <v>4.1722338255658826</v>
      </c>
      <c r="U19" s="4">
        <f ca="1">(+S19*T19/100)/100</f>
        <v>0.21324157415516931</v>
      </c>
      <c r="V19" s="4">
        <f>regDebt_weighted</f>
        <v>3.5860000000000003E-2</v>
      </c>
      <c r="W19" s="4">
        <f ca="1">+U19-V19</f>
        <v>0.17738157415516931</v>
      </c>
      <c r="X19" s="4">
        <f ca="1">+((W19*(1-0.34))-Pfd_weighted)/Equity_percent</f>
        <v>0.32233092715817363</v>
      </c>
      <c r="Y19" s="4">
        <f ca="1">+X19*equityP</f>
        <v>0.19339855629490418</v>
      </c>
      <c r="Z19" s="4">
        <f ca="1">+Y19/(1-taxrate)</f>
        <v>0.24480829910747365</v>
      </c>
      <c r="AA19" s="4">
        <f>debtP*Debt_Rate</f>
        <v>2.6000000000000002E-2</v>
      </c>
      <c r="AB19" s="4">
        <f ca="1">+AA19+Z19</f>
        <v>0.27080829910747367</v>
      </c>
      <c r="AC19" s="4">
        <f ca="1">+AB19/(S19/100)</f>
        <v>5.2985706481325674E-2</v>
      </c>
      <c r="AD19" s="4">
        <f ca="1">1-AC19</f>
        <v>0.94701429351867428</v>
      </c>
      <c r="AE19" s="124">
        <f ca="1">expenses/(AD19)</f>
        <v>240484.29837435504</v>
      </c>
      <c r="AF19" s="125">
        <f ca="1">+AE19-Revenue</f>
        <v>119149.89837435503</v>
      </c>
      <c r="AG19" s="126">
        <f ca="1">+AF19/$J$49</f>
        <v>128797.7385746947</v>
      </c>
      <c r="AH19" s="126">
        <f ca="1">+AG19*$J$47</f>
        <v>2910.8288917881005</v>
      </c>
      <c r="AI19" s="124">
        <f ca="1">ROUND(+AH19+AE19,5)</f>
        <v>243395.12727</v>
      </c>
    </row>
    <row r="20" spans="1:35" ht="15.75">
      <c r="A20" s="43"/>
      <c r="B20" s="115"/>
      <c r="C20" s="43"/>
      <c r="D20" s="43"/>
      <c r="E20" s="43"/>
      <c r="F20" s="142">
        <f t="shared" si="0"/>
        <v>14</v>
      </c>
      <c r="G20" s="72"/>
      <c r="H20" s="188"/>
      <c r="I20" s="174" t="s">
        <v>42</v>
      </c>
      <c r="J20" s="175">
        <f ca="1">+J21-J19</f>
        <v>122048.83760992509</v>
      </c>
      <c r="K20" s="176"/>
      <c r="L20" s="174" t="s">
        <v>41</v>
      </c>
      <c r="M20" s="175">
        <f ca="1">+L8</f>
        <v>2910.5453546045319</v>
      </c>
      <c r="N20" s="482" t="s">
        <v>103</v>
      </c>
      <c r="O20" s="43"/>
      <c r="P20" s="43"/>
      <c r="R20" s="1" t="s">
        <v>43</v>
      </c>
    </row>
    <row r="21" spans="1:35" ht="16.5" thickBot="1">
      <c r="A21" s="43"/>
      <c r="B21" s="115" t="s">
        <v>0</v>
      </c>
      <c r="C21" s="43"/>
      <c r="D21" s="43"/>
      <c r="E21" s="43"/>
      <c r="F21" s="142">
        <f t="shared" si="0"/>
        <v>15</v>
      </c>
      <c r="G21" s="72"/>
      <c r="H21" s="188"/>
      <c r="I21" s="190" t="s">
        <v>83</v>
      </c>
      <c r="J21" s="191">
        <f ca="1">+M7</f>
        <v>243383.2376099251</v>
      </c>
      <c r="K21" s="177"/>
      <c r="L21" s="190" t="s">
        <v>42</v>
      </c>
      <c r="M21" s="191">
        <f ca="1">+M19+M20</f>
        <v>122048.8376099251</v>
      </c>
      <c r="N21" s="483">
        <f ca="1">M21+'Garbage LG 2019 '!M21</f>
        <v>14438.336477869816</v>
      </c>
      <c r="O21" s="43"/>
      <c r="P21" s="43"/>
      <c r="R21" s="3">
        <v>1</v>
      </c>
      <c r="S21" s="117">
        <f ca="1">AI16/Investment*100</f>
        <v>512.74872040849243</v>
      </c>
      <c r="T21" s="118">
        <f ca="1">EXP(y_inter1-(slope*LN(+S21)))</f>
        <v>4.2915396991842076</v>
      </c>
      <c r="U21" s="119">
        <f ca="1">(+S21*T21/100)/100</f>
        <v>0.2200481489338949</v>
      </c>
      <c r="V21" s="119">
        <f>regDebt_weighted</f>
        <v>3.5860000000000003E-2</v>
      </c>
      <c r="W21" s="119">
        <f ca="1">+U21-V21</f>
        <v>0.1841881489338949</v>
      </c>
      <c r="X21" s="119">
        <f ca="1">+((W21*(1-0.34))-Pfd_weighted)/Equity_percent</f>
        <v>0.33539005318712389</v>
      </c>
      <c r="Y21" s="119">
        <f ca="1">+X21*equityP</f>
        <v>0.20123403191227432</v>
      </c>
      <c r="Z21" s="119">
        <f ca="1">+Y21/(1-taxrate)</f>
        <v>0.25472662267376495</v>
      </c>
      <c r="AA21" s="119">
        <f>debtP*Debt_Rate</f>
        <v>2.6000000000000002E-2</v>
      </c>
      <c r="AB21" s="119">
        <f ca="1">+AA21+Z21</f>
        <v>0.28072662267376497</v>
      </c>
      <c r="AC21" s="119">
        <f ca="1">+AB21/(S21/100)</f>
        <v>5.4749356068625188E-2</v>
      </c>
      <c r="AD21" s="119">
        <f ca="1">1-AC21</f>
        <v>0.94525064393137481</v>
      </c>
      <c r="AE21" s="120">
        <f ca="1">expenses/(AD21)</f>
        <v>240932.99421635518</v>
      </c>
      <c r="AF21" s="121">
        <f ca="1">+AE21-Revenue</f>
        <v>119598.59421635517</v>
      </c>
      <c r="AG21" s="122">
        <f ca="1">+AF21/$J$49</f>
        <v>129282.76634682014</v>
      </c>
      <c r="AH21" s="122">
        <f ca="1">+AG21*$J$47</f>
        <v>2921.7905194381351</v>
      </c>
      <c r="AI21" s="120">
        <f ca="1">ROUND(+AH21+AE21,5)</f>
        <v>243854.78474</v>
      </c>
    </row>
    <row r="22" spans="1:35" ht="16.5" thickTop="1">
      <c r="A22" s="43"/>
      <c r="B22" s="43" t="s">
        <v>109</v>
      </c>
      <c r="C22" s="43"/>
      <c r="D22" s="43"/>
      <c r="E22" s="43"/>
      <c r="F22" s="142">
        <f t="shared" si="0"/>
        <v>16</v>
      </c>
      <c r="G22" s="72"/>
      <c r="H22" s="192"/>
      <c r="I22" s="193"/>
      <c r="J22" s="389" t="s">
        <v>347</v>
      </c>
      <c r="K22" s="388">
        <f ca="1">+(J21/J19)-1</f>
        <v>1.0058881702956874</v>
      </c>
      <c r="L22" s="193"/>
      <c r="M22" s="193"/>
      <c r="N22" s="489"/>
      <c r="O22" s="43"/>
      <c r="P22" s="43"/>
      <c r="R22" s="35">
        <v>2</v>
      </c>
      <c r="S22" s="123">
        <f ca="1">AI17/Investment*100</f>
        <v>512.27776148875148</v>
      </c>
      <c r="T22" s="34">
        <f ca="1">EXP(y_inter2-(slope*LN(+S22)))</f>
        <v>4.2331390549218897</v>
      </c>
      <c r="U22" s="4">
        <f ca="1">(+S22*T22/100)/100</f>
        <v>0.21685429991259947</v>
      </c>
      <c r="V22" s="4">
        <f>regDebt_weighted</f>
        <v>3.5860000000000003E-2</v>
      </c>
      <c r="W22" s="4">
        <f ca="1">+U22-V22</f>
        <v>0.18099429991259947</v>
      </c>
      <c r="X22" s="4">
        <f ca="1">+((W22*(1-0.34))-Pfd_weighted)/Equity_percent</f>
        <v>0.32926231959975477</v>
      </c>
      <c r="Y22" s="4">
        <f ca="1">+X22*equityP</f>
        <v>0.19755739175985285</v>
      </c>
      <c r="Z22" s="4">
        <f ca="1">+Y22/(1-taxrate)</f>
        <v>0.25007264779728205</v>
      </c>
      <c r="AA22" s="4">
        <f>debtP*Debt_Rate</f>
        <v>2.6000000000000002E-2</v>
      </c>
      <c r="AB22" s="4">
        <f ca="1">+AA22+Z22</f>
        <v>0.27607264779728208</v>
      </c>
      <c r="AC22" s="4">
        <f ca="1">+AB22/(S22/100)</f>
        <v>5.3891202888639168E-2</v>
      </c>
      <c r="AD22" s="4">
        <f ca="1">1-AC22</f>
        <v>0.94610879711136087</v>
      </c>
      <c r="AE22" s="124">
        <f ca="1">expenses/(AD22)</f>
        <v>240714.45971400026</v>
      </c>
      <c r="AF22" s="125">
        <f ca="1">+AE22-Revenue</f>
        <v>119380.05971400025</v>
      </c>
      <c r="AG22" s="126">
        <f ca="1">+AF22/$J$49</f>
        <v>129046.53660522668</v>
      </c>
      <c r="AH22" s="126">
        <f ca="1">+AG22*$J$47</f>
        <v>2916.4517272781231</v>
      </c>
      <c r="AI22" s="124">
        <f ca="1">ROUND(+AH22+AE22,5)</f>
        <v>243630.91144</v>
      </c>
    </row>
    <row r="23" spans="1:35" ht="15.75">
      <c r="A23" s="43"/>
      <c r="B23" s="43" t="s">
        <v>108</v>
      </c>
      <c r="C23" s="43"/>
      <c r="D23" s="43"/>
      <c r="E23" s="43"/>
      <c r="F23" s="142">
        <f t="shared" si="0"/>
        <v>17</v>
      </c>
      <c r="H23" s="72"/>
      <c r="I23" s="72"/>
      <c r="J23" s="72"/>
      <c r="K23" s="72"/>
      <c r="L23" s="72"/>
      <c r="M23" s="72"/>
      <c r="N23" s="489"/>
      <c r="O23" s="43"/>
      <c r="P23" s="43"/>
      <c r="R23" s="5">
        <v>3</v>
      </c>
      <c r="S23" s="123">
        <f ca="1">AI18/Investment*100</f>
        <v>511.96064420012488</v>
      </c>
      <c r="T23" s="6">
        <f ca="1">EXP(y_inter3-(slope*LN(S23)))</f>
        <v>4.1937576972329014</v>
      </c>
      <c r="U23" s="4">
        <f ca="1">(+S23*T23/100)/100</f>
        <v>0.21470388922945888</v>
      </c>
      <c r="V23" s="4">
        <f>regDebt_weighted</f>
        <v>3.5860000000000003E-2</v>
      </c>
      <c r="W23" s="4">
        <f ca="1">+U23-V23</f>
        <v>0.17884388922945887</v>
      </c>
      <c r="X23" s="4">
        <f ca="1">+((W23*(1-0.34))-Pfd_weighted)/Equity_percent</f>
        <v>0.32513653166117107</v>
      </c>
      <c r="Y23" s="4">
        <f ca="1">+X23*equityP</f>
        <v>0.19508191899670263</v>
      </c>
      <c r="Z23" s="4">
        <f ca="1">+Y23/(1-taxrate)</f>
        <v>0.24693913797050965</v>
      </c>
      <c r="AA23" s="4">
        <f>debtP*Debt_Rate</f>
        <v>2.6000000000000002E-2</v>
      </c>
      <c r="AB23" s="4">
        <f ca="1">+AA23+Z23</f>
        <v>0.27293913797050967</v>
      </c>
      <c r="AC23" s="4">
        <f ca="1">+AB23/(S23/100)</f>
        <v>5.3312523347755228E-2</v>
      </c>
      <c r="AD23" s="4">
        <f ca="1">1-AC23</f>
        <v>0.94668747665224473</v>
      </c>
      <c r="AE23" s="124">
        <f ca="1">expenses/(AD23)</f>
        <v>240567.31872347611</v>
      </c>
      <c r="AF23" s="125">
        <f ca="1">+AE23-Revenue</f>
        <v>119232.9187234761</v>
      </c>
      <c r="AG23" s="126">
        <f ca="1">+AF23/$J$49</f>
        <v>128887.48127165344</v>
      </c>
      <c r="AH23" s="126">
        <f ca="1">+AG23*$J$47</f>
        <v>2912.857076739368</v>
      </c>
      <c r="AI23" s="124">
        <f ca="1">ROUND(+AH23+AE23,5)</f>
        <v>243480.1758</v>
      </c>
    </row>
    <row r="24" spans="1:35" ht="15.75">
      <c r="A24" s="43"/>
      <c r="B24" s="43" t="s">
        <v>110</v>
      </c>
      <c r="C24" s="43"/>
      <c r="D24" s="43"/>
      <c r="E24" s="43"/>
      <c r="F24" s="142">
        <f t="shared" si="0"/>
        <v>18</v>
      </c>
      <c r="H24" s="100"/>
      <c r="J24" s="145" t="s">
        <v>105</v>
      </c>
      <c r="K24" s="101" t="s">
        <v>44</v>
      </c>
      <c r="L24" s="101"/>
      <c r="M24" s="101"/>
      <c r="N24" s="101"/>
      <c r="O24" s="43"/>
      <c r="P24" s="43"/>
      <c r="R24" s="7">
        <v>4</v>
      </c>
      <c r="S24" s="123">
        <f ca="1">AI19/Investment*100</f>
        <v>511.75784860772461</v>
      </c>
      <c r="T24" s="8">
        <f ca="1">EXP(y_inter4-(slope*LN(S24)))</f>
        <v>4.1685490396444722</v>
      </c>
      <c r="U24" s="4">
        <f ca="1">(+S24*T24/100)/100</f>
        <v>0.2133287688344252</v>
      </c>
      <c r="V24" s="4">
        <f>regDebt_weighted</f>
        <v>3.5860000000000003E-2</v>
      </c>
      <c r="W24" s="4">
        <f ca="1">+U24-V24</f>
        <v>0.17746876883442519</v>
      </c>
      <c r="X24" s="4">
        <f ca="1">+((W24*(1-0.34))-Pfd_weighted)/Equity_percent</f>
        <v>0.32249821927535066</v>
      </c>
      <c r="Y24" s="4">
        <f ca="1">+X24*equityP</f>
        <v>0.19349893156521039</v>
      </c>
      <c r="Z24" s="4">
        <f ca="1">+Y24/(1-taxrate)</f>
        <v>0.2449353564116587</v>
      </c>
      <c r="AA24" s="4">
        <f>debtP*Debt_Rate</f>
        <v>2.6000000000000002E-2</v>
      </c>
      <c r="AB24" s="4">
        <f ca="1">+AA24+Z24</f>
        <v>0.27093535641165872</v>
      </c>
      <c r="AC24" s="4">
        <f ca="1">+AB24/(S24/100)</f>
        <v>5.2942100868361583E-2</v>
      </c>
      <c r="AD24" s="4">
        <f ca="1">1-AC24</f>
        <v>0.9470578991316384</v>
      </c>
      <c r="AE24" s="124">
        <f ca="1">expenses/(AD24)</f>
        <v>240473.22569838827</v>
      </c>
      <c r="AF24" s="125">
        <f ca="1">+AE24-Revenue</f>
        <v>119138.82569838826</v>
      </c>
      <c r="AG24" s="126">
        <f ca="1">+AF24/$J$49</f>
        <v>128785.76931879143</v>
      </c>
      <c r="AH24" s="126">
        <f ca="1">+AG24*$J$47</f>
        <v>2910.5583866046863</v>
      </c>
      <c r="AI24" s="124">
        <f ca="1">ROUND(+AH24+AE24,5)</f>
        <v>243383.78408000001</v>
      </c>
    </row>
    <row r="25" spans="1:35" ht="15.75">
      <c r="A25" s="43"/>
      <c r="B25" s="43" t="s">
        <v>111</v>
      </c>
      <c r="C25" s="43"/>
      <c r="D25" s="43"/>
      <c r="E25" s="43"/>
      <c r="F25" s="142">
        <f t="shared" si="0"/>
        <v>19</v>
      </c>
      <c r="H25" s="84" t="s">
        <v>45</v>
      </c>
      <c r="I25" s="85" t="s">
        <v>46</v>
      </c>
      <c r="J25" s="86" t="s">
        <v>47</v>
      </c>
      <c r="K25" s="84" t="s">
        <v>116</v>
      </c>
      <c r="L25" s="86" t="s">
        <v>49</v>
      </c>
      <c r="M25" s="86" t="s">
        <v>47</v>
      </c>
      <c r="O25" s="43"/>
      <c r="P25" s="43"/>
      <c r="R25" s="1" t="s">
        <v>50</v>
      </c>
      <c r="W25" s="9"/>
      <c r="X25" s="13"/>
      <c r="Y25" s="10"/>
      <c r="Z25" s="10"/>
      <c r="AA25" s="13"/>
      <c r="AC25" s="13"/>
      <c r="AD25" s="13"/>
      <c r="AE25" s="10"/>
      <c r="AF25" s="9"/>
    </row>
    <row r="26" spans="1:35" ht="15.75">
      <c r="A26" s="43"/>
      <c r="B26" s="43"/>
      <c r="C26" s="43"/>
      <c r="D26" s="43"/>
      <c r="E26" s="43"/>
      <c r="F26" s="142">
        <f t="shared" si="0"/>
        <v>20</v>
      </c>
      <c r="H26" s="79" t="s">
        <v>27</v>
      </c>
      <c r="I26" s="88">
        <f>1-I27</f>
        <v>0.6</v>
      </c>
      <c r="J26" s="87">
        <f>+I26*J28</f>
        <v>28536.362805046323</v>
      </c>
      <c r="K26" s="83">
        <f ca="1">+K34</f>
        <v>0.31820097260206898</v>
      </c>
      <c r="L26" s="88">
        <f ca="1">+K26*I26</f>
        <v>0.19092058356124139</v>
      </c>
      <c r="M26" s="80">
        <f ca="1">+J26*K26</f>
        <v>9080.2983990912453</v>
      </c>
      <c r="O26" s="43"/>
      <c r="P26" s="43"/>
      <c r="R26" s="3">
        <v>1</v>
      </c>
      <c r="S26" s="117">
        <f ca="1">AI21/Investment*100</f>
        <v>512.72431544123162</v>
      </c>
      <c r="T26" s="118">
        <f ca="1">EXP(y_inter1-(slope*LN(+S26)))</f>
        <v>4.2916793523237251</v>
      </c>
      <c r="U26" s="119">
        <f ca="1">(+S26*T26/100)/100</f>
        <v>0.22004483580134501</v>
      </c>
      <c r="V26" s="119">
        <f>regDebt_weighted</f>
        <v>3.5860000000000003E-2</v>
      </c>
      <c r="W26" s="119">
        <f ca="1">+U26-V26</f>
        <v>0.18418483580134501</v>
      </c>
      <c r="X26" s="119">
        <f ca="1">+((W26*(1-0.34))-Pfd_weighted)/Equity_percent</f>
        <v>0.33538369659560374</v>
      </c>
      <c r="Y26" s="119">
        <f ca="1">+X26*equityP</f>
        <v>0.20123021795736223</v>
      </c>
      <c r="Z26" s="119">
        <f ca="1">+Y26/(1-taxrate)</f>
        <v>0.254721794882737</v>
      </c>
      <c r="AA26" s="119">
        <f>debtP*Debt_Rate</f>
        <v>2.6000000000000002E-2</v>
      </c>
      <c r="AB26" s="119">
        <f ca="1">+AA26+Z26</f>
        <v>0.28072179488273702</v>
      </c>
      <c r="AC26" s="119">
        <f ca="1">+AB26/(S26/100)</f>
        <v>5.4751020466263282E-2</v>
      </c>
      <c r="AD26" s="119">
        <f ca="1">1-AC26</f>
        <v>0.94524897953373677</v>
      </c>
      <c r="AE26" s="120">
        <f ca="1">expenses/(AD26)</f>
        <v>240933.41845199591</v>
      </c>
      <c r="AF26" s="121">
        <f ca="1">+AE26-Revenue</f>
        <v>119599.0184519959</v>
      </c>
      <c r="AG26" s="122">
        <f ca="1">+AF26/$J$49</f>
        <v>129283.22493379246</v>
      </c>
      <c r="AH26" s="122">
        <f ca="1">+AG26*$J$47</f>
        <v>2921.8008835037099</v>
      </c>
      <c r="AI26" s="120">
        <f ca="1">ROUND(+AH26+AE26,5)</f>
        <v>243855.21934000001</v>
      </c>
    </row>
    <row r="27" spans="1:35" ht="15.75">
      <c r="A27" s="43"/>
      <c r="B27" s="43"/>
      <c r="C27" s="43"/>
      <c r="D27" s="43"/>
      <c r="E27" s="43"/>
      <c r="F27" s="142">
        <f t="shared" si="0"/>
        <v>21</v>
      </c>
      <c r="H27" s="79" t="s">
        <v>29</v>
      </c>
      <c r="I27" s="88">
        <f>IF(A65=TRUE,C8,0)</f>
        <v>0.4</v>
      </c>
      <c r="J27" s="90">
        <f>+I27*J28</f>
        <v>19024.241870030884</v>
      </c>
      <c r="K27" s="83">
        <f>IF(A65=TRUE,C9,0)</f>
        <v>6.5000000000000002E-2</v>
      </c>
      <c r="L27" s="88">
        <f>+K27*I27</f>
        <v>2.6000000000000002E-2</v>
      </c>
      <c r="M27" s="105">
        <f>+K27*J27</f>
        <v>1236.5757215520075</v>
      </c>
      <c r="O27" s="43"/>
      <c r="P27" s="43"/>
      <c r="R27" s="35">
        <v>2</v>
      </c>
      <c r="S27" s="123">
        <f ca="1">AI22/Investment*100</f>
        <v>512.2536038059834</v>
      </c>
      <c r="T27" s="34">
        <f ca="1">EXP(y_inter2-(slope*LN(+S27)))</f>
        <v>4.2332755371394146</v>
      </c>
      <c r="U27" s="4">
        <f ca="1">(+S27*T27/100)/100</f>
        <v>0.21685106498033752</v>
      </c>
      <c r="V27" s="4">
        <f>regDebt_weighted</f>
        <v>3.5860000000000003E-2</v>
      </c>
      <c r="W27" s="4">
        <f ca="1">+U27-V27</f>
        <v>0.18099106498033751</v>
      </c>
      <c r="X27" s="4">
        <f ca="1">+((W27*(1-0.34))-Pfd_weighted)/Equity_percent</f>
        <v>0.32925611304367075</v>
      </c>
      <c r="Y27" s="4">
        <f ca="1">+X27*equityP</f>
        <v>0.19755366782620246</v>
      </c>
      <c r="Z27" s="4">
        <f ca="1">+Y27/(1-taxrate)</f>
        <v>0.25006793395721827</v>
      </c>
      <c r="AA27" s="4">
        <f>debtP*Debt_Rate</f>
        <v>2.6000000000000002E-2</v>
      </c>
      <c r="AB27" s="4">
        <f ca="1">+AA27+Z27</f>
        <v>0.27606793395721829</v>
      </c>
      <c r="AC27" s="4">
        <f ca="1">+AB27/(S27/100)</f>
        <v>5.3892824160936374E-2</v>
      </c>
      <c r="AD27" s="4">
        <f ca="1">1-AC27</f>
        <v>0.94610717583906367</v>
      </c>
      <c r="AE27" s="124">
        <f ca="1">expenses/(AD27)</f>
        <v>240714.87220816058</v>
      </c>
      <c r="AF27" s="125">
        <f ca="1">+AE27-Revenue</f>
        <v>119380.47220816057</v>
      </c>
      <c r="AG27" s="126">
        <f ca="1">+AF27/$J$49</f>
        <v>129046.98249998403</v>
      </c>
      <c r="AH27" s="126">
        <f ca="1">+AG27*$J$47</f>
        <v>2916.4618044996396</v>
      </c>
      <c r="AI27" s="124">
        <f ca="1">ROUND(+AH27+AE27,5)</f>
        <v>243631.33400999999</v>
      </c>
    </row>
    <row r="28" spans="1:35" ht="16.5" thickBot="1">
      <c r="A28" s="43"/>
      <c r="B28" s="43"/>
      <c r="C28" s="43"/>
      <c r="D28" s="43"/>
      <c r="E28" s="43"/>
      <c r="F28" s="142">
        <f t="shared" si="0"/>
        <v>22</v>
      </c>
      <c r="H28" s="79" t="s">
        <v>103</v>
      </c>
      <c r="I28" s="91">
        <f>SUM(I26:I27)</f>
        <v>1</v>
      </c>
      <c r="J28" s="136">
        <f>IF(A65=TRUE,C7,0)</f>
        <v>47560.604675077208</v>
      </c>
      <c r="K28" s="144"/>
      <c r="L28" s="143">
        <f ca="1">SUM(L26:L27)</f>
        <v>0.21692058356124139</v>
      </c>
      <c r="M28" s="136">
        <f ca="1">SUM(M26:M27)</f>
        <v>10316.874120643253</v>
      </c>
      <c r="O28" s="43"/>
      <c r="P28" s="43"/>
      <c r="R28" s="5">
        <v>3</v>
      </c>
      <c r="S28" s="123">
        <f ca="1">AI23/Investment*100</f>
        <v>511.93666998853126</v>
      </c>
      <c r="T28" s="6">
        <f ca="1">EXP(y_inter3-(slope*LN(S28)))</f>
        <v>4.1938919659180094</v>
      </c>
      <c r="U28" s="4">
        <f ca="1">(+S28*T28/100)/100</f>
        <v>0.21470070873237204</v>
      </c>
      <c r="V28" s="4">
        <f>regDebt_weighted</f>
        <v>3.5860000000000003E-2</v>
      </c>
      <c r="W28" s="4">
        <f ca="1">+U28-V28</f>
        <v>0.17884070873237204</v>
      </c>
      <c r="X28" s="4">
        <f ca="1">+((W28*(1-0.34))-Pfd_weighted)/Equity_percent</f>
        <v>0.32513042954466725</v>
      </c>
      <c r="Y28" s="4">
        <f ca="1">+X28*equityP</f>
        <v>0.19507825772680035</v>
      </c>
      <c r="Z28" s="4">
        <f ca="1">+Y28/(1-taxrate)</f>
        <v>0.246934503451646</v>
      </c>
      <c r="AA28" s="4">
        <f>debtP*Debt_Rate</f>
        <v>2.6000000000000002E-2</v>
      </c>
      <c r="AB28" s="4">
        <f ca="1">+AA28+Z28</f>
        <v>0.27293450345164599</v>
      </c>
      <c r="AC28" s="4">
        <f ca="1">+AB28/(S28/100)</f>
        <v>5.3314114704414599E-2</v>
      </c>
      <c r="AD28" s="4">
        <f ca="1">1-AC28</f>
        <v>0.94668588529558539</v>
      </c>
      <c r="AE28" s="124">
        <f ca="1">expenses/(AD28)</f>
        <v>240567.7231114686</v>
      </c>
      <c r="AF28" s="125">
        <f ca="1">+AE28-Revenue</f>
        <v>119233.32311146859</v>
      </c>
      <c r="AG28" s="126">
        <f ca="1">+AF28/$J$49</f>
        <v>128887.91840386798</v>
      </c>
      <c r="AH28" s="126">
        <f ca="1">+AG28*$J$47</f>
        <v>2912.8669559274167</v>
      </c>
      <c r="AI28" s="124">
        <f ca="1">ROUND(+AH28+AE28,5)</f>
        <v>243480.59007000001</v>
      </c>
    </row>
    <row r="29" spans="1:35" ht="16.5" thickTop="1">
      <c r="A29" s="43"/>
      <c r="B29" s="43"/>
      <c r="C29" s="43"/>
      <c r="D29" s="43"/>
      <c r="E29" s="43"/>
      <c r="F29" s="142">
        <f t="shared" si="0"/>
        <v>23</v>
      </c>
      <c r="G29" s="72"/>
      <c r="H29" s="72"/>
      <c r="I29" s="72"/>
      <c r="J29" s="72"/>
      <c r="K29" s="72"/>
      <c r="L29" s="72"/>
      <c r="M29" s="72"/>
      <c r="N29" s="72"/>
      <c r="O29" s="43"/>
      <c r="P29" s="43"/>
      <c r="R29" s="7">
        <v>4</v>
      </c>
      <c r="S29" s="123">
        <f ca="1">AI24/Investment*100</f>
        <v>511.73399863761279</v>
      </c>
      <c r="T29" s="8">
        <f ca="1">EXP(y_inter4-(slope*LN(S29)))</f>
        <v>4.1686818621915576</v>
      </c>
      <c r="U29" s="4">
        <f ca="1">(+S29*T29/100)/100</f>
        <v>0.21332562383873757</v>
      </c>
      <c r="V29" s="4">
        <f>regDebt_weighted</f>
        <v>3.5860000000000003E-2</v>
      </c>
      <c r="W29" s="4">
        <f ca="1">+U29-V29</f>
        <v>0.17746562383873757</v>
      </c>
      <c r="X29" s="4">
        <f ca="1">+((W29*(1-0.34))-Pfd_weighted)/Equity_percent</f>
        <v>0.32249218527199647</v>
      </c>
      <c r="Y29" s="4">
        <f ca="1">+X29*equityP</f>
        <v>0.19349531116319788</v>
      </c>
      <c r="Z29" s="4">
        <f ca="1">+Y29/(1-taxrate)</f>
        <v>0.2449307736243011</v>
      </c>
      <c r="AA29" s="4">
        <f>debtP*Debt_Rate</f>
        <v>2.6000000000000002E-2</v>
      </c>
      <c r="AB29" s="4">
        <f ca="1">+AA29+Z29</f>
        <v>0.27093077362430112</v>
      </c>
      <c r="AC29" s="4">
        <f ca="1">+AB29/(S29/100)</f>
        <v>5.2943672756861758E-2</v>
      </c>
      <c r="AD29" s="4">
        <f ca="1">1-AC29</f>
        <v>0.94705632724313826</v>
      </c>
      <c r="AE29" s="124">
        <f ca="1">expenses/(AD29)</f>
        <v>240473.62482681093</v>
      </c>
      <c r="AF29" s="125">
        <f ca="1">+AE29-Revenue</f>
        <v>119139.22482681093</v>
      </c>
      <c r="AG29" s="126">
        <f ca="1">+AF29/$J$49</f>
        <v>128786.20076555673</v>
      </c>
      <c r="AH29" s="126">
        <f ca="1">+AG29*$J$47</f>
        <v>2910.5681373015823</v>
      </c>
      <c r="AI29" s="124">
        <f ca="1">ROUND(+AH29+AE29,5)</f>
        <v>243384.19295999999</v>
      </c>
    </row>
    <row r="30" spans="1:35" ht="15.75">
      <c r="A30" s="43"/>
      <c r="B30" s="43"/>
      <c r="C30" s="43"/>
      <c r="D30" s="43"/>
      <c r="E30" s="43"/>
      <c r="F30" s="142">
        <f t="shared" si="0"/>
        <v>24</v>
      </c>
      <c r="G30" s="72"/>
      <c r="H30" s="72"/>
      <c r="I30" s="72"/>
      <c r="J30" s="107" t="s">
        <v>94</v>
      </c>
      <c r="K30" s="107" t="s">
        <v>96</v>
      </c>
      <c r="L30" s="72"/>
      <c r="M30" s="72"/>
      <c r="N30" s="72"/>
      <c r="O30" s="43"/>
      <c r="P30" s="43"/>
      <c r="R30" s="1" t="s">
        <v>53</v>
      </c>
      <c r="W30" s="9"/>
      <c r="X30" s="13"/>
      <c r="Y30" s="10"/>
      <c r="Z30" s="10"/>
      <c r="AA30" s="13"/>
      <c r="AC30" s="13"/>
      <c r="AD30" s="13"/>
      <c r="AE30" s="10"/>
      <c r="AF30" s="9"/>
      <c r="AH30" s="10"/>
    </row>
    <row r="31" spans="1:35" ht="15.75">
      <c r="A31" s="43"/>
      <c r="B31" s="43"/>
      <c r="C31" s="43"/>
      <c r="D31" s="43"/>
      <c r="E31" s="43"/>
      <c r="F31" s="142">
        <f t="shared" si="0"/>
        <v>25</v>
      </c>
      <c r="G31" s="72"/>
      <c r="H31" s="102" t="s">
        <v>51</v>
      </c>
      <c r="I31" s="103"/>
      <c r="J31" s="104" t="s">
        <v>95</v>
      </c>
      <c r="K31" s="104" t="s">
        <v>95</v>
      </c>
      <c r="L31" s="72"/>
      <c r="M31" s="72"/>
      <c r="N31" s="72"/>
      <c r="O31" s="43"/>
      <c r="P31" s="43"/>
      <c r="R31" s="3">
        <v>1</v>
      </c>
      <c r="S31" s="117">
        <f ca="1">AI26/Investment*100</f>
        <v>512.7252292227173</v>
      </c>
      <c r="T31" s="118">
        <f ca="1">EXP(y_inter1-(slope*LN(+S31)))</f>
        <v>4.2916741231679616</v>
      </c>
      <c r="U31" s="119">
        <f ca="1">(+S31*T31/100)/100</f>
        <v>0.22004495985504974</v>
      </c>
      <c r="V31" s="119">
        <f>regDebt_weighted</f>
        <v>3.5860000000000003E-2</v>
      </c>
      <c r="W31" s="119">
        <f ca="1">+U31-V31</f>
        <v>0.18418495985504973</v>
      </c>
      <c r="X31" s="119">
        <f ca="1">+((W31*(1-0.34))-Pfd_weighted)/Equity_percent</f>
        <v>0.33538393460561866</v>
      </c>
      <c r="Y31" s="119">
        <f ca="1">+X31*equityP</f>
        <v>0.2012303607633712</v>
      </c>
      <c r="Z31" s="119">
        <f ca="1">+Y31/(1-taxrate)</f>
        <v>0.25472197564983695</v>
      </c>
      <c r="AA31" s="119">
        <f>debtP*Debt_Rate</f>
        <v>2.6000000000000002E-2</v>
      </c>
      <c r="AB31" s="119">
        <f ca="1">+AA31+Z31</f>
        <v>0.28072197564983697</v>
      </c>
      <c r="AC31" s="119">
        <f ca="1">+AB31/(S31/100)</f>
        <v>5.4750958144854062E-2</v>
      </c>
      <c r="AD31" s="119">
        <f ca="1">1-AC31</f>
        <v>0.94524904185514591</v>
      </c>
      <c r="AE31" s="120">
        <f ca="1">expenses/(AD31)</f>
        <v>240933.40256696512</v>
      </c>
      <c r="AF31" s="121">
        <f ca="1">+AE31-Revenue</f>
        <v>119599.00256696511</v>
      </c>
      <c r="AG31" s="122">
        <f ca="1">+AF31/$J$49</f>
        <v>129283.20776251434</v>
      </c>
      <c r="AH31" s="122">
        <f ca="1">+AG31*$J$47</f>
        <v>2921.8004954328244</v>
      </c>
      <c r="AI31" s="120">
        <f ca="1">ROUND(+AH31+AE31,5)</f>
        <v>243855.20306</v>
      </c>
    </row>
    <row r="32" spans="1:35" ht="15.75">
      <c r="A32" s="43"/>
      <c r="B32" s="43"/>
      <c r="C32" s="43"/>
      <c r="D32" s="43"/>
      <c r="E32" s="43"/>
      <c r="F32" s="142">
        <f t="shared" si="0"/>
        <v>26</v>
      </c>
      <c r="G32" s="72"/>
      <c r="H32" s="76"/>
      <c r="I32" s="76"/>
      <c r="J32" s="76"/>
      <c r="K32" s="76"/>
      <c r="L32" s="72"/>
      <c r="M32" s="72"/>
      <c r="N32" s="72"/>
      <c r="O32" s="43"/>
      <c r="P32" s="43"/>
      <c r="R32" s="35">
        <v>2</v>
      </c>
      <c r="S32" s="123">
        <f ca="1">AI27/Investment*100</f>
        <v>512.25449229342553</v>
      </c>
      <c r="T32" s="34">
        <f ca="1">EXP(y_inter2-(slope*LN(+S32)))</f>
        <v>4.2332705173130227</v>
      </c>
      <c r="U32" s="4">
        <f ca="1">(+S32*T32/100)/100</f>
        <v>0.21685118395869094</v>
      </c>
      <c r="V32" s="4">
        <f>regDebt_weighted</f>
        <v>3.5860000000000003E-2</v>
      </c>
      <c r="W32" s="4">
        <f ca="1">+U32-V32</f>
        <v>0.18099118395869093</v>
      </c>
      <c r="X32" s="4">
        <f ca="1">+((W32*(1-0.34))-Pfd_weighted)/Equity_percent</f>
        <v>0.32925634131609305</v>
      </c>
      <c r="Y32" s="4">
        <f ca="1">+X32*equityP</f>
        <v>0.19755380478965581</v>
      </c>
      <c r="Z32" s="4">
        <f ca="1">+Y32/(1-taxrate)</f>
        <v>0.25006810732867824</v>
      </c>
      <c r="AA32" s="4">
        <f>debtP*Debt_Rate</f>
        <v>2.6000000000000002E-2</v>
      </c>
      <c r="AB32" s="4">
        <f ca="1">+AA32+Z32</f>
        <v>0.27606810732867826</v>
      </c>
      <c r="AC32" s="4">
        <f ca="1">+AB32/(S32/100)</f>
        <v>5.3892764530514475E-2</v>
      </c>
      <c r="AD32" s="4">
        <f ca="1">1-AC32</f>
        <v>0.9461072354694855</v>
      </c>
      <c r="AE32" s="124">
        <f ca="1">expenses/(AD32)</f>
        <v>240714.85703659352</v>
      </c>
      <c r="AF32" s="125">
        <f ca="1">+AE32-Revenue</f>
        <v>119380.45703659351</v>
      </c>
      <c r="AG32" s="126">
        <f ca="1">+AF32/$J$49</f>
        <v>129046.96609994043</v>
      </c>
      <c r="AH32" s="126">
        <f ca="1">+AG32*$J$47</f>
        <v>2916.4614338586539</v>
      </c>
      <c r="AI32" s="124">
        <f ca="1">ROUND(+AH32+AE32,5)</f>
        <v>243631.31847</v>
      </c>
    </row>
    <row r="33" spans="1:46" ht="15.75">
      <c r="A33" s="43"/>
      <c r="B33" s="43"/>
      <c r="C33" s="43"/>
      <c r="D33" s="43"/>
      <c r="E33" s="43"/>
      <c r="F33" s="142">
        <f t="shared" si="0"/>
        <v>27</v>
      </c>
      <c r="G33" s="72"/>
      <c r="H33" s="76" t="s">
        <v>54</v>
      </c>
      <c r="I33" s="76"/>
      <c r="J33" s="89">
        <f ca="1">+K9/J28</f>
        <v>0.26767162476106582</v>
      </c>
      <c r="K33" s="89">
        <f ca="1">+(M14+M11)/J28</f>
        <v>0.21692058356124139</v>
      </c>
      <c r="L33" s="72"/>
      <c r="M33" s="72"/>
      <c r="N33" s="72"/>
      <c r="O33" s="43"/>
      <c r="P33" s="43"/>
      <c r="R33" s="5">
        <v>3</v>
      </c>
      <c r="S33" s="123">
        <f ca="1">AI28/Investment*100</f>
        <v>511.93754102455546</v>
      </c>
      <c r="T33" s="6">
        <f ca="1">EXP(y_inter3-(slope*LN(S33)))</f>
        <v>4.1938870874549883</v>
      </c>
      <c r="U33" s="4">
        <f ca="1">(+S33*T33/100)/100</f>
        <v>0.21470082428863418</v>
      </c>
      <c r="V33" s="4">
        <f>regDebt_weighted</f>
        <v>3.5860000000000003E-2</v>
      </c>
      <c r="W33" s="4">
        <f ca="1">+U33-V33</f>
        <v>0.17884082428863418</v>
      </c>
      <c r="X33" s="4">
        <f ca="1">+((W33*(1-0.34))-Pfd_weighted)/Equity_percent</f>
        <v>0.3251306512514493</v>
      </c>
      <c r="Y33" s="4">
        <f ca="1">+X33*equityP</f>
        <v>0.19507839075086958</v>
      </c>
      <c r="Z33" s="4">
        <f ca="1">+Y33/(1-taxrate)</f>
        <v>0.24693467183654377</v>
      </c>
      <c r="AA33" s="4">
        <f>debtP*Debt_Rate</f>
        <v>2.6000000000000002E-2</v>
      </c>
      <c r="AB33" s="4">
        <f ca="1">+AA33+Z33</f>
        <v>0.2729346718365438</v>
      </c>
      <c r="AC33" s="4">
        <f ca="1">+AB33/(S33/100)</f>
        <v>5.3314056884812881E-2</v>
      </c>
      <c r="AD33" s="4">
        <f ca="1">1-AC33</f>
        <v>0.94668594311518717</v>
      </c>
      <c r="AE33" s="124">
        <f ca="1">expenses/(AD33)</f>
        <v>240567.70841860236</v>
      </c>
      <c r="AF33" s="125">
        <f ca="1">+AE33-Revenue</f>
        <v>119233.30841860235</v>
      </c>
      <c r="AG33" s="126">
        <f ca="1">+AF33/$J$49</f>
        <v>128887.90252128671</v>
      </c>
      <c r="AH33" s="126">
        <f ca="1">+AG33*$J$47</f>
        <v>2912.86659698108</v>
      </c>
      <c r="AI33" s="124">
        <f ca="1">ROUND(+AH33+AE33,5)</f>
        <v>243480.57501999999</v>
      </c>
    </row>
    <row r="34" spans="1:46" ht="15.75">
      <c r="A34" s="43"/>
      <c r="B34" s="43"/>
      <c r="C34" s="43"/>
      <c r="D34" s="43"/>
      <c r="E34" s="43"/>
      <c r="F34" s="142">
        <f t="shared" si="0"/>
        <v>28</v>
      </c>
      <c r="G34" s="72"/>
      <c r="H34" s="76" t="s">
        <v>55</v>
      </c>
      <c r="I34" s="76"/>
      <c r="J34" s="89">
        <f ca="1">+(M9-M11)/J26</f>
        <v>0.40278604126844197</v>
      </c>
      <c r="K34" s="89">
        <f ca="1">+M14/J26</f>
        <v>0.31820097260206898</v>
      </c>
      <c r="L34" s="72"/>
      <c r="M34" s="72"/>
      <c r="N34" s="72"/>
      <c r="O34" s="46"/>
      <c r="P34" s="43"/>
      <c r="R34" s="7">
        <v>4</v>
      </c>
      <c r="S34" s="123">
        <f ca="1">AI29/Investment*100</f>
        <v>511.73485834072795</v>
      </c>
      <c r="T34" s="8">
        <f ca="1">EXP(y_inter4-(slope*LN(S34)))</f>
        <v>4.1686770742494526</v>
      </c>
      <c r="U34" s="4">
        <f ca="1">(+S34*T34/100)/100</f>
        <v>0.2133257372059284</v>
      </c>
      <c r="V34" s="4">
        <f>regDebt_weighted</f>
        <v>3.5860000000000003E-2</v>
      </c>
      <c r="W34" s="4">
        <f ca="1">+U34-V34</f>
        <v>0.1774657372059284</v>
      </c>
      <c r="X34" s="4">
        <f ca="1">+((W34*(1-0.34))-Pfd_weighted)/Equity_percent</f>
        <v>0.32249240277881608</v>
      </c>
      <c r="Y34" s="4">
        <f ca="1">+X34*equityP</f>
        <v>0.19349544166728963</v>
      </c>
      <c r="Z34" s="4">
        <f ca="1">+Y34/(1-taxrate)</f>
        <v>0.24493093881935396</v>
      </c>
      <c r="AA34" s="4">
        <f>debtP*Debt_Rate</f>
        <v>2.6000000000000002E-2</v>
      </c>
      <c r="AB34" s="4">
        <f ca="1">+AA34+Z34</f>
        <v>0.27093093881935398</v>
      </c>
      <c r="AC34" s="4">
        <f ca="1">+AB34/(S34/100)</f>
        <v>5.2943616094051633E-2</v>
      </c>
      <c r="AD34" s="4">
        <f ca="1">1-AC34</f>
        <v>0.94705638390594837</v>
      </c>
      <c r="AE34" s="124">
        <f ca="1">expenses/(AD34)</f>
        <v>240473.61043916564</v>
      </c>
      <c r="AF34" s="125">
        <f ca="1">+AE34-Revenue</f>
        <v>119139.21043916563</v>
      </c>
      <c r="AG34" s="126">
        <f ca="1">+AF34/$J$49</f>
        <v>128786.18521291084</v>
      </c>
      <c r="AH34" s="126">
        <f ca="1">+AG34*$J$47</f>
        <v>2910.5677858117851</v>
      </c>
      <c r="AI34" s="124">
        <f ca="1">ROUND(+AH34+AE34,5)</f>
        <v>243384.17822</v>
      </c>
    </row>
    <row r="35" spans="1:46" ht="15.75">
      <c r="A35" s="43"/>
      <c r="B35" s="43"/>
      <c r="C35" s="43"/>
      <c r="D35" s="43"/>
      <c r="E35" s="43"/>
      <c r="F35" s="142">
        <f t="shared" si="0"/>
        <v>29</v>
      </c>
      <c r="G35" s="72"/>
      <c r="H35" s="92" t="s">
        <v>31</v>
      </c>
      <c r="I35" s="76"/>
      <c r="J35" s="89">
        <f ca="1">+K8/K7</f>
        <v>0.94706000000000001</v>
      </c>
      <c r="K35" s="89">
        <f ca="1">+M8/M7</f>
        <v>0.94769309319321227</v>
      </c>
      <c r="L35" s="72"/>
      <c r="M35" s="72"/>
      <c r="N35" s="72"/>
      <c r="O35" s="43"/>
      <c r="P35" s="43"/>
      <c r="R35" s="1" t="s">
        <v>84</v>
      </c>
      <c r="X35" s="13"/>
      <c r="Y35" s="14"/>
      <c r="Z35" s="10"/>
      <c r="AA35" s="13"/>
      <c r="AC35" s="13"/>
      <c r="AD35" s="13"/>
      <c r="AE35" s="10"/>
      <c r="AF35" s="9"/>
      <c r="AH35" s="10"/>
    </row>
    <row r="36" spans="1:46" ht="15.75">
      <c r="A36" s="43"/>
      <c r="B36" s="43"/>
      <c r="C36" s="43"/>
      <c r="D36" s="43"/>
      <c r="E36" s="43"/>
      <c r="F36" s="142">
        <f t="shared" si="0"/>
        <v>30</v>
      </c>
      <c r="G36" s="72"/>
      <c r="H36" s="76" t="s">
        <v>56</v>
      </c>
      <c r="I36" s="76"/>
      <c r="J36" s="89">
        <f ca="1">+K9/K7</f>
        <v>5.2939999999999945E-2</v>
      </c>
      <c r="K36" s="89">
        <f ca="1">+J36</f>
        <v>5.2939999999999945E-2</v>
      </c>
      <c r="L36" s="72"/>
      <c r="M36" s="72"/>
      <c r="N36" s="72"/>
      <c r="O36" s="43"/>
      <c r="P36" s="43"/>
      <c r="R36" s="3">
        <v>1</v>
      </c>
      <c r="S36" s="117">
        <f ca="1">AI31/Investment*100</f>
        <v>512.72519499270675</v>
      </c>
      <c r="T36" s="118">
        <f ca="1">EXP(y_inter1-(slope*LN(+S36)))</f>
        <v>4.2916743190504558</v>
      </c>
      <c r="U36" s="119">
        <f ca="1">(+S36*T36/100)/100</f>
        <v>0.22004495520803372</v>
      </c>
      <c r="V36" s="119">
        <f>regDebt_weighted</f>
        <v>3.5860000000000003E-2</v>
      </c>
      <c r="W36" s="119">
        <f ca="1">+U36-V36</f>
        <v>0.18418495520803371</v>
      </c>
      <c r="X36" s="119">
        <f ca="1">+((W36*(1-0.34))-Pfd_weighted)/Equity_percent</f>
        <v>0.33538392568983211</v>
      </c>
      <c r="Y36" s="119">
        <f ca="1">+X36*equityP</f>
        <v>0.20123035541389925</v>
      </c>
      <c r="Z36" s="119">
        <f ca="1">+Y36/(1-taxrate)</f>
        <v>0.25472196887835347</v>
      </c>
      <c r="AA36" s="119">
        <f>debtP*Debt_Rate</f>
        <v>2.6000000000000002E-2</v>
      </c>
      <c r="AB36" s="119">
        <f ca="1">+AA36+Z36</f>
        <v>0.28072196887835349</v>
      </c>
      <c r="AC36" s="119">
        <f ca="1">+AB36/(S36/100)</f>
        <v>5.4750960479394151E-2</v>
      </c>
      <c r="AD36" s="119">
        <f ca="1">1-AC36</f>
        <v>0.9452490395206059</v>
      </c>
      <c r="AE36" s="120">
        <f ca="1">expenses/(AD36)</f>
        <v>240933.40316201324</v>
      </c>
      <c r="AF36" s="121">
        <f ca="1">+AE36-Revenue</f>
        <v>119599.00316201324</v>
      </c>
      <c r="AG36" s="122">
        <f ca="1">+AF36/$J$49</f>
        <v>129283.20840574488</v>
      </c>
      <c r="AH36" s="122">
        <f ca="1">+AG36*$J$47</f>
        <v>2921.8005099698344</v>
      </c>
      <c r="AI36" s="120">
        <f ca="1">ROUND(+AH36+AE36,5)</f>
        <v>243855.20366999999</v>
      </c>
    </row>
    <row r="37" spans="1:46" ht="15.75">
      <c r="A37" s="43"/>
      <c r="B37" s="43"/>
      <c r="C37" s="43"/>
      <c r="D37" s="43"/>
      <c r="E37" s="43"/>
      <c r="F37" s="142">
        <f t="shared" si="0"/>
        <v>31</v>
      </c>
      <c r="G37" s="72"/>
      <c r="H37" s="76" t="s">
        <v>57</v>
      </c>
      <c r="I37" s="74"/>
      <c r="J37" s="93">
        <f ca="1">+S39/100</f>
        <v>5.1173482734869138</v>
      </c>
      <c r="K37" s="93">
        <f ca="1">+J37</f>
        <v>5.1173482734869138</v>
      </c>
      <c r="L37" s="72"/>
      <c r="M37" s="72"/>
      <c r="N37" s="72"/>
      <c r="O37" s="43"/>
      <c r="P37" s="43"/>
      <c r="R37" s="35">
        <v>2</v>
      </c>
      <c r="S37" s="123">
        <f ca="1">AI32/Investment*100</f>
        <v>512.25445961932462</v>
      </c>
      <c r="T37" s="34">
        <f ca="1">EXP(y_inter2-(slope*LN(+S37)))</f>
        <v>4.2332707019167382</v>
      </c>
      <c r="U37" s="4">
        <f ca="1">(+S37*T37/100)/100</f>
        <v>0.21685117958326777</v>
      </c>
      <c r="V37" s="4">
        <f>regDebt_weighted</f>
        <v>3.5860000000000003E-2</v>
      </c>
      <c r="W37" s="4">
        <f ca="1">+U37-V37</f>
        <v>0.18099117958326777</v>
      </c>
      <c r="X37" s="4">
        <f ca="1">+((W37*(1-0.34))-Pfd_weighted)/Equity_percent</f>
        <v>0.32925633292138579</v>
      </c>
      <c r="Y37" s="4">
        <f ca="1">+X37*equityP</f>
        <v>0.19755379975283147</v>
      </c>
      <c r="Z37" s="4">
        <f ca="1">+Y37/(1-taxrate)</f>
        <v>0.25006810095295123</v>
      </c>
      <c r="AA37" s="4">
        <f>debtP*Debt_Rate</f>
        <v>2.6000000000000002E-2</v>
      </c>
      <c r="AB37" s="4">
        <f ca="1">+AA37+Z37</f>
        <v>0.27606810095295126</v>
      </c>
      <c r="AC37" s="4">
        <f ca="1">+AB37/(S37/100)</f>
        <v>5.3892766723418618E-2</v>
      </c>
      <c r="AD37" s="4">
        <f ca="1">1-AC37</f>
        <v>0.94610723327658142</v>
      </c>
      <c r="AE37" s="124">
        <f ca="1">expenses/(AD37)</f>
        <v>240714.85759452666</v>
      </c>
      <c r="AF37" s="125">
        <f ca="1">+AE37-Revenue</f>
        <v>119380.45759452666</v>
      </c>
      <c r="AG37" s="126">
        <f ca="1">+AF37/$J$49</f>
        <v>129046.96670305071</v>
      </c>
      <c r="AH37" s="126">
        <f ca="1">+AG37*$J$47</f>
        <v>2916.4614474889463</v>
      </c>
      <c r="AI37" s="124">
        <f ca="1">ROUND(+AH37+AE37,5)</f>
        <v>243631.31904</v>
      </c>
    </row>
    <row r="38" spans="1:46" ht="15.75">
      <c r="A38" s="43"/>
      <c r="B38" s="43"/>
      <c r="C38" s="43"/>
      <c r="D38" s="43"/>
      <c r="E38" s="43"/>
      <c r="F38" s="142">
        <f t="shared" si="0"/>
        <v>32</v>
      </c>
      <c r="G38" s="72"/>
      <c r="H38" s="76" t="s">
        <v>58</v>
      </c>
      <c r="I38" s="72"/>
      <c r="J38" s="89">
        <f>+C10</f>
        <v>0.21</v>
      </c>
      <c r="K38" s="89">
        <f>+J38</f>
        <v>0.21</v>
      </c>
      <c r="L38" s="72"/>
      <c r="M38" s="72"/>
      <c r="N38" s="72"/>
      <c r="O38" s="43"/>
      <c r="P38" s="43"/>
      <c r="Q38" s="71"/>
      <c r="R38" s="5">
        <v>3</v>
      </c>
      <c r="S38" s="123">
        <f ca="1">AI33/Investment*100</f>
        <v>511.93750938071884</v>
      </c>
      <c r="T38" s="6">
        <f ca="1">EXP(y_inter3-(slope*LN(S38)))</f>
        <v>4.1938872646842533</v>
      </c>
      <c r="U38" s="4">
        <f ca="1">(+S38*T38/100)/100</f>
        <v>0.21470082009059721</v>
      </c>
      <c r="V38" s="4">
        <f>regDebt_weighted</f>
        <v>3.5860000000000003E-2</v>
      </c>
      <c r="W38" s="4">
        <f ca="1">+U38-V38</f>
        <v>0.17884082009059721</v>
      </c>
      <c r="X38" s="4">
        <f ca="1">+((W38*(1-0.34))-Pfd_weighted)/Equity_percent</f>
        <v>0.32513064319707602</v>
      </c>
      <c r="Y38" s="4">
        <f ca="1">+X38*equityP</f>
        <v>0.19507838591824561</v>
      </c>
      <c r="Z38" s="4">
        <f ca="1">+Y38/(1-taxrate)</f>
        <v>0.24693466571929823</v>
      </c>
      <c r="AA38" s="4">
        <f>debtP*Debt_Rate</f>
        <v>2.6000000000000002E-2</v>
      </c>
      <c r="AB38" s="4">
        <f ca="1">+AA38+Z38</f>
        <v>0.27293466571929825</v>
      </c>
      <c r="AC38" s="4">
        <f ca="1">+AB38/(S38/100)</f>
        <v>5.3314058985336352E-2</v>
      </c>
      <c r="AD38" s="4">
        <f ca="1">1-AC38</f>
        <v>0.94668594101466363</v>
      </c>
      <c r="AE38" s="124">
        <f ca="1">expenses/(AD38)</f>
        <v>240567.70895237825</v>
      </c>
      <c r="AF38" s="125">
        <f ca="1">+AE38-Revenue</f>
        <v>119233.30895237824</v>
      </c>
      <c r="AG38" s="126">
        <f ca="1">+AF38/$J$49</f>
        <v>128887.90309828366</v>
      </c>
      <c r="AH38" s="126">
        <f ca="1">+AG38*$J$47</f>
        <v>2912.8666100212108</v>
      </c>
      <c r="AI38" s="124">
        <f ca="1">ROUND(+AH38+AE38,5)</f>
        <v>243480.57556</v>
      </c>
    </row>
    <row r="39" spans="1:46" ht="15.75">
      <c r="A39" s="43"/>
      <c r="B39" s="43"/>
      <c r="C39" s="43"/>
      <c r="D39" s="43"/>
      <c r="E39" s="43"/>
      <c r="F39" s="142">
        <f t="shared" si="0"/>
        <v>33</v>
      </c>
      <c r="G39" s="72"/>
      <c r="H39" s="72"/>
      <c r="I39" s="72"/>
      <c r="J39" s="72"/>
      <c r="K39" s="72"/>
      <c r="L39" s="72"/>
      <c r="M39" s="72"/>
      <c r="N39" s="72"/>
      <c r="O39" s="43"/>
      <c r="P39" s="43"/>
      <c r="R39" s="7">
        <v>4</v>
      </c>
      <c r="S39" s="123">
        <f ca="1">AI34/Investment*100</f>
        <v>511.7348273486914</v>
      </c>
      <c r="T39" s="8">
        <f ca="1">EXP(y_inter4-(slope*LN(S39)))</f>
        <v>4.1686772468530764</v>
      </c>
      <c r="U39" s="4">
        <f ca="1">(+S39*T39/100)/100</f>
        <v>0.21332573311907774</v>
      </c>
      <c r="V39" s="4">
        <f>regDebt_weighted</f>
        <v>3.5860000000000003E-2</v>
      </c>
      <c r="W39" s="4">
        <f ca="1">+U39-V39</f>
        <v>0.17746573311907773</v>
      </c>
      <c r="X39" s="4">
        <f ca="1">+((W39*(1-0.34))-Pfd_weighted)/Equity_percent</f>
        <v>0.32249239493776544</v>
      </c>
      <c r="Y39" s="4">
        <f ca="1">+X39*equityP</f>
        <v>0.19349543696265925</v>
      </c>
      <c r="Z39" s="4">
        <f ca="1">+Y39/(1-taxrate)</f>
        <v>0.24493093286412562</v>
      </c>
      <c r="AA39" s="4">
        <f>debtP*Debt_Rate</f>
        <v>2.6000000000000002E-2</v>
      </c>
      <c r="AB39" s="4">
        <f ca="1">+AA39+Z39</f>
        <v>0.27093093286412562</v>
      </c>
      <c r="AC39" s="4">
        <f ca="1">+AB39/(S39/100)</f>
        <v>5.2943618136726073E-2</v>
      </c>
      <c r="AD39" s="4">
        <f ca="1">1-AC39</f>
        <v>0.9470563818632739</v>
      </c>
      <c r="AE39" s="124">
        <f ca="1">expenses/(AD39)</f>
        <v>240473.61095783519</v>
      </c>
      <c r="AF39" s="125">
        <f ca="1">+AE39-Revenue</f>
        <v>119139.21095783518</v>
      </c>
      <c r="AG39" s="126">
        <f ca="1">+AF39/$J$49</f>
        <v>128786.18577357825</v>
      </c>
      <c r="AH39" s="126">
        <f ca="1">+AG39*$J$47</f>
        <v>2910.567798482869</v>
      </c>
      <c r="AI39" s="124">
        <f ca="1">ROUND(+AH39+AE39,5)</f>
        <v>243384.17876000001</v>
      </c>
    </row>
    <row r="40" spans="1:46" ht="15.75">
      <c r="A40" s="43"/>
      <c r="B40" s="43"/>
      <c r="C40" s="43"/>
      <c r="D40" s="43"/>
      <c r="E40" s="43"/>
      <c r="F40" s="142">
        <f t="shared" si="0"/>
        <v>34</v>
      </c>
      <c r="G40" s="74"/>
      <c r="H40" s="72"/>
      <c r="I40" s="72"/>
      <c r="J40" s="72"/>
      <c r="K40" s="72"/>
      <c r="L40" s="72"/>
      <c r="M40" s="72"/>
      <c r="N40" s="72"/>
      <c r="O40" s="43"/>
      <c r="P40" s="43"/>
      <c r="X40" s="13"/>
      <c r="Y40" s="14"/>
      <c r="Z40" s="10"/>
      <c r="AA40" s="13"/>
      <c r="AC40" s="13"/>
      <c r="AD40" s="13"/>
      <c r="AE40" s="10"/>
      <c r="AF40" s="9"/>
      <c r="AH40" s="10"/>
    </row>
    <row r="41" spans="1:46" ht="15.75">
      <c r="A41" s="43"/>
      <c r="B41" s="43"/>
      <c r="C41" s="43"/>
      <c r="D41" s="43"/>
      <c r="E41" s="43"/>
      <c r="F41" s="142">
        <f t="shared" si="0"/>
        <v>35</v>
      </c>
      <c r="G41" s="72"/>
      <c r="H41" s="102" t="s">
        <v>61</v>
      </c>
      <c r="I41" s="94"/>
      <c r="J41" s="72"/>
      <c r="K41" s="72"/>
      <c r="L41" s="72"/>
      <c r="M41" s="72"/>
      <c r="N41" s="72"/>
      <c r="O41" s="43"/>
      <c r="P41" s="43"/>
      <c r="R41" s="28" t="s">
        <v>59</v>
      </c>
      <c r="S41" s="29"/>
      <c r="T41" s="15"/>
      <c r="U41" s="15"/>
      <c r="V41" s="16"/>
      <c r="X41" s="12"/>
      <c r="Y41" s="14"/>
      <c r="Z41" s="10"/>
      <c r="AA41" s="13"/>
      <c r="AC41" s="13"/>
      <c r="AD41" s="13"/>
      <c r="AE41" s="10"/>
      <c r="AF41" s="9"/>
      <c r="AH41" s="10"/>
    </row>
    <row r="42" spans="1:46" ht="15.75">
      <c r="A42" s="43"/>
      <c r="B42" s="43"/>
      <c r="C42" s="43"/>
      <c r="D42" s="43"/>
      <c r="E42" s="43"/>
      <c r="F42" s="142">
        <f t="shared" si="0"/>
        <v>36</v>
      </c>
      <c r="G42" s="72"/>
      <c r="H42" s="72"/>
      <c r="I42" s="72"/>
      <c r="J42" s="108" t="s">
        <v>48</v>
      </c>
      <c r="K42" s="194" t="s">
        <v>20</v>
      </c>
      <c r="L42" s="72"/>
      <c r="M42" s="72"/>
      <c r="N42" s="72"/>
      <c r="O42" s="43"/>
      <c r="P42" s="43"/>
      <c r="R42" s="30" t="s">
        <v>60</v>
      </c>
      <c r="S42" s="31"/>
      <c r="T42" s="17"/>
      <c r="U42" s="17"/>
      <c r="V42" s="18"/>
      <c r="X42" s="13"/>
      <c r="Y42" s="14"/>
      <c r="Z42" s="10"/>
      <c r="AA42" s="13"/>
      <c r="AC42" s="13"/>
      <c r="AD42" s="13"/>
      <c r="AE42" s="10"/>
      <c r="AH42" s="10"/>
    </row>
    <row r="43" spans="1:46" ht="15.75">
      <c r="A43" s="43"/>
      <c r="B43" s="43"/>
      <c r="C43" s="43"/>
      <c r="D43" s="43"/>
      <c r="E43" s="43"/>
      <c r="F43" s="142">
        <f t="shared" si="0"/>
        <v>37</v>
      </c>
      <c r="G43" s="72"/>
      <c r="H43" s="76" t="s">
        <v>62</v>
      </c>
      <c r="I43" s="75"/>
      <c r="J43" s="127">
        <f>IF($A$65=TRUE,C11,0)</f>
        <v>1.7500000000000002E-2</v>
      </c>
      <c r="K43" s="128">
        <f ca="1">+J43*($J$7/$J$49)</f>
        <v>2253.7408719282912</v>
      </c>
      <c r="L43" s="72"/>
      <c r="M43" s="72"/>
      <c r="N43" s="72"/>
      <c r="O43" s="43"/>
      <c r="P43" s="43"/>
      <c r="R43" s="5">
        <v>0</v>
      </c>
      <c r="S43" s="32">
        <v>1</v>
      </c>
      <c r="T43" s="17"/>
      <c r="U43" s="19" t="s">
        <v>56</v>
      </c>
      <c r="V43" s="20">
        <f ca="1">VLOOKUP(R49,R36:AE39,12)</f>
        <v>5.2943618136726073E-2</v>
      </c>
      <c r="AA43" s="13"/>
      <c r="AC43" s="13"/>
      <c r="AH43" s="10"/>
      <c r="AL43" s="13"/>
      <c r="AM43" s="13"/>
      <c r="AN43" s="13"/>
      <c r="AO43" s="13"/>
      <c r="AP43" s="13"/>
      <c r="AQ43" s="13"/>
      <c r="AR43" s="13"/>
      <c r="AS43" s="13"/>
      <c r="AT43" s="13"/>
    </row>
    <row r="44" spans="1:46" ht="15.75">
      <c r="A44" s="43"/>
      <c r="B44" s="43"/>
      <c r="C44" s="43"/>
      <c r="D44" s="43"/>
      <c r="E44" s="43"/>
      <c r="F44" s="142">
        <f t="shared" si="0"/>
        <v>38</v>
      </c>
      <c r="G44" s="72"/>
      <c r="H44" s="76" t="s">
        <v>63</v>
      </c>
      <c r="I44" s="75"/>
      <c r="J44" s="127">
        <f>IF($A$65=TRUE,C12,0)</f>
        <v>5.1000000000000004E-3</v>
      </c>
      <c r="K44" s="128">
        <f ca="1">+J44*($J$7/$J$49)</f>
        <v>656.80448267624479</v>
      </c>
      <c r="L44" s="72"/>
      <c r="M44" s="72"/>
      <c r="N44" s="72"/>
      <c r="O44" s="43"/>
      <c r="P44" s="43"/>
      <c r="R44" s="5">
        <v>50</v>
      </c>
      <c r="S44" s="32">
        <v>2</v>
      </c>
      <c r="T44" s="17"/>
      <c r="U44" s="19" t="s">
        <v>31</v>
      </c>
      <c r="V44" s="20">
        <f ca="1">ROUND(1-V43,5)</f>
        <v>0.94706000000000001</v>
      </c>
      <c r="Y44" s="66"/>
      <c r="Z44" s="1"/>
      <c r="AA44" s="1"/>
      <c r="AC44" s="13"/>
      <c r="AF44" s="9"/>
      <c r="AH44" s="10"/>
      <c r="AL44" s="13"/>
      <c r="AM44" s="13"/>
      <c r="AN44" s="13"/>
      <c r="AO44" s="13"/>
      <c r="AP44" s="13"/>
      <c r="AQ44" s="13"/>
      <c r="AR44" s="13"/>
      <c r="AS44" s="13"/>
      <c r="AT44" s="13"/>
    </row>
    <row r="45" spans="1:46" ht="15.75">
      <c r="A45" s="43"/>
      <c r="B45" s="43"/>
      <c r="C45" s="43"/>
      <c r="D45" s="43"/>
      <c r="E45" s="43"/>
      <c r="F45" s="142">
        <f t="shared" si="0"/>
        <v>39</v>
      </c>
      <c r="G45" s="72"/>
      <c r="H45" s="76" t="s">
        <v>66</v>
      </c>
      <c r="I45" s="75"/>
      <c r="J45" s="127">
        <f>IF($A$65=TRUE,C13,0)</f>
        <v>0</v>
      </c>
      <c r="K45" s="128">
        <f ca="1">+J45*($J$7/$J$49)</f>
        <v>0</v>
      </c>
      <c r="L45" s="72"/>
      <c r="M45" s="72"/>
      <c r="N45" s="72"/>
      <c r="O45" s="43"/>
      <c r="P45" s="43"/>
      <c r="R45" s="5">
        <v>125</v>
      </c>
      <c r="S45" s="32">
        <v>3</v>
      </c>
      <c r="T45" s="17"/>
      <c r="U45" s="151" t="s">
        <v>107</v>
      </c>
      <c r="V45" s="168">
        <f ca="1">+M7/Revenue-1</f>
        <v>1.0058881702956874</v>
      </c>
      <c r="W45" s="11"/>
      <c r="X45" s="13"/>
      <c r="Y45" s="66"/>
      <c r="Z45" s="10"/>
      <c r="AA45" s="13"/>
      <c r="AC45" s="13"/>
      <c r="AD45" s="13"/>
      <c r="AE45" s="10"/>
      <c r="AF45" s="9"/>
      <c r="AH45" s="10"/>
      <c r="AL45" s="13"/>
      <c r="AM45" s="13"/>
      <c r="AN45" s="13"/>
      <c r="AO45" s="13"/>
      <c r="AP45" s="13"/>
      <c r="AQ45" s="13"/>
      <c r="AR45" s="13"/>
      <c r="AS45" s="13"/>
      <c r="AT45" s="13"/>
    </row>
    <row r="46" spans="1:46" ht="15.75">
      <c r="A46" s="43"/>
      <c r="B46" s="43"/>
      <c r="C46" s="43"/>
      <c r="D46" s="43"/>
      <c r="E46" s="43"/>
      <c r="F46" s="142">
        <f t="shared" si="0"/>
        <v>40</v>
      </c>
      <c r="G46" s="72"/>
      <c r="H46" s="76" t="s">
        <v>69</v>
      </c>
      <c r="I46" s="75"/>
      <c r="J46" s="127">
        <f>IF($A$65=TRUE,C14,0)</f>
        <v>0</v>
      </c>
      <c r="K46" s="128">
        <f ca="1">+J46*($J$7/$J$49)</f>
        <v>0</v>
      </c>
      <c r="L46" s="72"/>
      <c r="M46" s="72"/>
      <c r="N46" s="72"/>
      <c r="O46" s="43"/>
      <c r="P46" s="43"/>
      <c r="R46" s="7">
        <v>401</v>
      </c>
      <c r="S46" s="33">
        <v>4</v>
      </c>
      <c r="T46" s="21"/>
      <c r="U46" s="21"/>
      <c r="V46" s="22"/>
      <c r="X46" s="13"/>
      <c r="Y46" s="14"/>
      <c r="Z46" s="10"/>
      <c r="AA46" s="13"/>
      <c r="AC46" s="13"/>
      <c r="AD46" s="13"/>
      <c r="AE46" s="10"/>
      <c r="AF46" s="9"/>
      <c r="AH46" s="10"/>
      <c r="AL46" s="13"/>
      <c r="AM46" s="13"/>
      <c r="AN46" s="13"/>
      <c r="AO46" s="13"/>
      <c r="AP46" s="13"/>
      <c r="AQ46" s="13"/>
      <c r="AR46" s="13"/>
      <c r="AS46" s="13"/>
      <c r="AT46" s="13"/>
    </row>
    <row r="47" spans="1:46" ht="16.5" thickBot="1">
      <c r="A47" s="43"/>
      <c r="B47" s="43"/>
      <c r="C47" s="43"/>
      <c r="D47" s="43"/>
      <c r="E47" s="43"/>
      <c r="F47" s="142">
        <f t="shared" si="0"/>
        <v>41</v>
      </c>
      <c r="G47" s="72"/>
      <c r="H47" s="76" t="s">
        <v>71</v>
      </c>
      <c r="I47" s="74"/>
      <c r="J47" s="137">
        <f>SUM(J43:J46)</f>
        <v>2.2600000000000002E-2</v>
      </c>
      <c r="K47" s="136">
        <f ca="1">+K43+K44+K45+K46</f>
        <v>2910.545354604536</v>
      </c>
      <c r="L47" s="72"/>
      <c r="M47" s="72"/>
      <c r="N47" s="72"/>
      <c r="O47" s="43"/>
      <c r="P47" s="43"/>
      <c r="R47" s="5"/>
      <c r="S47" s="172"/>
      <c r="T47" s="17"/>
      <c r="U47" s="17"/>
      <c r="V47" s="17"/>
      <c r="X47" s="13"/>
      <c r="Y47" s="14"/>
      <c r="Z47" s="10"/>
      <c r="AA47" s="13"/>
      <c r="AC47" s="13"/>
      <c r="AD47" s="13"/>
      <c r="AE47" s="10"/>
      <c r="AF47" s="9"/>
      <c r="AH47" s="10"/>
      <c r="AL47" s="13"/>
      <c r="AM47" s="13"/>
      <c r="AN47" s="13"/>
      <c r="AO47" s="13"/>
      <c r="AP47" s="13"/>
      <c r="AQ47" s="13"/>
      <c r="AR47" s="13"/>
      <c r="AS47" s="13"/>
      <c r="AT47" s="13"/>
    </row>
    <row r="48" spans="1:46" ht="16.5" thickTop="1">
      <c r="A48" s="43"/>
      <c r="B48" s="43"/>
      <c r="C48" s="43"/>
      <c r="D48" s="43"/>
      <c r="E48" s="43"/>
      <c r="F48" s="142">
        <f t="shared" si="0"/>
        <v>42</v>
      </c>
      <c r="G48" s="72"/>
      <c r="H48" s="76"/>
      <c r="I48" s="74"/>
      <c r="J48" s="171"/>
      <c r="K48" s="105"/>
      <c r="L48" s="72"/>
      <c r="M48" s="72"/>
      <c r="N48" s="72"/>
      <c r="O48" s="43"/>
      <c r="P48" s="43"/>
      <c r="R48" s="147">
        <f ca="1">VLOOKUP(R49,R36:S39,2)</f>
        <v>511.7348273486914</v>
      </c>
      <c r="S48" s="148" t="s">
        <v>64</v>
      </c>
      <c r="T48" s="16"/>
      <c r="V48" s="163"/>
      <c r="X48" t="s">
        <v>65</v>
      </c>
      <c r="AC48" s="13"/>
      <c r="AF48" s="9"/>
      <c r="AH48" s="10"/>
    </row>
    <row r="49" spans="1:46" ht="15.75">
      <c r="A49" s="43"/>
      <c r="B49" s="43"/>
      <c r="C49" s="43"/>
      <c r="D49" s="43"/>
      <c r="E49" s="43"/>
      <c r="F49" s="142">
        <f t="shared" si="0"/>
        <v>43</v>
      </c>
      <c r="G49" s="178"/>
      <c r="H49" s="195" t="s">
        <v>73</v>
      </c>
      <c r="I49" s="100"/>
      <c r="J49" s="196">
        <f ca="1">((K35)-J47)</f>
        <v>0.92509309319321231</v>
      </c>
      <c r="K49" s="100"/>
      <c r="L49" s="100"/>
      <c r="M49" s="100"/>
      <c r="N49" s="100"/>
      <c r="O49" s="43"/>
      <c r="P49" s="43"/>
      <c r="R49" s="149">
        <f ca="1">VLOOKUP(S36,R43:S46,2)</f>
        <v>4</v>
      </c>
      <c r="S49" s="150" t="s">
        <v>67</v>
      </c>
      <c r="T49" s="18"/>
      <c r="X49" t="s">
        <v>68</v>
      </c>
      <c r="AA49" s="1"/>
      <c r="AC49" s="13"/>
      <c r="AH49" s="10"/>
    </row>
    <row r="50" spans="1:46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7"/>
      <c r="L50" s="43"/>
      <c r="M50" s="43"/>
      <c r="N50" s="48"/>
      <c r="O50" s="43"/>
      <c r="P50" s="43"/>
      <c r="R50" s="149"/>
      <c r="S50" s="151"/>
      <c r="T50" s="18"/>
      <c r="X50" t="s">
        <v>70</v>
      </c>
      <c r="AA50" s="13"/>
      <c r="AC50" s="13"/>
      <c r="AD50" s="13"/>
      <c r="AE50" s="10"/>
      <c r="AH50" s="10"/>
    </row>
    <row r="51" spans="1:46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7"/>
      <c r="L51" s="43"/>
      <c r="M51" s="43"/>
      <c r="N51" s="48"/>
      <c r="O51" s="43"/>
      <c r="P51" s="43"/>
      <c r="R51" s="152">
        <f ca="1">+V44</f>
        <v>0.94706000000000001</v>
      </c>
      <c r="S51" s="146" t="s">
        <v>31</v>
      </c>
      <c r="T51" s="26"/>
      <c r="X51" t="s">
        <v>72</v>
      </c>
      <c r="AA51" s="13"/>
      <c r="AC51" s="13"/>
      <c r="AD51" s="13"/>
      <c r="AE51" s="10"/>
      <c r="AF51" s="13"/>
      <c r="AH51" s="10"/>
      <c r="AL51" s="13"/>
      <c r="AM51" s="13"/>
      <c r="AN51" s="13"/>
      <c r="AO51" s="13"/>
      <c r="AP51" s="13"/>
      <c r="AQ51" s="13"/>
      <c r="AR51" s="13"/>
      <c r="AS51" s="13"/>
      <c r="AT51" s="13"/>
    </row>
    <row r="52" spans="1:46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Z52" s="10"/>
      <c r="AA52" s="13"/>
      <c r="AC52" s="13"/>
      <c r="AD52" s="13"/>
      <c r="AE52" s="10"/>
      <c r="AF52" s="9"/>
      <c r="AH52" s="10"/>
      <c r="AL52" s="13"/>
      <c r="AM52" s="13"/>
      <c r="AN52" s="13"/>
      <c r="AO52" s="13"/>
      <c r="AP52" s="13"/>
      <c r="AQ52" s="13"/>
      <c r="AR52" s="13"/>
      <c r="AS52" s="13"/>
      <c r="AT52" s="13"/>
    </row>
    <row r="53" spans="1:46">
      <c r="A53" s="43"/>
      <c r="B53" s="43"/>
      <c r="C53" s="43"/>
      <c r="D53" s="43"/>
      <c r="E53" s="43"/>
      <c r="F53" s="43"/>
      <c r="G53" s="43"/>
      <c r="H53" s="43"/>
      <c r="I53" s="43"/>
      <c r="J53" s="44"/>
      <c r="K53" s="44"/>
      <c r="L53" s="44"/>
      <c r="M53" s="44"/>
      <c r="N53" s="43"/>
      <c r="O53" s="43"/>
      <c r="P53" s="43"/>
      <c r="R53"/>
      <c r="Z53" s="10"/>
      <c r="AA53" s="13"/>
      <c r="AC53" s="13"/>
      <c r="AD53" s="13"/>
      <c r="AE53" s="10"/>
      <c r="AF53" s="9"/>
      <c r="AH53" s="10"/>
      <c r="AL53" s="13"/>
      <c r="AM53" s="13"/>
      <c r="AN53" s="13"/>
      <c r="AO53" s="13"/>
      <c r="AP53" s="13"/>
      <c r="AQ53" s="13"/>
      <c r="AR53" s="13"/>
      <c r="AS53" s="13"/>
      <c r="AT53" s="13"/>
    </row>
    <row r="54" spans="1:46" ht="15.7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4"/>
      <c r="L54" s="44"/>
      <c r="M54" s="44"/>
      <c r="N54" s="43"/>
      <c r="O54" s="43"/>
      <c r="P54" s="43"/>
      <c r="R54"/>
      <c r="S54" t="s">
        <v>74</v>
      </c>
      <c r="T54" s="13"/>
      <c r="U54" s="23"/>
      <c r="W54" s="68" t="s">
        <v>75</v>
      </c>
      <c r="X54" s="59"/>
      <c r="Y54" s="59"/>
      <c r="Z54" s="59"/>
      <c r="AC54" s="13"/>
      <c r="AF54" s="9"/>
      <c r="AH54" s="10"/>
      <c r="AL54" s="13"/>
      <c r="AM54" s="13"/>
      <c r="AN54" s="13"/>
      <c r="AO54" s="13"/>
      <c r="AP54" s="13"/>
      <c r="AQ54" s="13"/>
      <c r="AR54" s="13"/>
      <c r="AS54" s="13"/>
      <c r="AT54" s="13"/>
    </row>
    <row r="55" spans="1:46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50"/>
      <c r="M55" s="50"/>
      <c r="N55" s="43"/>
      <c r="O55" s="43"/>
      <c r="P55" s="43"/>
      <c r="R55" s="24"/>
      <c r="S55" s="166" t="s">
        <v>46</v>
      </c>
      <c r="T55" s="166" t="s">
        <v>76</v>
      </c>
      <c r="U55" s="167" t="s">
        <v>49</v>
      </c>
      <c r="W55" s="54" t="s">
        <v>77</v>
      </c>
      <c r="X55" s="63">
        <v>5.7225999999999999</v>
      </c>
      <c r="Y55" s="62" t="s">
        <v>78</v>
      </c>
      <c r="Z55" s="65">
        <v>5.6985000000000001</v>
      </c>
      <c r="AA55" s="1"/>
      <c r="AC55" s="13"/>
      <c r="AH55" s="10"/>
    </row>
    <row r="56" spans="1:46">
      <c r="A56" s="43"/>
      <c r="B56" s="43"/>
      <c r="C56" s="43"/>
      <c r="D56" s="43"/>
      <c r="E56" s="43"/>
      <c r="F56" s="43"/>
      <c r="G56" s="43"/>
      <c r="H56" s="43"/>
      <c r="I56" s="43"/>
      <c r="J56" s="50"/>
      <c r="K56" s="43"/>
      <c r="L56" s="50"/>
      <c r="M56" s="50"/>
      <c r="N56" s="43"/>
      <c r="O56" s="43"/>
      <c r="P56" s="43"/>
      <c r="R56" s="25" t="s">
        <v>29</v>
      </c>
      <c r="S56" s="164">
        <v>0.56200000000000006</v>
      </c>
      <c r="T56" s="164">
        <v>6.3799999999999996E-2</v>
      </c>
      <c r="U56" s="20">
        <f>ROUND(+S56*T56,5)</f>
        <v>3.5860000000000003E-2</v>
      </c>
      <c r="W56" s="55" t="s">
        <v>79</v>
      </c>
      <c r="X56" s="64">
        <v>5.7082699999999997</v>
      </c>
      <c r="Y56" s="61" t="s">
        <v>80</v>
      </c>
      <c r="Z56" s="67">
        <v>5.6921999999999997</v>
      </c>
      <c r="AA56" s="13"/>
      <c r="AC56" s="13"/>
      <c r="AD56" s="13"/>
      <c r="AE56" s="10"/>
      <c r="AH56" s="10"/>
    </row>
    <row r="57" spans="1:46">
      <c r="A57" s="43"/>
      <c r="B57" s="43"/>
      <c r="C57" s="43"/>
      <c r="D57" s="43"/>
      <c r="E57" s="44"/>
      <c r="F57" s="43"/>
      <c r="G57" s="43"/>
      <c r="H57" s="43"/>
      <c r="I57" s="43"/>
      <c r="J57" s="50"/>
      <c r="K57" s="43"/>
      <c r="L57" s="50"/>
      <c r="M57" s="50"/>
      <c r="N57" s="43"/>
      <c r="O57" s="43"/>
      <c r="P57" s="43"/>
      <c r="R57" s="25" t="s">
        <v>81</v>
      </c>
      <c r="S57" s="164">
        <v>9.4E-2</v>
      </c>
      <c r="T57" s="164">
        <v>6.59E-2</v>
      </c>
      <c r="U57" s="20">
        <f>ROUND(+S57*T57,5)</f>
        <v>6.1900000000000002E-3</v>
      </c>
      <c r="W57" s="25"/>
      <c r="X57" s="17"/>
      <c r="Y57" s="60"/>
      <c r="Z57" s="56"/>
      <c r="AA57" s="13"/>
      <c r="AC57" s="13"/>
      <c r="AD57" s="13"/>
      <c r="AE57" s="10"/>
      <c r="AF57" s="9"/>
      <c r="AH57" s="10"/>
      <c r="AL57" s="13"/>
    </row>
    <row r="58" spans="1:46" ht="15.75">
      <c r="A58" s="43"/>
      <c r="B58" s="43"/>
      <c r="C58" s="43"/>
      <c r="D58" s="43"/>
      <c r="E58" s="44"/>
      <c r="F58" s="44"/>
      <c r="G58" s="44"/>
      <c r="H58" s="51"/>
      <c r="I58" s="44"/>
      <c r="J58" s="50"/>
      <c r="K58" s="43"/>
      <c r="L58" s="43"/>
      <c r="M58" s="43"/>
      <c r="N58" s="43"/>
      <c r="O58" s="43"/>
      <c r="P58" s="43"/>
      <c r="R58" s="25" t="s">
        <v>27</v>
      </c>
      <c r="S58" s="165">
        <v>0.34399999999999997</v>
      </c>
      <c r="T58" s="111"/>
      <c r="U58" s="112"/>
      <c r="W58" s="27"/>
      <c r="X58" s="57" t="s">
        <v>82</v>
      </c>
      <c r="Y58" s="69">
        <v>0.68367</v>
      </c>
      <c r="Z58" s="58"/>
      <c r="AA58" s="13"/>
      <c r="AC58" s="13"/>
      <c r="AD58" s="13"/>
      <c r="AE58" s="10"/>
      <c r="AF58" s="9"/>
      <c r="AH58" s="10"/>
    </row>
    <row r="59" spans="1:46" ht="15.7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R59" s="27"/>
      <c r="S59" s="165">
        <f>SUM(S56:S58)</f>
        <v>1</v>
      </c>
      <c r="T59" s="113"/>
      <c r="U59" s="114"/>
      <c r="X59" s="13"/>
      <c r="Y59" s="14"/>
      <c r="Z59" s="10"/>
      <c r="AA59" s="13"/>
      <c r="AC59" s="13"/>
      <c r="AD59" s="13"/>
      <c r="AE59" s="10"/>
      <c r="AF59" s="9"/>
      <c r="AH59" s="10"/>
    </row>
    <row r="60" spans="1:46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X60" s="53"/>
      <c r="AC60" s="13"/>
      <c r="AF60" s="9"/>
      <c r="AH60" s="10"/>
      <c r="AL60" s="9"/>
      <c r="AM60" s="9"/>
      <c r="AN60" s="9"/>
      <c r="AO60" s="9"/>
      <c r="AP60" s="9"/>
      <c r="AQ60" s="9"/>
      <c r="AR60" s="9"/>
      <c r="AS60" s="9"/>
      <c r="AT60" s="9"/>
    </row>
    <row r="61" spans="1:46">
      <c r="A61" s="43"/>
      <c r="B61" s="43"/>
      <c r="C61" s="43"/>
      <c r="D61" s="43"/>
      <c r="E61" s="44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W61" s="154" t="s">
        <v>51</v>
      </c>
      <c r="X61" s="155"/>
      <c r="Y61" s="163" t="s">
        <v>52</v>
      </c>
      <c r="Z61" s="153" t="s">
        <v>17</v>
      </c>
      <c r="AC61" s="13"/>
      <c r="AH61" s="10"/>
      <c r="AL61" s="9"/>
      <c r="AM61" s="9"/>
      <c r="AN61" s="9"/>
      <c r="AO61" s="9"/>
      <c r="AP61" s="9"/>
      <c r="AQ61" s="9"/>
      <c r="AR61" s="9"/>
      <c r="AS61" s="9"/>
      <c r="AT61" s="9"/>
    </row>
    <row r="62" spans="1:46">
      <c r="A62" s="43"/>
      <c r="B62" s="43"/>
      <c r="C62" s="43"/>
      <c r="D62" s="43"/>
      <c r="E62" s="43"/>
      <c r="F62" s="44"/>
      <c r="G62" s="44"/>
      <c r="H62" s="44"/>
      <c r="I62" s="44"/>
      <c r="J62" s="44"/>
      <c r="K62" s="44"/>
      <c r="L62" s="44"/>
      <c r="M62" s="44"/>
      <c r="N62" s="44"/>
      <c r="O62" s="43"/>
      <c r="P62" s="43"/>
      <c r="W62" s="156"/>
      <c r="X62" s="109"/>
      <c r="Y62" s="109"/>
      <c r="Z62" s="157"/>
      <c r="AC62" s="13"/>
      <c r="AD62" s="13"/>
      <c r="AE62" s="10"/>
      <c r="AH62" s="10"/>
      <c r="AL62" s="9"/>
      <c r="AM62" s="9"/>
      <c r="AN62" s="9"/>
      <c r="AO62" s="9"/>
      <c r="AP62" s="9"/>
      <c r="AQ62" s="9"/>
      <c r="AR62" s="9"/>
      <c r="AS62" s="9"/>
      <c r="AT62" s="9"/>
    </row>
    <row r="63" spans="1:46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W63" s="25" t="s">
        <v>54</v>
      </c>
      <c r="X63" s="109"/>
      <c r="Y63" s="20">
        <f t="shared" ref="Y63:Y68" ca="1" si="1">+J33</f>
        <v>0.26767162476106582</v>
      </c>
      <c r="Z63" s="20">
        <f t="shared" ref="Z63:Z68" ca="1" si="2">+K33</f>
        <v>0.21692058356124139</v>
      </c>
      <c r="AC63" s="13"/>
      <c r="AD63" s="13"/>
      <c r="AE63" s="10"/>
      <c r="AF63" s="9"/>
      <c r="AH63" s="10"/>
      <c r="AL63" s="9"/>
      <c r="AM63" s="9"/>
      <c r="AN63" s="9"/>
      <c r="AO63" s="9"/>
      <c r="AP63" s="9"/>
      <c r="AQ63" s="9"/>
      <c r="AR63" s="9"/>
      <c r="AS63" s="9"/>
      <c r="AT63" s="9"/>
    </row>
    <row r="64" spans="1:46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W64" s="25" t="s">
        <v>55</v>
      </c>
      <c r="X64" s="109"/>
      <c r="Y64" s="20">
        <f t="shared" ca="1" si="1"/>
        <v>0.40278604126844197</v>
      </c>
      <c r="Z64" s="20">
        <f t="shared" ca="1" si="2"/>
        <v>0.31820097260206898</v>
      </c>
      <c r="AC64" s="13"/>
      <c r="AD64" s="13"/>
      <c r="AE64" s="10"/>
      <c r="AF64" s="9"/>
      <c r="AH64" s="10"/>
    </row>
    <row r="65" spans="1:38">
      <c r="A65" t="b">
        <v>1</v>
      </c>
      <c r="F65" s="43"/>
      <c r="G65" s="43"/>
      <c r="H65" s="43"/>
      <c r="I65" s="43"/>
      <c r="J65" s="43"/>
      <c r="K65" s="43"/>
      <c r="L65" s="43"/>
      <c r="M65" s="43"/>
      <c r="N65" s="43"/>
      <c r="W65" s="25" t="s">
        <v>31</v>
      </c>
      <c r="X65" s="109"/>
      <c r="Y65" s="20">
        <f t="shared" ca="1" si="1"/>
        <v>0.94706000000000001</v>
      </c>
      <c r="Z65" s="20">
        <f t="shared" ca="1" si="2"/>
        <v>0.94769309319321227</v>
      </c>
      <c r="AC65" s="13"/>
      <c r="AD65" s="13"/>
      <c r="AE65" s="10"/>
      <c r="AF65" s="9"/>
      <c r="AH65" s="10"/>
    </row>
    <row r="66" spans="1:38">
      <c r="H66" s="9"/>
      <c r="I66" s="9"/>
      <c r="J66" s="9"/>
      <c r="K66" s="9"/>
      <c r="L66" s="9"/>
      <c r="M66" s="9"/>
      <c r="N66" s="9"/>
      <c r="O66" s="9"/>
      <c r="W66" s="25" t="s">
        <v>56</v>
      </c>
      <c r="X66" s="109"/>
      <c r="Y66" s="20">
        <f t="shared" ca="1" si="1"/>
        <v>5.2939999999999945E-2</v>
      </c>
      <c r="Z66" s="20">
        <f t="shared" ca="1" si="2"/>
        <v>5.2939999999999945E-2</v>
      </c>
      <c r="AC66" s="13"/>
      <c r="AF66" s="9"/>
      <c r="AH66" s="10"/>
      <c r="AL66" s="9"/>
    </row>
    <row r="67" spans="1:38">
      <c r="H67" s="9"/>
      <c r="I67" s="9"/>
      <c r="J67" s="9"/>
      <c r="K67" s="9"/>
      <c r="L67" s="9"/>
      <c r="M67" s="9"/>
      <c r="N67" s="9"/>
      <c r="O67" s="9"/>
      <c r="W67" s="25" t="s">
        <v>57</v>
      </c>
      <c r="X67" s="159"/>
      <c r="Y67" s="20">
        <f t="shared" ca="1" si="1"/>
        <v>5.1173482734869138</v>
      </c>
      <c r="Z67" s="20">
        <f t="shared" ca="1" si="2"/>
        <v>5.1173482734869138</v>
      </c>
      <c r="AC67" s="13"/>
      <c r="AH67" s="10"/>
    </row>
    <row r="68" spans="1:38">
      <c r="O68" s="9"/>
      <c r="W68" s="25" t="s">
        <v>58</v>
      </c>
      <c r="X68" s="110"/>
      <c r="Y68" s="20">
        <f t="shared" si="1"/>
        <v>0.21</v>
      </c>
      <c r="Z68" s="20">
        <f t="shared" si="2"/>
        <v>0.21</v>
      </c>
      <c r="AC68" s="13"/>
      <c r="AD68" s="13"/>
      <c r="AE68" s="10"/>
      <c r="AH68" s="10"/>
    </row>
    <row r="69" spans="1:38" ht="15.75">
      <c r="O69" s="9"/>
      <c r="W69" s="25"/>
      <c r="X69" s="17"/>
      <c r="Y69" s="111"/>
      <c r="Z69" s="158"/>
      <c r="AC69" s="13"/>
      <c r="AD69" s="13"/>
      <c r="AE69" s="10"/>
      <c r="AF69" s="9"/>
      <c r="AH69" s="10"/>
    </row>
    <row r="70" spans="1:38">
      <c r="O70" s="9"/>
      <c r="W70" s="27"/>
      <c r="X70" s="160"/>
      <c r="Y70" s="161"/>
      <c r="Z70" s="162"/>
      <c r="AA70" s="13"/>
      <c r="AC70" s="13"/>
      <c r="AD70" s="13"/>
      <c r="AE70" s="10"/>
      <c r="AF70" s="9"/>
      <c r="AH70" s="10"/>
    </row>
    <row r="71" spans="1:38">
      <c r="X71" s="13"/>
      <c r="Y71" s="14"/>
      <c r="Z71" s="10"/>
      <c r="AA71" s="13"/>
      <c r="AC71" s="13"/>
      <c r="AD71" s="13"/>
      <c r="AE71" s="10"/>
      <c r="AF71" s="9"/>
      <c r="AH71" s="10"/>
    </row>
    <row r="72" spans="1:38">
      <c r="AC72" s="13"/>
      <c r="AF72" s="9"/>
      <c r="AH72" s="10"/>
    </row>
    <row r="73" spans="1:38">
      <c r="Y73" s="1"/>
      <c r="Z73" s="1"/>
      <c r="AA73" s="1"/>
      <c r="AC73" s="13"/>
      <c r="AH73" s="10"/>
    </row>
    <row r="74" spans="1:38">
      <c r="X74" s="13"/>
      <c r="Y74" s="14"/>
      <c r="Z74" s="10"/>
      <c r="AA74" s="13"/>
      <c r="AC74" s="13"/>
      <c r="AD74" s="13"/>
      <c r="AE74" s="10"/>
      <c r="AH74" s="10"/>
    </row>
    <row r="75" spans="1:38">
      <c r="X75" s="13"/>
      <c r="Y75" s="14"/>
      <c r="Z75" s="10"/>
      <c r="AA75" s="13"/>
      <c r="AC75" s="13"/>
      <c r="AD75" s="13"/>
      <c r="AE75" s="10"/>
      <c r="AF75" s="9"/>
      <c r="AH75" s="10"/>
    </row>
    <row r="76" spans="1:38">
      <c r="X76" s="13"/>
      <c r="Y76" s="14"/>
      <c r="Z76" s="10"/>
      <c r="AA76" s="13"/>
      <c r="AC76" s="13"/>
      <c r="AD76" s="13"/>
      <c r="AE76" s="10"/>
      <c r="AF76" s="9"/>
      <c r="AH76" s="10"/>
    </row>
    <row r="77" spans="1:38">
      <c r="X77" s="13"/>
      <c r="Y77" s="14"/>
      <c r="Z77" s="10"/>
      <c r="AA77" s="13"/>
      <c r="AC77" s="13"/>
      <c r="AD77" s="13"/>
      <c r="AE77" s="10"/>
      <c r="AF77" s="9"/>
      <c r="AH77" s="10"/>
    </row>
    <row r="78" spans="1:38">
      <c r="AC78" s="13"/>
      <c r="AF78" s="9"/>
      <c r="AH78" s="10"/>
    </row>
    <row r="80" spans="1:38">
      <c r="X80" s="13"/>
      <c r="Y80" s="14"/>
      <c r="Z80" s="10"/>
      <c r="AA80" s="13"/>
      <c r="AD80" s="13"/>
      <c r="AE80" s="10"/>
    </row>
    <row r="81" spans="24:32">
      <c r="X81" s="13"/>
      <c r="Y81" s="14"/>
      <c r="Z81" s="10"/>
      <c r="AA81" s="13"/>
      <c r="AD81" s="13"/>
      <c r="AE81" s="10"/>
      <c r="AF81" s="9"/>
    </row>
    <row r="82" spans="24:32">
      <c r="X82" s="13"/>
      <c r="Y82" s="14"/>
      <c r="Z82" s="10"/>
      <c r="AA82" s="13"/>
      <c r="AD82" s="13"/>
      <c r="AE82" s="10"/>
      <c r="AF82" s="9"/>
    </row>
    <row r="83" spans="24:32">
      <c r="X83" s="13"/>
      <c r="Y83" s="14"/>
      <c r="Z83" s="10"/>
      <c r="AA83" s="13"/>
      <c r="AD83" s="13"/>
      <c r="AE83" s="10"/>
      <c r="AF83" s="9"/>
    </row>
    <row r="84" spans="24:32">
      <c r="AF84" s="9"/>
    </row>
    <row r="86" spans="24:32">
      <c r="X86" s="13"/>
      <c r="Y86" s="14"/>
      <c r="Z86" s="10"/>
      <c r="AA86" s="13"/>
      <c r="AD86" s="13"/>
      <c r="AE86" s="10"/>
    </row>
    <row r="87" spans="24:32">
      <c r="X87" s="13"/>
      <c r="Y87" s="14"/>
      <c r="Z87" s="10"/>
      <c r="AA87" s="13"/>
      <c r="AD87" s="13"/>
      <c r="AE87" s="10"/>
      <c r="AF87" s="9"/>
    </row>
    <row r="88" spans="24:32">
      <c r="X88" s="13"/>
      <c r="Y88" s="14"/>
      <c r="Z88" s="10"/>
      <c r="AA88" s="13"/>
      <c r="AD88" s="13"/>
      <c r="AE88" s="10"/>
      <c r="AF88" s="9"/>
    </row>
    <row r="89" spans="24:32">
      <c r="X89" s="13"/>
      <c r="Y89" s="14"/>
      <c r="Z89" s="10"/>
      <c r="AA89" s="13"/>
      <c r="AD89" s="13"/>
      <c r="AE89" s="10"/>
      <c r="AF89" s="9"/>
    </row>
    <row r="90" spans="24:32">
      <c r="AF90" s="9"/>
    </row>
    <row r="92" spans="24:32">
      <c r="X92" s="13"/>
      <c r="Y92" s="14"/>
      <c r="Z92" s="10"/>
      <c r="AA92" s="13"/>
      <c r="AD92" s="13"/>
      <c r="AE92" s="10"/>
    </row>
    <row r="93" spans="24:32">
      <c r="X93" s="13"/>
      <c r="Y93" s="14"/>
      <c r="Z93" s="10"/>
      <c r="AA93" s="13"/>
      <c r="AD93" s="13"/>
      <c r="AE93" s="10"/>
      <c r="AF93" s="9"/>
    </row>
    <row r="94" spans="24:32">
      <c r="X94" s="13"/>
      <c r="Y94" s="14"/>
      <c r="Z94" s="10"/>
      <c r="AA94" s="13"/>
      <c r="AD94" s="13"/>
      <c r="AE94" s="10"/>
      <c r="AF94" s="9"/>
    </row>
    <row r="95" spans="24:32">
      <c r="X95" s="13"/>
      <c r="Y95" s="14"/>
      <c r="Z95" s="10"/>
      <c r="AA95" s="13"/>
      <c r="AD95" s="13"/>
      <c r="AE95" s="10"/>
      <c r="AF95" s="9"/>
    </row>
    <row r="96" spans="24:32">
      <c r="AF96" s="9"/>
    </row>
    <row r="98" spans="24:32">
      <c r="X98" s="13"/>
      <c r="Y98" s="14"/>
      <c r="Z98" s="10"/>
      <c r="AA98" s="13"/>
      <c r="AD98" s="13"/>
      <c r="AE98" s="10"/>
    </row>
    <row r="99" spans="24:32">
      <c r="X99" s="13"/>
      <c r="Y99" s="14"/>
      <c r="Z99" s="10"/>
      <c r="AA99" s="13"/>
      <c r="AD99" s="13"/>
      <c r="AE99" s="10"/>
      <c r="AF99" s="9"/>
    </row>
    <row r="100" spans="24:32">
      <c r="X100" s="13"/>
      <c r="Y100" s="14"/>
      <c r="Z100" s="10"/>
      <c r="AA100" s="13"/>
      <c r="AD100" s="13"/>
      <c r="AE100" s="10"/>
      <c r="AF100" s="9"/>
    </row>
    <row r="101" spans="24:32">
      <c r="X101" s="13"/>
      <c r="Y101" s="14"/>
      <c r="Z101" s="10"/>
      <c r="AA101" s="13"/>
      <c r="AD101" s="13"/>
      <c r="AE101" s="10"/>
      <c r="AF101" s="9"/>
    </row>
    <row r="102" spans="24:32">
      <c r="AF102" s="9"/>
    </row>
    <row r="104" spans="24:32">
      <c r="X104" s="13"/>
      <c r="Y104" s="14"/>
      <c r="Z104" s="10"/>
      <c r="AA104" s="13"/>
      <c r="AD104" s="13"/>
      <c r="AE104" s="10"/>
    </row>
    <row r="105" spans="24:32">
      <c r="X105" s="13"/>
      <c r="Y105" s="14"/>
      <c r="Z105" s="10"/>
      <c r="AA105" s="13"/>
      <c r="AD105" s="13"/>
      <c r="AE105" s="10"/>
      <c r="AF105" s="9"/>
    </row>
    <row r="106" spans="24:32">
      <c r="X106" s="13"/>
      <c r="Y106" s="14"/>
      <c r="Z106" s="10"/>
      <c r="AA106" s="13"/>
      <c r="AD106" s="13"/>
      <c r="AE106" s="10"/>
      <c r="AF106" s="9"/>
    </row>
    <row r="107" spans="24:32">
      <c r="X107" s="13"/>
      <c r="Y107" s="14"/>
      <c r="Z107" s="10"/>
      <c r="AA107" s="13"/>
      <c r="AD107" s="13"/>
      <c r="AE107" s="10"/>
      <c r="AF107" s="9"/>
    </row>
    <row r="108" spans="24:32">
      <c r="AF108" s="9"/>
    </row>
    <row r="110" spans="24:32">
      <c r="X110" s="13"/>
      <c r="Y110" s="14"/>
      <c r="Z110" s="10"/>
      <c r="AA110" s="13"/>
      <c r="AD110" s="13"/>
      <c r="AE110" s="10"/>
    </row>
    <row r="111" spans="24:32">
      <c r="X111" s="13"/>
      <c r="Y111" s="14"/>
      <c r="Z111" s="10"/>
      <c r="AA111" s="13"/>
      <c r="AD111" s="13"/>
      <c r="AE111" s="10"/>
    </row>
    <row r="112" spans="24:32">
      <c r="X112" s="13"/>
      <c r="Y112" s="14"/>
      <c r="Z112" s="10"/>
      <c r="AA112" s="13"/>
      <c r="AD112" s="13"/>
      <c r="AE112" s="10"/>
    </row>
    <row r="113" spans="24:31">
      <c r="X113" s="13"/>
      <c r="Y113" s="14"/>
      <c r="Z113" s="10"/>
      <c r="AA113" s="13"/>
      <c r="AD113" s="13"/>
      <c r="AE113" s="10"/>
    </row>
  </sheetData>
  <mergeCells count="6">
    <mergeCell ref="AF2:AI2"/>
    <mergeCell ref="B2:C2"/>
    <mergeCell ref="B17:C17"/>
    <mergeCell ref="B18:C18"/>
    <mergeCell ref="B15:C15"/>
    <mergeCell ref="C16:D16"/>
  </mergeCells>
  <pageMargins left="0.25" right="0.25" top="0.3" bottom="0.44" header="0.23" footer="0.21"/>
  <pageSetup scale="99" orientation="portrait" r:id="rId1"/>
  <headerFooter alignWithMargins="0"/>
  <ignoredErrors>
    <ignoredError sqref="K43:K47" unlockedFormula="1"/>
  </ignoredErrors>
  <drawing r:id="rId2"/>
  <legacyDrawing r:id="rId3"/>
  <controls>
    <mc:AlternateContent xmlns:mc="http://schemas.openxmlformats.org/markup-compatibility/2006">
      <mc:Choice Requires="x14">
        <control shapeId="2051" r:id="rId4" name="CheckBox1">
          <controlPr defaultSize="0" autoFill="0" autoLine="0" linkedCell="A65" r:id="rId5">
            <anchor moveWithCells="1">
              <from>
                <xdr:col>2</xdr:col>
                <xdr:colOff>95250</xdr:colOff>
                <xdr:row>14</xdr:row>
                <xdr:rowOff>171450</xdr:rowOff>
              </from>
              <to>
                <xdr:col>2</xdr:col>
                <xdr:colOff>361950</xdr:colOff>
                <xdr:row>16</xdr:row>
                <xdr:rowOff>28575</xdr:rowOff>
              </to>
            </anchor>
          </controlPr>
        </control>
      </mc:Choice>
      <mc:Fallback>
        <control shapeId="2051" r:id="rId4" name="CheckBox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A1:R68"/>
  <sheetViews>
    <sheetView topLeftCell="A36" workbookViewId="0">
      <selection activeCell="D50" sqref="D50"/>
    </sheetView>
  </sheetViews>
  <sheetFormatPr defaultColWidth="8.88671875" defaultRowHeight="12.75"/>
  <cols>
    <col min="1" max="1" width="7" style="203" customWidth="1"/>
    <col min="2" max="2" width="8.88671875" style="203"/>
    <col min="3" max="3" width="24.77734375" style="203" customWidth="1"/>
    <col min="4" max="4" width="32.109375" style="203" customWidth="1"/>
    <col min="5" max="5" width="6.33203125" style="203" customWidth="1"/>
    <col min="6" max="6" width="12.21875" style="203" customWidth="1"/>
    <col min="7" max="7" width="6.5546875" style="203" customWidth="1"/>
    <col min="8" max="8" width="8.88671875" style="203"/>
    <col min="9" max="9" width="13.109375" style="203" customWidth="1"/>
    <col min="10" max="10" width="11.88671875" style="203" customWidth="1"/>
    <col min="11" max="14" width="9.33203125" style="203" customWidth="1"/>
    <col min="15" max="15" width="10.77734375" style="203" customWidth="1"/>
    <col min="16" max="16" width="10.21875" style="203" customWidth="1"/>
    <col min="17" max="17" width="10.77734375" style="203" customWidth="1"/>
    <col min="18" max="18" width="9.5546875" style="203" bestFit="1" customWidth="1"/>
    <col min="19" max="16384" width="8.88671875" style="203"/>
  </cols>
  <sheetData>
    <row r="1" spans="1:17">
      <c r="A1" s="203" t="s">
        <v>199</v>
      </c>
    </row>
    <row r="2" spans="1:17">
      <c r="A2" s="203">
        <v>2019</v>
      </c>
    </row>
    <row r="3" spans="1:17">
      <c r="A3" s="231" t="s">
        <v>229</v>
      </c>
    </row>
    <row r="5" spans="1:17" ht="15.75" customHeight="1">
      <c r="B5" s="230"/>
      <c r="C5" s="230"/>
      <c r="D5" s="230"/>
      <c r="E5" s="230"/>
      <c r="F5" s="230"/>
      <c r="G5" s="564" t="s">
        <v>225</v>
      </c>
      <c r="H5" s="261" t="s">
        <v>168</v>
      </c>
      <c r="I5" s="230"/>
      <c r="J5" s="230"/>
      <c r="K5" s="566"/>
      <c r="L5" s="566"/>
      <c r="M5" s="567" t="s">
        <v>144</v>
      </c>
      <c r="N5" s="568"/>
      <c r="O5" s="230"/>
      <c r="P5" s="567" t="s">
        <v>104</v>
      </c>
      <c r="Q5" s="568"/>
    </row>
    <row r="6" spans="1:17" ht="15">
      <c r="B6" s="262"/>
      <c r="C6" s="263" t="s">
        <v>186</v>
      </c>
      <c r="D6" s="264" t="s">
        <v>203</v>
      </c>
      <c r="E6" s="265" t="s">
        <v>224</v>
      </c>
      <c r="F6" s="265" t="s">
        <v>103</v>
      </c>
      <c r="G6" s="565"/>
      <c r="H6" s="263" t="s">
        <v>227</v>
      </c>
      <c r="I6" s="263" t="s">
        <v>235</v>
      </c>
      <c r="J6" s="263" t="s">
        <v>228</v>
      </c>
      <c r="K6" s="263" t="s">
        <v>166</v>
      </c>
      <c r="L6" s="263" t="s">
        <v>167</v>
      </c>
      <c r="M6" s="263" t="s">
        <v>166</v>
      </c>
      <c r="N6" s="263" t="s">
        <v>167</v>
      </c>
      <c r="O6" s="263" t="s">
        <v>104</v>
      </c>
      <c r="P6" s="263" t="s">
        <v>166</v>
      </c>
      <c r="Q6" s="266" t="s">
        <v>167</v>
      </c>
    </row>
    <row r="7" spans="1:17" ht="15">
      <c r="B7" s="267"/>
      <c r="C7" s="358" t="s">
        <v>187</v>
      </c>
      <c r="D7" s="358" t="s">
        <v>187</v>
      </c>
      <c r="E7" s="358" t="s">
        <v>222</v>
      </c>
      <c r="F7" s="359" t="s">
        <v>223</v>
      </c>
      <c r="G7" s="358" t="s">
        <v>222</v>
      </c>
      <c r="H7" s="358" t="s">
        <v>226</v>
      </c>
      <c r="I7" s="358" t="s">
        <v>76</v>
      </c>
      <c r="J7" s="358" t="s">
        <v>144</v>
      </c>
      <c r="K7" s="358" t="s">
        <v>226</v>
      </c>
      <c r="L7" s="358" t="s">
        <v>226</v>
      </c>
      <c r="M7" s="358"/>
      <c r="N7" s="358"/>
      <c r="O7" s="358"/>
      <c r="P7" s="358"/>
      <c r="Q7" s="360"/>
    </row>
    <row r="8" spans="1:17" ht="15">
      <c r="B8" s="309"/>
      <c r="C8" s="309" t="s">
        <v>188</v>
      </c>
      <c r="D8" s="309" t="s">
        <v>204</v>
      </c>
      <c r="E8" s="310">
        <v>2019</v>
      </c>
      <c r="F8" s="311"/>
      <c r="G8" s="309">
        <v>5</v>
      </c>
      <c r="H8" s="342">
        <v>1</v>
      </c>
      <c r="I8" s="311">
        <f>F8*H8</f>
        <v>0</v>
      </c>
      <c r="J8" s="311">
        <f t="shared" ref="J8:J19" si="0">I8/G8</f>
        <v>0</v>
      </c>
      <c r="K8" s="343">
        <v>1</v>
      </c>
      <c r="L8" s="344">
        <v>0</v>
      </c>
      <c r="M8" s="345">
        <f>J8*K8</f>
        <v>0</v>
      </c>
      <c r="N8" s="345">
        <f>J8*L8</f>
        <v>0</v>
      </c>
      <c r="O8" s="345">
        <f>I8-M8</f>
        <v>0</v>
      </c>
      <c r="P8" s="345">
        <f>K8*O8</f>
        <v>0</v>
      </c>
      <c r="Q8" s="345">
        <f>O8*L8</f>
        <v>0</v>
      </c>
    </row>
    <row r="9" spans="1:17" ht="15">
      <c r="B9" s="309"/>
      <c r="C9" s="309" t="s">
        <v>188</v>
      </c>
      <c r="D9" s="309" t="s">
        <v>363</v>
      </c>
      <c r="E9" s="310">
        <v>2019</v>
      </c>
      <c r="F9" s="311"/>
      <c r="G9" s="309">
        <v>5</v>
      </c>
      <c r="H9" s="342">
        <v>1</v>
      </c>
      <c r="I9" s="311">
        <v>0</v>
      </c>
      <c r="J9" s="311">
        <v>0</v>
      </c>
      <c r="K9" s="343">
        <v>1</v>
      </c>
      <c r="L9" s="344">
        <v>0</v>
      </c>
      <c r="M9" s="345">
        <v>0</v>
      </c>
      <c r="N9" s="345">
        <v>0</v>
      </c>
      <c r="O9" s="345">
        <v>0</v>
      </c>
      <c r="P9" s="345">
        <v>0</v>
      </c>
      <c r="Q9" s="345">
        <v>0</v>
      </c>
    </row>
    <row r="10" spans="1:17" ht="15">
      <c r="B10" s="309"/>
      <c r="C10" s="309" t="s">
        <v>189</v>
      </c>
      <c r="D10" s="309" t="s">
        <v>205</v>
      </c>
      <c r="E10" s="310">
        <v>2019</v>
      </c>
      <c r="F10" s="311"/>
      <c r="G10" s="309">
        <v>5</v>
      </c>
      <c r="H10" s="342">
        <v>1</v>
      </c>
      <c r="I10" s="311">
        <f t="shared" ref="I10:I32" si="1">F10*H10</f>
        <v>0</v>
      </c>
      <c r="J10" s="311">
        <f t="shared" si="0"/>
        <v>0</v>
      </c>
      <c r="K10" s="343">
        <v>0</v>
      </c>
      <c r="L10" s="344">
        <v>1</v>
      </c>
      <c r="M10" s="345">
        <f t="shared" ref="M10:M32" si="2">J10*K10</f>
        <v>0</v>
      </c>
      <c r="N10" s="345">
        <f t="shared" ref="N10:N32" si="3">J10*L10</f>
        <v>0</v>
      </c>
      <c r="O10" s="345">
        <f>I10-J10</f>
        <v>0</v>
      </c>
      <c r="P10" s="345">
        <f t="shared" ref="P10:P32" si="4">K10*O10</f>
        <v>0</v>
      </c>
      <c r="Q10" s="345">
        <f t="shared" ref="Q10:Q32" si="5">O10*L10</f>
        <v>0</v>
      </c>
    </row>
    <row r="11" spans="1:17" ht="15">
      <c r="B11" s="309"/>
      <c r="C11" s="309" t="s">
        <v>189</v>
      </c>
      <c r="D11" s="309" t="s">
        <v>369</v>
      </c>
      <c r="E11" s="310">
        <v>2019</v>
      </c>
      <c r="F11" s="362">
        <v>11000</v>
      </c>
      <c r="G11" s="309">
        <v>5</v>
      </c>
      <c r="H11" s="342">
        <v>1</v>
      </c>
      <c r="I11" s="311">
        <v>11000</v>
      </c>
      <c r="J11" s="311">
        <v>2200</v>
      </c>
      <c r="K11" s="343">
        <v>1</v>
      </c>
      <c r="L11" s="344">
        <v>0</v>
      </c>
      <c r="M11" s="345">
        <v>2200</v>
      </c>
      <c r="N11" s="345">
        <v>0</v>
      </c>
      <c r="O11" s="345">
        <v>0</v>
      </c>
      <c r="P11" s="345">
        <v>0</v>
      </c>
      <c r="Q11" s="345">
        <v>0</v>
      </c>
    </row>
    <row r="12" spans="1:17" ht="15">
      <c r="B12" s="309"/>
      <c r="C12" s="309" t="s">
        <v>189</v>
      </c>
      <c r="D12" s="309" t="s">
        <v>206</v>
      </c>
      <c r="E12" s="310">
        <v>2017</v>
      </c>
      <c r="F12" s="362">
        <f>'Asset Verification'!E9</f>
        <v>9835</v>
      </c>
      <c r="G12" s="309">
        <v>5</v>
      </c>
      <c r="H12" s="342">
        <v>1</v>
      </c>
      <c r="I12" s="311">
        <f t="shared" si="1"/>
        <v>9835</v>
      </c>
      <c r="J12" s="311">
        <f t="shared" si="0"/>
        <v>1967</v>
      </c>
      <c r="K12" s="343">
        <v>1</v>
      </c>
      <c r="L12" s="344">
        <v>0</v>
      </c>
      <c r="M12" s="345">
        <f>J12*K12</f>
        <v>1967</v>
      </c>
      <c r="N12" s="345">
        <f t="shared" si="3"/>
        <v>0</v>
      </c>
      <c r="O12" s="345">
        <f>I12-(($A$2-E12)*J12)</f>
        <v>5901</v>
      </c>
      <c r="P12" s="345">
        <f>K12*O12</f>
        <v>5901</v>
      </c>
      <c r="Q12" s="345">
        <f t="shared" si="5"/>
        <v>0</v>
      </c>
    </row>
    <row r="13" spans="1:17" ht="15">
      <c r="B13" s="309"/>
      <c r="C13" s="309" t="s">
        <v>189</v>
      </c>
      <c r="D13" s="309" t="s">
        <v>207</v>
      </c>
      <c r="E13" s="310">
        <v>2018</v>
      </c>
      <c r="F13" s="362">
        <v>16000</v>
      </c>
      <c r="G13" s="309">
        <v>5</v>
      </c>
      <c r="H13" s="342">
        <v>1</v>
      </c>
      <c r="I13" s="311">
        <f t="shared" si="1"/>
        <v>16000</v>
      </c>
      <c r="J13" s="311">
        <f t="shared" si="0"/>
        <v>3200</v>
      </c>
      <c r="K13" s="343">
        <v>0</v>
      </c>
      <c r="L13" s="344">
        <v>1</v>
      </c>
      <c r="M13" s="345">
        <f>J13*K13</f>
        <v>0</v>
      </c>
      <c r="N13" s="345">
        <f t="shared" si="3"/>
        <v>3200</v>
      </c>
      <c r="O13" s="345">
        <f>I13-(($A$2-E13)*J13)</f>
        <v>12800</v>
      </c>
      <c r="P13" s="345">
        <f t="shared" si="4"/>
        <v>0</v>
      </c>
      <c r="Q13" s="345">
        <f t="shared" si="5"/>
        <v>12800</v>
      </c>
    </row>
    <row r="14" spans="1:17" ht="15">
      <c r="B14" s="309"/>
      <c r="C14" s="309" t="s">
        <v>189</v>
      </c>
      <c r="D14" s="309" t="s">
        <v>323</v>
      </c>
      <c r="E14" s="310">
        <v>2019</v>
      </c>
      <c r="F14" s="362">
        <f>'Asset Verification'!E28</f>
        <v>47569</v>
      </c>
      <c r="G14" s="309">
        <v>5</v>
      </c>
      <c r="H14" s="342">
        <v>1</v>
      </c>
      <c r="I14" s="311">
        <f t="shared" si="1"/>
        <v>47569</v>
      </c>
      <c r="J14" s="311">
        <f t="shared" si="0"/>
        <v>9513.7999999999993</v>
      </c>
      <c r="K14" s="343">
        <v>1</v>
      </c>
      <c r="L14" s="344">
        <v>0</v>
      </c>
      <c r="M14" s="345">
        <f t="shared" si="2"/>
        <v>9513.7999999999993</v>
      </c>
      <c r="N14" s="345">
        <f t="shared" si="3"/>
        <v>0</v>
      </c>
      <c r="O14" s="345">
        <f>I14-J14</f>
        <v>38055.199999999997</v>
      </c>
      <c r="P14" s="345">
        <f>K14*O14</f>
        <v>38055.199999999997</v>
      </c>
      <c r="Q14" s="345">
        <f t="shared" si="5"/>
        <v>0</v>
      </c>
    </row>
    <row r="15" spans="1:17" ht="15">
      <c r="B15" s="309"/>
      <c r="C15" s="309" t="s">
        <v>189</v>
      </c>
      <c r="D15" s="309" t="s">
        <v>324</v>
      </c>
      <c r="E15" s="310">
        <v>2019</v>
      </c>
      <c r="F15" s="362">
        <f>'Asset Verification'!E29</f>
        <v>12018</v>
      </c>
      <c r="G15" s="309">
        <v>5</v>
      </c>
      <c r="H15" s="342">
        <v>1</v>
      </c>
      <c r="I15" s="311">
        <f t="shared" si="1"/>
        <v>12018</v>
      </c>
      <c r="J15" s="311">
        <f t="shared" si="0"/>
        <v>2403.6</v>
      </c>
      <c r="K15" s="343">
        <v>1</v>
      </c>
      <c r="L15" s="344">
        <v>0</v>
      </c>
      <c r="M15" s="345">
        <f t="shared" si="2"/>
        <v>2403.6</v>
      </c>
      <c r="N15" s="345">
        <f t="shared" si="3"/>
        <v>0</v>
      </c>
      <c r="O15" s="345">
        <f>I15-J15</f>
        <v>9614.4</v>
      </c>
      <c r="P15" s="345">
        <f t="shared" si="4"/>
        <v>9614.4</v>
      </c>
      <c r="Q15" s="345">
        <f t="shared" si="5"/>
        <v>0</v>
      </c>
    </row>
    <row r="16" spans="1:17" ht="15">
      <c r="B16" s="309"/>
      <c r="C16" s="309" t="s">
        <v>190</v>
      </c>
      <c r="D16" s="309" t="s">
        <v>209</v>
      </c>
      <c r="E16" s="310">
        <v>2018</v>
      </c>
      <c r="F16" s="362">
        <v>3777</v>
      </c>
      <c r="G16" s="309">
        <v>10</v>
      </c>
      <c r="H16" s="342">
        <v>1</v>
      </c>
      <c r="I16" s="311">
        <f t="shared" si="1"/>
        <v>3777</v>
      </c>
      <c r="J16" s="311">
        <f t="shared" si="0"/>
        <v>377.7</v>
      </c>
      <c r="K16" s="343">
        <v>1</v>
      </c>
      <c r="L16" s="344">
        <v>0</v>
      </c>
      <c r="M16" s="345">
        <f t="shared" si="2"/>
        <v>377.7</v>
      </c>
      <c r="N16" s="345">
        <f t="shared" si="3"/>
        <v>0</v>
      </c>
      <c r="O16" s="345">
        <f>I16-(($A$2-E16)*J16)</f>
        <v>3399.3</v>
      </c>
      <c r="P16" s="345">
        <f t="shared" si="4"/>
        <v>3399.3</v>
      </c>
      <c r="Q16" s="345">
        <f t="shared" si="5"/>
        <v>0</v>
      </c>
    </row>
    <row r="17" spans="1:18" ht="15">
      <c r="B17" s="309"/>
      <c r="C17" s="309" t="s">
        <v>191</v>
      </c>
      <c r="D17" s="309" t="s">
        <v>210</v>
      </c>
      <c r="E17" s="310">
        <v>2017</v>
      </c>
      <c r="F17" s="362">
        <f>'Asset Verification'!E21</f>
        <v>3945</v>
      </c>
      <c r="G17" s="309">
        <v>10</v>
      </c>
      <c r="H17" s="342">
        <v>1</v>
      </c>
      <c r="I17" s="311">
        <f t="shared" si="1"/>
        <v>3945</v>
      </c>
      <c r="J17" s="311">
        <f t="shared" si="0"/>
        <v>394.5</v>
      </c>
      <c r="K17" s="343">
        <v>1</v>
      </c>
      <c r="L17" s="344">
        <v>0</v>
      </c>
      <c r="M17" s="345">
        <f>J17*K17</f>
        <v>394.5</v>
      </c>
      <c r="N17" s="345">
        <f t="shared" si="3"/>
        <v>0</v>
      </c>
      <c r="O17" s="345">
        <f>I17-(($A$2-E17)*J17)</f>
        <v>3156</v>
      </c>
      <c r="P17" s="345">
        <f>K17*O17</f>
        <v>3156</v>
      </c>
      <c r="Q17" s="345">
        <f t="shared" si="5"/>
        <v>0</v>
      </c>
    </row>
    <row r="18" spans="1:18" ht="15">
      <c r="B18" s="309"/>
      <c r="C18" s="309" t="s">
        <v>190</v>
      </c>
      <c r="D18" s="309" t="s">
        <v>211</v>
      </c>
      <c r="E18" s="310">
        <v>2019</v>
      </c>
      <c r="F18" s="362">
        <v>17185.48</v>
      </c>
      <c r="G18" s="309">
        <v>10</v>
      </c>
      <c r="H18" s="342">
        <v>1</v>
      </c>
      <c r="I18" s="311">
        <f t="shared" si="1"/>
        <v>17185.48</v>
      </c>
      <c r="J18" s="311">
        <f t="shared" si="0"/>
        <v>1718.548</v>
      </c>
      <c r="K18" s="343">
        <v>1</v>
      </c>
      <c r="L18" s="344">
        <v>0</v>
      </c>
      <c r="M18" s="345">
        <f t="shared" si="2"/>
        <v>1718.548</v>
      </c>
      <c r="N18" s="345">
        <f t="shared" si="3"/>
        <v>0</v>
      </c>
      <c r="O18" s="345">
        <f>I18-J18</f>
        <v>15466.931999999999</v>
      </c>
      <c r="P18" s="345">
        <f t="shared" si="4"/>
        <v>15466.931999999999</v>
      </c>
      <c r="Q18" s="345">
        <f t="shared" si="5"/>
        <v>0</v>
      </c>
    </row>
    <row r="19" spans="1:18" ht="15">
      <c r="B19" s="309"/>
      <c r="C19" s="309" t="s">
        <v>192</v>
      </c>
      <c r="D19" s="309" t="s">
        <v>212</v>
      </c>
      <c r="E19" s="310">
        <v>2019</v>
      </c>
      <c r="F19" s="362">
        <f>'Asset Verification'!E13</f>
        <v>3189</v>
      </c>
      <c r="G19" s="309">
        <v>3</v>
      </c>
      <c r="H19" s="342">
        <f>'Drive Hours Recap'!$J$27</f>
        <v>0.6864434547851086</v>
      </c>
      <c r="I19" s="311">
        <f>F19*H19</f>
        <v>2189.0681773097112</v>
      </c>
      <c r="J19" s="311">
        <f t="shared" si="0"/>
        <v>729.68939243657042</v>
      </c>
      <c r="K19" s="343">
        <f>'Drive Hours Recap'!$E$32</f>
        <v>0.50156027946704529</v>
      </c>
      <c r="L19" s="344">
        <f>'Drive Hours Recap'!E33</f>
        <v>0.49843972053295477</v>
      </c>
      <c r="M19" s="345">
        <f>J19*K19</f>
        <v>365.98321559462477</v>
      </c>
      <c r="N19" s="345">
        <f t="shared" si="3"/>
        <v>363.70617684194571</v>
      </c>
      <c r="O19" s="345">
        <f>I19-J19</f>
        <v>1459.3787848731408</v>
      </c>
      <c r="P19" s="345">
        <f>K19*O19</f>
        <v>731.96643118924953</v>
      </c>
      <c r="Q19" s="345">
        <f t="shared" si="5"/>
        <v>727.41235368389141</v>
      </c>
      <c r="R19" s="231" t="s">
        <v>242</v>
      </c>
    </row>
    <row r="20" spans="1:18" ht="15">
      <c r="B20" s="309"/>
      <c r="C20" s="309" t="s">
        <v>192</v>
      </c>
      <c r="D20" s="309" t="s">
        <v>213</v>
      </c>
      <c r="E20" s="310">
        <v>2017</v>
      </c>
      <c r="F20" s="362">
        <v>4395</v>
      </c>
      <c r="G20" s="309">
        <v>3</v>
      </c>
      <c r="H20" s="342">
        <f>'Drive Hours Recap'!$J$27</f>
        <v>0.6864434547851086</v>
      </c>
      <c r="I20" s="311">
        <f>F20*H20</f>
        <v>3016.9189837805525</v>
      </c>
      <c r="J20" s="311">
        <f>I20/G20</f>
        <v>1005.6396612601842</v>
      </c>
      <c r="K20" s="343">
        <f>'Drive Hours Recap'!$E$32</f>
        <v>0.50156027946704529</v>
      </c>
      <c r="L20" s="344">
        <f>'Drive Hours Recap'!$E$33</f>
        <v>0.49843972053295477</v>
      </c>
      <c r="M20" s="345">
        <f>J20*K20</f>
        <v>504.38890954480274</v>
      </c>
      <c r="N20" s="345">
        <f>J20*L20</f>
        <v>501.25075171538151</v>
      </c>
      <c r="O20" s="345">
        <f>I20-(($A$2-E20)*J20)</f>
        <v>1005.6396612601841</v>
      </c>
      <c r="P20" s="345">
        <f>K20*O20</f>
        <v>504.38890954480269</v>
      </c>
      <c r="Q20" s="345">
        <f>O20*L20</f>
        <v>501.25075171538145</v>
      </c>
      <c r="R20" s="505" t="s">
        <v>242</v>
      </c>
    </row>
    <row r="21" spans="1:18" ht="15">
      <c r="B21" s="309"/>
      <c r="C21" s="203" t="s">
        <v>192</v>
      </c>
      <c r="D21" s="203" t="s">
        <v>212</v>
      </c>
      <c r="E21" s="203">
        <v>2019</v>
      </c>
      <c r="F21" s="362">
        <v>3203</v>
      </c>
      <c r="G21" s="203">
        <v>3</v>
      </c>
      <c r="H21" s="342">
        <f>'Drive Hours Recap'!$J$27</f>
        <v>0.6864434547851086</v>
      </c>
      <c r="I21" s="311">
        <f t="shared" ref="I21:I22" si="6">F21*H21</f>
        <v>2198.6783856767029</v>
      </c>
      <c r="J21" s="311">
        <f t="shared" ref="J21:J22" si="7">I21/G21</f>
        <v>732.89279522556762</v>
      </c>
      <c r="K21" s="343">
        <f>'Drive Hours Recap'!$E$32</f>
        <v>0.50156027946704529</v>
      </c>
      <c r="L21" s="344">
        <f>'Drive Hours Recap'!$E$33</f>
        <v>0.49843972053295477</v>
      </c>
      <c r="M21" s="345">
        <f t="shared" ref="M21:M22" si="8">J21*K21</f>
        <v>367.58991519271967</v>
      </c>
      <c r="N21" s="345">
        <f t="shared" ref="N21:N22" si="9">J21*L21</f>
        <v>365.30288003284795</v>
      </c>
      <c r="O21" s="345">
        <f t="shared" ref="O21:O22" si="10">I21-(($A$2-E21)*J21)</f>
        <v>2198.6783856767029</v>
      </c>
      <c r="P21" s="345">
        <f t="shared" ref="P21:P22" si="11">K21*O21</f>
        <v>1102.769745578159</v>
      </c>
      <c r="Q21" s="345">
        <f t="shared" ref="Q21:Q22" si="12">O21*L21</f>
        <v>1095.9086400985439</v>
      </c>
      <c r="R21" s="231" t="s">
        <v>242</v>
      </c>
    </row>
    <row r="22" spans="1:18" ht="15">
      <c r="B22" s="309"/>
      <c r="C22" s="203" t="s">
        <v>192</v>
      </c>
      <c r="D22" s="203" t="s">
        <v>371</v>
      </c>
      <c r="E22" s="203">
        <v>2019</v>
      </c>
      <c r="F22" s="362">
        <v>1652</v>
      </c>
      <c r="G22" s="203">
        <v>5</v>
      </c>
      <c r="H22" s="342">
        <f>'Drive Hours Recap'!$J$27</f>
        <v>0.6864434547851086</v>
      </c>
      <c r="I22" s="311">
        <f t="shared" si="6"/>
        <v>1134.0045873049994</v>
      </c>
      <c r="J22" s="311">
        <f t="shared" si="7"/>
        <v>226.80091746099987</v>
      </c>
      <c r="K22" s="343">
        <f>'Drive Hours Recap'!$E$32</f>
        <v>0.50156027946704529</v>
      </c>
      <c r="L22" s="344">
        <f>'Drive Hours Recap'!$E$33</f>
        <v>0.49843972053295477</v>
      </c>
      <c r="M22" s="345">
        <f t="shared" si="8"/>
        <v>113.75433154512136</v>
      </c>
      <c r="N22" s="345">
        <f t="shared" si="9"/>
        <v>113.04658591587851</v>
      </c>
      <c r="O22" s="345">
        <f t="shared" si="10"/>
        <v>1134.0045873049994</v>
      </c>
      <c r="P22" s="345">
        <f t="shared" si="11"/>
        <v>568.77165772560681</v>
      </c>
      <c r="Q22" s="345">
        <f t="shared" si="12"/>
        <v>565.23292957939259</v>
      </c>
      <c r="R22" s="505" t="s">
        <v>242</v>
      </c>
    </row>
    <row r="23" spans="1:18" ht="15">
      <c r="B23" s="309"/>
      <c r="C23" s="309" t="s">
        <v>193</v>
      </c>
      <c r="D23" s="309" t="s">
        <v>325</v>
      </c>
      <c r="E23" s="310">
        <v>2017</v>
      </c>
      <c r="F23" s="361">
        <v>41848</v>
      </c>
      <c r="G23" s="378">
        <v>5</v>
      </c>
      <c r="H23" s="363">
        <v>0</v>
      </c>
      <c r="I23" s="361"/>
      <c r="J23" s="361"/>
      <c r="K23" s="364"/>
      <c r="L23" s="365"/>
      <c r="M23" s="366"/>
      <c r="N23" s="366"/>
      <c r="O23" s="366"/>
      <c r="P23" s="366"/>
      <c r="Q23" s="366"/>
      <c r="R23" s="231" t="s">
        <v>241</v>
      </c>
    </row>
    <row r="24" spans="1:18" ht="15">
      <c r="B24" s="309"/>
      <c r="C24" s="309" t="s">
        <v>193</v>
      </c>
      <c r="D24" s="309" t="s">
        <v>326</v>
      </c>
      <c r="E24" s="310">
        <v>2017</v>
      </c>
      <c r="F24" s="361">
        <v>8599</v>
      </c>
      <c r="G24" s="378">
        <v>5</v>
      </c>
      <c r="H24" s="363">
        <v>0</v>
      </c>
      <c r="I24" s="361"/>
      <c r="J24" s="361"/>
      <c r="K24" s="364"/>
      <c r="L24" s="365"/>
      <c r="M24" s="366"/>
      <c r="N24" s="366"/>
      <c r="O24" s="366"/>
      <c r="P24" s="366"/>
      <c r="Q24" s="366"/>
      <c r="R24" s="231" t="s">
        <v>241</v>
      </c>
    </row>
    <row r="25" spans="1:18" ht="15">
      <c r="B25" s="309"/>
      <c r="C25" s="309" t="s">
        <v>194</v>
      </c>
      <c r="D25" s="309" t="s">
        <v>327</v>
      </c>
      <c r="E25" s="310">
        <v>2017</v>
      </c>
      <c r="F25" s="361">
        <v>1886</v>
      </c>
      <c r="G25" s="378">
        <v>5</v>
      </c>
      <c r="H25" s="363">
        <v>0</v>
      </c>
      <c r="I25" s="361"/>
      <c r="J25" s="361"/>
      <c r="K25" s="364"/>
      <c r="L25" s="365"/>
      <c r="M25" s="366"/>
      <c r="N25" s="366"/>
      <c r="O25" s="366"/>
      <c r="P25" s="366"/>
      <c r="Q25" s="366"/>
      <c r="R25" s="231" t="s">
        <v>242</v>
      </c>
    </row>
    <row r="26" spans="1:18" ht="15">
      <c r="B26" s="309"/>
      <c r="C26" s="309" t="s">
        <v>195</v>
      </c>
      <c r="D26" s="309" t="s">
        <v>217</v>
      </c>
      <c r="E26" s="310">
        <v>2017</v>
      </c>
      <c r="F26" s="362">
        <v>3283</v>
      </c>
      <c r="G26" s="309">
        <v>10</v>
      </c>
      <c r="H26" s="342">
        <v>1</v>
      </c>
      <c r="I26" s="311">
        <f t="shared" si="1"/>
        <v>3283</v>
      </c>
      <c r="J26" s="311">
        <f t="shared" ref="J26:J32" si="13">I26/G26</f>
        <v>328.3</v>
      </c>
      <c r="K26" s="343">
        <v>1</v>
      </c>
      <c r="L26" s="344">
        <v>0</v>
      </c>
      <c r="M26" s="345">
        <f t="shared" si="2"/>
        <v>328.3</v>
      </c>
      <c r="N26" s="345">
        <f t="shared" si="3"/>
        <v>0</v>
      </c>
      <c r="O26" s="345">
        <f>I26-(($A$2-E26)*J26)</f>
        <v>2626.4</v>
      </c>
      <c r="P26" s="345">
        <f t="shared" si="4"/>
        <v>2626.4</v>
      </c>
      <c r="Q26" s="345">
        <f t="shared" si="5"/>
        <v>0</v>
      </c>
    </row>
    <row r="27" spans="1:18" ht="15">
      <c r="A27" s="230"/>
      <c r="B27" s="309"/>
      <c r="C27" s="309" t="s">
        <v>196</v>
      </c>
      <c r="D27" s="309" t="s">
        <v>357</v>
      </c>
      <c r="E27" s="310">
        <v>2017</v>
      </c>
      <c r="F27" s="362">
        <v>3493</v>
      </c>
      <c r="G27" s="309">
        <v>5</v>
      </c>
      <c r="H27" s="342">
        <v>1</v>
      </c>
      <c r="I27" s="311">
        <f t="shared" si="1"/>
        <v>3493</v>
      </c>
      <c r="J27" s="311">
        <f t="shared" si="13"/>
        <v>698.6</v>
      </c>
      <c r="K27" s="343">
        <v>0</v>
      </c>
      <c r="L27" s="344">
        <v>1</v>
      </c>
      <c r="M27" s="345">
        <f t="shared" si="2"/>
        <v>0</v>
      </c>
      <c r="N27" s="345">
        <f t="shared" si="3"/>
        <v>698.6</v>
      </c>
      <c r="O27" s="345">
        <f>I27-(($A$2-E27)*J27)</f>
        <v>2095.8000000000002</v>
      </c>
      <c r="P27" s="345">
        <f t="shared" si="4"/>
        <v>0</v>
      </c>
      <c r="Q27" s="345">
        <f t="shared" si="5"/>
        <v>2095.8000000000002</v>
      </c>
    </row>
    <row r="28" spans="1:18" ht="15">
      <c r="A28" s="230"/>
      <c r="B28" s="309"/>
      <c r="C28" s="309" t="s">
        <v>196</v>
      </c>
      <c r="D28" s="309" t="s">
        <v>357</v>
      </c>
      <c r="E28" s="310">
        <v>2019</v>
      </c>
      <c r="F28" s="362">
        <v>26202.75</v>
      </c>
      <c r="G28" s="309">
        <v>5</v>
      </c>
      <c r="H28" s="342">
        <v>1</v>
      </c>
      <c r="I28" s="311">
        <f t="shared" si="1"/>
        <v>26202.75</v>
      </c>
      <c r="J28" s="311">
        <f t="shared" si="13"/>
        <v>5240.55</v>
      </c>
      <c r="K28" s="343">
        <v>0</v>
      </c>
      <c r="L28" s="344">
        <v>1</v>
      </c>
      <c r="M28" s="345">
        <f t="shared" si="2"/>
        <v>0</v>
      </c>
      <c r="N28" s="345">
        <f t="shared" si="3"/>
        <v>5240.55</v>
      </c>
      <c r="O28" s="345">
        <f>I28-J28</f>
        <v>20962.2</v>
      </c>
      <c r="P28" s="345">
        <f t="shared" si="4"/>
        <v>0</v>
      </c>
      <c r="Q28" s="345">
        <f t="shared" si="5"/>
        <v>20962.2</v>
      </c>
    </row>
    <row r="29" spans="1:18" ht="15">
      <c r="A29" s="230"/>
      <c r="B29" s="309"/>
      <c r="C29" s="309" t="s">
        <v>196</v>
      </c>
      <c r="D29" s="309" t="s">
        <v>370</v>
      </c>
      <c r="E29" s="310">
        <v>2019</v>
      </c>
      <c r="F29" s="362">
        <v>8386.2099999999991</v>
      </c>
      <c r="G29" s="309">
        <v>5</v>
      </c>
      <c r="H29" s="342">
        <v>1</v>
      </c>
      <c r="I29" s="311">
        <v>8386.2099999999991</v>
      </c>
      <c r="J29" s="311">
        <v>1644.24</v>
      </c>
      <c r="K29" s="343">
        <v>0</v>
      </c>
      <c r="L29" s="344">
        <v>1</v>
      </c>
      <c r="M29" s="345">
        <v>0</v>
      </c>
      <c r="N29" s="345">
        <v>1644.24</v>
      </c>
      <c r="O29" s="345"/>
      <c r="P29" s="345"/>
      <c r="Q29" s="345"/>
    </row>
    <row r="30" spans="1:18" ht="15">
      <c r="B30" s="309"/>
      <c r="C30" s="309" t="s">
        <v>197</v>
      </c>
      <c r="D30" s="309" t="s">
        <v>210</v>
      </c>
      <c r="E30" s="310">
        <v>2018</v>
      </c>
      <c r="F30" s="362">
        <v>3945</v>
      </c>
      <c r="G30" s="309">
        <v>10</v>
      </c>
      <c r="H30" s="342">
        <v>1</v>
      </c>
      <c r="I30" s="311">
        <f t="shared" si="1"/>
        <v>3945</v>
      </c>
      <c r="J30" s="311">
        <f t="shared" si="13"/>
        <v>394.5</v>
      </c>
      <c r="K30" s="343">
        <v>1</v>
      </c>
      <c r="L30" s="344">
        <v>0</v>
      </c>
      <c r="M30" s="345">
        <f>J30*K30</f>
        <v>394.5</v>
      </c>
      <c r="N30" s="345">
        <f t="shared" si="3"/>
        <v>0</v>
      </c>
      <c r="O30" s="345">
        <f>I30-(($A$2-E30)*J30)</f>
        <v>3550.5</v>
      </c>
      <c r="P30" s="345">
        <f t="shared" si="4"/>
        <v>3550.5</v>
      </c>
      <c r="Q30" s="345">
        <f t="shared" si="5"/>
        <v>0</v>
      </c>
    </row>
    <row r="31" spans="1:18" ht="15">
      <c r="B31" s="309"/>
      <c r="C31" s="309" t="s">
        <v>198</v>
      </c>
      <c r="D31" s="309" t="s">
        <v>328</v>
      </c>
      <c r="E31" s="310">
        <v>2018</v>
      </c>
      <c r="F31" s="361">
        <v>2710</v>
      </c>
      <c r="G31" s="378">
        <v>5</v>
      </c>
      <c r="H31" s="363">
        <v>0</v>
      </c>
      <c r="I31" s="361"/>
      <c r="J31" s="361"/>
      <c r="K31" s="364"/>
      <c r="L31" s="365"/>
      <c r="M31" s="366"/>
      <c r="N31" s="366"/>
      <c r="O31" s="366"/>
      <c r="P31" s="366"/>
      <c r="Q31" s="366"/>
      <c r="R31" s="231" t="s">
        <v>241</v>
      </c>
    </row>
    <row r="32" spans="1:18" ht="15">
      <c r="B32" s="309"/>
      <c r="C32" s="309" t="s">
        <v>197</v>
      </c>
      <c r="D32" s="309" t="s">
        <v>220</v>
      </c>
      <c r="E32" s="310">
        <v>2018</v>
      </c>
      <c r="F32" s="362">
        <v>1580</v>
      </c>
      <c r="G32" s="309">
        <v>10</v>
      </c>
      <c r="H32" s="342">
        <v>1</v>
      </c>
      <c r="I32" s="311">
        <f t="shared" si="1"/>
        <v>1580</v>
      </c>
      <c r="J32" s="311">
        <f t="shared" si="13"/>
        <v>158</v>
      </c>
      <c r="K32" s="343">
        <v>1</v>
      </c>
      <c r="L32" s="344">
        <v>0</v>
      </c>
      <c r="M32" s="345">
        <f t="shared" si="2"/>
        <v>158</v>
      </c>
      <c r="N32" s="345">
        <f t="shared" si="3"/>
        <v>0</v>
      </c>
      <c r="O32" s="345">
        <f>I32-(($A$2-E32)*J32)</f>
        <v>1422</v>
      </c>
      <c r="P32" s="345">
        <f t="shared" si="4"/>
        <v>1422</v>
      </c>
      <c r="Q32" s="345">
        <f t="shared" si="5"/>
        <v>0</v>
      </c>
    </row>
    <row r="33" spans="2:18" ht="15">
      <c r="B33" s="309"/>
      <c r="C33" s="309" t="s">
        <v>190</v>
      </c>
      <c r="D33" s="309" t="s">
        <v>330</v>
      </c>
      <c r="E33" s="310">
        <v>2018</v>
      </c>
      <c r="F33" s="361">
        <v>2270</v>
      </c>
      <c r="G33" s="378">
        <v>10</v>
      </c>
      <c r="H33" s="363">
        <v>0</v>
      </c>
      <c r="I33" s="361"/>
      <c r="J33" s="361"/>
      <c r="K33" s="364"/>
      <c r="L33" s="365"/>
      <c r="M33" s="366"/>
      <c r="N33" s="366"/>
      <c r="O33" s="366"/>
      <c r="P33" s="366"/>
      <c r="Q33" s="366"/>
      <c r="R33" s="231" t="s">
        <v>242</v>
      </c>
    </row>
    <row r="34" spans="2:18" ht="15">
      <c r="B34" s="309"/>
      <c r="C34" s="309" t="s">
        <v>190</v>
      </c>
      <c r="D34" s="309" t="s">
        <v>329</v>
      </c>
      <c r="E34" s="310">
        <v>2019</v>
      </c>
      <c r="F34" s="361">
        <v>3576.23</v>
      </c>
      <c r="G34" s="378">
        <v>10</v>
      </c>
      <c r="H34" s="363">
        <v>0</v>
      </c>
      <c r="I34" s="361"/>
      <c r="J34" s="361"/>
      <c r="K34" s="364"/>
      <c r="L34" s="365"/>
      <c r="M34" s="366"/>
      <c r="N34" s="366"/>
      <c r="O34" s="366"/>
      <c r="P34" s="366"/>
      <c r="Q34" s="366"/>
      <c r="R34" s="231"/>
    </row>
    <row r="35" spans="2:18" ht="15">
      <c r="B35" s="307"/>
      <c r="C35" s="309" t="s">
        <v>190</v>
      </c>
      <c r="D35" s="307" t="s">
        <v>311</v>
      </c>
      <c r="E35" s="308">
        <v>2019</v>
      </c>
      <c r="F35" s="367">
        <f>'Asset Verification'!E30</f>
        <v>11016</v>
      </c>
      <c r="G35" s="307">
        <v>5</v>
      </c>
      <c r="H35" s="347">
        <v>1</v>
      </c>
      <c r="I35" s="311">
        <f t="shared" ref="I35" si="14">F35*H35</f>
        <v>11016</v>
      </c>
      <c r="J35" s="311">
        <f t="shared" ref="J35" si="15">I35/G35</f>
        <v>2203.1999999999998</v>
      </c>
      <c r="K35" s="343">
        <v>0</v>
      </c>
      <c r="L35" s="344">
        <v>1</v>
      </c>
      <c r="M35" s="345">
        <f t="shared" ref="M35" si="16">J35*K35</f>
        <v>0</v>
      </c>
      <c r="N35" s="345">
        <f t="shared" ref="N35" si="17">J35*L35</f>
        <v>2203.1999999999998</v>
      </c>
      <c r="O35" s="345">
        <f>I35-J35</f>
        <v>8812.7999999999993</v>
      </c>
      <c r="P35" s="345">
        <f t="shared" ref="P35" si="18">K35*O35</f>
        <v>0</v>
      </c>
      <c r="Q35" s="345">
        <f t="shared" ref="Q35" si="19">O35*L35</f>
        <v>8812.7999999999993</v>
      </c>
      <c r="R35" s="231"/>
    </row>
    <row r="36" spans="2:18" ht="15">
      <c r="B36" s="307"/>
      <c r="C36" s="307"/>
      <c r="D36" s="307"/>
      <c r="E36" s="308"/>
      <c r="F36" s="346"/>
      <c r="G36" s="307"/>
      <c r="H36" s="347"/>
      <c r="I36" s="346"/>
      <c r="J36" s="346"/>
      <c r="K36" s="348"/>
      <c r="L36" s="349"/>
      <c r="M36" s="350"/>
      <c r="N36" s="350"/>
      <c r="O36" s="350"/>
      <c r="P36" s="350"/>
      <c r="Q36" s="350"/>
      <c r="R36" s="231"/>
    </row>
    <row r="37" spans="2:18" ht="15">
      <c r="B37" s="307"/>
      <c r="C37" s="307"/>
      <c r="D37" s="307"/>
      <c r="E37" s="308"/>
      <c r="F37" s="346"/>
      <c r="G37" s="307"/>
      <c r="H37" s="347"/>
      <c r="I37" s="346"/>
      <c r="J37" s="346"/>
      <c r="K37" s="348"/>
      <c r="L37" s="349"/>
      <c r="M37" s="350"/>
      <c r="N37" s="350"/>
      <c r="O37" s="350"/>
      <c r="P37" s="350"/>
      <c r="Q37" s="350"/>
      <c r="R37" s="231"/>
    </row>
    <row r="38" spans="2:18" ht="15">
      <c r="B38" s="351"/>
      <c r="C38" s="351"/>
      <c r="D38" s="351"/>
      <c r="E38" s="352"/>
      <c r="F38" s="353"/>
      <c r="G38" s="351"/>
      <c r="H38" s="354"/>
      <c r="I38" s="353"/>
      <c r="J38" s="353"/>
      <c r="K38" s="355"/>
      <c r="L38" s="356"/>
      <c r="M38" s="357"/>
      <c r="N38" s="357"/>
      <c r="O38" s="357"/>
      <c r="P38" s="357"/>
      <c r="Q38" s="357"/>
      <c r="R38" s="231"/>
    </row>
    <row r="39" spans="2:18" ht="13.5" customHeight="1">
      <c r="F39" s="297">
        <f>SUM(F8:F38)</f>
        <v>252563.66999999998</v>
      </c>
      <c r="J39" s="297">
        <f>SUM(J8:J38)</f>
        <v>35137.560766383322</v>
      </c>
      <c r="M39" s="298">
        <f>SUM(M8:M38)</f>
        <v>20807.664371877265</v>
      </c>
      <c r="N39" s="298">
        <f>SUM(N8:N38)</f>
        <v>14329.896394506053</v>
      </c>
      <c r="O39" s="298">
        <f t="shared" ref="O39" si="20">SUM(O8:O38)</f>
        <v>133660.23341911501</v>
      </c>
      <c r="P39" s="298">
        <f>SUM(P8:P38)</f>
        <v>86099.628744037807</v>
      </c>
      <c r="Q39" s="298">
        <f>SUM(Q8:Q38)</f>
        <v>47560.604675077208</v>
      </c>
    </row>
    <row r="41" spans="2:18">
      <c r="B41" s="231" t="s">
        <v>230</v>
      </c>
      <c r="M41" s="569" t="s">
        <v>259</v>
      </c>
      <c r="N41" s="569"/>
      <c r="P41" s="569" t="s">
        <v>104</v>
      </c>
      <c r="Q41" s="569"/>
    </row>
    <row r="42" spans="2:18">
      <c r="B42" s="231" t="s">
        <v>231</v>
      </c>
      <c r="M42" s="259" t="s">
        <v>166</v>
      </c>
      <c r="N42" s="259" t="s">
        <v>167</v>
      </c>
      <c r="O42" s="268"/>
      <c r="P42" s="259" t="s">
        <v>166</v>
      </c>
      <c r="Q42" s="259" t="s">
        <v>167</v>
      </c>
    </row>
    <row r="43" spans="2:18">
      <c r="L43" s="270" t="s">
        <v>256</v>
      </c>
      <c r="M43" s="260">
        <f>M39</f>
        <v>20807.664371877265</v>
      </c>
      <c r="N43" s="260">
        <f>N39</f>
        <v>14329.896394506053</v>
      </c>
      <c r="O43" s="269"/>
      <c r="P43" s="260">
        <f>P39</f>
        <v>86099.628744037807</v>
      </c>
      <c r="Q43" s="260">
        <f>Q39</f>
        <v>47560.604675077208</v>
      </c>
      <c r="R43" s="237">
        <f>P43+Q43</f>
        <v>133660.23341911501</v>
      </c>
    </row>
    <row r="44" spans="2:18">
      <c r="C44" s="236" t="s">
        <v>170</v>
      </c>
      <c r="N44" s="237"/>
    </row>
    <row r="45" spans="2:18" ht="15">
      <c r="C45" s="235" t="s">
        <v>243</v>
      </c>
      <c r="I45" s="237"/>
      <c r="L45" s="270" t="s">
        <v>331</v>
      </c>
      <c r="M45" s="237">
        <f>M43/2</f>
        <v>10403.832185938632</v>
      </c>
      <c r="N45" s="237">
        <f>N43/2</f>
        <v>7164.9481972530266</v>
      </c>
      <c r="O45" s="237">
        <f>M45+N45</f>
        <v>17568.780383191661</v>
      </c>
    </row>
    <row r="46" spans="2:18" ht="15">
      <c r="C46" s="232" t="s">
        <v>244</v>
      </c>
      <c r="L46" s="368"/>
      <c r="M46" s="368"/>
      <c r="N46" s="368"/>
      <c r="O46" s="368"/>
      <c r="P46" s="368"/>
      <c r="Q46" s="368"/>
    </row>
    <row r="47" spans="2:18">
      <c r="L47" s="369"/>
      <c r="M47" s="370"/>
      <c r="N47" s="370"/>
      <c r="O47" s="368"/>
      <c r="P47" s="370"/>
      <c r="Q47" s="370"/>
    </row>
    <row r="48" spans="2:18">
      <c r="L48" s="369"/>
      <c r="M48" s="370"/>
      <c r="N48" s="370"/>
      <c r="O48" s="368"/>
      <c r="P48" s="370"/>
      <c r="Q48" s="370"/>
    </row>
    <row r="49" spans="3:17">
      <c r="L49" s="369"/>
      <c r="M49" s="370"/>
      <c r="N49" s="370"/>
      <c r="O49" s="368"/>
      <c r="P49" s="370"/>
      <c r="Q49" s="370"/>
    </row>
    <row r="50" spans="3:17">
      <c r="L50" s="369"/>
      <c r="M50" s="368"/>
      <c r="N50" s="368"/>
      <c r="O50" s="368"/>
      <c r="P50" s="368"/>
      <c r="Q50" s="368"/>
    </row>
    <row r="51" spans="3:17">
      <c r="L51" s="369"/>
      <c r="M51" s="370"/>
      <c r="N51" s="370"/>
      <c r="O51" s="368"/>
      <c r="P51" s="370"/>
      <c r="Q51" s="370"/>
    </row>
    <row r="52" spans="3:17" ht="30">
      <c r="C52" s="230" t="s">
        <v>348</v>
      </c>
      <c r="D52" s="230"/>
      <c r="E52" s="230"/>
      <c r="F52" s="230"/>
      <c r="G52" s="564" t="s">
        <v>225</v>
      </c>
      <c r="H52" s="261" t="s">
        <v>240</v>
      </c>
      <c r="I52" s="230"/>
      <c r="J52" s="230"/>
      <c r="K52" s="566"/>
      <c r="L52" s="566"/>
      <c r="M52" s="567" t="s">
        <v>144</v>
      </c>
      <c r="N52" s="568"/>
      <c r="O52" s="230"/>
      <c r="P52" s="567" t="s">
        <v>104</v>
      </c>
      <c r="Q52" s="568"/>
    </row>
    <row r="53" spans="3:17" ht="15" customHeight="1">
      <c r="C53" s="263" t="s">
        <v>186</v>
      </c>
      <c r="D53" s="264" t="s">
        <v>203</v>
      </c>
      <c r="E53" s="265" t="s">
        <v>224</v>
      </c>
      <c r="F53" s="265" t="s">
        <v>103</v>
      </c>
      <c r="G53" s="565"/>
      <c r="H53" s="263" t="s">
        <v>227</v>
      </c>
      <c r="I53" s="263" t="s">
        <v>235</v>
      </c>
      <c r="J53" s="263" t="s">
        <v>228</v>
      </c>
      <c r="K53" s="263" t="s">
        <v>166</v>
      </c>
      <c r="L53" s="263" t="s">
        <v>167</v>
      </c>
      <c r="M53" s="263" t="s">
        <v>166</v>
      </c>
      <c r="N53" s="263" t="s">
        <v>167</v>
      </c>
      <c r="O53" s="263" t="s">
        <v>104</v>
      </c>
      <c r="P53" s="263" t="s">
        <v>166</v>
      </c>
      <c r="Q53" s="377" t="s">
        <v>167</v>
      </c>
    </row>
    <row r="54" spans="3:17" ht="15">
      <c r="C54" s="358" t="s">
        <v>187</v>
      </c>
      <c r="D54" s="358" t="s">
        <v>187</v>
      </c>
      <c r="E54" s="358" t="s">
        <v>222</v>
      </c>
      <c r="F54" s="359" t="s">
        <v>223</v>
      </c>
      <c r="G54" s="358" t="s">
        <v>222</v>
      </c>
      <c r="H54" s="358" t="s">
        <v>226</v>
      </c>
      <c r="I54" s="358" t="s">
        <v>76</v>
      </c>
      <c r="J54" s="358" t="s">
        <v>144</v>
      </c>
      <c r="K54" s="358" t="s">
        <v>226</v>
      </c>
      <c r="L54" s="358" t="s">
        <v>226</v>
      </c>
      <c r="M54" s="358"/>
      <c r="N54" s="358"/>
      <c r="O54" s="358"/>
      <c r="P54" s="358"/>
      <c r="Q54" s="360"/>
    </row>
    <row r="55" spans="3:17" ht="15">
      <c r="C55" s="309" t="s">
        <v>193</v>
      </c>
      <c r="D55" s="309" t="s">
        <v>325</v>
      </c>
      <c r="E55" s="310">
        <v>2017</v>
      </c>
      <c r="F55" s="361">
        <v>41848</v>
      </c>
      <c r="G55" s="378">
        <v>5</v>
      </c>
      <c r="H55" s="363">
        <v>1</v>
      </c>
      <c r="I55" s="361">
        <f t="shared" ref="I55:I56" si="21">F55*H55</f>
        <v>41848</v>
      </c>
      <c r="J55" s="361">
        <f t="shared" ref="J55:J56" si="22">I55/G55</f>
        <v>8369.6</v>
      </c>
      <c r="K55" s="364">
        <f>'Drive Hours Recap'!$E$32</f>
        <v>0.50156027946704529</v>
      </c>
      <c r="L55" s="365">
        <f>'Drive Hours Recap'!$E$33</f>
        <v>0.49843972053295477</v>
      </c>
      <c r="M55" s="366">
        <f t="shared" ref="M55:M56" si="23">J55*K55</f>
        <v>4197.8589150273829</v>
      </c>
      <c r="N55" s="366">
        <f t="shared" ref="N55:N56" si="24">J55*L55</f>
        <v>4171.7410849726184</v>
      </c>
      <c r="O55" s="366">
        <f>I55-(($A$2-E55)*J55)</f>
        <v>25108.799999999999</v>
      </c>
      <c r="P55" s="366">
        <f t="shared" ref="P55:P56" si="25">K55*O55</f>
        <v>12593.576745082146</v>
      </c>
      <c r="Q55" s="366">
        <f t="shared" ref="Q55:Q56" si="26">O55*L55</f>
        <v>12515.223254917853</v>
      </c>
    </row>
    <row r="56" spans="3:17" ht="15">
      <c r="C56" s="309" t="s">
        <v>193</v>
      </c>
      <c r="D56" s="309" t="s">
        <v>326</v>
      </c>
      <c r="E56" s="310">
        <v>2017</v>
      </c>
      <c r="F56" s="361">
        <v>8599</v>
      </c>
      <c r="G56" s="378">
        <v>5</v>
      </c>
      <c r="H56" s="363">
        <v>1</v>
      </c>
      <c r="I56" s="361">
        <f t="shared" si="21"/>
        <v>8599</v>
      </c>
      <c r="J56" s="361">
        <f t="shared" si="22"/>
        <v>1719.8</v>
      </c>
      <c r="K56" s="364">
        <f>'Drive Hours Recap'!$E$32</f>
        <v>0.50156027946704529</v>
      </c>
      <c r="L56" s="365">
        <f>'Drive Hours Recap'!$E$33</f>
        <v>0.49843972053295477</v>
      </c>
      <c r="M56" s="366">
        <f t="shared" si="23"/>
        <v>862.58336862742442</v>
      </c>
      <c r="N56" s="366">
        <f t="shared" si="24"/>
        <v>857.21663137257553</v>
      </c>
      <c r="O56" s="366">
        <f t="shared" ref="O56" si="27">I56-(($A$2-E56)*J56)</f>
        <v>5159.3999999999996</v>
      </c>
      <c r="P56" s="366">
        <f t="shared" si="25"/>
        <v>2587.7501058822731</v>
      </c>
      <c r="Q56" s="366">
        <f t="shared" si="26"/>
        <v>2571.6498941177265</v>
      </c>
    </row>
    <row r="57" spans="3:17" ht="15">
      <c r="C57" s="309" t="s">
        <v>194</v>
      </c>
      <c r="D57" s="309" t="s">
        <v>327</v>
      </c>
      <c r="E57" s="310">
        <v>2017</v>
      </c>
      <c r="F57" s="361">
        <v>1886</v>
      </c>
      <c r="G57" s="378">
        <v>5</v>
      </c>
      <c r="H57" s="363">
        <v>1</v>
      </c>
      <c r="I57" s="361">
        <f t="shared" ref="I57" si="28">F57*H57</f>
        <v>1886</v>
      </c>
      <c r="J57" s="361">
        <f t="shared" ref="J57" si="29">I57/G57</f>
        <v>377.2</v>
      </c>
      <c r="K57" s="364">
        <f>'Drive Hours Recap'!$E$32</f>
        <v>0.50156027946704529</v>
      </c>
      <c r="L57" s="365">
        <f>'Drive Hours Recap'!$E$33</f>
        <v>0.49843972053295477</v>
      </c>
      <c r="M57" s="366">
        <f t="shared" ref="M57" si="30">J57*K57</f>
        <v>189.18853741496949</v>
      </c>
      <c r="N57" s="366">
        <f t="shared" ref="N57" si="31">J57*L57</f>
        <v>188.01146258503053</v>
      </c>
      <c r="O57" s="366">
        <f>I57-(($A$2-E57)*J57)</f>
        <v>1131.5999999999999</v>
      </c>
      <c r="P57" s="366">
        <f>K57*O57</f>
        <v>567.56561224490838</v>
      </c>
      <c r="Q57" s="366">
        <f t="shared" ref="Q57" si="32">O57*L57</f>
        <v>564.03438775509153</v>
      </c>
    </row>
    <row r="58" spans="3:17" ht="15">
      <c r="C58" s="309" t="s">
        <v>198</v>
      </c>
      <c r="D58" s="309" t="s">
        <v>328</v>
      </c>
      <c r="E58" s="310">
        <v>2018</v>
      </c>
      <c r="F58" s="361">
        <v>2710</v>
      </c>
      <c r="G58" s="378">
        <v>5</v>
      </c>
      <c r="H58" s="363">
        <v>1</v>
      </c>
      <c r="I58" s="361">
        <f t="shared" ref="I58:I60" si="33">F58*H58</f>
        <v>2710</v>
      </c>
      <c r="J58" s="361">
        <f t="shared" ref="J58:J64" si="34">I58/G58</f>
        <v>542</v>
      </c>
      <c r="K58" s="364">
        <f>'Drive Hours Recap'!$E$32</f>
        <v>0.50156027946704529</v>
      </c>
      <c r="L58" s="365">
        <f>'Drive Hours Recap'!$E$33</f>
        <v>0.49843972053295477</v>
      </c>
      <c r="M58" s="366">
        <f t="shared" ref="M58:M60" si="35">J58*K58</f>
        <v>271.84567147113853</v>
      </c>
      <c r="N58" s="366">
        <f t="shared" ref="N58:N64" si="36">J58*L58</f>
        <v>270.15432852886147</v>
      </c>
      <c r="O58" s="366">
        <f t="shared" ref="O58:O60" si="37">I58-(($A$2-E58)*J58)</f>
        <v>2168</v>
      </c>
      <c r="P58" s="366">
        <f t="shared" ref="P58:P60" si="38">K58*O58</f>
        <v>1087.3826858845541</v>
      </c>
      <c r="Q58" s="366">
        <f t="shared" ref="Q58:Q64" si="39">O58*L58</f>
        <v>1080.6173141154459</v>
      </c>
    </row>
    <row r="59" spans="3:17" ht="15">
      <c r="C59" s="309" t="s">
        <v>190</v>
      </c>
      <c r="D59" s="309" t="s">
        <v>330</v>
      </c>
      <c r="E59" s="310">
        <v>2018</v>
      </c>
      <c r="F59" s="361">
        <v>2270</v>
      </c>
      <c r="G59" s="378">
        <v>10</v>
      </c>
      <c r="H59" s="363">
        <v>1</v>
      </c>
      <c r="I59" s="361">
        <f t="shared" si="33"/>
        <v>2270</v>
      </c>
      <c r="J59" s="361">
        <f t="shared" si="34"/>
        <v>227</v>
      </c>
      <c r="K59" s="364">
        <f>'Drive Hours Recap'!$E$32</f>
        <v>0.50156027946704529</v>
      </c>
      <c r="L59" s="365">
        <f>'Drive Hours Recap'!$E$33</f>
        <v>0.49843972053295477</v>
      </c>
      <c r="M59" s="366">
        <f t="shared" si="35"/>
        <v>113.85418343901928</v>
      </c>
      <c r="N59" s="366">
        <f t="shared" si="36"/>
        <v>113.14581656098073</v>
      </c>
      <c r="O59" s="366">
        <f t="shared" si="37"/>
        <v>2043</v>
      </c>
      <c r="P59" s="366">
        <f t="shared" si="38"/>
        <v>1024.6876509511735</v>
      </c>
      <c r="Q59" s="366">
        <f t="shared" si="39"/>
        <v>1018.3123490488266</v>
      </c>
    </row>
    <row r="60" spans="3:17" ht="15">
      <c r="C60" s="309" t="s">
        <v>190</v>
      </c>
      <c r="D60" s="309" t="s">
        <v>329</v>
      </c>
      <c r="E60" s="310">
        <v>2019</v>
      </c>
      <c r="F60" s="361">
        <v>3576.23</v>
      </c>
      <c r="G60" s="378">
        <v>10</v>
      </c>
      <c r="H60" s="363">
        <v>1</v>
      </c>
      <c r="I60" s="361">
        <f t="shared" si="33"/>
        <v>3576.23</v>
      </c>
      <c r="J60" s="361">
        <f t="shared" si="34"/>
        <v>357.62299999999999</v>
      </c>
      <c r="K60" s="364">
        <f>'Drive Hours Recap'!$E$32</f>
        <v>0.50156027946704529</v>
      </c>
      <c r="L60" s="365">
        <f>'Drive Hours Recap'!$E$33</f>
        <v>0.49843972053295477</v>
      </c>
      <c r="M60" s="366">
        <f t="shared" si="35"/>
        <v>179.36949182384313</v>
      </c>
      <c r="N60" s="366">
        <f t="shared" si="36"/>
        <v>178.25350817615688</v>
      </c>
      <c r="O60" s="366">
        <f t="shared" si="37"/>
        <v>3576.23</v>
      </c>
      <c r="P60" s="366">
        <f t="shared" si="38"/>
        <v>1793.6949182384315</v>
      </c>
      <c r="Q60" s="366">
        <f t="shared" si="39"/>
        <v>1782.5350817615688</v>
      </c>
    </row>
    <row r="61" spans="3:17" ht="15">
      <c r="C61" s="309" t="s">
        <v>192</v>
      </c>
      <c r="D61" s="309" t="s">
        <v>212</v>
      </c>
      <c r="E61" s="310">
        <v>2019</v>
      </c>
      <c r="F61" s="362">
        <f>F19</f>
        <v>3189</v>
      </c>
      <c r="G61" s="309">
        <v>3</v>
      </c>
      <c r="H61" s="342">
        <f>1-H19</f>
        <v>0.3135565452148914</v>
      </c>
      <c r="I61" s="311">
        <f>F61*H61</f>
        <v>999.93182269028864</v>
      </c>
      <c r="J61" s="311">
        <f t="shared" si="34"/>
        <v>333.31060756342953</v>
      </c>
      <c r="K61" s="343">
        <f>'Drive Hours Recap'!$E$32</f>
        <v>0.50156027946704529</v>
      </c>
      <c r="L61" s="344">
        <f>'Drive Hours Recap'!E33</f>
        <v>0.49843972053295477</v>
      </c>
      <c r="M61" s="345">
        <f>J61*K61</f>
        <v>167.17536147884437</v>
      </c>
      <c r="N61" s="345">
        <f t="shared" si="36"/>
        <v>166.13524608458516</v>
      </c>
      <c r="O61" s="345">
        <f>I61-J61</f>
        <v>666.62121512685917</v>
      </c>
      <c r="P61" s="345">
        <f>K61*O61</f>
        <v>334.35072295768879</v>
      </c>
      <c r="Q61" s="345">
        <f t="shared" si="39"/>
        <v>332.27049216917038</v>
      </c>
    </row>
    <row r="62" spans="3:17" ht="15">
      <c r="C62" s="309" t="s">
        <v>192</v>
      </c>
      <c r="D62" s="309" t="s">
        <v>212</v>
      </c>
      <c r="E62" s="310">
        <v>2019</v>
      </c>
      <c r="F62" s="362">
        <v>3203</v>
      </c>
      <c r="G62" s="309">
        <v>3</v>
      </c>
      <c r="H62" s="342">
        <f>1-H20</f>
        <v>0.3135565452148914</v>
      </c>
      <c r="I62" s="311">
        <f t="shared" ref="I62:I64" si="40">F62*H62</f>
        <v>1004.3216143232971</v>
      </c>
      <c r="J62" s="311">
        <f t="shared" si="34"/>
        <v>334.77387144109906</v>
      </c>
      <c r="K62" s="343">
        <f>'Drive Hours Recap'!$E$32</f>
        <v>0.50156027946704529</v>
      </c>
      <c r="L62" s="344">
        <f>'Drive Hours Recap'!E34</f>
        <v>1</v>
      </c>
      <c r="M62" s="345">
        <f t="shared" ref="M62:M64" si="41">J62*K62</f>
        <v>167.90927651826235</v>
      </c>
      <c r="N62" s="345">
        <f t="shared" si="36"/>
        <v>334.77387144109906</v>
      </c>
      <c r="O62" s="345">
        <f t="shared" ref="O62:O64" si="42">I62-J62</f>
        <v>669.54774288219801</v>
      </c>
      <c r="P62" s="345">
        <f t="shared" ref="P62:P64" si="43">K62*O62</f>
        <v>335.81855303652463</v>
      </c>
      <c r="Q62" s="345">
        <f t="shared" si="39"/>
        <v>669.54774288219801</v>
      </c>
    </row>
    <row r="63" spans="3:17" ht="15">
      <c r="C63" s="309" t="s">
        <v>192</v>
      </c>
      <c r="D63" s="309" t="s">
        <v>371</v>
      </c>
      <c r="E63" s="310">
        <v>2019</v>
      </c>
      <c r="F63" s="362">
        <v>1651.88</v>
      </c>
      <c r="G63" s="309">
        <v>5</v>
      </c>
      <c r="H63" s="342">
        <f>1-H21</f>
        <v>0.3135565452148914</v>
      </c>
      <c r="I63" s="311">
        <f t="shared" si="40"/>
        <v>517.9577859095748</v>
      </c>
      <c r="J63" s="311">
        <f t="shared" si="34"/>
        <v>103.59155718191496</v>
      </c>
      <c r="K63" s="343">
        <f>'Drive Hours Recap'!$E$32</f>
        <v>0.50156027946704529</v>
      </c>
      <c r="L63" s="344">
        <f>'Drive Hours Recap'!E35</f>
        <v>0</v>
      </c>
      <c r="M63" s="345">
        <f t="shared" si="41"/>
        <v>51.957410370587674</v>
      </c>
      <c r="N63" s="345">
        <f t="shared" si="36"/>
        <v>0</v>
      </c>
      <c r="O63" s="345">
        <f t="shared" si="42"/>
        <v>414.36622872765986</v>
      </c>
      <c r="P63" s="345">
        <f t="shared" si="43"/>
        <v>207.8296414823507</v>
      </c>
      <c r="Q63" s="345">
        <f t="shared" si="39"/>
        <v>0</v>
      </c>
    </row>
    <row r="64" spans="3:17" ht="15">
      <c r="C64" s="309" t="s">
        <v>192</v>
      </c>
      <c r="D64" s="309" t="s">
        <v>213</v>
      </c>
      <c r="E64" s="310">
        <v>2017</v>
      </c>
      <c r="F64" s="362">
        <v>4395</v>
      </c>
      <c r="G64" s="309">
        <v>3</v>
      </c>
      <c r="H64" s="342">
        <f t="shared" ref="H64" si="44">1-H23</f>
        <v>1</v>
      </c>
      <c r="I64" s="311">
        <f t="shared" si="40"/>
        <v>4395</v>
      </c>
      <c r="J64" s="311">
        <f t="shared" si="34"/>
        <v>1465</v>
      </c>
      <c r="K64" s="343">
        <f>'Drive Hours Recap'!$E$32</f>
        <v>0.50156027946704529</v>
      </c>
      <c r="L64" s="344">
        <f>'Drive Hours Recap'!E36</f>
        <v>0</v>
      </c>
      <c r="M64" s="345">
        <f t="shared" si="41"/>
        <v>734.78580941922132</v>
      </c>
      <c r="N64" s="345">
        <f t="shared" si="36"/>
        <v>0</v>
      </c>
      <c r="O64" s="390">
        <f t="shared" si="42"/>
        <v>2930</v>
      </c>
      <c r="P64" s="345">
        <f t="shared" si="43"/>
        <v>1469.5716188384426</v>
      </c>
      <c r="Q64" s="345">
        <f t="shared" si="39"/>
        <v>0</v>
      </c>
    </row>
    <row r="65" spans="10:15">
      <c r="J65" s="237">
        <f>SUM(J55:J64)</f>
        <v>13829.899036186443</v>
      </c>
      <c r="O65" s="237">
        <f>SUM(O55:O64)</f>
        <v>43867.565186736712</v>
      </c>
    </row>
    <row r="67" spans="10:15">
      <c r="J67" s="237">
        <f>J65/2</f>
        <v>6914.9495180932217</v>
      </c>
    </row>
    <row r="68" spans="10:15">
      <c r="M68" s="237"/>
    </row>
  </sheetData>
  <mergeCells count="10">
    <mergeCell ref="G52:G53"/>
    <mergeCell ref="K52:L52"/>
    <mergeCell ref="M52:N52"/>
    <mergeCell ref="P52:Q52"/>
    <mergeCell ref="K5:L5"/>
    <mergeCell ref="M5:N5"/>
    <mergeCell ref="P5:Q5"/>
    <mergeCell ref="G5:G6"/>
    <mergeCell ref="M41:N41"/>
    <mergeCell ref="P41:Q41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500-000000000000}">
          <x14:formula1>
            <xm:f>'https://stateofwa-my.sharepoint.com/Users/myoung215/AppData/Local/Microsoft/Windows/INetCache/Content.Outlook/BZZ6GHZH/[Staff Gary''s Garbage rate case 3.xlsx]Depn  Summary'!#REF!</xm:f>
          </x14:formula1>
          <xm:sqref>C8:C38 C55:C64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</sheetPr>
  <dimension ref="A2:G40"/>
  <sheetViews>
    <sheetView workbookViewId="0">
      <selection activeCell="C51" sqref="C51"/>
    </sheetView>
  </sheetViews>
  <sheetFormatPr defaultRowHeight="15"/>
  <cols>
    <col min="1" max="1" width="8.88671875" style="312"/>
    <col min="2" max="2" width="31" style="312" customWidth="1"/>
    <col min="3" max="3" width="30.5546875" style="312" customWidth="1"/>
    <col min="4" max="4" width="8.88671875" style="312"/>
    <col min="5" max="5" width="14.109375" style="312" customWidth="1"/>
    <col min="6" max="6" width="2.44140625" style="312" customWidth="1"/>
    <col min="7" max="7" width="46.33203125" style="312" customWidth="1"/>
    <col min="8" max="16384" width="8.88671875" style="312"/>
  </cols>
  <sheetData>
    <row r="2" spans="1:7">
      <c r="B2" s="313" t="s">
        <v>240</v>
      </c>
    </row>
    <row r="3" spans="1:7">
      <c r="B3" s="314" t="s">
        <v>313</v>
      </c>
    </row>
    <row r="4" spans="1:7">
      <c r="B4" s="315" t="s">
        <v>314</v>
      </c>
    </row>
    <row r="5" spans="1:7">
      <c r="B5" s="316" t="s">
        <v>315</v>
      </c>
    </row>
    <row r="6" spans="1:7" ht="30">
      <c r="B6" s="312" t="s">
        <v>306</v>
      </c>
      <c r="C6" s="312" t="s">
        <v>307</v>
      </c>
      <c r="D6" s="312" t="s">
        <v>224</v>
      </c>
      <c r="E6" s="317" t="s">
        <v>312</v>
      </c>
      <c r="G6" s="312" t="s">
        <v>309</v>
      </c>
    </row>
    <row r="7" spans="1:7">
      <c r="A7" s="318" t="s">
        <v>201</v>
      </c>
      <c r="B7" s="319" t="s">
        <v>189</v>
      </c>
      <c r="C7" s="319" t="s">
        <v>207</v>
      </c>
      <c r="D7" s="320">
        <v>2018</v>
      </c>
      <c r="E7" s="321">
        <v>16000</v>
      </c>
      <c r="F7" s="322"/>
    </row>
    <row r="8" spans="1:7">
      <c r="A8" s="324" t="s">
        <v>200</v>
      </c>
      <c r="B8" s="319" t="s">
        <v>189</v>
      </c>
      <c r="C8" s="319" t="s">
        <v>208</v>
      </c>
      <c r="D8" s="320">
        <v>2019</v>
      </c>
      <c r="E8" s="325">
        <v>0</v>
      </c>
      <c r="F8" s="322"/>
      <c r="G8" s="312" t="s">
        <v>318</v>
      </c>
    </row>
    <row r="9" spans="1:7">
      <c r="A9" s="324" t="s">
        <v>202</v>
      </c>
      <c r="B9" s="319" t="s">
        <v>189</v>
      </c>
      <c r="C9" s="319" t="s">
        <v>206</v>
      </c>
      <c r="D9" s="320">
        <v>2019</v>
      </c>
      <c r="E9" s="321">
        <f>5750+4085</f>
        <v>9835</v>
      </c>
      <c r="F9" s="322"/>
    </row>
    <row r="10" spans="1:7">
      <c r="A10" s="324" t="s">
        <v>202</v>
      </c>
      <c r="B10" s="319" t="s">
        <v>190</v>
      </c>
      <c r="C10" s="319" t="s">
        <v>209</v>
      </c>
      <c r="D10" s="320">
        <v>2018</v>
      </c>
      <c r="E10" s="321">
        <v>3777</v>
      </c>
      <c r="F10" s="322"/>
    </row>
    <row r="11" spans="1:7">
      <c r="A11" s="318" t="s">
        <v>201</v>
      </c>
      <c r="B11" s="319" t="s">
        <v>191</v>
      </c>
      <c r="C11" s="319" t="s">
        <v>210</v>
      </c>
      <c r="D11" s="320">
        <v>2017</v>
      </c>
      <c r="E11" s="321">
        <v>3875</v>
      </c>
      <c r="F11" s="322"/>
    </row>
    <row r="12" spans="1:7">
      <c r="A12" s="324" t="s">
        <v>202</v>
      </c>
      <c r="B12" s="319" t="s">
        <v>190</v>
      </c>
      <c r="C12" s="319" t="s">
        <v>211</v>
      </c>
      <c r="D12" s="320">
        <v>2019</v>
      </c>
      <c r="E12" s="321">
        <v>17185.48</v>
      </c>
      <c r="F12" s="322"/>
    </row>
    <row r="13" spans="1:7">
      <c r="A13" s="324" t="s">
        <v>200</v>
      </c>
      <c r="B13" s="319" t="s">
        <v>192</v>
      </c>
      <c r="C13" s="319" t="s">
        <v>212</v>
      </c>
      <c r="D13" s="320">
        <v>2019</v>
      </c>
      <c r="E13" s="321">
        <v>3189</v>
      </c>
      <c r="F13" s="322"/>
    </row>
    <row r="14" spans="1:7">
      <c r="A14" s="326" t="s">
        <v>201</v>
      </c>
      <c r="B14" s="319" t="s">
        <v>192</v>
      </c>
      <c r="C14" s="319" t="s">
        <v>213</v>
      </c>
      <c r="D14" s="320">
        <v>2017</v>
      </c>
      <c r="E14" s="321">
        <v>4395</v>
      </c>
      <c r="F14" s="322"/>
    </row>
    <row r="15" spans="1:7">
      <c r="A15" s="327" t="s">
        <v>201</v>
      </c>
      <c r="B15" s="328" t="s">
        <v>193</v>
      </c>
      <c r="C15" s="328" t="s">
        <v>214</v>
      </c>
      <c r="D15" s="329">
        <v>2017</v>
      </c>
      <c r="E15" s="330">
        <v>41848</v>
      </c>
      <c r="F15" s="330"/>
      <c r="G15" s="313"/>
    </row>
    <row r="16" spans="1:7">
      <c r="A16" s="327" t="s">
        <v>201</v>
      </c>
      <c r="B16" s="328" t="s">
        <v>193</v>
      </c>
      <c r="C16" s="328" t="s">
        <v>215</v>
      </c>
      <c r="D16" s="329">
        <v>2017</v>
      </c>
      <c r="E16" s="330">
        <v>8599</v>
      </c>
      <c r="F16" s="330"/>
      <c r="G16" s="313"/>
    </row>
    <row r="17" spans="1:7">
      <c r="A17" s="326" t="s">
        <v>201</v>
      </c>
      <c r="B17" s="319" t="s">
        <v>194</v>
      </c>
      <c r="C17" s="319" t="s">
        <v>216</v>
      </c>
      <c r="D17" s="320">
        <v>2017</v>
      </c>
      <c r="E17" s="325">
        <v>1886</v>
      </c>
      <c r="F17" s="325"/>
      <c r="G17" s="331" t="s">
        <v>319</v>
      </c>
    </row>
    <row r="18" spans="1:7">
      <c r="A18" s="318" t="s">
        <v>201</v>
      </c>
      <c r="B18" s="319" t="s">
        <v>195</v>
      </c>
      <c r="C18" s="319" t="s">
        <v>217</v>
      </c>
      <c r="D18" s="320">
        <v>2017</v>
      </c>
      <c r="E18" s="321">
        <v>3283</v>
      </c>
      <c r="F18" s="322"/>
    </row>
    <row r="19" spans="1:7">
      <c r="A19" s="318" t="s">
        <v>201</v>
      </c>
      <c r="B19" s="319" t="s">
        <v>196</v>
      </c>
      <c r="C19" s="319" t="s">
        <v>218</v>
      </c>
      <c r="D19" s="320">
        <v>2017</v>
      </c>
      <c r="E19" s="321">
        <v>3493</v>
      </c>
      <c r="F19" s="322"/>
    </row>
    <row r="20" spans="1:7">
      <c r="A20" s="324" t="s">
        <v>202</v>
      </c>
      <c r="B20" s="319" t="s">
        <v>196</v>
      </c>
      <c r="C20" s="319" t="s">
        <v>320</v>
      </c>
      <c r="D20" s="320">
        <v>2019</v>
      </c>
      <c r="E20" s="321">
        <v>26202.75</v>
      </c>
      <c r="F20" s="322"/>
    </row>
    <row r="21" spans="1:7">
      <c r="A21" s="318" t="s">
        <v>201</v>
      </c>
      <c r="B21" s="319" t="s">
        <v>197</v>
      </c>
      <c r="C21" s="319" t="s">
        <v>210</v>
      </c>
      <c r="D21" s="320">
        <v>2018</v>
      </c>
      <c r="E21" s="321">
        <v>3945</v>
      </c>
      <c r="F21" s="322"/>
    </row>
    <row r="22" spans="1:7">
      <c r="A22" s="332" t="s">
        <v>201</v>
      </c>
      <c r="B22" s="328" t="s">
        <v>198</v>
      </c>
      <c r="C22" s="328" t="s">
        <v>219</v>
      </c>
      <c r="D22" s="329">
        <v>2018</v>
      </c>
      <c r="E22" s="330">
        <v>2710</v>
      </c>
      <c r="F22" s="330"/>
      <c r="G22" s="313"/>
    </row>
    <row r="23" spans="1:7">
      <c r="A23" s="318" t="s">
        <v>201</v>
      </c>
      <c r="B23" s="319" t="s">
        <v>197</v>
      </c>
      <c r="C23" s="319" t="s">
        <v>220</v>
      </c>
      <c r="D23" s="320">
        <v>2018</v>
      </c>
      <c r="E23" s="321">
        <v>1580</v>
      </c>
      <c r="F23" s="322"/>
    </row>
    <row r="24" spans="1:7">
      <c r="A24" s="326" t="s">
        <v>201</v>
      </c>
      <c r="B24" s="319" t="s">
        <v>190</v>
      </c>
      <c r="C24" s="319" t="s">
        <v>221</v>
      </c>
      <c r="D24" s="320">
        <v>2018</v>
      </c>
      <c r="E24" s="325">
        <v>2270</v>
      </c>
      <c r="F24" s="325"/>
      <c r="G24" s="331" t="s">
        <v>319</v>
      </c>
    </row>
    <row r="25" spans="1:7">
      <c r="A25" s="333"/>
      <c r="B25" s="319" t="s">
        <v>190</v>
      </c>
      <c r="C25" s="319" t="s">
        <v>300</v>
      </c>
      <c r="D25" s="320">
        <v>2019</v>
      </c>
      <c r="E25" s="325">
        <v>3576.23</v>
      </c>
      <c r="F25" s="325"/>
      <c r="G25" s="331" t="s">
        <v>319</v>
      </c>
    </row>
    <row r="26" spans="1:7">
      <c r="A26" s="334"/>
      <c r="E26" s="323"/>
      <c r="F26" s="323"/>
    </row>
    <row r="27" spans="1:7">
      <c r="A27" s="334"/>
      <c r="B27" s="335" t="s">
        <v>358</v>
      </c>
      <c r="E27" s="323"/>
      <c r="F27" s="323"/>
    </row>
    <row r="28" spans="1:7">
      <c r="B28" s="319" t="s">
        <v>189</v>
      </c>
      <c r="C28" s="319" t="s">
        <v>308</v>
      </c>
      <c r="D28" s="320">
        <v>2018</v>
      </c>
      <c r="E28" s="336">
        <f>43480+4089</f>
        <v>47569</v>
      </c>
      <c r="F28" s="337"/>
      <c r="G28" s="312" t="s">
        <v>322</v>
      </c>
    </row>
    <row r="29" spans="1:7">
      <c r="B29" s="319" t="s">
        <v>189</v>
      </c>
      <c r="C29" s="312" t="s">
        <v>310</v>
      </c>
      <c r="D29" s="312">
        <v>2019</v>
      </c>
      <c r="E29" s="336">
        <v>12018</v>
      </c>
      <c r="F29" s="337"/>
      <c r="G29" s="312" t="s">
        <v>321</v>
      </c>
    </row>
    <row r="30" spans="1:7">
      <c r="B30" s="312" t="s">
        <v>196</v>
      </c>
      <c r="C30" s="312" t="s">
        <v>311</v>
      </c>
      <c r="D30" s="312">
        <v>2019</v>
      </c>
      <c r="E30" s="336">
        <v>11016</v>
      </c>
      <c r="F30" s="337"/>
    </row>
    <row r="31" spans="1:7">
      <c r="E31" s="337"/>
      <c r="F31" s="337"/>
    </row>
    <row r="32" spans="1:7">
      <c r="B32" s="338" t="s">
        <v>359</v>
      </c>
      <c r="E32" s="337"/>
      <c r="F32" s="337"/>
    </row>
    <row r="33" spans="1:6">
      <c r="A33" s="513" t="s">
        <v>372</v>
      </c>
      <c r="B33" s="334" t="s">
        <v>188</v>
      </c>
      <c r="C33" s="501" t="s">
        <v>360</v>
      </c>
      <c r="D33" s="339">
        <v>2019</v>
      </c>
      <c r="E33" s="340">
        <v>34085.61</v>
      </c>
      <c r="F33" s="337"/>
    </row>
    <row r="34" spans="1:6">
      <c r="A34" s="513" t="s">
        <v>372</v>
      </c>
      <c r="B34" s="334" t="s">
        <v>189</v>
      </c>
      <c r="C34" s="334" t="s">
        <v>205</v>
      </c>
      <c r="D34" s="339">
        <v>2019</v>
      </c>
      <c r="E34" s="340">
        <v>11000</v>
      </c>
      <c r="F34" s="337"/>
    </row>
    <row r="35" spans="1:6">
      <c r="E35" s="337"/>
      <c r="F35" s="337"/>
    </row>
    <row r="36" spans="1:6">
      <c r="E36" s="337"/>
      <c r="F36" s="337"/>
    </row>
    <row r="37" spans="1:6">
      <c r="E37" s="337"/>
      <c r="F37" s="337"/>
    </row>
    <row r="38" spans="1:6">
      <c r="E38" s="337"/>
      <c r="F38" s="341"/>
    </row>
    <row r="39" spans="1:6">
      <c r="E39" s="337"/>
      <c r="F39" s="341"/>
    </row>
    <row r="40" spans="1:6">
      <c r="E40" s="337"/>
      <c r="F40" s="341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600-000000000000}">
          <x14:formula1>
            <xm:f>'https://stateofwa-my.sharepoint.com/Users/myoung215/AppData/Local/Microsoft/Windows/INetCache/Content.Outlook/BZZ6GHZH/[Staff Gary''s Garbage rate case 3.xlsx]Depn  Summary'!#REF!</xm:f>
          </x14:formula1>
          <xm:sqref>B28:B29 B7:B25</xm:sqref>
        </x14:dataValidation>
        <x14:dataValidation type="list" allowBlank="1" showInputMessage="1" showErrorMessage="1" xr:uid="{00000000-0002-0000-0600-000001000000}">
          <x14:formula1>
            <xm:f>'https://stateofwa-my.sharepoint.com/Users/myoung215/AppData/Local/Microsoft/Windows/INetCache/Content.Outlook/BZZ6GHZH/[Staff Gary''s Garbage rate case 3.xlsx]Depn  Summary'!#REF!</xm:f>
          </x14:formula1>
          <xm:sqref>B33:B34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</sheetPr>
  <dimension ref="A1:AA46"/>
  <sheetViews>
    <sheetView workbookViewId="0">
      <selection activeCell="X16" sqref="X16"/>
    </sheetView>
  </sheetViews>
  <sheetFormatPr defaultColWidth="8.88671875" defaultRowHeight="15"/>
  <cols>
    <col min="1" max="1" width="9.109375" style="207" bestFit="1" customWidth="1"/>
    <col min="2" max="2" width="0.6640625" style="210" customWidth="1"/>
    <col min="3" max="3" width="8.44140625" style="207" bestFit="1" customWidth="1"/>
    <col min="4" max="4" width="11.6640625" style="207" customWidth="1"/>
    <col min="5" max="5" width="9.33203125" style="207" customWidth="1"/>
    <col min="6" max="6" width="11.6640625" style="207" customWidth="1"/>
    <col min="7" max="7" width="8.21875" style="207" bestFit="1" customWidth="1"/>
    <col min="8" max="8" width="8.44140625" style="207" bestFit="1" customWidth="1"/>
    <col min="9" max="9" width="0.6640625" style="207" customWidth="1"/>
    <col min="10" max="10" width="12.33203125" style="207" customWidth="1"/>
    <col min="11" max="11" width="9.88671875" style="207" customWidth="1"/>
    <col min="12" max="12" width="8.44140625" style="207" bestFit="1" customWidth="1"/>
    <col min="13" max="14" width="7.6640625" style="207" bestFit="1" customWidth="1"/>
    <col min="15" max="15" width="8.44140625" style="207" bestFit="1" customWidth="1"/>
    <col min="16" max="16" width="6.77734375" style="207" customWidth="1"/>
    <col min="17" max="18" width="9" style="207" bestFit="1" customWidth="1"/>
    <col min="19" max="19" width="0.6640625" style="207" customWidth="1"/>
    <col min="20" max="20" width="10" style="207" customWidth="1"/>
    <col min="21" max="22" width="8.88671875" style="207"/>
    <col min="23" max="24" width="9.77734375" style="207" bestFit="1" customWidth="1"/>
    <col min="25" max="25" width="9" style="207" bestFit="1" customWidth="1"/>
    <col min="26" max="16384" width="8.88671875" style="207"/>
  </cols>
  <sheetData>
    <row r="1" spans="1:27" ht="15.75" thickTop="1">
      <c r="A1" s="204"/>
      <c r="B1" s="205"/>
      <c r="C1" s="204"/>
      <c r="D1" s="204"/>
      <c r="E1" s="204" t="s">
        <v>168</v>
      </c>
      <c r="F1" s="204"/>
      <c r="G1" s="204"/>
      <c r="H1" s="204"/>
      <c r="I1" s="205"/>
      <c r="J1" s="204"/>
      <c r="K1" s="204"/>
      <c r="L1" s="204" t="s">
        <v>169</v>
      </c>
      <c r="M1" s="204"/>
      <c r="N1" s="204"/>
      <c r="O1" s="204"/>
      <c r="P1" s="205"/>
      <c r="Q1" s="204"/>
      <c r="R1" s="204" t="s">
        <v>170</v>
      </c>
      <c r="S1" s="204"/>
      <c r="T1" s="206"/>
    </row>
    <row r="2" spans="1:27">
      <c r="A2" s="208"/>
      <c r="B2" s="209"/>
      <c r="H2" s="209"/>
      <c r="I2" s="209"/>
      <c r="N2" s="507"/>
      <c r="P2" s="209"/>
      <c r="Q2" s="507"/>
      <c r="R2" s="507"/>
      <c r="S2" s="211"/>
      <c r="T2" s="212"/>
    </row>
    <row r="3" spans="1:27">
      <c r="A3" s="208"/>
      <c r="B3" s="209"/>
      <c r="C3" s="213" t="s">
        <v>171</v>
      </c>
      <c r="D3" s="213" t="s">
        <v>172</v>
      </c>
      <c r="E3" s="213" t="s">
        <v>173</v>
      </c>
      <c r="F3" s="213" t="s">
        <v>174</v>
      </c>
      <c r="G3" s="213" t="s">
        <v>175</v>
      </c>
      <c r="H3" s="214" t="s">
        <v>143</v>
      </c>
      <c r="I3" s="214"/>
      <c r="J3" s="490" t="s">
        <v>179</v>
      </c>
      <c r="K3" s="213" t="s">
        <v>176</v>
      </c>
      <c r="L3" s="213" t="s">
        <v>176</v>
      </c>
      <c r="M3" s="213" t="s">
        <v>176</v>
      </c>
      <c r="N3" s="213" t="s">
        <v>177</v>
      </c>
      <c r="O3" s="213" t="s">
        <v>143</v>
      </c>
      <c r="P3" s="214"/>
      <c r="Q3" s="213" t="s">
        <v>178</v>
      </c>
      <c r="R3" s="213" t="s">
        <v>178</v>
      </c>
      <c r="S3" s="214"/>
      <c r="T3" s="215" t="s">
        <v>143</v>
      </c>
    </row>
    <row r="4" spans="1:27" ht="51" customHeight="1">
      <c r="A4" s="208"/>
      <c r="B4" s="209"/>
      <c r="H4" s="209"/>
      <c r="I4" s="209"/>
      <c r="J4" s="490" t="s">
        <v>316</v>
      </c>
      <c r="K4" s="392" t="s">
        <v>349</v>
      </c>
      <c r="L4" s="506" t="s">
        <v>367</v>
      </c>
      <c r="M4" s="506" t="s">
        <v>364</v>
      </c>
      <c r="N4" s="506" t="s">
        <v>366</v>
      </c>
      <c r="O4" s="213"/>
      <c r="P4" s="209"/>
      <c r="Q4" s="510" t="s">
        <v>368</v>
      </c>
      <c r="R4" s="507" t="s">
        <v>365</v>
      </c>
      <c r="S4" s="209"/>
      <c r="T4" s="212"/>
    </row>
    <row r="5" spans="1:27">
      <c r="A5" s="502">
        <v>43647</v>
      </c>
      <c r="B5" s="209"/>
      <c r="C5" s="220">
        <v>109.25</v>
      </c>
      <c r="D5" s="220">
        <v>69</v>
      </c>
      <c r="E5" s="220">
        <v>66</v>
      </c>
      <c r="F5" s="220">
        <v>69.25</v>
      </c>
      <c r="G5" s="220">
        <v>12.75</v>
      </c>
      <c r="H5" s="508">
        <f>SUM(C5:G5)</f>
        <v>326.25</v>
      </c>
      <c r="I5" s="508"/>
      <c r="J5" s="220">
        <v>49</v>
      </c>
      <c r="K5" s="220">
        <v>65.5</v>
      </c>
      <c r="L5" s="220">
        <v>45</v>
      </c>
      <c r="M5" s="220">
        <v>24</v>
      </c>
      <c r="N5" s="220">
        <v>26.75</v>
      </c>
      <c r="O5" s="284">
        <f>SUM(J5:N5)</f>
        <v>210.25</v>
      </c>
      <c r="P5" s="508"/>
      <c r="Q5" s="220">
        <v>168.25</v>
      </c>
      <c r="R5" s="509">
        <v>173.333</v>
      </c>
      <c r="S5" s="209"/>
      <c r="T5" s="512">
        <f>H5+O5+Q5+R5</f>
        <v>878.08299999999997</v>
      </c>
      <c r="X5" s="207" t="s">
        <v>168</v>
      </c>
      <c r="Y5" s="207" t="s">
        <v>240</v>
      </c>
    </row>
    <row r="6" spans="1:27">
      <c r="A6" s="502">
        <v>43678</v>
      </c>
      <c r="B6" s="209"/>
      <c r="C6" s="220">
        <v>102</v>
      </c>
      <c r="D6" s="220">
        <v>44.25</v>
      </c>
      <c r="E6" s="220">
        <v>50.75</v>
      </c>
      <c r="F6" s="220">
        <v>43.75</v>
      </c>
      <c r="G6" s="220">
        <v>15.5</v>
      </c>
      <c r="H6" s="508">
        <f t="shared" ref="H6:H16" si="0">SUM(C6:G6)</f>
        <v>256.25</v>
      </c>
      <c r="I6" s="209"/>
      <c r="J6" s="220">
        <v>50.25</v>
      </c>
      <c r="K6" s="220">
        <v>20.25</v>
      </c>
      <c r="L6" s="220">
        <v>50.5</v>
      </c>
      <c r="M6" s="220">
        <v>26</v>
      </c>
      <c r="N6" s="220">
        <v>13.5</v>
      </c>
      <c r="O6" s="284">
        <f t="shared" ref="O6:O16" si="1">SUM(J6:N6)</f>
        <v>160.5</v>
      </c>
      <c r="P6" s="209"/>
      <c r="Q6" s="220">
        <v>182.8</v>
      </c>
      <c r="R6" s="509">
        <v>173.333</v>
      </c>
      <c r="S6" s="209"/>
      <c r="T6" s="512">
        <f t="shared" ref="T6:T16" si="2">H6+O6+Q6+R6</f>
        <v>772.88299999999992</v>
      </c>
      <c r="V6" s="207" t="s">
        <v>166</v>
      </c>
      <c r="W6" s="273">
        <f>C21+E21+G21</f>
        <v>35357.5</v>
      </c>
      <c r="X6" s="273">
        <f>W6</f>
        <v>35357.5</v>
      </c>
      <c r="Y6" s="273">
        <f>X6-W6</f>
        <v>0</v>
      </c>
    </row>
    <row r="7" spans="1:27">
      <c r="A7" s="502">
        <v>43709</v>
      </c>
      <c r="B7" s="209"/>
      <c r="C7" s="220">
        <v>90</v>
      </c>
      <c r="D7" s="220">
        <v>43.5</v>
      </c>
      <c r="E7" s="220">
        <v>58.75</v>
      </c>
      <c r="F7" s="220">
        <v>42.5</v>
      </c>
      <c r="G7" s="220">
        <v>5.25</v>
      </c>
      <c r="H7" s="508">
        <f t="shared" si="0"/>
        <v>240</v>
      </c>
      <c r="I7" s="209"/>
      <c r="J7" s="220">
        <v>50.5</v>
      </c>
      <c r="K7" s="220">
        <v>92.75</v>
      </c>
      <c r="L7" s="220">
        <v>42</v>
      </c>
      <c r="M7" s="220">
        <v>31.5</v>
      </c>
      <c r="N7" s="220">
        <v>27</v>
      </c>
      <c r="O7" s="284">
        <f t="shared" si="1"/>
        <v>243.75</v>
      </c>
      <c r="P7" s="209"/>
      <c r="Q7" s="220">
        <v>170.75</v>
      </c>
      <c r="R7" s="509">
        <v>173.333</v>
      </c>
      <c r="S7" s="209"/>
      <c r="T7" s="512">
        <f t="shared" si="2"/>
        <v>827.83299999999997</v>
      </c>
      <c r="V7" s="207" t="s">
        <v>167</v>
      </c>
      <c r="W7" s="273">
        <f>D21+F21+J21+K21</f>
        <v>40982.125</v>
      </c>
      <c r="X7" s="273">
        <f>D21+F21+J21*J23+K21*K23</f>
        <v>36733.398943220724</v>
      </c>
      <c r="Y7" s="273">
        <f>W7-X7</f>
        <v>4248.7260567792764</v>
      </c>
    </row>
    <row r="8" spans="1:27">
      <c r="A8" s="502">
        <v>43739</v>
      </c>
      <c r="B8" s="209"/>
      <c r="C8" s="220">
        <f>42+31.25+4</f>
        <v>77.25</v>
      </c>
      <c r="D8" s="220">
        <f>18.75+48.25</f>
        <v>67</v>
      </c>
      <c r="E8" s="220">
        <f>26+26.75</f>
        <v>52.75</v>
      </c>
      <c r="F8" s="220">
        <f>18+16.5+0.5</f>
        <v>35</v>
      </c>
      <c r="G8" s="220">
        <v>12.5</v>
      </c>
      <c r="H8" s="508">
        <f t="shared" si="0"/>
        <v>244.5</v>
      </c>
      <c r="I8" s="209"/>
      <c r="J8" s="220">
        <f>18+8.5+11.75</f>
        <v>38.25</v>
      </c>
      <c r="K8" s="220">
        <v>71.5</v>
      </c>
      <c r="L8" s="220">
        <v>39.75</v>
      </c>
      <c r="M8" s="220">
        <v>36</v>
      </c>
      <c r="N8" s="220">
        <v>31.75</v>
      </c>
      <c r="O8" s="284">
        <f t="shared" si="1"/>
        <v>217.25</v>
      </c>
      <c r="P8" s="209"/>
      <c r="Q8" s="220">
        <f>72.5+70.25+26+2</f>
        <v>170.75</v>
      </c>
      <c r="R8" s="509">
        <v>173.333</v>
      </c>
      <c r="S8" s="209"/>
      <c r="T8" s="512">
        <f t="shared" si="2"/>
        <v>805.83299999999997</v>
      </c>
      <c r="V8" s="207" t="s">
        <v>354</v>
      </c>
      <c r="W8" s="273">
        <f>L21+M21+N21</f>
        <v>28389.75</v>
      </c>
      <c r="X8" s="273">
        <v>0</v>
      </c>
      <c r="Y8" s="273">
        <f>W8-X8</f>
        <v>28389.75</v>
      </c>
      <c r="Z8" s="484" t="s">
        <v>166</v>
      </c>
      <c r="AA8" s="484" t="s">
        <v>167</v>
      </c>
    </row>
    <row r="9" spans="1:27">
      <c r="A9" s="502">
        <v>43770</v>
      </c>
      <c r="B9" s="209"/>
      <c r="C9" s="220">
        <f>28.75+1.5+24.5+1</f>
        <v>55.75</v>
      </c>
      <c r="D9" s="220">
        <f>21.5+25+1.5</f>
        <v>48</v>
      </c>
      <c r="E9" s="220">
        <v>60.75</v>
      </c>
      <c r="F9" s="220">
        <v>36</v>
      </c>
      <c r="G9" s="220">
        <v>15.75</v>
      </c>
      <c r="H9" s="508">
        <f t="shared" si="0"/>
        <v>216.25</v>
      </c>
      <c r="I9" s="209"/>
      <c r="J9" s="220">
        <f>6.5+5.25</f>
        <v>11.75</v>
      </c>
      <c r="K9" s="220">
        <f>3.25+24.5+1.75+12.5+1.75+14.25-16</f>
        <v>42</v>
      </c>
      <c r="L9" s="220">
        <f>2.5+27-6</f>
        <v>23.5</v>
      </c>
      <c r="M9" s="220">
        <v>24</v>
      </c>
      <c r="N9" s="220">
        <v>32</v>
      </c>
      <c r="O9" s="284">
        <f t="shared" si="1"/>
        <v>133.25</v>
      </c>
      <c r="P9" s="209"/>
      <c r="Q9" s="220">
        <f>77.75+24</f>
        <v>101.75</v>
      </c>
      <c r="R9" s="509">
        <v>173.333</v>
      </c>
      <c r="S9" s="209"/>
      <c r="T9" s="512">
        <f t="shared" si="2"/>
        <v>624.58299999999997</v>
      </c>
      <c r="V9" s="207" t="s">
        <v>178</v>
      </c>
      <c r="W9" s="274">
        <f>Q21+R21</f>
        <v>112805.20055000001</v>
      </c>
      <c r="X9" s="274">
        <f>(Q21+R21)*J27</f>
        <v>77434.39158326904</v>
      </c>
      <c r="Y9" s="274">
        <f>W9-X9</f>
        <v>35370.808966730969</v>
      </c>
      <c r="Z9" s="485">
        <f>X9*F27</f>
        <v>38838.015082865037</v>
      </c>
      <c r="AA9" s="485">
        <f>X9*F28</f>
        <v>38596.376500404003</v>
      </c>
    </row>
    <row r="10" spans="1:27">
      <c r="A10" s="502">
        <v>43800</v>
      </c>
      <c r="B10" s="209"/>
      <c r="C10" s="220">
        <v>74.75</v>
      </c>
      <c r="D10" s="220">
        <v>54.25</v>
      </c>
      <c r="E10" s="220">
        <v>56</v>
      </c>
      <c r="F10" s="220">
        <v>40.75</v>
      </c>
      <c r="G10" s="220">
        <v>6.25</v>
      </c>
      <c r="H10" s="508">
        <f t="shared" si="0"/>
        <v>232</v>
      </c>
      <c r="I10" s="209"/>
      <c r="J10" s="220">
        <f>24.5</f>
        <v>24.5</v>
      </c>
      <c r="K10" s="220">
        <f>41+18.25</f>
        <v>59.25</v>
      </c>
      <c r="L10" s="220">
        <f>21+13.25</f>
        <v>34.25</v>
      </c>
      <c r="M10" s="220">
        <v>35.5</v>
      </c>
      <c r="N10" s="220">
        <v>27</v>
      </c>
      <c r="O10" s="284">
        <f t="shared" si="1"/>
        <v>180.5</v>
      </c>
      <c r="P10" s="209"/>
      <c r="Q10" s="220">
        <f>75.5+66.75+13</f>
        <v>155.25</v>
      </c>
      <c r="R10" s="509">
        <v>173.333</v>
      </c>
      <c r="S10" s="209"/>
      <c r="T10" s="512">
        <f t="shared" si="2"/>
        <v>741.08299999999997</v>
      </c>
      <c r="W10" s="273">
        <f>SUM(W6:W9)</f>
        <v>217534.57555000001</v>
      </c>
      <c r="X10" s="273">
        <f t="shared" ref="X10:Y10" si="3">SUM(X6:X9)</f>
        <v>149525.29052648979</v>
      </c>
      <c r="Y10" s="273">
        <f t="shared" si="3"/>
        <v>68009.285023510252</v>
      </c>
    </row>
    <row r="11" spans="1:27">
      <c r="A11" s="502">
        <v>43831</v>
      </c>
      <c r="B11" s="209"/>
      <c r="C11" s="220">
        <v>62.5</v>
      </c>
      <c r="D11" s="220">
        <f>20.25+18</f>
        <v>38.25</v>
      </c>
      <c r="E11" s="220">
        <f>5.25+10.75+22</f>
        <v>38</v>
      </c>
      <c r="F11" s="220">
        <f>13+6.5+6.25+16.5</f>
        <v>42.25</v>
      </c>
      <c r="G11" s="220">
        <v>5.75</v>
      </c>
      <c r="H11" s="508">
        <f t="shared" si="0"/>
        <v>186.75</v>
      </c>
      <c r="I11" s="209"/>
      <c r="J11" s="220">
        <v>20.75</v>
      </c>
      <c r="K11" s="220">
        <v>53</v>
      </c>
      <c r="L11" s="220">
        <v>45</v>
      </c>
      <c r="M11" s="220">
        <v>32</v>
      </c>
      <c r="N11" s="220">
        <f>7+8.25</f>
        <v>15.25</v>
      </c>
      <c r="O11" s="284">
        <f t="shared" si="1"/>
        <v>166</v>
      </c>
      <c r="P11" s="209"/>
      <c r="Q11" s="220">
        <v>203</v>
      </c>
      <c r="R11" s="511">
        <v>173.333</v>
      </c>
      <c r="S11" s="209"/>
      <c r="T11" s="512">
        <f t="shared" si="2"/>
        <v>729.08299999999997</v>
      </c>
    </row>
    <row r="12" spans="1:27">
      <c r="A12" s="502">
        <v>43862</v>
      </c>
      <c r="B12" s="209"/>
      <c r="C12" s="220">
        <v>50.25</v>
      </c>
      <c r="D12" s="220">
        <v>47.5</v>
      </c>
      <c r="E12" s="220">
        <v>44.5</v>
      </c>
      <c r="F12" s="220">
        <v>34.25</v>
      </c>
      <c r="G12" s="220">
        <v>9.5</v>
      </c>
      <c r="H12" s="508">
        <f t="shared" si="0"/>
        <v>186</v>
      </c>
      <c r="I12" s="209"/>
      <c r="J12" s="220">
        <v>21.5</v>
      </c>
      <c r="K12" s="220">
        <f>7.25+22.5</f>
        <v>29.75</v>
      </c>
      <c r="L12" s="220">
        <v>34.5</v>
      </c>
      <c r="M12" s="220">
        <v>37.5</v>
      </c>
      <c r="N12" s="220">
        <v>34.75</v>
      </c>
      <c r="O12" s="284">
        <f t="shared" si="1"/>
        <v>158</v>
      </c>
      <c r="P12" s="209"/>
      <c r="Q12" s="220">
        <v>168</v>
      </c>
      <c r="R12" s="511">
        <v>173.333</v>
      </c>
      <c r="S12" s="209"/>
      <c r="T12" s="512">
        <f t="shared" si="2"/>
        <v>685.33299999999997</v>
      </c>
      <c r="Y12" s="275"/>
    </row>
    <row r="13" spans="1:27">
      <c r="A13" s="502">
        <v>43891</v>
      </c>
      <c r="B13" s="209"/>
      <c r="C13" s="220">
        <v>56.5</v>
      </c>
      <c r="D13" s="220">
        <v>55.5</v>
      </c>
      <c r="E13" s="220">
        <v>48.75</v>
      </c>
      <c r="F13" s="220">
        <v>36.5</v>
      </c>
      <c r="G13" s="220">
        <v>16.75</v>
      </c>
      <c r="H13" s="508">
        <f t="shared" si="0"/>
        <v>214</v>
      </c>
      <c r="I13" s="209"/>
      <c r="J13" s="220">
        <v>23</v>
      </c>
      <c r="K13" s="220">
        <v>54.75</v>
      </c>
      <c r="L13" s="220">
        <v>49.5</v>
      </c>
      <c r="M13" s="220">
        <v>43.75</v>
      </c>
      <c r="N13" s="220">
        <v>33.75</v>
      </c>
      <c r="O13" s="284">
        <f t="shared" si="1"/>
        <v>204.75</v>
      </c>
      <c r="P13" s="209"/>
      <c r="Q13" s="220">
        <v>217</v>
      </c>
      <c r="R13" s="511">
        <v>173.333</v>
      </c>
      <c r="S13" s="209"/>
      <c r="T13" s="512">
        <f t="shared" si="2"/>
        <v>809.08299999999997</v>
      </c>
      <c r="X13" s="207" t="s">
        <v>168</v>
      </c>
    </row>
    <row r="14" spans="1:27">
      <c r="A14" s="502">
        <v>43922</v>
      </c>
      <c r="B14" s="209">
        <v>0</v>
      </c>
      <c r="C14" s="220">
        <v>57</v>
      </c>
      <c r="D14" s="220">
        <v>48.5</v>
      </c>
      <c r="E14" s="220">
        <v>53</v>
      </c>
      <c r="F14" s="220">
        <v>44</v>
      </c>
      <c r="G14" s="220">
        <v>3.25</v>
      </c>
      <c r="H14" s="508">
        <f t="shared" si="0"/>
        <v>205.75</v>
      </c>
      <c r="I14" s="209"/>
      <c r="J14" s="207">
        <v>45</v>
      </c>
      <c r="K14" s="207">
        <v>30</v>
      </c>
      <c r="L14" s="220">
        <v>58.25</v>
      </c>
      <c r="M14" s="220">
        <v>45</v>
      </c>
      <c r="N14" s="220">
        <v>31</v>
      </c>
      <c r="O14" s="284">
        <f t="shared" si="1"/>
        <v>209.25</v>
      </c>
      <c r="P14" s="209"/>
      <c r="Q14" s="220">
        <v>200.75</v>
      </c>
      <c r="R14" s="511">
        <v>173.333</v>
      </c>
      <c r="S14" s="209"/>
      <c r="T14" s="512">
        <f t="shared" si="2"/>
        <v>789.08299999999997</v>
      </c>
      <c r="W14" s="207" t="s">
        <v>166</v>
      </c>
      <c r="X14" s="485">
        <f>X6+Z9</f>
        <v>74195.515082865037</v>
      </c>
    </row>
    <row r="15" spans="1:27">
      <c r="A15" s="502">
        <v>43952</v>
      </c>
      <c r="B15" s="209"/>
      <c r="C15" s="220">
        <v>49</v>
      </c>
      <c r="D15" s="220">
        <v>48.5</v>
      </c>
      <c r="E15" s="220">
        <v>38.5</v>
      </c>
      <c r="F15" s="220">
        <v>45.25</v>
      </c>
      <c r="G15" s="220">
        <v>30</v>
      </c>
      <c r="H15" s="508">
        <f t="shared" si="0"/>
        <v>211.25</v>
      </c>
      <c r="I15" s="209"/>
      <c r="J15" s="220">
        <v>17</v>
      </c>
      <c r="K15" s="220">
        <v>18.5</v>
      </c>
      <c r="L15" s="220">
        <v>49</v>
      </c>
      <c r="M15" s="220">
        <v>45</v>
      </c>
      <c r="N15" s="220">
        <v>36</v>
      </c>
      <c r="O15" s="284">
        <f t="shared" si="1"/>
        <v>165.5</v>
      </c>
      <c r="P15" s="209"/>
      <c r="Q15" s="220">
        <v>230.5</v>
      </c>
      <c r="R15" s="511">
        <v>122.98</v>
      </c>
      <c r="S15" s="209"/>
      <c r="T15" s="512">
        <f t="shared" si="2"/>
        <v>730.23</v>
      </c>
      <c r="W15" s="207" t="s">
        <v>167</v>
      </c>
      <c r="X15" s="539">
        <f>X7+AA9</f>
        <v>75329.775443624734</v>
      </c>
    </row>
    <row r="16" spans="1:27">
      <c r="A16" s="502">
        <v>43983</v>
      </c>
      <c r="B16" s="209"/>
      <c r="C16" s="220">
        <v>61.25</v>
      </c>
      <c r="D16" s="220">
        <v>53.75</v>
      </c>
      <c r="E16" s="220">
        <v>40.5</v>
      </c>
      <c r="F16" s="220">
        <v>53.5</v>
      </c>
      <c r="G16" s="220">
        <v>33.5</v>
      </c>
      <c r="H16" s="508">
        <f t="shared" si="0"/>
        <v>242.5</v>
      </c>
      <c r="I16" s="209"/>
      <c r="J16" s="220">
        <v>1</v>
      </c>
      <c r="K16" s="220">
        <v>23</v>
      </c>
      <c r="L16" s="220">
        <v>51.75</v>
      </c>
      <c r="M16" s="220">
        <v>41.5</v>
      </c>
      <c r="N16" s="220">
        <v>33.5</v>
      </c>
      <c r="O16" s="284">
        <f t="shared" si="1"/>
        <v>150.75</v>
      </c>
      <c r="P16" s="209"/>
      <c r="Q16" s="220">
        <v>201.2</v>
      </c>
      <c r="R16" s="511">
        <v>173.333</v>
      </c>
      <c r="S16" s="209"/>
      <c r="T16" s="512">
        <f t="shared" si="2"/>
        <v>767.78300000000002</v>
      </c>
      <c r="X16" s="485">
        <f>X14+X15</f>
        <v>149525.29052648979</v>
      </c>
    </row>
    <row r="17" spans="1:24">
      <c r="A17" s="208"/>
      <c r="B17" s="209"/>
      <c r="H17" s="209"/>
      <c r="I17" s="209"/>
      <c r="P17" s="209"/>
      <c r="R17" s="221"/>
      <c r="S17" s="209"/>
      <c r="T17" s="212"/>
    </row>
    <row r="18" spans="1:24">
      <c r="A18" s="208"/>
      <c r="B18" s="209"/>
      <c r="H18" s="209"/>
      <c r="I18" s="209"/>
      <c r="P18" s="209"/>
      <c r="S18" s="209"/>
      <c r="T18" s="212"/>
    </row>
    <row r="19" spans="1:24" ht="15.75" thickBot="1">
      <c r="A19" s="216"/>
      <c r="B19" s="217"/>
      <c r="C19" s="216">
        <f>SUM(C5:C18)</f>
        <v>845.5</v>
      </c>
      <c r="D19" s="216">
        <f>SUM(D5:D18)</f>
        <v>618</v>
      </c>
      <c r="E19" s="216">
        <f>SUM(E5:E16)</f>
        <v>608.25</v>
      </c>
      <c r="F19" s="216">
        <f>SUM(F5:F16)</f>
        <v>523</v>
      </c>
      <c r="G19" s="216">
        <f>SUM(G5:G16)</f>
        <v>166.75</v>
      </c>
      <c r="H19" s="217"/>
      <c r="I19" s="217"/>
      <c r="J19" s="216">
        <f>SUM(J5:J10)</f>
        <v>224.25</v>
      </c>
      <c r="K19" s="216">
        <f>SUM(K5:K12)</f>
        <v>434</v>
      </c>
      <c r="L19" s="216">
        <f>SUM(L5:L16)</f>
        <v>523</v>
      </c>
      <c r="M19" s="216">
        <f>SUM(M5:M16)</f>
        <v>421.75</v>
      </c>
      <c r="N19" s="216">
        <f>SUM(N5:N16)</f>
        <v>342.25</v>
      </c>
      <c r="O19" s="216"/>
      <c r="P19" s="217"/>
      <c r="Q19" s="216">
        <f>SUM(Q5:Q16)</f>
        <v>2170</v>
      </c>
      <c r="R19" s="222">
        <f>SUM(R5:R16)</f>
        <v>2029.6430000000005</v>
      </c>
      <c r="S19" s="217"/>
      <c r="T19" s="218"/>
      <c r="V19" s="207" t="s">
        <v>388</v>
      </c>
      <c r="W19" s="207" t="s">
        <v>168</v>
      </c>
      <c r="X19" s="207" t="s">
        <v>240</v>
      </c>
    </row>
    <row r="20" spans="1:24" ht="15.75" thickTop="1">
      <c r="A20" s="207" t="s">
        <v>48</v>
      </c>
      <c r="C20" s="219">
        <v>22.5</v>
      </c>
      <c r="D20" s="219">
        <v>25</v>
      </c>
      <c r="E20" s="219">
        <v>20</v>
      </c>
      <c r="F20" s="219">
        <v>20.5</v>
      </c>
      <c r="G20" s="219">
        <v>25</v>
      </c>
      <c r="H20" s="219"/>
      <c r="I20" s="219">
        <v>25</v>
      </c>
      <c r="J20" s="219">
        <v>22.5</v>
      </c>
      <c r="K20" s="219">
        <v>22.5</v>
      </c>
      <c r="L20" s="219">
        <v>20</v>
      </c>
      <c r="M20" s="219">
        <v>27.5</v>
      </c>
      <c r="N20" s="219">
        <v>18.5</v>
      </c>
      <c r="O20" s="219"/>
      <c r="P20" s="219"/>
      <c r="Q20" s="219">
        <v>25</v>
      </c>
      <c r="R20" s="219">
        <v>28.85</v>
      </c>
      <c r="V20" s="207" t="s">
        <v>166</v>
      </c>
    </row>
    <row r="21" spans="1:24">
      <c r="C21" s="223">
        <f>SUM(C19*C20)</f>
        <v>19023.75</v>
      </c>
      <c r="D21" s="224">
        <f>SUM(D19*D20)</f>
        <v>15450</v>
      </c>
      <c r="E21" s="223">
        <f>SUM(E19*E20)</f>
        <v>12165</v>
      </c>
      <c r="F21" s="224">
        <f>SUM(F19*F20)</f>
        <v>10721.5</v>
      </c>
      <c r="G21" s="225">
        <f>SUM(G19*G20)</f>
        <v>4168.75</v>
      </c>
      <c r="H21" s="219">
        <f>SUM(C21:G21)</f>
        <v>61529</v>
      </c>
      <c r="J21" s="226">
        <f>SUM(J19*J20)</f>
        <v>5045.625</v>
      </c>
      <c r="K21" s="226">
        <f>SUM(K19*K20)</f>
        <v>9765</v>
      </c>
      <c r="L21" s="227">
        <f>SUM(L19*L20)</f>
        <v>10460</v>
      </c>
      <c r="M21" s="227">
        <f>SUM(M19*M20)</f>
        <v>11598.125</v>
      </c>
      <c r="N21" s="227">
        <f>SUM(N19*N20)</f>
        <v>6331.625</v>
      </c>
      <c r="O21" s="219">
        <f>SUM(J21:N21)</f>
        <v>43200.375</v>
      </c>
      <c r="Q21" s="548">
        <f>SUM(Q19*Q20)</f>
        <v>54250</v>
      </c>
      <c r="R21" s="548">
        <f>SUM(R19*R20)</f>
        <v>58555.200550000016</v>
      </c>
      <c r="T21" s="219">
        <f>SUM(Q21:S21)</f>
        <v>112805.20055000001</v>
      </c>
      <c r="U21" s="219">
        <f>H21+O21+T21</f>
        <v>217534.57555000001</v>
      </c>
      <c r="V21" s="207" t="s">
        <v>167</v>
      </c>
    </row>
    <row r="22" spans="1:24">
      <c r="C22" s="398"/>
      <c r="D22" s="398"/>
      <c r="E22" s="398"/>
      <c r="F22" s="398"/>
      <c r="G22" s="398"/>
      <c r="H22" s="398"/>
      <c r="I22" s="284"/>
      <c r="J22" s="398"/>
      <c r="K22" s="398"/>
      <c r="L22" s="398"/>
      <c r="M22" s="398"/>
      <c r="N22" s="398"/>
      <c r="O22" s="398"/>
      <c r="P22" s="284"/>
      <c r="Q22" s="398"/>
      <c r="R22" s="398"/>
      <c r="T22" s="219"/>
      <c r="U22" s="219"/>
    </row>
    <row r="23" spans="1:24" ht="15.75" thickBot="1">
      <c r="J23" s="538">
        <f>'Tonnage and Disposal June 2020'!J26</f>
        <v>0.71312986070612949</v>
      </c>
      <c r="K23" s="538">
        <f>J23</f>
        <v>0.71312986070612949</v>
      </c>
      <c r="L23" s="207" t="s">
        <v>351</v>
      </c>
    </row>
    <row r="24" spans="1:24" ht="15.75" thickBot="1">
      <c r="J24" s="394">
        <f>J19*J23</f>
        <v>159.91937126334955</v>
      </c>
      <c r="K24" s="395">
        <f>K19*K23</f>
        <v>309.49835954646022</v>
      </c>
      <c r="L24" s="396" t="s">
        <v>350</v>
      </c>
      <c r="M24" s="397"/>
    </row>
    <row r="25" spans="1:24">
      <c r="J25" s="393"/>
      <c r="K25" s="393"/>
    </row>
    <row r="26" spans="1:24">
      <c r="D26" s="207" t="s">
        <v>266</v>
      </c>
      <c r="G26" s="371" t="s">
        <v>267</v>
      </c>
      <c r="H26" s="371"/>
      <c r="I26" s="371"/>
      <c r="J26" s="371"/>
    </row>
    <row r="27" spans="1:24" ht="15.75">
      <c r="D27" s="207" t="s">
        <v>166</v>
      </c>
      <c r="E27" s="536">
        <f>C19+E19+G19</f>
        <v>1620.5</v>
      </c>
      <c r="F27" s="373">
        <f>E27/E29</f>
        <v>0.50156027946704529</v>
      </c>
      <c r="G27" s="371" t="s">
        <v>168</v>
      </c>
      <c r="H27" s="372">
        <f>SUM(C19:G19)+J24+K24</f>
        <v>3230.9177308098097</v>
      </c>
      <c r="I27" s="371"/>
      <c r="J27" s="373">
        <f>H27/H29</f>
        <v>0.6864434547851086</v>
      </c>
      <c r="Q27" s="219">
        <f>Q21*J27</f>
        <v>37239.557422092141</v>
      </c>
      <c r="R27" s="219">
        <f>R21*J27</f>
        <v>40194.834161176899</v>
      </c>
    </row>
    <row r="28" spans="1:24" ht="15.75">
      <c r="D28" s="207" t="s">
        <v>167</v>
      </c>
      <c r="E28" s="537">
        <f>D19+F19+J24+K24</f>
        <v>1610.4177308098099</v>
      </c>
      <c r="F28" s="373">
        <f>E28/E29</f>
        <v>0.49843972053295477</v>
      </c>
      <c r="G28" s="371" t="s">
        <v>240</v>
      </c>
      <c r="H28" s="372">
        <f>SUM(L19:N19)+J19-J24+K19-K24</f>
        <v>1475.8322691901901</v>
      </c>
      <c r="I28" s="371"/>
      <c r="J28" s="373">
        <f>H28/H29</f>
        <v>0.3135565452148914</v>
      </c>
    </row>
    <row r="29" spans="1:24">
      <c r="D29" s="207" t="s">
        <v>267</v>
      </c>
      <c r="E29" s="285">
        <f>SUM(E27:E28)</f>
        <v>3230.9177308098097</v>
      </c>
      <c r="G29" s="371" t="s">
        <v>267</v>
      </c>
      <c r="H29" s="372">
        <f>SUM(H27:H28)</f>
        <v>4706.75</v>
      </c>
      <c r="I29" s="371"/>
      <c r="J29" s="371"/>
      <c r="T29" s="219"/>
    </row>
    <row r="30" spans="1:24">
      <c r="E30" s="284"/>
      <c r="G30" s="371"/>
      <c r="H30" s="371"/>
      <c r="I30" s="371"/>
      <c r="J30" s="371"/>
      <c r="T30" s="219"/>
    </row>
    <row r="31" spans="1:24">
      <c r="E31" s="228" t="s">
        <v>180</v>
      </c>
      <c r="F31" s="228" t="s">
        <v>181</v>
      </c>
      <c r="G31" s="228" t="s">
        <v>247</v>
      </c>
      <c r="L31" s="210"/>
      <c r="M31" s="210"/>
      <c r="N31" s="210"/>
      <c r="O31" s="210"/>
    </row>
    <row r="32" spans="1:24">
      <c r="C32" s="228" t="s">
        <v>166</v>
      </c>
      <c r="D32" s="229">
        <f>SUM(C21+E21)+G21</f>
        <v>35357.5</v>
      </c>
      <c r="E32" s="493">
        <f>E27/E29</f>
        <v>0.50156027946704529</v>
      </c>
      <c r="F32" s="229">
        <f>E32*($Q$21+$R$21)</f>
        <v>56578.607913194093</v>
      </c>
      <c r="G32" s="238">
        <f>J27*F32</f>
        <v>38838.015082865037</v>
      </c>
      <c r="H32" s="219">
        <f>D32+G32</f>
        <v>74195.515082865037</v>
      </c>
      <c r="L32" s="210"/>
      <c r="M32" s="494"/>
      <c r="N32" s="495"/>
      <c r="O32" s="495"/>
    </row>
    <row r="33" spans="3:20">
      <c r="C33" s="228" t="s">
        <v>167</v>
      </c>
      <c r="D33" s="229">
        <f>SUM(D21+F21)+J21</f>
        <v>31217.125</v>
      </c>
      <c r="E33" s="493">
        <f>E28/E29</f>
        <v>0.49843972053295477</v>
      </c>
      <c r="F33" s="229">
        <f>E33*($Q$21+$R$21)</f>
        <v>56226.592636805923</v>
      </c>
      <c r="G33" s="238">
        <f>F33*J27</f>
        <v>38596.376500404003</v>
      </c>
      <c r="H33" s="219">
        <f>D33+G33</f>
        <v>69813.501500404003</v>
      </c>
      <c r="K33" s="233"/>
      <c r="L33" s="210"/>
      <c r="M33" s="494"/>
      <c r="N33" s="495"/>
      <c r="O33" s="495"/>
    </row>
    <row r="34" spans="3:20">
      <c r="E34" s="234">
        <f>SUM(E32:E33)</f>
        <v>1</v>
      </c>
      <c r="K34" s="374"/>
      <c r="L34" s="210"/>
      <c r="M34" s="210"/>
      <c r="N34" s="495"/>
      <c r="O34" s="495"/>
    </row>
    <row r="37" spans="3:20">
      <c r="C37" s="233" t="s">
        <v>182</v>
      </c>
      <c r="D37" s="233"/>
      <c r="E37" s="233"/>
      <c r="F37" s="233"/>
      <c r="G37" s="233"/>
      <c r="H37" s="233"/>
      <c r="I37" s="233"/>
      <c r="J37" s="233"/>
      <c r="K37" s="233"/>
      <c r="L37" s="233"/>
      <c r="M37" s="233"/>
    </row>
    <row r="38" spans="3:20">
      <c r="C38" s="233" t="s">
        <v>183</v>
      </c>
      <c r="D38" s="233"/>
      <c r="E38" s="233"/>
      <c r="F38" s="233"/>
      <c r="G38" s="233"/>
      <c r="H38" s="233"/>
      <c r="I38" s="233"/>
      <c r="J38" s="233"/>
      <c r="K38" s="374"/>
      <c r="L38" s="374"/>
      <c r="M38" s="374"/>
    </row>
    <row r="39" spans="3:20">
      <c r="C39" s="233" t="s">
        <v>184</v>
      </c>
      <c r="D39" s="233"/>
      <c r="E39" s="233"/>
      <c r="F39" s="233"/>
      <c r="G39" s="233"/>
      <c r="H39" s="233"/>
      <c r="I39" s="233"/>
      <c r="J39" s="233"/>
      <c r="K39" s="374"/>
      <c r="L39" s="374"/>
      <c r="M39" s="374"/>
      <c r="N39" s="374"/>
      <c r="P39" s="272"/>
      <c r="Q39" s="273"/>
      <c r="R39" s="273"/>
      <c r="T39" s="275"/>
    </row>
    <row r="40" spans="3:20">
      <c r="C40" s="233"/>
      <c r="D40" s="233"/>
      <c r="E40" s="233"/>
      <c r="F40" s="233"/>
      <c r="G40" s="233"/>
      <c r="H40" s="233"/>
      <c r="I40" s="233"/>
      <c r="J40" s="233"/>
      <c r="K40" s="374"/>
      <c r="L40" s="375"/>
      <c r="M40" s="374"/>
      <c r="N40" s="374"/>
    </row>
    <row r="41" spans="3:20">
      <c r="C41" s="233"/>
      <c r="D41" s="233"/>
      <c r="E41" s="491"/>
      <c r="F41" s="491"/>
      <c r="G41" s="233"/>
      <c r="H41" s="233"/>
      <c r="I41" s="233"/>
      <c r="J41" s="233"/>
      <c r="K41" s="374"/>
      <c r="L41" s="374"/>
      <c r="M41" s="374"/>
      <c r="N41" s="374"/>
    </row>
    <row r="42" spans="3:20">
      <c r="C42" s="233"/>
      <c r="D42" s="233"/>
      <c r="E42" s="491"/>
      <c r="F42" s="492"/>
      <c r="G42" s="491"/>
      <c r="H42" s="233"/>
      <c r="I42" s="233"/>
      <c r="J42" s="233"/>
      <c r="K42" s="374"/>
      <c r="L42" s="376"/>
      <c r="M42" s="374"/>
      <c r="N42" s="374"/>
    </row>
    <row r="43" spans="3:20">
      <c r="C43" s="233"/>
      <c r="D43" s="233"/>
      <c r="E43" s="491"/>
      <c r="F43" s="492"/>
      <c r="G43" s="491"/>
      <c r="H43" s="233"/>
      <c r="I43" s="233"/>
      <c r="J43" s="233"/>
      <c r="K43" s="374"/>
      <c r="L43" s="374"/>
      <c r="M43" s="374"/>
      <c r="N43" s="374"/>
    </row>
    <row r="44" spans="3:20">
      <c r="C44" s="233"/>
      <c r="D44" s="233"/>
      <c r="E44" s="491"/>
      <c r="F44" s="491"/>
      <c r="G44" s="491"/>
      <c r="H44" s="233"/>
      <c r="I44" s="233"/>
      <c r="J44" s="233"/>
      <c r="K44" s="233"/>
      <c r="L44" s="233"/>
      <c r="M44" s="233"/>
      <c r="N44" s="233"/>
    </row>
    <row r="45" spans="3:20">
      <c r="E45" s="210"/>
      <c r="F45" s="210"/>
      <c r="G45" s="210"/>
    </row>
    <row r="46" spans="3:20">
      <c r="G46" s="219"/>
    </row>
  </sheetData>
  <pageMargins left="0.7" right="0.7" top="0.75" bottom="0.75" header="0.3" footer="0.3"/>
  <pageSetup orientation="portrait" r:id="rId1"/>
  <ignoredErrors>
    <ignoredError sqref="H14" formulaRange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</sheetPr>
  <dimension ref="A1:W84"/>
  <sheetViews>
    <sheetView workbookViewId="0">
      <selection activeCell="K48" sqref="K48"/>
    </sheetView>
  </sheetViews>
  <sheetFormatPr defaultRowHeight="15"/>
  <cols>
    <col min="1" max="1" width="5.21875" customWidth="1"/>
    <col min="2" max="2" width="6.88671875" bestFit="1" customWidth="1"/>
    <col min="3" max="3" width="5" customWidth="1"/>
    <col min="4" max="4" width="31.44140625" customWidth="1"/>
    <col min="5" max="5" width="11" bestFit="1" customWidth="1"/>
    <col min="6" max="6" width="11.5546875" customWidth="1"/>
    <col min="8" max="8" width="9" customWidth="1"/>
    <col min="9" max="9" width="14.6640625" customWidth="1"/>
    <col min="10" max="10" width="11.33203125" customWidth="1"/>
    <col min="11" max="11" width="11.5546875" bestFit="1" customWidth="1"/>
    <col min="12" max="12" width="9.5546875" bestFit="1" customWidth="1"/>
    <col min="14" max="14" width="13.44140625" customWidth="1"/>
  </cols>
  <sheetData>
    <row r="1" spans="1:23" ht="15.75">
      <c r="A1" s="399"/>
      <c r="B1" s="399"/>
      <c r="C1" s="399"/>
      <c r="D1" s="400" t="s">
        <v>127</v>
      </c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240"/>
      <c r="Q1" s="240"/>
      <c r="R1" s="240"/>
      <c r="S1" s="240"/>
      <c r="T1" s="240"/>
      <c r="U1" s="240"/>
      <c r="V1" s="240"/>
      <c r="W1" s="240"/>
    </row>
    <row r="2" spans="1:23" ht="15.75">
      <c r="A2" s="399"/>
      <c r="B2" s="399"/>
      <c r="C2" s="399"/>
      <c r="D2" s="400" t="s">
        <v>128</v>
      </c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240"/>
      <c r="Q2" s="240"/>
      <c r="R2" s="240"/>
      <c r="S2" s="240"/>
      <c r="T2" s="240"/>
      <c r="U2" s="240"/>
      <c r="V2" s="240"/>
      <c r="W2" s="240"/>
    </row>
    <row r="3" spans="1:23" ht="15.75">
      <c r="A3" s="399"/>
      <c r="B3" s="399"/>
      <c r="C3" s="399"/>
      <c r="D3" s="400" t="s">
        <v>129</v>
      </c>
      <c r="E3" s="399"/>
      <c r="F3" s="399"/>
      <c r="G3" s="399"/>
      <c r="H3" s="399"/>
      <c r="I3" s="399" t="s">
        <v>377</v>
      </c>
      <c r="J3" s="401">
        <f ca="1">'Garbage LG 2019 '!K22</f>
        <v>-0.30040303015121295</v>
      </c>
      <c r="K3" s="399"/>
      <c r="L3" s="399"/>
      <c r="M3" s="399"/>
      <c r="N3" s="399"/>
      <c r="O3" s="399"/>
      <c r="P3" s="240"/>
      <c r="Q3" s="240"/>
      <c r="R3" s="240"/>
      <c r="S3" s="240"/>
      <c r="T3" s="240"/>
      <c r="U3" s="240"/>
      <c r="V3" s="240"/>
      <c r="W3" s="240"/>
    </row>
    <row r="4" spans="1:23" ht="15.75">
      <c r="A4" s="399"/>
      <c r="B4" s="399"/>
      <c r="C4" s="399"/>
      <c r="D4" s="399"/>
      <c r="E4" s="399"/>
      <c r="F4" s="399"/>
      <c r="G4" s="399"/>
      <c r="H4" s="399"/>
      <c r="I4" s="399" t="s">
        <v>378</v>
      </c>
      <c r="J4" s="522">
        <f ca="1">'Recycling LG 2019'!K22</f>
        <v>1.0058881702956874</v>
      </c>
      <c r="K4" s="399"/>
      <c r="L4" s="399"/>
      <c r="M4" s="399"/>
      <c r="N4" s="399"/>
      <c r="O4" s="399"/>
      <c r="P4" s="240"/>
      <c r="Q4" s="240"/>
      <c r="R4" s="240"/>
      <c r="S4" s="240"/>
      <c r="T4" s="240"/>
      <c r="U4" s="240"/>
      <c r="V4" s="240"/>
      <c r="W4" s="240"/>
    </row>
    <row r="5" spans="1:23" ht="47.25">
      <c r="A5" s="402"/>
      <c r="B5" s="403" t="s">
        <v>130</v>
      </c>
      <c r="C5" s="403" t="s">
        <v>131</v>
      </c>
      <c r="D5" s="404" t="s">
        <v>132</v>
      </c>
      <c r="E5" s="403" t="s">
        <v>133</v>
      </c>
      <c r="F5" s="403" t="s">
        <v>134</v>
      </c>
      <c r="G5" s="402" t="s">
        <v>135</v>
      </c>
      <c r="H5" s="405" t="s">
        <v>293</v>
      </c>
      <c r="I5" s="405" t="s">
        <v>373</v>
      </c>
      <c r="J5" s="405" t="s">
        <v>290</v>
      </c>
      <c r="K5" s="405" t="s">
        <v>294</v>
      </c>
      <c r="L5" s="405" t="s">
        <v>295</v>
      </c>
      <c r="M5" s="405" t="s">
        <v>246</v>
      </c>
      <c r="N5" s="406"/>
      <c r="O5" s="399"/>
      <c r="P5" s="240"/>
      <c r="Q5" s="240"/>
      <c r="R5" s="240"/>
      <c r="S5" s="240"/>
      <c r="T5" s="240"/>
      <c r="U5" s="240"/>
      <c r="V5" s="240"/>
      <c r="W5" s="240"/>
    </row>
    <row r="6" spans="1:23" ht="15.75">
      <c r="A6" s="570" t="s">
        <v>136</v>
      </c>
      <c r="B6" s="407">
        <v>100</v>
      </c>
      <c r="C6" s="408">
        <v>24</v>
      </c>
      <c r="D6" s="199" t="s">
        <v>268</v>
      </c>
      <c r="E6" s="409">
        <v>0</v>
      </c>
      <c r="F6" s="409">
        <v>4.333333333333333</v>
      </c>
      <c r="G6" s="410">
        <f>E6*F6*12</f>
        <v>0</v>
      </c>
      <c r="H6" s="411">
        <v>20.85</v>
      </c>
      <c r="I6" s="412">
        <f>E6*H6*12</f>
        <v>0</v>
      </c>
      <c r="J6" s="413">
        <f ca="1">($J$3*H6)</f>
        <v>-6.2634031786527906</v>
      </c>
      <c r="K6" s="414">
        <f ca="1">H6+J6</f>
        <v>14.586596821347211</v>
      </c>
      <c r="L6" s="412">
        <f ca="1">K6*E6*6</f>
        <v>0</v>
      </c>
      <c r="M6" s="412">
        <f ca="1">L6-I6</f>
        <v>0</v>
      </c>
      <c r="N6" s="415"/>
      <c r="O6" s="399"/>
      <c r="P6" s="524"/>
      <c r="Q6" s="525"/>
      <c r="R6" s="379"/>
      <c r="S6" s="240"/>
      <c r="T6" s="240"/>
      <c r="U6" s="240"/>
      <c r="V6" s="240"/>
      <c r="W6" s="240"/>
    </row>
    <row r="7" spans="1:23" ht="15.75">
      <c r="A7" s="570"/>
      <c r="B7" s="407">
        <v>100</v>
      </c>
      <c r="C7" s="408">
        <v>24</v>
      </c>
      <c r="D7" s="199" t="s">
        <v>287</v>
      </c>
      <c r="E7" s="409">
        <v>90</v>
      </c>
      <c r="F7" s="409">
        <v>2.1666666666666665</v>
      </c>
      <c r="G7" s="410">
        <f t="shared" ref="G7:G8" si="0">E7*F7*12</f>
        <v>2340</v>
      </c>
      <c r="H7" s="523">
        <f>22.6-H9</f>
        <v>10.920000000000002</v>
      </c>
      <c r="I7" s="412">
        <f t="shared" ref="I7:I9" si="1">E7*H7*12</f>
        <v>11793.600000000002</v>
      </c>
      <c r="J7" s="413">
        <f ca="1">($J$3*H7)</f>
        <v>-3.2804010892512458</v>
      </c>
      <c r="K7" s="414">
        <f t="shared" ref="K7:K9" ca="1" si="2">H7+J7</f>
        <v>7.6395989107487559</v>
      </c>
      <c r="L7" s="412">
        <f ca="1">K7*E7*12</f>
        <v>8250.7668236086556</v>
      </c>
      <c r="M7" s="412">
        <f ca="1">L7-I7</f>
        <v>-3542.8331763913466</v>
      </c>
      <c r="N7" s="415"/>
      <c r="O7" s="476"/>
      <c r="P7" s="524"/>
      <c r="Q7" s="525"/>
      <c r="R7" s="379"/>
      <c r="S7" s="240"/>
      <c r="T7" s="240"/>
      <c r="U7" s="240"/>
      <c r="V7" s="240"/>
      <c r="W7" s="240"/>
    </row>
    <row r="8" spans="1:23" ht="15.75">
      <c r="A8" s="570"/>
      <c r="B8" s="407">
        <v>100</v>
      </c>
      <c r="C8" s="408">
        <v>24</v>
      </c>
      <c r="D8" s="199" t="s">
        <v>137</v>
      </c>
      <c r="E8" s="409">
        <v>0</v>
      </c>
      <c r="F8" s="409">
        <v>2.1666666666666665</v>
      </c>
      <c r="G8" s="410">
        <f t="shared" si="0"/>
        <v>0</v>
      </c>
      <c r="H8" s="411">
        <v>11.68</v>
      </c>
      <c r="I8" s="412">
        <f t="shared" si="1"/>
        <v>0</v>
      </c>
      <c r="J8" s="413">
        <f ca="1">($J$3*H8)</f>
        <v>-3.5087073921661673</v>
      </c>
      <c r="K8" s="414">
        <f t="shared" ca="1" si="2"/>
        <v>8.1712926078338324</v>
      </c>
      <c r="L8" s="412">
        <f t="shared" ref="L8" ca="1" si="3">K8*E8*6</f>
        <v>0</v>
      </c>
      <c r="M8" s="412">
        <f ca="1">L8-I8</f>
        <v>0</v>
      </c>
      <c r="N8" s="415"/>
      <c r="P8" s="524"/>
      <c r="Q8" s="525"/>
      <c r="R8" s="379"/>
      <c r="S8" s="240"/>
      <c r="T8" s="240"/>
      <c r="U8" s="240"/>
      <c r="V8" s="240"/>
      <c r="W8" s="240"/>
    </row>
    <row r="9" spans="1:23" ht="15.75">
      <c r="A9" s="570"/>
      <c r="B9" s="407">
        <v>100</v>
      </c>
      <c r="C9" s="408">
        <v>24</v>
      </c>
      <c r="D9" s="199" t="s">
        <v>271</v>
      </c>
      <c r="E9" s="409">
        <v>1915</v>
      </c>
      <c r="F9" s="409">
        <v>2.1666666666666665</v>
      </c>
      <c r="G9" s="410">
        <f>E9*F9*12</f>
        <v>49789.999999999993</v>
      </c>
      <c r="H9" s="411">
        <v>11.68</v>
      </c>
      <c r="I9" s="412">
        <f t="shared" si="1"/>
        <v>268406.40000000002</v>
      </c>
      <c r="J9" s="413">
        <f ca="1">($J$3*H9)</f>
        <v>-3.5087073921661673</v>
      </c>
      <c r="K9" s="414">
        <f t="shared" ca="1" si="2"/>
        <v>8.1712926078338324</v>
      </c>
      <c r="L9" s="412">
        <f ca="1">K9*E9*12</f>
        <v>187776.30412802147</v>
      </c>
      <c r="M9" s="412">
        <f ca="1">L9-I9</f>
        <v>-80630.095871978556</v>
      </c>
      <c r="N9" s="415"/>
      <c r="O9" s="399"/>
      <c r="P9" s="524"/>
      <c r="Q9" s="525"/>
      <c r="R9" s="379"/>
      <c r="S9" s="240"/>
      <c r="T9" s="240"/>
      <c r="U9" s="240"/>
      <c r="V9" s="240"/>
      <c r="W9" s="240"/>
    </row>
    <row r="10" spans="1:23" ht="15.75">
      <c r="A10" s="572"/>
      <c r="B10" s="416"/>
      <c r="C10" s="417"/>
      <c r="D10" s="418" t="s">
        <v>296</v>
      </c>
      <c r="E10" s="419">
        <f>SUM(E6:E9)</f>
        <v>2005</v>
      </c>
      <c r="F10" s="419"/>
      <c r="G10" s="419">
        <f>SUM(G6:G9)</f>
        <v>52129.999999999993</v>
      </c>
      <c r="H10" s="419"/>
      <c r="I10" s="419">
        <f>SUM(I6:I9)</f>
        <v>280200</v>
      </c>
      <c r="J10" s="419"/>
      <c r="K10" s="419"/>
      <c r="L10" s="419">
        <f ca="1">SUM(L6:L9)</f>
        <v>196027.07095163013</v>
      </c>
      <c r="M10" s="420">
        <f ca="1">SUM(M6:M9)</f>
        <v>-84172.929048369901</v>
      </c>
      <c r="N10" s="379"/>
      <c r="O10" s="399"/>
      <c r="P10" s="240"/>
      <c r="Q10" s="240"/>
      <c r="R10" s="379"/>
      <c r="S10" s="240"/>
      <c r="T10" s="240"/>
      <c r="U10" s="240"/>
      <c r="V10" s="240"/>
      <c r="W10" s="240"/>
    </row>
    <row r="11" spans="1:23" ht="15.75">
      <c r="A11" s="573" t="s">
        <v>139</v>
      </c>
      <c r="B11" s="421"/>
      <c r="C11" s="422">
        <v>38</v>
      </c>
      <c r="D11" s="423" t="s">
        <v>238</v>
      </c>
      <c r="E11" s="424"/>
      <c r="F11" s="425"/>
      <c r="G11" s="410">
        <v>226</v>
      </c>
      <c r="H11" s="411">
        <v>8.65</v>
      </c>
      <c r="I11" s="426">
        <f>G11*H11</f>
        <v>1954.9</v>
      </c>
      <c r="J11" s="427">
        <f ca="1">($J$3*H11)</f>
        <v>-2.5984862108079922</v>
      </c>
      <c r="K11" s="428">
        <f ca="1">H11+J11</f>
        <v>6.0515137891920077</v>
      </c>
      <c r="L11" s="426">
        <f ca="1">K11*G11</f>
        <v>1367.6421163573937</v>
      </c>
      <c r="M11" s="426">
        <f t="shared" ref="M11:M32" ca="1" si="4">L11-I11</f>
        <v>-587.25788364260643</v>
      </c>
      <c r="N11" s="429"/>
      <c r="O11" s="399"/>
      <c r="P11" s="240"/>
      <c r="Q11" s="240"/>
      <c r="R11" s="379"/>
      <c r="S11" s="240"/>
      <c r="T11" s="240"/>
      <c r="U11" s="240"/>
      <c r="V11" s="240"/>
      <c r="W11" s="240"/>
    </row>
    <row r="12" spans="1:23" ht="15.75">
      <c r="A12" s="570"/>
      <c r="B12" s="407">
        <v>240</v>
      </c>
      <c r="C12" s="408">
        <v>38</v>
      </c>
      <c r="D12" s="199" t="s">
        <v>275</v>
      </c>
      <c r="E12" s="430"/>
      <c r="F12" s="409"/>
      <c r="G12" s="496">
        <v>734</v>
      </c>
      <c r="H12" s="411">
        <v>41.5</v>
      </c>
      <c r="I12" s="412">
        <f>G12*H12</f>
        <v>30461</v>
      </c>
      <c r="J12" s="413">
        <f ca="1">($J$3*H12)</f>
        <v>-12.466725751275337</v>
      </c>
      <c r="K12" s="414">
        <f t="shared" ref="K12:K14" ca="1" si="5">H12+J12</f>
        <v>29.033274248724663</v>
      </c>
      <c r="L12" s="412">
        <f ca="1">K12*G12</f>
        <v>21310.423298563903</v>
      </c>
      <c r="M12" s="412">
        <f t="shared" ca="1" si="4"/>
        <v>-9150.5767014360972</v>
      </c>
      <c r="N12" s="399"/>
      <c r="O12" s="399"/>
      <c r="P12" s="240"/>
      <c r="Q12" s="240"/>
      <c r="R12" s="379"/>
      <c r="S12" s="240"/>
      <c r="T12" s="240"/>
      <c r="U12" s="240"/>
      <c r="V12" s="240"/>
      <c r="W12" s="240"/>
    </row>
    <row r="13" spans="1:23" ht="15.75">
      <c r="A13" s="570"/>
      <c r="B13" s="407"/>
      <c r="C13" s="408">
        <v>38</v>
      </c>
      <c r="D13" s="199" t="s">
        <v>274</v>
      </c>
      <c r="E13" s="430"/>
      <c r="F13" s="409"/>
      <c r="G13" s="410"/>
      <c r="H13" s="411">
        <v>41.5</v>
      </c>
      <c r="I13" s="412">
        <f>G13*H13</f>
        <v>0</v>
      </c>
      <c r="J13" s="413">
        <f ca="1">($J$3*H13)</f>
        <v>-12.466725751275337</v>
      </c>
      <c r="K13" s="414">
        <f t="shared" ca="1" si="5"/>
        <v>29.033274248724663</v>
      </c>
      <c r="L13" s="412">
        <f ca="1">K13*G13</f>
        <v>0</v>
      </c>
      <c r="M13" s="412">
        <f t="shared" ca="1" si="4"/>
        <v>0</v>
      </c>
      <c r="N13" s="399"/>
      <c r="O13" s="431"/>
      <c r="P13" s="240"/>
      <c r="Q13" s="240"/>
      <c r="R13" s="379"/>
      <c r="S13" s="240"/>
      <c r="T13" s="240"/>
      <c r="U13" s="240"/>
      <c r="V13" s="240"/>
      <c r="W13" s="240"/>
    </row>
    <row r="14" spans="1:23" ht="18">
      <c r="A14" s="570"/>
      <c r="B14" s="432"/>
      <c r="C14" s="433">
        <v>38</v>
      </c>
      <c r="D14" s="200" t="s">
        <v>276</v>
      </c>
      <c r="E14" s="434"/>
      <c r="F14" s="435"/>
      <c r="G14" s="410"/>
      <c r="H14" s="413">
        <v>14</v>
      </c>
      <c r="I14" s="412">
        <f>G14*H14</f>
        <v>0</v>
      </c>
      <c r="J14" s="436">
        <f ca="1">($J$3*H14)</f>
        <v>-4.2056424221169815</v>
      </c>
      <c r="K14" s="437">
        <f t="shared" ca="1" si="5"/>
        <v>9.7943575778830194</v>
      </c>
      <c r="L14" s="438">
        <f ca="1">K14*G14</f>
        <v>0</v>
      </c>
      <c r="M14" s="438">
        <f t="shared" ca="1" si="4"/>
        <v>0</v>
      </c>
      <c r="N14" s="399"/>
      <c r="O14" s="439"/>
      <c r="P14" s="240"/>
      <c r="Q14" s="240"/>
      <c r="R14" s="379"/>
      <c r="S14" s="240"/>
      <c r="T14" s="240"/>
      <c r="U14" s="240"/>
      <c r="V14" s="240"/>
      <c r="W14" s="240"/>
    </row>
    <row r="15" spans="1:23" ht="15.75">
      <c r="A15" s="572"/>
      <c r="B15" s="440"/>
      <c r="C15" s="402"/>
      <c r="D15" s="287" t="s">
        <v>298</v>
      </c>
      <c r="E15" s="441">
        <f>SUM(E11:E14)</f>
        <v>0</v>
      </c>
      <c r="F15" s="435"/>
      <c r="G15" s="442">
        <f>SUM(G11:G14)</f>
        <v>960</v>
      </c>
      <c r="H15" s="443"/>
      <c r="I15" s="444">
        <f>SUM(I11:I14)</f>
        <v>32415.9</v>
      </c>
      <c r="J15" s="436"/>
      <c r="K15" s="435"/>
      <c r="L15" s="445">
        <f ca="1">SUM(L11:L14)</f>
        <v>22678.065414921297</v>
      </c>
      <c r="M15" s="446">
        <f t="shared" ca="1" si="4"/>
        <v>-9737.8345850787045</v>
      </c>
      <c r="N15" s="399"/>
      <c r="O15" s="399"/>
      <c r="P15" s="240"/>
      <c r="Q15" s="240"/>
      <c r="R15" s="379"/>
      <c r="S15" s="240"/>
      <c r="T15" s="240"/>
      <c r="U15" s="240"/>
      <c r="V15" s="240"/>
      <c r="W15" s="240"/>
    </row>
    <row r="16" spans="1:23" ht="15.75">
      <c r="A16" s="573" t="s">
        <v>277</v>
      </c>
      <c r="B16" s="447"/>
      <c r="C16" s="429">
        <v>42</v>
      </c>
      <c r="D16" s="199" t="s">
        <v>282</v>
      </c>
      <c r="E16" s="448"/>
      <c r="F16" s="409"/>
      <c r="G16" s="410">
        <f>285</f>
        <v>285</v>
      </c>
      <c r="H16" s="449">
        <v>1.62</v>
      </c>
      <c r="I16" s="415">
        <f>G16*H16</f>
        <v>461.70000000000005</v>
      </c>
      <c r="J16" s="427">
        <f ca="1">($J$3*H16)</f>
        <v>-0.48665290884496498</v>
      </c>
      <c r="K16" s="409">
        <f ca="1">H16+J16</f>
        <v>1.1333470911550352</v>
      </c>
      <c r="L16" s="415">
        <f ca="1">G16*K16</f>
        <v>323.00392097918501</v>
      </c>
      <c r="M16" s="412">
        <f t="shared" ca="1" si="4"/>
        <v>-138.69607902081503</v>
      </c>
      <c r="N16" s="399"/>
      <c r="O16" s="399"/>
      <c r="P16" s="240"/>
      <c r="Q16" s="240"/>
      <c r="R16" s="379"/>
      <c r="S16" s="240"/>
      <c r="T16" s="240"/>
      <c r="U16" s="240"/>
      <c r="V16" s="240"/>
      <c r="W16" s="240"/>
    </row>
    <row r="17" spans="1:23" ht="15.75">
      <c r="A17" s="570"/>
      <c r="B17" s="447"/>
      <c r="C17" s="429">
        <v>42</v>
      </c>
      <c r="D17" s="199" t="s">
        <v>279</v>
      </c>
      <c r="E17" s="448"/>
      <c r="F17" s="409"/>
      <c r="G17" s="410">
        <v>28</v>
      </c>
      <c r="H17" s="449">
        <v>27.03</v>
      </c>
      <c r="I17" s="415">
        <f t="shared" ref="I17:I25" si="6">G17*H17</f>
        <v>756.84</v>
      </c>
      <c r="J17" s="413">
        <f t="shared" ref="J17:J25" ca="1" si="7">($J$3*H17)</f>
        <v>-8.1198939049872862</v>
      </c>
      <c r="K17" s="409">
        <f t="shared" ref="K17:K25" ca="1" si="8">H17+J17</f>
        <v>18.910106095012715</v>
      </c>
      <c r="L17" s="415">
        <f t="shared" ref="L17:L25" ca="1" si="9">G17*K17</f>
        <v>529.48297066035605</v>
      </c>
      <c r="M17" s="412">
        <f t="shared" ca="1" si="4"/>
        <v>-227.35702933964399</v>
      </c>
      <c r="N17" s="399"/>
      <c r="O17" s="399"/>
      <c r="P17" s="240"/>
      <c r="Q17" s="240"/>
      <c r="R17" s="379"/>
      <c r="S17" s="240"/>
      <c r="T17" s="240"/>
      <c r="U17" s="240"/>
      <c r="V17" s="240"/>
      <c r="W17" s="240"/>
    </row>
    <row r="18" spans="1:23" ht="15.75">
      <c r="A18" s="570"/>
      <c r="B18" s="447"/>
      <c r="C18" s="429">
        <v>42</v>
      </c>
      <c r="D18" s="199" t="s">
        <v>280</v>
      </c>
      <c r="E18" s="448"/>
      <c r="F18" s="409"/>
      <c r="G18" s="410">
        <v>27</v>
      </c>
      <c r="H18" s="449">
        <v>48.65</v>
      </c>
      <c r="I18" s="415">
        <f t="shared" si="6"/>
        <v>1313.55</v>
      </c>
      <c r="J18" s="413">
        <f t="shared" ca="1" si="7"/>
        <v>-14.61460741685651</v>
      </c>
      <c r="K18" s="409">
        <f t="shared" ca="1" si="8"/>
        <v>34.035392583143491</v>
      </c>
      <c r="L18" s="415">
        <f t="shared" ca="1" si="9"/>
        <v>918.95559974487423</v>
      </c>
      <c r="M18" s="412">
        <f t="shared" ca="1" si="4"/>
        <v>-394.59440025512572</v>
      </c>
      <c r="N18" s="399"/>
      <c r="O18" s="399"/>
      <c r="P18" s="240"/>
      <c r="Q18" s="240"/>
      <c r="R18" s="379"/>
      <c r="S18" s="240"/>
      <c r="T18" s="240"/>
      <c r="U18" s="240"/>
      <c r="V18" s="240"/>
      <c r="W18" s="240"/>
    </row>
    <row r="19" spans="1:23" ht="15.75">
      <c r="A19" s="570"/>
      <c r="B19" s="447"/>
      <c r="C19" s="429">
        <v>42</v>
      </c>
      <c r="D19" s="199" t="s">
        <v>281</v>
      </c>
      <c r="E19" s="448"/>
      <c r="F19" s="409"/>
      <c r="G19" s="410">
        <v>441</v>
      </c>
      <c r="H19" s="449">
        <v>2.7</v>
      </c>
      <c r="I19" s="415">
        <f t="shared" si="6"/>
        <v>1190.7</v>
      </c>
      <c r="J19" s="413">
        <f t="shared" ca="1" si="7"/>
        <v>-0.81108818140827499</v>
      </c>
      <c r="K19" s="409">
        <f t="shared" ca="1" si="8"/>
        <v>1.8889118185917253</v>
      </c>
      <c r="L19" s="415">
        <f t="shared" ca="1" si="9"/>
        <v>833.01011199895083</v>
      </c>
      <c r="M19" s="412">
        <f t="shared" ca="1" si="4"/>
        <v>-357.68988800104921</v>
      </c>
      <c r="N19" s="399"/>
      <c r="O19" s="399"/>
      <c r="P19" s="240"/>
      <c r="Q19" s="240"/>
      <c r="R19" s="379"/>
      <c r="S19" s="240"/>
      <c r="T19" s="240"/>
      <c r="U19" s="240"/>
      <c r="V19" s="240"/>
      <c r="W19" s="240"/>
    </row>
    <row r="20" spans="1:23" ht="15.75">
      <c r="A20" s="570"/>
      <c r="B20" s="447"/>
      <c r="C20" s="429">
        <v>42</v>
      </c>
      <c r="D20" s="199" t="s">
        <v>283</v>
      </c>
      <c r="E20" s="448"/>
      <c r="F20" s="409"/>
      <c r="G20" s="410">
        <v>62</v>
      </c>
      <c r="H20" s="449">
        <v>27.03</v>
      </c>
      <c r="I20" s="415">
        <f t="shared" si="6"/>
        <v>1675.8600000000001</v>
      </c>
      <c r="J20" s="413">
        <f t="shared" ca="1" si="7"/>
        <v>-8.1198939049872862</v>
      </c>
      <c r="K20" s="409">
        <f t="shared" ca="1" si="8"/>
        <v>18.910106095012715</v>
      </c>
      <c r="L20" s="415">
        <f t="shared" ca="1" si="9"/>
        <v>1172.4265778907884</v>
      </c>
      <c r="M20" s="412">
        <f t="shared" ca="1" si="4"/>
        <v>-503.43342210921173</v>
      </c>
      <c r="N20" s="399"/>
      <c r="O20" s="399"/>
      <c r="P20" s="240"/>
      <c r="Q20" s="240"/>
      <c r="R20" s="379"/>
      <c r="S20" s="240"/>
      <c r="T20" s="240"/>
      <c r="U20" s="240"/>
      <c r="V20" s="240"/>
      <c r="W20" s="240"/>
    </row>
    <row r="21" spans="1:23" ht="15.75">
      <c r="A21" s="570"/>
      <c r="B21" s="447"/>
      <c r="C21" s="429">
        <v>42</v>
      </c>
      <c r="D21" s="199" t="s">
        <v>284</v>
      </c>
      <c r="E21" s="448"/>
      <c r="F21" s="409"/>
      <c r="G21" s="410">
        <v>63</v>
      </c>
      <c r="H21" s="449">
        <v>48.65</v>
      </c>
      <c r="I21" s="415">
        <f t="shared" si="6"/>
        <v>3064.95</v>
      </c>
      <c r="J21" s="413">
        <f t="shared" ca="1" si="7"/>
        <v>-14.61460741685651</v>
      </c>
      <c r="K21" s="409">
        <f t="shared" ca="1" si="8"/>
        <v>34.035392583143491</v>
      </c>
      <c r="L21" s="415">
        <f t="shared" ca="1" si="9"/>
        <v>2144.2297327380397</v>
      </c>
      <c r="M21" s="412">
        <f t="shared" ca="1" si="4"/>
        <v>-920.72026726196009</v>
      </c>
      <c r="N21" s="399"/>
      <c r="O21" s="399"/>
      <c r="P21" s="240"/>
      <c r="Q21" s="240"/>
      <c r="R21" s="379"/>
      <c r="S21" s="240"/>
      <c r="T21" s="240"/>
      <c r="U21" s="240"/>
      <c r="V21" s="240"/>
      <c r="W21" s="240"/>
    </row>
    <row r="22" spans="1:23" ht="15.75">
      <c r="A22" s="570"/>
      <c r="B22" s="447"/>
      <c r="C22" s="429">
        <v>42</v>
      </c>
      <c r="D22" s="199" t="s">
        <v>285</v>
      </c>
      <c r="E22" s="448"/>
      <c r="F22" s="409"/>
      <c r="G22" s="410">
        <v>165</v>
      </c>
      <c r="H22" s="449">
        <v>3.78</v>
      </c>
      <c r="I22" s="415">
        <f t="shared" si="6"/>
        <v>623.69999999999993</v>
      </c>
      <c r="J22" s="413">
        <f t="shared" ca="1" si="7"/>
        <v>-1.1355234539715848</v>
      </c>
      <c r="K22" s="409">
        <f t="shared" ca="1" si="8"/>
        <v>2.644476546028415</v>
      </c>
      <c r="L22" s="415">
        <f t="shared" ca="1" si="9"/>
        <v>436.33863009468848</v>
      </c>
      <c r="M22" s="412">
        <f t="shared" ca="1" si="4"/>
        <v>-187.36136990531145</v>
      </c>
      <c r="N22" s="399"/>
      <c r="O22" s="399"/>
      <c r="P22" s="240"/>
      <c r="Q22" s="240"/>
      <c r="R22" s="379"/>
      <c r="S22" s="240"/>
      <c r="T22" s="240"/>
      <c r="U22" s="240"/>
      <c r="V22" s="240"/>
      <c r="W22" s="240"/>
    </row>
    <row r="23" spans="1:23" ht="15.75">
      <c r="A23" s="570"/>
      <c r="B23" s="447"/>
      <c r="C23" s="429">
        <v>42</v>
      </c>
      <c r="D23" s="199" t="s">
        <v>352</v>
      </c>
      <c r="E23" s="448"/>
      <c r="F23" s="409"/>
      <c r="G23" s="410">
        <v>31</v>
      </c>
      <c r="H23" s="449">
        <v>27.03</v>
      </c>
      <c r="I23" s="415">
        <f t="shared" si="6"/>
        <v>837.93000000000006</v>
      </c>
      <c r="J23" s="413">
        <f t="shared" ca="1" si="7"/>
        <v>-8.1198939049872862</v>
      </c>
      <c r="K23" s="409">
        <f t="shared" ca="1" si="8"/>
        <v>18.910106095012715</v>
      </c>
      <c r="L23" s="415">
        <f t="shared" ca="1" si="9"/>
        <v>586.2132889453942</v>
      </c>
      <c r="M23" s="412">
        <f t="shared" ca="1" si="4"/>
        <v>-251.71671105460587</v>
      </c>
      <c r="N23" s="399"/>
      <c r="O23" s="399"/>
      <c r="P23" s="240"/>
      <c r="Q23" s="240"/>
      <c r="R23" s="379"/>
      <c r="S23" s="240"/>
      <c r="T23" s="240"/>
      <c r="U23" s="240"/>
      <c r="V23" s="240"/>
      <c r="W23" s="240"/>
    </row>
    <row r="24" spans="1:23" ht="15.75">
      <c r="A24" s="570"/>
      <c r="B24" s="447"/>
      <c r="C24" s="429">
        <v>42</v>
      </c>
      <c r="D24" s="199" t="s">
        <v>286</v>
      </c>
      <c r="E24" s="448"/>
      <c r="F24" s="409"/>
      <c r="G24" s="410">
        <v>32</v>
      </c>
      <c r="H24" s="449">
        <v>48.65</v>
      </c>
      <c r="I24" s="415">
        <f t="shared" si="6"/>
        <v>1556.8</v>
      </c>
      <c r="J24" s="413">
        <f t="shared" ca="1" si="7"/>
        <v>-14.61460741685651</v>
      </c>
      <c r="K24" s="409">
        <f t="shared" ca="1" si="8"/>
        <v>34.035392583143491</v>
      </c>
      <c r="L24" s="415">
        <f t="shared" ca="1" si="9"/>
        <v>1089.1325626605917</v>
      </c>
      <c r="M24" s="412">
        <f t="shared" ca="1" si="4"/>
        <v>-467.66743733940825</v>
      </c>
      <c r="N24" s="399"/>
      <c r="O24" s="399"/>
      <c r="P24" s="240"/>
      <c r="Q24" s="240"/>
      <c r="R24" s="379"/>
      <c r="S24" s="240"/>
      <c r="T24" s="240"/>
      <c r="U24" s="240"/>
      <c r="V24" s="240"/>
      <c r="W24" s="240"/>
    </row>
    <row r="25" spans="1:23" ht="15.75">
      <c r="A25" s="572"/>
      <c r="B25" s="447"/>
      <c r="C25" s="429">
        <v>42</v>
      </c>
      <c r="D25" s="199" t="s">
        <v>353</v>
      </c>
      <c r="E25" s="448"/>
      <c r="F25" s="409"/>
      <c r="G25" s="410">
        <v>239015</v>
      </c>
      <c r="H25" s="449">
        <v>0.13500000000000001</v>
      </c>
      <c r="I25" s="415">
        <f t="shared" si="6"/>
        <v>32267.025000000001</v>
      </c>
      <c r="J25" s="413">
        <f t="shared" ca="1" si="7"/>
        <v>-4.0554409070413751E-2</v>
      </c>
      <c r="K25" s="409">
        <f t="shared" ca="1" si="8"/>
        <v>9.4445590929586265E-2</v>
      </c>
      <c r="L25" s="415">
        <f t="shared" ca="1" si="9"/>
        <v>22573.91291603506</v>
      </c>
      <c r="M25" s="412">
        <f t="shared" ca="1" si="4"/>
        <v>-9693.1120839649411</v>
      </c>
      <c r="N25" s="399"/>
      <c r="O25" s="399"/>
      <c r="P25" s="240"/>
      <c r="Q25" s="240"/>
      <c r="R25" s="379"/>
      <c r="S25" s="240"/>
      <c r="T25" s="240"/>
      <c r="U25" s="240"/>
      <c r="V25" s="240"/>
      <c r="W25" s="240"/>
    </row>
    <row r="26" spans="1:23" ht="15.75">
      <c r="A26" s="574" t="s">
        <v>297</v>
      </c>
      <c r="B26" s="574"/>
      <c r="C26" s="574"/>
      <c r="D26" s="574"/>
      <c r="E26" s="450"/>
      <c r="F26" s="450"/>
      <c r="G26" s="442">
        <f>SUM(G16:G25)</f>
        <v>240149</v>
      </c>
      <c r="H26" s="451"/>
      <c r="I26" s="444">
        <f>SUM(I16:I25)</f>
        <v>43749.055</v>
      </c>
      <c r="J26" s="452"/>
      <c r="K26" s="451"/>
      <c r="L26" s="444">
        <f ca="1">SUM(L16:L25)</f>
        <v>30606.70631174793</v>
      </c>
      <c r="M26" s="444">
        <f t="shared" ca="1" si="4"/>
        <v>-13142.34868825207</v>
      </c>
      <c r="N26" s="399"/>
      <c r="O26" s="399"/>
      <c r="P26" s="240"/>
      <c r="Q26" s="240"/>
      <c r="R26" s="379"/>
      <c r="S26" s="240"/>
      <c r="T26" s="240"/>
      <c r="U26" s="240"/>
      <c r="V26" s="240"/>
      <c r="W26" s="240"/>
    </row>
    <row r="27" spans="1:23" ht="15.75">
      <c r="A27" s="573" t="s">
        <v>136</v>
      </c>
      <c r="B27" s="407">
        <v>100</v>
      </c>
      <c r="C27" s="408">
        <v>25</v>
      </c>
      <c r="D27" s="199" t="s">
        <v>140</v>
      </c>
      <c r="E27" s="430"/>
      <c r="F27" s="409"/>
      <c r="G27" s="410">
        <v>107</v>
      </c>
      <c r="H27" s="411">
        <v>4.99</v>
      </c>
      <c r="I27" s="412">
        <f t="shared" ref="I27:I32" si="10">H27*G27</f>
        <v>533.93000000000006</v>
      </c>
      <c r="J27" s="413">
        <f t="shared" ref="J27:J32" ca="1" si="11">($J$3*H27)</f>
        <v>-1.4990111204545526</v>
      </c>
      <c r="K27" s="414">
        <f t="shared" ref="K27:K32" ca="1" si="12">J27+H27</f>
        <v>3.4909888795454478</v>
      </c>
      <c r="L27" s="412">
        <f t="shared" ref="L27:L32" ca="1" si="13">K27*G27</f>
        <v>373.53581011136293</v>
      </c>
      <c r="M27" s="412">
        <f t="shared" ca="1" si="4"/>
        <v>-160.39418988863713</v>
      </c>
      <c r="N27" s="399"/>
      <c r="O27" s="399"/>
      <c r="P27" s="240"/>
      <c r="Q27" s="240"/>
      <c r="R27" s="379"/>
      <c r="S27" s="240"/>
      <c r="T27" s="240"/>
      <c r="U27" s="240"/>
      <c r="V27" s="240"/>
      <c r="W27" s="240"/>
    </row>
    <row r="28" spans="1:23" ht="15.75">
      <c r="A28" s="570"/>
      <c r="B28" s="407">
        <v>100</v>
      </c>
      <c r="C28" s="408">
        <v>24</v>
      </c>
      <c r="D28" s="199" t="s">
        <v>141</v>
      </c>
      <c r="E28" s="453"/>
      <c r="F28" s="454"/>
      <c r="G28" s="410"/>
      <c r="H28" s="411">
        <v>6.65</v>
      </c>
      <c r="I28" s="412">
        <f t="shared" si="10"/>
        <v>0</v>
      </c>
      <c r="J28" s="413">
        <f t="shared" ca="1" si="11"/>
        <v>-1.9976801505055661</v>
      </c>
      <c r="K28" s="414">
        <f t="shared" ca="1" si="12"/>
        <v>4.6523198494944342</v>
      </c>
      <c r="L28" s="412">
        <f t="shared" ca="1" si="13"/>
        <v>0</v>
      </c>
      <c r="M28" s="412">
        <f t="shared" ca="1" si="4"/>
        <v>0</v>
      </c>
      <c r="N28" s="399"/>
      <c r="O28" s="399"/>
      <c r="P28" s="240"/>
      <c r="Q28" s="240"/>
      <c r="R28" s="379"/>
      <c r="S28" s="240"/>
      <c r="T28" s="240"/>
      <c r="U28" s="240"/>
      <c r="V28" s="240"/>
      <c r="W28" s="240"/>
    </row>
    <row r="29" spans="1:23" ht="15.75">
      <c r="A29" s="570"/>
      <c r="B29" s="407"/>
      <c r="C29" s="408">
        <v>24</v>
      </c>
      <c r="D29" s="199" t="s">
        <v>272</v>
      </c>
      <c r="E29" s="453"/>
      <c r="F29" s="454"/>
      <c r="G29" s="410"/>
      <c r="H29" s="411">
        <v>4.9000000000000004</v>
      </c>
      <c r="I29" s="412">
        <f t="shared" si="10"/>
        <v>0</v>
      </c>
      <c r="J29" s="413">
        <f t="shared" ca="1" si="11"/>
        <v>-1.4719748477409436</v>
      </c>
      <c r="K29" s="414">
        <f t="shared" ca="1" si="12"/>
        <v>3.4280251522590568</v>
      </c>
      <c r="L29" s="412">
        <f t="shared" ca="1" si="13"/>
        <v>0</v>
      </c>
      <c r="M29" s="412">
        <f t="shared" ca="1" si="4"/>
        <v>0</v>
      </c>
      <c r="N29" s="399"/>
      <c r="O29" s="399"/>
      <c r="P29" s="240"/>
      <c r="Q29" s="240"/>
      <c r="R29" s="379"/>
      <c r="S29" s="240"/>
      <c r="T29" s="240"/>
      <c r="U29" s="240"/>
      <c r="V29" s="240"/>
      <c r="W29" s="240"/>
    </row>
    <row r="30" spans="1:23" ht="15.75">
      <c r="A30" s="570"/>
      <c r="B30" s="407">
        <v>55</v>
      </c>
      <c r="C30" s="408">
        <v>19</v>
      </c>
      <c r="D30" s="199" t="s">
        <v>142</v>
      </c>
      <c r="E30" s="453"/>
      <c r="F30" s="454"/>
      <c r="G30" s="410">
        <v>96</v>
      </c>
      <c r="H30" s="411">
        <v>4.99</v>
      </c>
      <c r="I30" s="412">
        <f t="shared" si="10"/>
        <v>479.04</v>
      </c>
      <c r="J30" s="413">
        <f t="shared" ca="1" si="11"/>
        <v>-1.4990111204545526</v>
      </c>
      <c r="K30" s="414">
        <f t="shared" ca="1" si="12"/>
        <v>3.4909888795454478</v>
      </c>
      <c r="L30" s="412">
        <f t="shared" ca="1" si="13"/>
        <v>335.13493243636299</v>
      </c>
      <c r="M30" s="412">
        <f t="shared" ca="1" si="4"/>
        <v>-143.90506756363703</v>
      </c>
      <c r="N30" s="399"/>
      <c r="P30" s="240"/>
      <c r="Q30" s="240"/>
      <c r="R30" s="379"/>
      <c r="S30" s="240"/>
      <c r="T30" s="240"/>
      <c r="U30" s="240"/>
      <c r="V30" s="240"/>
      <c r="W30" s="240"/>
    </row>
    <row r="31" spans="1:23" ht="15.75">
      <c r="A31" s="570"/>
      <c r="B31" s="407">
        <v>100</v>
      </c>
      <c r="C31" s="408">
        <v>25</v>
      </c>
      <c r="D31" s="199" t="s">
        <v>270</v>
      </c>
      <c r="E31" s="453"/>
      <c r="F31" s="454"/>
      <c r="G31" s="410"/>
      <c r="H31" s="411">
        <v>3.94</v>
      </c>
      <c r="I31" s="412">
        <f t="shared" si="10"/>
        <v>0</v>
      </c>
      <c r="J31" s="413">
        <f t="shared" ca="1" si="11"/>
        <v>-1.1835879387957791</v>
      </c>
      <c r="K31" s="414">
        <f t="shared" ca="1" si="12"/>
        <v>2.7564120612042209</v>
      </c>
      <c r="L31" s="412">
        <f t="shared" ca="1" si="13"/>
        <v>0</v>
      </c>
      <c r="M31" s="412">
        <f t="shared" ca="1" si="4"/>
        <v>0</v>
      </c>
      <c r="N31" s="399"/>
      <c r="P31" s="240"/>
      <c r="Q31" s="240"/>
      <c r="R31" s="379"/>
      <c r="S31" s="240"/>
      <c r="T31" s="240"/>
      <c r="U31" s="240"/>
      <c r="V31" s="240"/>
      <c r="W31" s="240"/>
    </row>
    <row r="32" spans="1:23" ht="15.75">
      <c r="A32" s="572"/>
      <c r="B32" s="432">
        <v>100</v>
      </c>
      <c r="C32" s="433">
        <v>19</v>
      </c>
      <c r="D32" s="200" t="s">
        <v>269</v>
      </c>
      <c r="E32" s="403"/>
      <c r="F32" s="455"/>
      <c r="G32" s="497"/>
      <c r="H32" s="411">
        <v>3.94</v>
      </c>
      <c r="I32" s="438">
        <f t="shared" si="10"/>
        <v>0</v>
      </c>
      <c r="J32" s="436">
        <f t="shared" ca="1" si="11"/>
        <v>-1.1835879387957791</v>
      </c>
      <c r="K32" s="414">
        <f t="shared" ca="1" si="12"/>
        <v>2.7564120612042209</v>
      </c>
      <c r="L32" s="438">
        <f t="shared" ca="1" si="13"/>
        <v>0</v>
      </c>
      <c r="M32" s="412">
        <f t="shared" ca="1" si="4"/>
        <v>0</v>
      </c>
      <c r="N32" s="399"/>
      <c r="O32" s="399"/>
      <c r="P32" s="240"/>
      <c r="Q32" s="240"/>
      <c r="R32" s="379"/>
      <c r="S32" s="240"/>
      <c r="T32" s="240"/>
      <c r="U32" s="240"/>
      <c r="V32" s="240"/>
      <c r="W32" s="240"/>
    </row>
    <row r="33" spans="1:23" ht="15.75">
      <c r="A33" s="450"/>
      <c r="B33" s="416"/>
      <c r="C33" s="417"/>
      <c r="D33" s="418" t="s">
        <v>299</v>
      </c>
      <c r="E33" s="456"/>
      <c r="F33" s="456"/>
      <c r="G33" s="457">
        <f>SUM(G27:G32)</f>
        <v>203</v>
      </c>
      <c r="H33" s="458"/>
      <c r="I33" s="459">
        <f>SUM(I27:I32)</f>
        <v>1012.97</v>
      </c>
      <c r="J33" s="460"/>
      <c r="K33" s="458"/>
      <c r="L33" s="461">
        <f ca="1">SUM(L27:L32)</f>
        <v>708.67074254772592</v>
      </c>
      <c r="M33" s="461">
        <f ca="1">SUM(M27:M32)</f>
        <v>-304.29925745227416</v>
      </c>
      <c r="N33" s="399"/>
      <c r="O33" s="399"/>
      <c r="P33" s="240"/>
      <c r="Q33" s="240"/>
      <c r="R33" s="379"/>
      <c r="S33" s="240"/>
      <c r="T33" s="240"/>
      <c r="U33" s="240"/>
      <c r="V33" s="240"/>
      <c r="W33" s="240"/>
    </row>
    <row r="34" spans="1:23" ht="15.75">
      <c r="A34" s="570" t="s">
        <v>139</v>
      </c>
      <c r="B34" s="407"/>
      <c r="C34" s="408"/>
      <c r="D34" s="199" t="s">
        <v>278</v>
      </c>
      <c r="E34" s="430"/>
      <c r="F34" s="409"/>
      <c r="G34" s="410">
        <v>96</v>
      </c>
      <c r="H34" s="411">
        <v>5</v>
      </c>
      <c r="I34" s="412">
        <f>G34*H34</f>
        <v>480</v>
      </c>
      <c r="J34" s="413">
        <f ca="1">($J$3*H34)</f>
        <v>-1.5020151507560646</v>
      </c>
      <c r="K34" s="414">
        <f ca="1">J34+H34</f>
        <v>3.4979848492439354</v>
      </c>
      <c r="L34" s="412">
        <f ca="1">K34*G34</f>
        <v>335.80654552741782</v>
      </c>
      <c r="M34" s="412">
        <f ca="1">L34-I34</f>
        <v>-144.19345447258218</v>
      </c>
      <c r="N34" s="399"/>
      <c r="O34" s="399"/>
      <c r="P34" s="240"/>
      <c r="Q34" s="240"/>
      <c r="R34" s="379"/>
      <c r="S34" s="240"/>
      <c r="T34" s="240"/>
      <c r="U34" s="240"/>
      <c r="V34" s="240"/>
      <c r="W34" s="240"/>
    </row>
    <row r="35" spans="1:23" ht="15.75">
      <c r="A35" s="570"/>
      <c r="B35" s="407"/>
      <c r="C35" s="408"/>
      <c r="D35" s="199" t="s">
        <v>273</v>
      </c>
      <c r="E35" s="399"/>
      <c r="F35" s="409"/>
      <c r="G35" s="410">
        <v>29</v>
      </c>
      <c r="H35" s="411">
        <v>12.5</v>
      </c>
      <c r="I35" s="412">
        <f>G35*H35</f>
        <v>362.5</v>
      </c>
      <c r="J35" s="413">
        <f ca="1">($J$3*H35)</f>
        <v>-3.755037876890162</v>
      </c>
      <c r="K35" s="414">
        <f ca="1">J35+H35</f>
        <v>8.744962123109838</v>
      </c>
      <c r="L35" s="412">
        <f ca="1">K35*G35</f>
        <v>253.60390157018531</v>
      </c>
      <c r="M35" s="412">
        <f ca="1">L35-I35</f>
        <v>-108.89609842981469</v>
      </c>
      <c r="N35" s="399"/>
      <c r="O35" s="399"/>
      <c r="P35" s="240"/>
      <c r="Q35" s="240"/>
      <c r="R35" s="379"/>
      <c r="S35" s="240"/>
      <c r="T35" s="240"/>
      <c r="U35" s="240"/>
      <c r="V35" s="240"/>
      <c r="W35" s="240"/>
    </row>
    <row r="36" spans="1:23" ht="16.5" thickBot="1">
      <c r="A36" s="571"/>
      <c r="B36" s="440"/>
      <c r="C36" s="450"/>
      <c r="D36" s="418" t="s">
        <v>103</v>
      </c>
      <c r="E36" s="462"/>
      <c r="F36" s="462"/>
      <c r="G36" s="442">
        <f>SUM(G34:G35)</f>
        <v>125</v>
      </c>
      <c r="H36" s="463"/>
      <c r="I36" s="444">
        <f>SUM(I34:I35)</f>
        <v>842.5</v>
      </c>
      <c r="J36" s="460"/>
      <c r="K36" s="463"/>
      <c r="L36" s="444">
        <f ca="1">SUM(L34:L35)</f>
        <v>589.41044709760308</v>
      </c>
      <c r="M36" s="444">
        <f ca="1">SUM(M34:M35)</f>
        <v>-253.08955290239686</v>
      </c>
      <c r="N36" s="399"/>
      <c r="O36" s="399"/>
      <c r="P36" s="240"/>
      <c r="Q36" s="240"/>
      <c r="R36" s="379"/>
      <c r="S36" s="240"/>
      <c r="T36" s="240"/>
      <c r="U36" s="240"/>
      <c r="V36" s="240"/>
      <c r="W36" s="240"/>
    </row>
    <row r="37" spans="1:23" ht="17.25" thickTop="1" thickBot="1">
      <c r="A37" s="464"/>
      <c r="B37" s="464"/>
      <c r="C37" s="464"/>
      <c r="D37" s="201" t="s">
        <v>143</v>
      </c>
      <c r="E37" s="465"/>
      <c r="F37" s="464"/>
      <c r="G37" s="465">
        <f>G10+G15+G26+G33+G36</f>
        <v>293567</v>
      </c>
      <c r="H37" s="464"/>
      <c r="I37" s="465">
        <f>I10+I15+I26+I33+I36</f>
        <v>358220.42499999999</v>
      </c>
      <c r="J37" s="466"/>
      <c r="K37" s="464"/>
      <c r="L37" s="465">
        <f ca="1">L10+L15+L26+L33+L36</f>
        <v>250609.92386794469</v>
      </c>
      <c r="M37" s="465">
        <f ca="1">M10+M15+M26+M33+M36</f>
        <v>-107610.50113205535</v>
      </c>
      <c r="N37" s="399"/>
      <c r="O37" s="399"/>
      <c r="P37" s="240"/>
      <c r="Q37" s="240"/>
      <c r="R37" s="379"/>
      <c r="S37" s="240"/>
      <c r="T37" s="240"/>
      <c r="U37" s="240"/>
      <c r="V37" s="240"/>
      <c r="W37" s="240"/>
    </row>
    <row r="38" spans="1:23" ht="16.5" thickTop="1">
      <c r="A38" s="399"/>
      <c r="B38" s="399"/>
      <c r="C38" s="399"/>
      <c r="D38" s="399"/>
      <c r="E38" s="399"/>
      <c r="F38" s="399"/>
      <c r="G38" s="399"/>
      <c r="H38" s="399"/>
      <c r="I38" s="399"/>
      <c r="J38" s="399"/>
      <c r="K38" s="399"/>
      <c r="L38" s="399"/>
      <c r="M38" s="399"/>
      <c r="N38" s="399"/>
      <c r="O38" s="399"/>
      <c r="P38" s="240"/>
      <c r="Q38" s="240"/>
      <c r="R38" s="240"/>
      <c r="S38" s="240"/>
      <c r="T38" s="240"/>
      <c r="U38" s="240"/>
      <c r="V38" s="240"/>
      <c r="W38" s="240"/>
    </row>
    <row r="39" spans="1:23" ht="15.75">
      <c r="A39" s="467"/>
      <c r="B39" s="429"/>
      <c r="C39" s="429"/>
      <c r="D39" s="202"/>
      <c r="E39" s="429"/>
      <c r="F39" s="429"/>
      <c r="G39" s="429"/>
      <c r="H39" s="429"/>
      <c r="I39" s="429"/>
      <c r="J39" s="429"/>
      <c r="K39" s="429"/>
      <c r="L39" s="429"/>
      <c r="M39" s="429"/>
      <c r="N39" s="429"/>
      <c r="O39" s="399"/>
      <c r="P39" s="240"/>
      <c r="Q39" s="240"/>
      <c r="R39" s="240"/>
      <c r="S39" s="240"/>
      <c r="T39" s="240"/>
      <c r="U39" s="240"/>
      <c r="V39" s="240"/>
      <c r="W39" s="240"/>
    </row>
    <row r="40" spans="1:23" ht="15.75">
      <c r="A40" s="467"/>
      <c r="B40" s="399"/>
      <c r="C40" s="399"/>
      <c r="D40" s="399"/>
      <c r="E40" s="468"/>
      <c r="F40" s="399"/>
      <c r="G40" s="399"/>
      <c r="H40" s="240"/>
      <c r="I40" s="469"/>
      <c r="J40" s="290"/>
      <c r="K40" s="399"/>
      <c r="L40" s="470"/>
      <c r="M40" s="471"/>
      <c r="N40" s="429"/>
      <c r="O40" s="399"/>
      <c r="P40" s="240"/>
      <c r="Q40" s="240"/>
      <c r="R40" s="240"/>
      <c r="S40" s="240"/>
      <c r="T40" s="240"/>
      <c r="U40" s="240"/>
      <c r="V40" s="240"/>
      <c r="W40" s="240"/>
    </row>
    <row r="41" spans="1:23" ht="15.75">
      <c r="A41" s="467"/>
      <c r="B41" s="399"/>
      <c r="C41" s="399"/>
      <c r="D41" s="472" t="s">
        <v>232</v>
      </c>
      <c r="E41" s="473"/>
      <c r="F41" s="399"/>
      <c r="G41" s="399"/>
      <c r="H41" s="474"/>
      <c r="I41" s="406"/>
      <c r="J41" s="474"/>
      <c r="K41" s="474"/>
      <c r="L41" s="406"/>
      <c r="M41" s="429"/>
      <c r="N41" s="429"/>
      <c r="O41" s="399"/>
      <c r="P41" s="240"/>
      <c r="Q41" s="240"/>
      <c r="R41" s="240"/>
      <c r="S41" s="240"/>
      <c r="T41" s="240"/>
      <c r="U41" s="240"/>
      <c r="V41" s="240"/>
      <c r="W41" s="240"/>
    </row>
    <row r="42" spans="1:23" ht="15.75">
      <c r="A42" s="467"/>
      <c r="B42" s="407">
        <v>100</v>
      </c>
      <c r="C42" s="408">
        <v>24</v>
      </c>
      <c r="D42" s="199" t="s">
        <v>138</v>
      </c>
      <c r="E42" s="430">
        <f>E9</f>
        <v>1915</v>
      </c>
      <c r="F42" s="409">
        <v>2.1666666666666665</v>
      </c>
      <c r="G42" s="410">
        <f>E42*F42*12</f>
        <v>49789.999999999993</v>
      </c>
      <c r="H42" s="411">
        <v>5.28</v>
      </c>
      <c r="I42" s="521">
        <f>E42*H42*12</f>
        <v>121334.40000000001</v>
      </c>
      <c r="J42" s="413">
        <f ca="1">H42*$J$4</f>
        <v>5.3110895391612303</v>
      </c>
      <c r="K42" s="414">
        <f ca="1">J42+H42</f>
        <v>10.591089539161231</v>
      </c>
      <c r="L42" s="412">
        <f ca="1">E42*K42*12</f>
        <v>243383.2376099251</v>
      </c>
      <c r="M42" s="412">
        <f ca="1">L42-I42</f>
        <v>122048.83760992509</v>
      </c>
      <c r="N42" s="475"/>
      <c r="O42" s="476">
        <f>('Pro Forma IS'!S4-I42)/I42</f>
        <v>0</v>
      </c>
      <c r="P42" s="240"/>
      <c r="Q42" s="240"/>
      <c r="R42" s="240"/>
      <c r="S42" s="240"/>
      <c r="T42" s="240"/>
      <c r="U42" s="240"/>
      <c r="V42" s="240"/>
      <c r="W42" s="240"/>
    </row>
    <row r="43" spans="1:23" ht="15.75">
      <c r="A43" s="467"/>
      <c r="B43" s="399"/>
      <c r="C43" s="399"/>
      <c r="D43" s="429"/>
      <c r="E43" s="430"/>
      <c r="F43" s="477"/>
      <c r="G43" s="399"/>
      <c r="H43" s="399"/>
      <c r="I43" s="431"/>
      <c r="J43" s="399"/>
      <c r="K43" s="399"/>
      <c r="L43" s="478"/>
      <c r="M43" s="478"/>
      <c r="N43" s="429"/>
      <c r="O43" s="399"/>
      <c r="P43" s="240"/>
      <c r="Q43" s="240"/>
      <c r="R43" s="240"/>
      <c r="S43" s="240"/>
      <c r="T43" s="240"/>
      <c r="U43" s="240"/>
      <c r="V43" s="240"/>
      <c r="W43" s="240"/>
    </row>
    <row r="44" spans="1:23" ht="15.75">
      <c r="A44" s="467"/>
      <c r="B44" s="399"/>
      <c r="C44" s="399"/>
      <c r="D44" s="429"/>
      <c r="E44" s="470"/>
      <c r="F44" s="477"/>
      <c r="G44" s="386"/>
      <c r="H44" s="498"/>
      <c r="I44" s="499"/>
      <c r="J44" s="384"/>
      <c r="K44" s="240"/>
      <c r="L44" s="240"/>
      <c r="M44" s="399"/>
      <c r="N44" s="429"/>
      <c r="O44" s="399"/>
      <c r="P44" s="240"/>
      <c r="Q44" s="240"/>
      <c r="R44" s="240"/>
      <c r="S44" s="240"/>
      <c r="T44" s="240"/>
      <c r="U44" s="240"/>
      <c r="V44" s="240"/>
      <c r="W44" s="240"/>
    </row>
    <row r="45" spans="1:23" ht="15.75">
      <c r="A45" s="467"/>
      <c r="B45" s="399"/>
      <c r="C45" s="399"/>
      <c r="D45" s="526" t="s">
        <v>385</v>
      </c>
      <c r="E45" s="475" t="s">
        <v>379</v>
      </c>
      <c r="F45" s="477" t="s">
        <v>386</v>
      </c>
      <c r="G45" s="528" t="s">
        <v>387</v>
      </c>
      <c r="H45" s="240"/>
      <c r="I45" s="500"/>
      <c r="J45" s="385"/>
      <c r="K45" s="299"/>
      <c r="L45" s="289"/>
      <c r="M45" s="399"/>
      <c r="N45" s="429"/>
      <c r="O45" s="399"/>
      <c r="P45" s="240"/>
      <c r="Q45" s="240"/>
      <c r="R45" s="240"/>
      <c r="S45" s="240"/>
      <c r="T45" s="240"/>
      <c r="U45" s="240"/>
      <c r="V45" s="240"/>
      <c r="W45" s="240"/>
    </row>
    <row r="46" spans="1:23" ht="15.75">
      <c r="A46" s="467"/>
      <c r="B46" s="399"/>
      <c r="C46" s="399"/>
      <c r="D46" s="399" t="s">
        <v>380</v>
      </c>
      <c r="E46" s="288">
        <f>'Pro Forma IS'!P3</f>
        <v>358220.42499999999</v>
      </c>
      <c r="F46" s="288">
        <f>I10</f>
        <v>280200</v>
      </c>
      <c r="G46" s="527">
        <f>F46-E46</f>
        <v>-78020.424999999988</v>
      </c>
      <c r="H46" s="379">
        <f>G46/E46</f>
        <v>-0.21780004587957258</v>
      </c>
      <c r="I46" s="240"/>
      <c r="J46" s="429"/>
      <c r="K46" s="429"/>
      <c r="L46" s="429"/>
      <c r="M46" s="399"/>
      <c r="N46" s="429"/>
      <c r="O46" s="399"/>
      <c r="P46" s="240"/>
      <c r="Q46" s="240"/>
      <c r="R46" s="240"/>
      <c r="S46" s="240"/>
      <c r="T46" s="240"/>
      <c r="U46" s="240"/>
      <c r="V46" s="240"/>
      <c r="W46" s="240"/>
    </row>
    <row r="47" spans="1:23" ht="15.75">
      <c r="A47" s="467"/>
      <c r="B47" s="399"/>
      <c r="C47" s="399"/>
      <c r="D47" s="429" t="s">
        <v>381</v>
      </c>
      <c r="E47" s="288">
        <f>'Pro Forma IS'!P5</f>
        <v>80872.02</v>
      </c>
      <c r="F47" s="288">
        <f>I15</f>
        <v>32415.9</v>
      </c>
      <c r="G47" s="527">
        <f t="shared" ref="G47:G49" si="14">F47-E47</f>
        <v>-48456.12</v>
      </c>
      <c r="H47" s="379">
        <f t="shared" ref="H47:H53" si="15">G47/E47</f>
        <v>-0.59917039292452445</v>
      </c>
      <c r="I47" s="304"/>
      <c r="J47" s="288"/>
      <c r="K47" s="288"/>
      <c r="L47" s="300"/>
      <c r="M47" s="399"/>
      <c r="N47" s="429"/>
      <c r="O47" s="399"/>
      <c r="P47" s="240"/>
      <c r="Q47" s="240"/>
      <c r="R47" s="240"/>
      <c r="S47" s="240"/>
      <c r="T47" s="240"/>
      <c r="U47" s="240"/>
      <c r="V47" s="240"/>
      <c r="W47" s="240"/>
    </row>
    <row r="48" spans="1:23" ht="15.75">
      <c r="A48" s="467"/>
      <c r="B48" s="399"/>
      <c r="C48" s="399"/>
      <c r="D48" s="429" t="s">
        <v>382</v>
      </c>
      <c r="E48" s="288">
        <f>'Pro Forma IS'!P6</f>
        <v>0</v>
      </c>
      <c r="F48" s="288">
        <f>I26</f>
        <v>43749.055</v>
      </c>
      <c r="G48" s="527">
        <f t="shared" si="14"/>
        <v>43749.055</v>
      </c>
      <c r="H48" s="379" t="e">
        <f t="shared" si="15"/>
        <v>#DIV/0!</v>
      </c>
      <c r="I48" s="288"/>
      <c r="J48" s="288"/>
      <c r="K48" s="288"/>
      <c r="L48" s="300"/>
      <c r="M48" s="399"/>
      <c r="N48" s="429"/>
      <c r="O48" s="399"/>
      <c r="P48" s="240"/>
      <c r="Q48" s="240"/>
      <c r="R48" s="240"/>
      <c r="S48" s="240"/>
      <c r="T48" s="240"/>
      <c r="U48" s="240"/>
      <c r="V48" s="240"/>
      <c r="W48" s="240"/>
    </row>
    <row r="49" spans="1:23" ht="15.75">
      <c r="A49" s="467"/>
      <c r="B49" s="240"/>
      <c r="C49" s="240"/>
      <c r="D49" s="429" t="s">
        <v>383</v>
      </c>
      <c r="E49" s="248">
        <f>'Pro Forma IS'!P9</f>
        <v>8152.23</v>
      </c>
      <c r="F49" s="248">
        <f>I33+I36</f>
        <v>1855.47</v>
      </c>
      <c r="G49" s="534">
        <f t="shared" si="14"/>
        <v>-6296.7599999999993</v>
      </c>
      <c r="H49" s="379">
        <f t="shared" si="15"/>
        <v>-0.77239724590694814</v>
      </c>
      <c r="I49" s="301"/>
      <c r="J49" s="301"/>
      <c r="K49" s="302"/>
      <c r="L49" s="302"/>
      <c r="M49" s="240"/>
      <c r="N49" s="429"/>
      <c r="O49" s="399"/>
      <c r="P49" s="240"/>
      <c r="Q49" s="240"/>
      <c r="R49" s="240"/>
      <c r="S49" s="240"/>
      <c r="T49" s="240"/>
      <c r="U49" s="240"/>
      <c r="V49" s="240"/>
      <c r="W49" s="240"/>
    </row>
    <row r="50" spans="1:23" ht="15.75">
      <c r="A50" s="467"/>
      <c r="B50" s="240"/>
      <c r="C50" s="240"/>
      <c r="D50" s="429" t="s">
        <v>257</v>
      </c>
      <c r="E50" s="531">
        <f>SUM(E46:E49)</f>
        <v>447244.67499999999</v>
      </c>
      <c r="F50" s="531">
        <f>SUM(F46:F49)</f>
        <v>358220.42499999999</v>
      </c>
      <c r="G50" s="529">
        <f>F50-E50</f>
        <v>-89024.25</v>
      </c>
      <c r="H50" s="379">
        <f t="shared" si="15"/>
        <v>-0.19905044146137682</v>
      </c>
      <c r="I50" s="289"/>
      <c r="J50" s="303"/>
      <c r="K50" s="289"/>
      <c r="L50" s="289"/>
      <c r="M50" s="240"/>
      <c r="N50" s="429"/>
      <c r="O50" s="399"/>
      <c r="P50" s="240"/>
      <c r="Q50" s="240"/>
      <c r="R50" s="240"/>
      <c r="S50" s="240"/>
      <c r="T50" s="240"/>
      <c r="U50" s="240"/>
      <c r="V50" s="240"/>
      <c r="W50" s="240"/>
    </row>
    <row r="51" spans="1:23" ht="15.75">
      <c r="A51" s="467"/>
      <c r="B51" s="399"/>
      <c r="C51" s="399"/>
      <c r="D51" s="429"/>
      <c r="E51" s="288"/>
      <c r="F51" s="288"/>
      <c r="G51" s="530"/>
      <c r="H51" s="299"/>
      <c r="I51" s="299"/>
      <c r="J51" s="299"/>
      <c r="K51" s="299"/>
      <c r="L51" s="304"/>
      <c r="M51" s="399"/>
      <c r="N51" s="429"/>
      <c r="O51" s="399"/>
      <c r="P51" s="240"/>
      <c r="Q51" s="240"/>
      <c r="R51" s="240"/>
      <c r="S51" s="240"/>
      <c r="T51" s="240"/>
      <c r="U51" s="240"/>
      <c r="V51" s="240"/>
      <c r="W51" s="240"/>
    </row>
    <row r="52" spans="1:23" ht="15.75">
      <c r="A52" s="467"/>
      <c r="B52" s="399"/>
      <c r="C52" s="399"/>
      <c r="D52" s="429" t="s">
        <v>384</v>
      </c>
      <c r="E52" s="248">
        <f>'Pro Forma IS'!P4</f>
        <v>121334.40000000001</v>
      </c>
      <c r="F52" s="535">
        <f>I42</f>
        <v>121334.40000000001</v>
      </c>
      <c r="G52" s="533">
        <f>F52-E52</f>
        <v>0</v>
      </c>
      <c r="H52" s="379">
        <f t="shared" si="15"/>
        <v>0</v>
      </c>
      <c r="I52" s="288"/>
      <c r="J52" s="288"/>
      <c r="K52" s="288"/>
      <c r="L52" s="304"/>
      <c r="M52" s="399"/>
      <c r="N52" s="429"/>
      <c r="O52" s="399"/>
      <c r="P52" s="240"/>
      <c r="Q52" s="240"/>
      <c r="R52" s="240"/>
      <c r="S52" s="240"/>
      <c r="T52" s="240"/>
      <c r="U52" s="240"/>
      <c r="V52" s="240"/>
      <c r="W52" s="240"/>
    </row>
    <row r="53" spans="1:23" ht="15.75">
      <c r="A53" s="429"/>
      <c r="B53" s="240"/>
      <c r="C53" s="240"/>
      <c r="D53" s="429" t="s">
        <v>234</v>
      </c>
      <c r="E53" s="531">
        <f>E50+E52</f>
        <v>568579.07499999995</v>
      </c>
      <c r="F53" s="531">
        <f>F50+F52</f>
        <v>479554.82500000001</v>
      </c>
      <c r="G53" s="532">
        <f>G50+G52</f>
        <v>-89024.25</v>
      </c>
      <c r="H53" s="379">
        <f t="shared" si="15"/>
        <v>-0.15657320839673886</v>
      </c>
      <c r="I53" s="288"/>
      <c r="J53" s="288"/>
      <c r="K53" s="288"/>
      <c r="L53" s="303"/>
      <c r="M53" s="240"/>
      <c r="N53" s="429"/>
      <c r="O53" s="399"/>
      <c r="P53" s="240"/>
      <c r="Q53" s="240"/>
      <c r="R53" s="240"/>
      <c r="S53" s="240"/>
      <c r="T53" s="240"/>
      <c r="U53" s="240"/>
      <c r="V53" s="240"/>
      <c r="W53" s="240"/>
    </row>
    <row r="54" spans="1:23" ht="15.75">
      <c r="A54" s="429"/>
      <c r="B54" s="240"/>
      <c r="C54" s="240"/>
      <c r="D54" s="240"/>
      <c r="E54" s="240"/>
      <c r="F54" s="240"/>
      <c r="G54" s="289"/>
      <c r="H54" s="256"/>
      <c r="I54" s="239"/>
      <c r="J54" s="239"/>
      <c r="K54" s="239"/>
      <c r="L54" s="303"/>
      <c r="M54" s="240"/>
      <c r="N54" s="429"/>
      <c r="O54" s="399"/>
      <c r="P54" s="240"/>
      <c r="Q54" s="240"/>
      <c r="R54" s="240"/>
      <c r="S54" s="240"/>
      <c r="T54" s="240"/>
      <c r="U54" s="240"/>
      <c r="V54" s="240"/>
      <c r="W54" s="240"/>
    </row>
    <row r="55" spans="1:23" ht="15.75">
      <c r="A55" s="399"/>
      <c r="B55" s="240"/>
      <c r="C55" s="240"/>
      <c r="D55" s="240"/>
      <c r="E55" s="240"/>
      <c r="F55" s="240"/>
      <c r="G55" s="289"/>
      <c r="H55" s="302"/>
      <c r="I55" s="239"/>
      <c r="J55" s="239"/>
      <c r="K55" s="239"/>
      <c r="L55" s="303"/>
      <c r="M55" s="240"/>
      <c r="N55" s="399"/>
      <c r="O55" s="399"/>
      <c r="P55" s="240"/>
      <c r="Q55" s="240"/>
      <c r="R55" s="240"/>
      <c r="S55" s="240"/>
      <c r="T55" s="240"/>
      <c r="U55" s="240"/>
      <c r="V55" s="240"/>
      <c r="W55" s="240"/>
    </row>
    <row r="56" spans="1:23" ht="15.75">
      <c r="A56" s="399"/>
      <c r="B56" s="240"/>
      <c r="C56" s="240"/>
      <c r="D56" s="240"/>
      <c r="E56" s="240"/>
      <c r="F56" s="240"/>
      <c r="G56" s="289"/>
      <c r="H56" s="289"/>
      <c r="I56" s="303"/>
      <c r="J56" s="303"/>
      <c r="K56" s="289"/>
      <c r="L56" s="289"/>
      <c r="M56" s="240"/>
      <c r="N56" s="399"/>
      <c r="O56" s="399"/>
      <c r="P56" s="240"/>
      <c r="Q56" s="240"/>
      <c r="R56" s="240"/>
      <c r="S56" s="240"/>
      <c r="T56" s="240"/>
      <c r="U56" s="240"/>
      <c r="V56" s="240"/>
      <c r="W56" s="240"/>
    </row>
    <row r="57" spans="1:23" ht="15.75">
      <c r="A57" s="399"/>
      <c r="B57" s="240"/>
      <c r="C57" s="240"/>
      <c r="D57" s="240"/>
      <c r="E57" s="240"/>
      <c r="F57" s="240"/>
      <c r="G57" s="289"/>
      <c r="H57" s="289"/>
      <c r="I57" s="289"/>
      <c r="J57" s="289"/>
      <c r="K57" s="289"/>
      <c r="L57" s="289"/>
      <c r="M57" s="240"/>
      <c r="N57" s="399"/>
      <c r="O57" s="399"/>
      <c r="P57" s="240"/>
      <c r="Q57" s="240"/>
      <c r="R57" s="240"/>
      <c r="S57" s="240"/>
      <c r="T57" s="240"/>
      <c r="U57" s="240"/>
      <c r="V57" s="240"/>
      <c r="W57" s="240"/>
    </row>
    <row r="58" spans="1:23" ht="15.75">
      <c r="A58" s="399"/>
      <c r="B58" s="240"/>
      <c r="C58" s="240"/>
      <c r="D58" s="240"/>
      <c r="E58" s="240"/>
      <c r="F58" s="240"/>
      <c r="G58" s="289"/>
      <c r="H58" s="305"/>
      <c r="I58" s="289"/>
      <c r="J58" s="289"/>
      <c r="K58" s="289"/>
      <c r="L58" s="289"/>
      <c r="M58" s="240"/>
      <c r="N58" s="399"/>
      <c r="O58" s="399"/>
      <c r="P58" s="240"/>
      <c r="Q58" s="240"/>
      <c r="R58" s="240"/>
      <c r="S58" s="240"/>
      <c r="T58" s="240"/>
      <c r="U58" s="240"/>
      <c r="V58" s="240"/>
      <c r="W58" s="240"/>
    </row>
    <row r="59" spans="1:23" ht="15.75">
      <c r="A59" s="399"/>
      <c r="B59" s="240"/>
      <c r="C59" s="240"/>
      <c r="D59" s="240"/>
      <c r="E59" s="240"/>
      <c r="F59" s="240"/>
      <c r="G59" s="289"/>
      <c r="H59" s="289"/>
      <c r="I59" s="303"/>
      <c r="J59" s="289"/>
      <c r="K59" s="303"/>
      <c r="L59" s="289"/>
      <c r="M59" s="240"/>
      <c r="N59" s="399"/>
      <c r="O59" s="399"/>
      <c r="P59" s="240"/>
      <c r="Q59" s="240"/>
      <c r="R59" s="240"/>
      <c r="S59" s="240"/>
      <c r="T59" s="240"/>
      <c r="U59" s="240"/>
      <c r="V59" s="240"/>
      <c r="W59" s="240"/>
    </row>
    <row r="60" spans="1:23" ht="15.75">
      <c r="A60" s="399"/>
      <c r="B60" s="240"/>
      <c r="C60" s="240"/>
      <c r="D60" s="240"/>
      <c r="E60" s="240"/>
      <c r="F60" s="240"/>
      <c r="G60" s="289"/>
      <c r="H60" s="289"/>
      <c r="I60" s="289"/>
      <c r="J60" s="289"/>
      <c r="K60" s="289"/>
      <c r="L60" s="289"/>
      <c r="M60" s="240"/>
      <c r="N60" s="399"/>
      <c r="O60" s="399"/>
      <c r="P60" s="240"/>
      <c r="Q60" s="240"/>
      <c r="R60" s="240"/>
      <c r="S60" s="240"/>
      <c r="T60" s="240"/>
      <c r="U60" s="240"/>
      <c r="V60" s="240"/>
      <c r="W60" s="240"/>
    </row>
    <row r="61" spans="1:23" ht="15.75">
      <c r="A61" s="399"/>
      <c r="B61" s="240"/>
      <c r="C61" s="240"/>
      <c r="D61" s="240"/>
      <c r="E61" s="240"/>
      <c r="F61" s="240"/>
      <c r="G61" s="289"/>
      <c r="H61" s="289"/>
      <c r="I61" s="306"/>
      <c r="J61" s="289"/>
      <c r="K61" s="306"/>
      <c r="L61" s="289"/>
      <c r="M61" s="240"/>
      <c r="N61" s="399"/>
      <c r="O61" s="399"/>
      <c r="P61" s="240"/>
      <c r="Q61" s="240"/>
      <c r="R61" s="240"/>
      <c r="S61" s="240"/>
      <c r="T61" s="240"/>
      <c r="U61" s="240"/>
      <c r="V61" s="240"/>
      <c r="W61" s="240"/>
    </row>
    <row r="62" spans="1:23" ht="15.75">
      <c r="A62" s="399"/>
      <c r="B62" s="240"/>
      <c r="C62" s="240"/>
      <c r="D62" s="240"/>
      <c r="E62" s="240"/>
      <c r="F62" s="240"/>
      <c r="G62" s="289"/>
      <c r="H62" s="289"/>
      <c r="I62" s="289"/>
      <c r="J62" s="289"/>
      <c r="K62" s="289"/>
      <c r="L62" s="289"/>
      <c r="M62" s="240"/>
      <c r="N62" s="399"/>
      <c r="O62" s="399"/>
      <c r="P62" s="240"/>
      <c r="Q62" s="240"/>
      <c r="R62" s="240"/>
      <c r="S62" s="240"/>
      <c r="T62" s="240"/>
      <c r="U62" s="240"/>
      <c r="V62" s="240"/>
      <c r="W62" s="240"/>
    </row>
    <row r="63" spans="1:23" ht="15.75">
      <c r="A63" s="399"/>
      <c r="B63" s="240"/>
      <c r="C63" s="240"/>
      <c r="D63" s="240"/>
      <c r="E63" s="240"/>
      <c r="F63" s="240"/>
      <c r="G63" s="240"/>
      <c r="H63" s="240"/>
      <c r="I63" s="240"/>
      <c r="J63" s="240"/>
      <c r="K63" s="240"/>
      <c r="L63" s="240"/>
      <c r="M63" s="240"/>
      <c r="N63" s="399"/>
      <c r="O63" s="399"/>
      <c r="P63" s="240"/>
      <c r="Q63" s="240"/>
      <c r="R63" s="240"/>
      <c r="S63" s="240"/>
      <c r="T63" s="240"/>
      <c r="U63" s="240"/>
      <c r="V63" s="240"/>
      <c r="W63" s="240"/>
    </row>
    <row r="64" spans="1:23" ht="15.75">
      <c r="A64" s="399"/>
      <c r="B64" s="240"/>
      <c r="C64" s="240"/>
      <c r="D64" s="240"/>
      <c r="E64" s="240"/>
      <c r="F64" s="240"/>
      <c r="G64" s="240"/>
      <c r="H64" s="240"/>
      <c r="I64" s="240"/>
      <c r="J64" s="240"/>
      <c r="K64" s="240"/>
      <c r="L64" s="240"/>
      <c r="M64" s="240"/>
      <c r="N64" s="399"/>
      <c r="O64" s="399"/>
      <c r="P64" s="240"/>
      <c r="Q64" s="240"/>
      <c r="R64" s="240"/>
      <c r="S64" s="240"/>
      <c r="T64" s="240"/>
      <c r="U64" s="240"/>
      <c r="V64" s="240"/>
      <c r="W64" s="240"/>
    </row>
    <row r="65" spans="1:23" ht="15.75">
      <c r="A65" s="399"/>
      <c r="B65" s="240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399"/>
      <c r="O65" s="399"/>
      <c r="P65" s="240"/>
      <c r="Q65" s="240"/>
      <c r="R65" s="240"/>
      <c r="S65" s="240"/>
      <c r="T65" s="240"/>
      <c r="U65" s="240"/>
      <c r="V65" s="240"/>
      <c r="W65" s="240"/>
    </row>
    <row r="66" spans="1:23" ht="15.75">
      <c r="A66" s="399"/>
      <c r="B66" s="240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0"/>
      <c r="N66" s="399"/>
      <c r="O66" s="399"/>
      <c r="P66" s="240"/>
      <c r="Q66" s="240"/>
      <c r="R66" s="240"/>
      <c r="S66" s="240"/>
      <c r="T66" s="240"/>
      <c r="U66" s="240"/>
      <c r="V66" s="240"/>
      <c r="W66" s="240"/>
    </row>
    <row r="67" spans="1:23" ht="15.75">
      <c r="A67" s="399"/>
      <c r="B67" s="240"/>
      <c r="C67" s="240"/>
      <c r="D67" s="240"/>
      <c r="E67" s="240"/>
      <c r="F67" s="240"/>
      <c r="G67" s="240"/>
      <c r="H67" s="240"/>
      <c r="I67" s="240"/>
      <c r="J67" s="240"/>
      <c r="K67" s="240"/>
      <c r="L67" s="240"/>
      <c r="M67" s="240"/>
      <c r="N67" s="399"/>
      <c r="O67" s="399"/>
      <c r="P67" s="240"/>
      <c r="Q67" s="240"/>
      <c r="R67" s="240"/>
      <c r="S67" s="240"/>
      <c r="T67" s="240"/>
      <c r="U67" s="240"/>
      <c r="V67" s="240"/>
      <c r="W67" s="240"/>
    </row>
    <row r="68" spans="1:23" ht="15.75">
      <c r="A68" s="399"/>
      <c r="B68" s="240"/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399"/>
      <c r="O68" s="399"/>
      <c r="P68" s="240"/>
      <c r="Q68" s="240"/>
      <c r="R68" s="240"/>
      <c r="S68" s="240"/>
      <c r="T68" s="240"/>
      <c r="U68" s="240"/>
      <c r="V68" s="240"/>
      <c r="W68" s="240"/>
    </row>
    <row r="69" spans="1:23" ht="15.75">
      <c r="A69" s="399"/>
      <c r="B69" s="240"/>
      <c r="C69" s="240"/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399"/>
      <c r="O69" s="399"/>
      <c r="P69" s="240"/>
      <c r="Q69" s="240"/>
      <c r="R69" s="240"/>
      <c r="S69" s="240"/>
      <c r="T69" s="240"/>
      <c r="U69" s="240"/>
      <c r="V69" s="240"/>
      <c r="W69" s="240"/>
    </row>
    <row r="70" spans="1:23" ht="15.75">
      <c r="A70" s="399"/>
      <c r="B70" s="399"/>
      <c r="C70" s="399"/>
      <c r="D70" s="429"/>
      <c r="E70" s="429"/>
      <c r="F70" s="429"/>
      <c r="G70" s="399"/>
      <c r="H70" s="399"/>
      <c r="I70" s="288"/>
      <c r="J70" s="288"/>
      <c r="K70" s="286"/>
      <c r="L70" s="399"/>
      <c r="M70" s="399"/>
      <c r="N70" s="399"/>
      <c r="O70" s="399"/>
      <c r="P70" s="240"/>
      <c r="Q70" s="240"/>
      <c r="R70" s="240"/>
      <c r="S70" s="240"/>
      <c r="T70" s="240"/>
      <c r="U70" s="240"/>
      <c r="V70" s="240"/>
      <c r="W70" s="240"/>
    </row>
    <row r="71" spans="1:23" ht="15.75">
      <c r="A71" s="399"/>
      <c r="B71" s="399"/>
      <c r="C71" s="399"/>
      <c r="D71" s="429"/>
      <c r="E71" s="429"/>
      <c r="F71" s="429"/>
      <c r="G71" s="399"/>
      <c r="H71" s="399"/>
      <c r="I71" s="399"/>
      <c r="J71" s="399"/>
      <c r="K71" s="399"/>
      <c r="L71" s="399"/>
      <c r="M71" s="399"/>
      <c r="N71" s="399"/>
      <c r="O71" s="399"/>
      <c r="P71" s="240"/>
      <c r="Q71" s="240"/>
      <c r="R71" s="240"/>
      <c r="S71" s="240"/>
      <c r="T71" s="240"/>
      <c r="U71" s="240"/>
      <c r="V71" s="240"/>
      <c r="W71" s="240"/>
    </row>
    <row r="72" spans="1:23" ht="15.75">
      <c r="A72" s="399"/>
      <c r="B72" s="399"/>
      <c r="C72" s="399"/>
      <c r="D72" s="399"/>
      <c r="E72" s="399"/>
      <c r="F72" s="399"/>
      <c r="G72" s="399"/>
      <c r="H72" s="399"/>
      <c r="I72" s="399"/>
      <c r="J72" s="399"/>
      <c r="K72" s="399"/>
      <c r="L72" s="399"/>
      <c r="M72" s="399"/>
      <c r="N72" s="399"/>
      <c r="O72" s="399"/>
      <c r="P72" s="240"/>
      <c r="Q72" s="240"/>
      <c r="R72" s="240"/>
      <c r="S72" s="240"/>
      <c r="T72" s="240"/>
      <c r="U72" s="240"/>
      <c r="V72" s="240"/>
      <c r="W72" s="240"/>
    </row>
    <row r="73" spans="1:23" ht="15.75">
      <c r="A73" s="399"/>
      <c r="B73" s="399"/>
      <c r="C73" s="399"/>
      <c r="D73" s="399"/>
      <c r="E73" s="399"/>
      <c r="F73" s="399"/>
      <c r="G73" s="429"/>
      <c r="H73" s="475"/>
      <c r="I73" s="415"/>
      <c r="J73" s="475"/>
      <c r="K73" s="479"/>
      <c r="L73" s="473"/>
      <c r="M73" s="429"/>
      <c r="N73" s="399"/>
      <c r="O73" s="399"/>
      <c r="P73" s="240"/>
      <c r="Q73" s="240"/>
      <c r="R73" s="240"/>
      <c r="S73" s="240"/>
      <c r="T73" s="240"/>
      <c r="U73" s="240"/>
      <c r="V73" s="240"/>
      <c r="W73" s="240"/>
    </row>
    <row r="74" spans="1:23" ht="15.75">
      <c r="A74" s="399"/>
      <c r="B74" s="399"/>
      <c r="C74" s="399"/>
      <c r="D74" s="399"/>
      <c r="E74" s="399"/>
      <c r="F74" s="399"/>
      <c r="G74" s="429"/>
      <c r="H74" s="475"/>
      <c r="I74" s="480"/>
      <c r="J74" s="475"/>
      <c r="K74" s="479"/>
      <c r="L74" s="480"/>
      <c r="M74" s="429"/>
      <c r="N74" s="399"/>
      <c r="O74" s="399"/>
      <c r="P74" s="240"/>
      <c r="Q74" s="240"/>
      <c r="R74" s="240"/>
      <c r="S74" s="240"/>
      <c r="T74" s="240"/>
      <c r="U74" s="240"/>
      <c r="V74" s="240"/>
      <c r="W74" s="240"/>
    </row>
    <row r="75" spans="1:23" ht="15.75">
      <c r="A75" s="399"/>
      <c r="B75" s="399"/>
      <c r="C75" s="399"/>
      <c r="D75" s="399"/>
      <c r="E75" s="399"/>
      <c r="F75" s="399"/>
      <c r="G75" s="429"/>
      <c r="H75" s="475"/>
      <c r="I75" s="239"/>
      <c r="J75" s="475"/>
      <c r="K75" s="479"/>
      <c r="L75" s="239"/>
      <c r="M75" s="429"/>
      <c r="N75" s="399"/>
      <c r="O75" s="399"/>
      <c r="P75" s="240"/>
      <c r="Q75" s="240"/>
      <c r="R75" s="240"/>
      <c r="S75" s="240"/>
      <c r="T75" s="240"/>
      <c r="U75" s="240"/>
      <c r="V75" s="240"/>
      <c r="W75" s="240"/>
    </row>
    <row r="76" spans="1:23" ht="15.75">
      <c r="A76" s="399"/>
      <c r="B76" s="399"/>
      <c r="C76" s="399"/>
      <c r="D76" s="399"/>
      <c r="E76" s="399"/>
      <c r="F76" s="399"/>
      <c r="G76" s="429"/>
      <c r="H76" s="429"/>
      <c r="I76" s="471"/>
      <c r="J76" s="429"/>
      <c r="K76" s="415"/>
      <c r="L76" s="481"/>
      <c r="M76" s="429"/>
      <c r="N76" s="399"/>
      <c r="O76" s="399"/>
      <c r="P76" s="240"/>
      <c r="Q76" s="240"/>
      <c r="R76" s="240"/>
      <c r="S76" s="240"/>
      <c r="T76" s="240"/>
      <c r="U76" s="240"/>
      <c r="V76" s="240"/>
      <c r="W76" s="240"/>
    </row>
    <row r="77" spans="1:23" ht="15.75">
      <c r="A77" s="399"/>
      <c r="B77" s="399"/>
      <c r="C77" s="399"/>
      <c r="D77" s="399"/>
      <c r="E77" s="399"/>
      <c r="F77" s="399"/>
      <c r="G77" s="429"/>
      <c r="H77" s="429"/>
      <c r="I77" s="429"/>
      <c r="J77" s="429"/>
      <c r="K77" s="429"/>
      <c r="L77" s="429"/>
      <c r="M77" s="429"/>
      <c r="N77" s="399"/>
      <c r="O77" s="399"/>
      <c r="P77" s="240"/>
      <c r="Q77" s="240"/>
      <c r="R77" s="240"/>
      <c r="S77" s="240"/>
      <c r="T77" s="240"/>
      <c r="U77" s="240"/>
      <c r="V77" s="240"/>
      <c r="W77" s="240"/>
    </row>
    <row r="78" spans="1:23" ht="15.75">
      <c r="A78" s="399"/>
      <c r="B78" s="399"/>
      <c r="C78" s="399"/>
      <c r="D78" s="399"/>
      <c r="E78" s="399"/>
      <c r="F78" s="399"/>
      <c r="G78" s="429"/>
      <c r="H78" s="429"/>
      <c r="I78" s="429"/>
      <c r="J78" s="429"/>
      <c r="K78" s="429"/>
      <c r="L78" s="429"/>
      <c r="M78" s="429"/>
      <c r="N78" s="399"/>
      <c r="O78" s="399"/>
      <c r="P78" s="240"/>
      <c r="Q78" s="240"/>
      <c r="R78" s="240"/>
      <c r="S78" s="240"/>
      <c r="T78" s="240"/>
      <c r="U78" s="240"/>
      <c r="V78" s="240"/>
      <c r="W78" s="240"/>
    </row>
    <row r="79" spans="1:23" ht="15.75">
      <c r="A79" s="399"/>
      <c r="B79" s="399"/>
      <c r="C79" s="399"/>
      <c r="D79" s="399"/>
      <c r="E79" s="399"/>
      <c r="F79" s="399"/>
      <c r="G79" s="429"/>
      <c r="H79" s="429"/>
      <c r="I79" s="429"/>
      <c r="J79" s="429"/>
      <c r="K79" s="429"/>
      <c r="L79" s="429"/>
      <c r="M79" s="429"/>
      <c r="N79" s="399"/>
      <c r="O79" s="399"/>
      <c r="P79" s="240"/>
      <c r="Q79" s="240"/>
      <c r="R79" s="240"/>
      <c r="S79" s="240"/>
      <c r="T79" s="240"/>
      <c r="U79" s="240"/>
      <c r="V79" s="240"/>
      <c r="W79" s="240"/>
    </row>
    <row r="80" spans="1:23" ht="15.75">
      <c r="A80" s="399"/>
      <c r="B80" s="399"/>
      <c r="C80" s="399"/>
      <c r="D80" s="399"/>
      <c r="E80" s="399"/>
      <c r="F80" s="399"/>
      <c r="G80" s="429"/>
      <c r="H80" s="429"/>
      <c r="I80" s="415"/>
      <c r="J80" s="429"/>
      <c r="K80" s="429"/>
      <c r="L80" s="429"/>
      <c r="M80" s="429"/>
      <c r="N80" s="399"/>
      <c r="O80" s="399"/>
      <c r="P80" s="240"/>
      <c r="Q80" s="240"/>
      <c r="R80" s="240"/>
      <c r="S80" s="240"/>
      <c r="T80" s="240"/>
      <c r="U80" s="240"/>
      <c r="V80" s="240"/>
      <c r="W80" s="240"/>
    </row>
    <row r="81" spans="1:23" ht="15.75">
      <c r="A81" s="399"/>
      <c r="B81" s="399"/>
      <c r="C81" s="399"/>
      <c r="D81" s="399"/>
      <c r="E81" s="399"/>
      <c r="F81" s="399"/>
      <c r="G81" s="429"/>
      <c r="H81" s="429"/>
      <c r="I81" s="415"/>
      <c r="J81" s="429"/>
      <c r="K81" s="429"/>
      <c r="L81" s="429"/>
      <c r="M81" s="429"/>
      <c r="N81" s="399"/>
      <c r="O81" s="399"/>
      <c r="P81" s="240"/>
      <c r="Q81" s="240"/>
      <c r="R81" s="240"/>
      <c r="S81" s="240"/>
      <c r="T81" s="240"/>
      <c r="U81" s="240"/>
      <c r="V81" s="240"/>
      <c r="W81" s="240"/>
    </row>
    <row r="82" spans="1:23" ht="15.75">
      <c r="A82" s="399"/>
      <c r="B82" s="399"/>
      <c r="C82" s="399"/>
      <c r="D82" s="399"/>
      <c r="E82" s="399"/>
      <c r="F82" s="399"/>
      <c r="G82" s="429"/>
      <c r="H82" s="429"/>
      <c r="I82" s="415"/>
      <c r="J82" s="429"/>
      <c r="K82" s="429"/>
      <c r="L82" s="429"/>
      <c r="M82" s="429"/>
      <c r="N82" s="399"/>
      <c r="O82" s="399"/>
    </row>
    <row r="83" spans="1:23" ht="15.75">
      <c r="A83" s="399"/>
      <c r="B83" s="399"/>
      <c r="C83" s="399"/>
      <c r="D83" s="399"/>
      <c r="E83" s="399"/>
      <c r="F83" s="399"/>
      <c r="G83" s="429"/>
      <c r="H83" s="429"/>
      <c r="I83" s="429"/>
      <c r="J83" s="429"/>
      <c r="K83" s="429"/>
      <c r="L83" s="429"/>
      <c r="M83" s="429"/>
      <c r="N83" s="399"/>
      <c r="O83" s="399"/>
    </row>
    <row r="84" spans="1:23">
      <c r="G84" s="289"/>
      <c r="H84" s="289"/>
      <c r="I84" s="289"/>
      <c r="J84" s="289"/>
      <c r="K84" s="289"/>
      <c r="L84" s="289"/>
      <c r="M84" s="289"/>
    </row>
  </sheetData>
  <mergeCells count="6">
    <mergeCell ref="A34:A36"/>
    <mergeCell ref="A6:A10"/>
    <mergeCell ref="A11:A15"/>
    <mergeCell ref="A16:A25"/>
    <mergeCell ref="A26:D26"/>
    <mergeCell ref="A27:A32"/>
  </mergeCells>
  <pageMargins left="0.7" right="0.7" top="0.75" bottom="0.75" header="0.3" footer="0.3"/>
  <pageSetup orientation="portrait" r:id="rId1"/>
  <ignoredErrors>
    <ignoredError sqref="L7:L8" formula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59999389629810485"/>
  </sheetPr>
  <dimension ref="A2:M37"/>
  <sheetViews>
    <sheetView workbookViewId="0">
      <selection activeCell="F16" sqref="F16:I16"/>
    </sheetView>
  </sheetViews>
  <sheetFormatPr defaultRowHeight="15.75"/>
  <cols>
    <col min="1" max="1" width="19" style="256" customWidth="1"/>
    <col min="2" max="2" width="17.44140625" style="256" bestFit="1" customWidth="1"/>
    <col min="3" max="3" width="26.44140625" style="256" customWidth="1"/>
    <col min="4" max="4" width="16.77734375" style="256" customWidth="1"/>
    <col min="5" max="5" width="9.77734375" style="256" customWidth="1"/>
    <col min="6" max="6" width="16.77734375" style="256" customWidth="1"/>
    <col min="7" max="7" width="15" style="256" customWidth="1"/>
    <col min="8" max="8" width="16.88671875" style="256" customWidth="1"/>
    <col min="9" max="9" width="16.109375" style="256" customWidth="1"/>
    <col min="10" max="10" width="10" style="256" bestFit="1" customWidth="1"/>
    <col min="11" max="11" width="4.44140625" style="256" customWidth="1"/>
    <col min="12" max="12" width="19.21875" style="256" customWidth="1"/>
    <col min="13" max="16384" width="8.88671875" style="256"/>
  </cols>
  <sheetData>
    <row r="2" spans="1:12">
      <c r="B2" s="256" t="s">
        <v>339</v>
      </c>
    </row>
    <row r="3" spans="1:12">
      <c r="B3" s="252" t="s">
        <v>332</v>
      </c>
      <c r="C3" s="252" t="s">
        <v>376</v>
      </c>
      <c r="D3" s="252" t="s">
        <v>333</v>
      </c>
      <c r="E3" s="252" t="s">
        <v>277</v>
      </c>
      <c r="F3" s="515" t="s">
        <v>334</v>
      </c>
      <c r="G3" s="515" t="s">
        <v>335</v>
      </c>
      <c r="H3" s="515" t="s">
        <v>336</v>
      </c>
      <c r="I3" s="515" t="s">
        <v>337</v>
      </c>
    </row>
    <row r="4" spans="1:12">
      <c r="A4" s="503">
        <v>43647</v>
      </c>
      <c r="B4" s="380">
        <v>111760</v>
      </c>
      <c r="C4" s="380">
        <v>52350</v>
      </c>
      <c r="D4" s="380">
        <v>58080</v>
      </c>
      <c r="E4" s="380">
        <v>17560</v>
      </c>
      <c r="F4" s="516">
        <f>65560+17430</f>
        <v>82990</v>
      </c>
      <c r="G4" s="516">
        <f>40225+7270</f>
        <v>47495</v>
      </c>
      <c r="H4" s="516">
        <f>2610+7460</f>
        <v>10070</v>
      </c>
      <c r="I4" s="516">
        <v>7460</v>
      </c>
      <c r="L4" s="520">
        <f>SUM(B4:I4)</f>
        <v>387765</v>
      </c>
    </row>
    <row r="5" spans="1:12">
      <c r="A5" s="503">
        <v>43678</v>
      </c>
      <c r="B5" s="380">
        <v>77490</v>
      </c>
      <c r="C5" s="380">
        <v>49890</v>
      </c>
      <c r="D5" s="380">
        <v>41720</v>
      </c>
      <c r="E5" s="380">
        <v>25050</v>
      </c>
      <c r="F5" s="516">
        <v>74950</v>
      </c>
      <c r="G5" s="516">
        <f>29915+2870</f>
        <v>32785</v>
      </c>
      <c r="H5" s="516">
        <f>3860+15680</f>
        <v>19540</v>
      </c>
      <c r="I5" s="516">
        <v>4340</v>
      </c>
      <c r="L5" s="520">
        <f t="shared" ref="L5:L15" si="0">SUM(B5:I5)</f>
        <v>325765</v>
      </c>
    </row>
    <row r="6" spans="1:12">
      <c r="A6" s="503">
        <v>43709</v>
      </c>
      <c r="B6" s="380">
        <v>59940</v>
      </c>
      <c r="C6" s="380">
        <v>54870</v>
      </c>
      <c r="D6" s="380">
        <v>29980</v>
      </c>
      <c r="E6" s="380">
        <v>67140</v>
      </c>
      <c r="F6" s="516">
        <f>63685+13450</f>
        <v>77135</v>
      </c>
      <c r="G6" s="516">
        <f>23265+1260</f>
        <v>24525</v>
      </c>
      <c r="H6" s="516">
        <f>2930</f>
        <v>2930</v>
      </c>
      <c r="I6" s="516">
        <f>3430</f>
        <v>3430</v>
      </c>
      <c r="L6" s="520">
        <f t="shared" si="0"/>
        <v>319950</v>
      </c>
    </row>
    <row r="7" spans="1:12">
      <c r="A7" s="503">
        <v>43739</v>
      </c>
      <c r="B7" s="380">
        <v>45530</v>
      </c>
      <c r="C7" s="380">
        <v>31500</v>
      </c>
      <c r="D7" s="380">
        <v>22860</v>
      </c>
      <c r="E7" s="380">
        <v>21420</v>
      </c>
      <c r="F7" s="516">
        <f>34160+6010</f>
        <v>40170</v>
      </c>
      <c r="G7" s="516">
        <f>16810+2290</f>
        <v>19100</v>
      </c>
      <c r="H7" s="516">
        <v>2200</v>
      </c>
      <c r="I7" s="516">
        <v>5790</v>
      </c>
      <c r="L7" s="520">
        <f t="shared" si="0"/>
        <v>188570</v>
      </c>
    </row>
    <row r="8" spans="1:12">
      <c r="A8" s="503">
        <v>43770</v>
      </c>
      <c r="B8" s="391">
        <v>40230</v>
      </c>
      <c r="C8" s="391">
        <v>29050</v>
      </c>
      <c r="D8" s="391">
        <v>20250</v>
      </c>
      <c r="E8" s="391">
        <v>44625</v>
      </c>
      <c r="F8" s="517">
        <f>14460+5300</f>
        <v>19760</v>
      </c>
      <c r="G8" s="517">
        <f>26700+4040</f>
        <v>30740</v>
      </c>
      <c r="H8" s="517">
        <v>1150</v>
      </c>
      <c r="I8" s="517">
        <v>2800</v>
      </c>
      <c r="L8" s="520">
        <f t="shared" si="0"/>
        <v>188605</v>
      </c>
    </row>
    <row r="9" spans="1:12">
      <c r="A9" s="503">
        <v>43800</v>
      </c>
      <c r="B9" s="391">
        <v>51210</v>
      </c>
      <c r="C9" s="391">
        <v>29080</v>
      </c>
      <c r="D9" s="391">
        <v>26480</v>
      </c>
      <c r="E9" s="391">
        <v>2550</v>
      </c>
      <c r="F9" s="517">
        <f>9520+1500</f>
        <v>11020</v>
      </c>
      <c r="G9" s="517">
        <f>23520+2870</f>
        <v>26390</v>
      </c>
      <c r="H9" s="517">
        <v>1900</v>
      </c>
      <c r="I9" s="517">
        <v>2820</v>
      </c>
      <c r="L9" s="520">
        <f t="shared" si="0"/>
        <v>151450</v>
      </c>
    </row>
    <row r="10" spans="1:12">
      <c r="A10" s="503">
        <v>43831</v>
      </c>
      <c r="B10" s="391">
        <v>44510</v>
      </c>
      <c r="C10" s="391">
        <v>21900</v>
      </c>
      <c r="D10" s="391">
        <v>20750</v>
      </c>
      <c r="E10" s="391">
        <v>1160</v>
      </c>
      <c r="F10" s="517">
        <f>37880</f>
        <v>37880</v>
      </c>
      <c r="G10" s="517">
        <f>12220</f>
        <v>12220</v>
      </c>
      <c r="H10" s="517">
        <v>6440</v>
      </c>
      <c r="I10" s="517">
        <v>3010</v>
      </c>
      <c r="L10" s="520">
        <f t="shared" si="0"/>
        <v>147870</v>
      </c>
    </row>
    <row r="11" spans="1:12">
      <c r="A11" s="503">
        <v>43862</v>
      </c>
      <c r="B11" s="391">
        <v>35340</v>
      </c>
      <c r="C11" s="391">
        <v>23220</v>
      </c>
      <c r="D11" s="391">
        <v>19070</v>
      </c>
      <c r="E11" s="391">
        <v>7360</v>
      </c>
      <c r="F11" s="517">
        <v>37209</v>
      </c>
      <c r="G11" s="517">
        <f>7520+140</f>
        <v>7660</v>
      </c>
      <c r="H11" s="517">
        <v>3220</v>
      </c>
      <c r="I11" s="517">
        <v>3630</v>
      </c>
      <c r="L11" s="520">
        <f t="shared" si="0"/>
        <v>136709</v>
      </c>
    </row>
    <row r="12" spans="1:12">
      <c r="A12" s="503">
        <v>43891</v>
      </c>
      <c r="B12" s="391">
        <v>37550</v>
      </c>
      <c r="C12" s="391">
        <v>22900</v>
      </c>
      <c r="D12" s="391">
        <v>18400</v>
      </c>
      <c r="E12" s="391">
        <v>20290</v>
      </c>
      <c r="F12" s="517">
        <v>46690</v>
      </c>
      <c r="G12" s="517">
        <f>21450+320</f>
        <v>21770</v>
      </c>
      <c r="H12" s="517">
        <f>3720+4740</f>
        <v>8460</v>
      </c>
      <c r="I12" s="517">
        <v>2390</v>
      </c>
      <c r="L12" s="520">
        <f t="shared" si="0"/>
        <v>178450</v>
      </c>
    </row>
    <row r="13" spans="1:12">
      <c r="A13" s="503">
        <v>43922</v>
      </c>
      <c r="B13" s="391">
        <v>33560</v>
      </c>
      <c r="C13" s="391">
        <v>21420</v>
      </c>
      <c r="D13" s="391">
        <v>21925</v>
      </c>
      <c r="E13" s="391">
        <v>2350</v>
      </c>
      <c r="F13" s="517">
        <f>37140</f>
        <v>37140</v>
      </c>
      <c r="G13" s="517">
        <f>9820+1210</f>
        <v>11030</v>
      </c>
      <c r="H13" s="517">
        <f>3990+6240</f>
        <v>10230</v>
      </c>
      <c r="I13" s="517">
        <v>2690</v>
      </c>
      <c r="L13" s="520">
        <f t="shared" si="0"/>
        <v>140345</v>
      </c>
    </row>
    <row r="14" spans="1:12">
      <c r="A14" s="503">
        <v>43952</v>
      </c>
      <c r="B14" s="391">
        <v>33150</v>
      </c>
      <c r="C14" s="391">
        <v>22310</v>
      </c>
      <c r="D14" s="391">
        <v>16560</v>
      </c>
      <c r="E14" s="391">
        <v>9390</v>
      </c>
      <c r="F14" s="517">
        <v>51730</v>
      </c>
      <c r="G14" s="517">
        <f>9820+1450</f>
        <v>11270</v>
      </c>
      <c r="H14" s="517">
        <f>14491</f>
        <v>14491</v>
      </c>
      <c r="I14" s="517">
        <v>610</v>
      </c>
      <c r="L14" s="520">
        <f t="shared" si="0"/>
        <v>159511</v>
      </c>
    </row>
    <row r="15" spans="1:12">
      <c r="A15" s="503">
        <v>43983</v>
      </c>
      <c r="B15" s="380">
        <v>55124</v>
      </c>
      <c r="C15" s="380">
        <v>18610</v>
      </c>
      <c r="D15" s="380">
        <v>24310</v>
      </c>
      <c r="E15" s="380">
        <v>27830</v>
      </c>
      <c r="F15" s="516">
        <f>7950+12570</f>
        <v>20520</v>
      </c>
      <c r="G15" s="516">
        <f>8410+560</f>
        <v>8970</v>
      </c>
      <c r="H15" s="516">
        <v>7950</v>
      </c>
      <c r="I15" s="518">
        <v>1330</v>
      </c>
      <c r="J15" s="256" t="s">
        <v>338</v>
      </c>
      <c r="L15" s="520">
        <f t="shared" si="0"/>
        <v>164644</v>
      </c>
    </row>
    <row r="16" spans="1:12" ht="16.5" thickBot="1">
      <c r="B16" s="504">
        <f t="shared" ref="B16:I16" si="1">SUM(B4:B15)</f>
        <v>625394</v>
      </c>
      <c r="C16" s="504">
        <f t="shared" si="1"/>
        <v>377100</v>
      </c>
      <c r="D16" s="504">
        <f t="shared" si="1"/>
        <v>320385</v>
      </c>
      <c r="E16" s="504">
        <f t="shared" si="1"/>
        <v>246725</v>
      </c>
      <c r="F16" s="519">
        <f t="shared" si="1"/>
        <v>537194</v>
      </c>
      <c r="G16" s="519">
        <f t="shared" si="1"/>
        <v>253955</v>
      </c>
      <c r="H16" s="519">
        <f t="shared" si="1"/>
        <v>88581</v>
      </c>
      <c r="I16" s="519">
        <f t="shared" si="1"/>
        <v>40300</v>
      </c>
      <c r="J16" s="504">
        <f>SUM(B16:I16)</f>
        <v>2489634</v>
      </c>
    </row>
    <row r="17" spans="1:13" ht="16.5" thickTop="1">
      <c r="B17" s="380"/>
      <c r="C17" s="380"/>
      <c r="D17" s="380"/>
      <c r="E17" s="380"/>
      <c r="F17" s="380"/>
      <c r="G17" s="380"/>
      <c r="H17" s="380"/>
      <c r="I17" s="380"/>
    </row>
    <row r="18" spans="1:13">
      <c r="A18" s="256" t="s">
        <v>245</v>
      </c>
      <c r="B18" s="382">
        <f t="shared" ref="B18:H18" si="2">B16/2000</f>
        <v>312.697</v>
      </c>
      <c r="C18" s="382">
        <f t="shared" si="2"/>
        <v>188.55</v>
      </c>
      <c r="D18" s="382">
        <f t="shared" si="2"/>
        <v>160.1925</v>
      </c>
      <c r="E18" s="382">
        <f t="shared" si="2"/>
        <v>123.3625</v>
      </c>
      <c r="F18" s="382">
        <f t="shared" si="2"/>
        <v>268.59699999999998</v>
      </c>
      <c r="G18" s="382">
        <f t="shared" si="2"/>
        <v>126.97750000000001</v>
      </c>
      <c r="H18" s="382">
        <f t="shared" si="2"/>
        <v>44.290500000000002</v>
      </c>
      <c r="I18" s="382">
        <f>I16/2000</f>
        <v>20.149999999999999</v>
      </c>
      <c r="J18" s="382">
        <f>SUM(B18:I18)</f>
        <v>1244.817</v>
      </c>
      <c r="K18" s="382"/>
    </row>
    <row r="19" spans="1:13">
      <c r="J19" s="382"/>
    </row>
    <row r="20" spans="1:13">
      <c r="J20" s="382"/>
    </row>
    <row r="21" spans="1:13">
      <c r="A21" s="256" t="s">
        <v>389</v>
      </c>
      <c r="B21" s="381">
        <f t="shared" ref="B21:I21" si="3">B16/$J$16</f>
        <v>0.2511991722478083</v>
      </c>
      <c r="C21" s="381">
        <f t="shared" si="3"/>
        <v>0.15146804711053913</v>
      </c>
      <c r="D21" s="381">
        <f t="shared" si="3"/>
        <v>0.12868759022410522</v>
      </c>
      <c r="E21" s="381">
        <f t="shared" si="3"/>
        <v>9.9100912021606383E-2</v>
      </c>
      <c r="F21" s="381">
        <f t="shared" si="3"/>
        <v>0.21577227817422159</v>
      </c>
      <c r="G21" s="381">
        <f t="shared" si="3"/>
        <v>0.10200495333852286</v>
      </c>
      <c r="H21" s="381">
        <f t="shared" si="3"/>
        <v>3.5579928616013438E-2</v>
      </c>
      <c r="I21" s="381">
        <f t="shared" si="3"/>
        <v>1.6187118267183047E-2</v>
      </c>
    </row>
    <row r="22" spans="1:13">
      <c r="B22" s="373"/>
      <c r="C22" s="373"/>
      <c r="D22" s="373"/>
      <c r="E22" s="373"/>
      <c r="F22" s="373"/>
      <c r="G22" s="373"/>
      <c r="H22" s="373"/>
      <c r="I22" s="373"/>
    </row>
    <row r="24" spans="1:13">
      <c r="C24" s="256" t="s">
        <v>362</v>
      </c>
      <c r="G24" s="256" t="s">
        <v>341</v>
      </c>
      <c r="I24" s="387" t="s">
        <v>342</v>
      </c>
      <c r="J24" s="256" t="s">
        <v>343</v>
      </c>
    </row>
    <row r="25" spans="1:13">
      <c r="B25" s="256" t="s">
        <v>340</v>
      </c>
      <c r="C25" s="383">
        <f>B21+C21+D21+E21</f>
        <v>0.63045572160405905</v>
      </c>
      <c r="D25" s="383"/>
      <c r="F25" s="256" t="s">
        <v>166</v>
      </c>
      <c r="G25" s="382">
        <f>B18+C18+E18+F18+G18</f>
        <v>1020.184</v>
      </c>
      <c r="I25" s="382">
        <f>B18+C18+E18</f>
        <v>624.60950000000003</v>
      </c>
      <c r="J25" s="379">
        <f>I25/G25</f>
        <v>0.61225180947750601</v>
      </c>
      <c r="L25" s="382">
        <f>G25-I25</f>
        <v>395.57449999999994</v>
      </c>
      <c r="M25" s="379"/>
    </row>
    <row r="26" spans="1:13">
      <c r="B26" s="256" t="s">
        <v>240</v>
      </c>
      <c r="C26" s="383">
        <f>F21+G21+H21+I21</f>
        <v>0.36954427839594095</v>
      </c>
      <c r="D26" s="383"/>
      <c r="F26" s="256" t="s">
        <v>167</v>
      </c>
      <c r="G26" s="382">
        <f>D18+H18+I18</f>
        <v>224.63300000000001</v>
      </c>
      <c r="I26" s="382">
        <f>D18</f>
        <v>160.1925</v>
      </c>
      <c r="J26" s="379">
        <f>I26/G26</f>
        <v>0.71312986070612949</v>
      </c>
      <c r="M26" s="379"/>
    </row>
    <row r="27" spans="1:13">
      <c r="L27" s="256">
        <f>L25/J18</f>
        <v>0.3177772315127444</v>
      </c>
    </row>
    <row r="28" spans="1:13">
      <c r="G28" s="382">
        <f>104000/G25</f>
        <v>101.94239470526885</v>
      </c>
    </row>
    <row r="32" spans="1:13">
      <c r="I32" s="382"/>
      <c r="J32" s="373"/>
    </row>
    <row r="33" spans="9:10">
      <c r="I33" s="382"/>
      <c r="J33" s="373"/>
    </row>
    <row r="34" spans="9:10">
      <c r="I34" s="382"/>
    </row>
    <row r="36" spans="9:10">
      <c r="I36" s="382"/>
    </row>
    <row r="37" spans="9:10">
      <c r="I37" s="38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A99DA38EAF13C4C9ECCD5992B8BCAE8" ma:contentTypeVersion="76" ma:contentTypeDescription="" ma:contentTypeScope="" ma:versionID="6d86b80ee1df0f851e89b6912d52be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2018-09-14T07:00:00+00:00</OpenedDate>
    <SignificantOrder xmlns="dc463f71-b30c-4ab2-9473-d307f9d35888">false</SignificantOrder>
    <Date1 xmlns="dc463f71-b30c-4ab2-9473-d307f9d35888">2020-08-27T07:00:00+00:00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Freedom 2000, LLC</CaseCompanyNames>
    <Nickname xmlns="http://schemas.microsoft.com/sharepoint/v3" xsi:nil="true"/>
    <DocketNumber xmlns="dc463f71-b30c-4ab2-9473-d307f9d35888">180782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6B69F4B-1D0C-41EB-9A6A-B8EFA5305E44}"/>
</file>

<file path=customXml/itemProps2.xml><?xml version="1.0" encoding="utf-8"?>
<ds:datastoreItem xmlns:ds="http://schemas.openxmlformats.org/officeDocument/2006/customXml" ds:itemID="{4CDE0132-705A-45A7-9C83-6D371D4D45DE}">
  <ds:schemaRefs>
    <ds:schemaRef ds:uri="http://schemas.microsoft.com/office/2006/documentManagement/types"/>
    <ds:schemaRef ds:uri="http://purl.org/dc/terms/"/>
    <ds:schemaRef ds:uri="94ccb0f8-418e-41dd-ac47-c8b0a5d07e75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42A39CC-6F5D-4FA8-A287-326EC7D294D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6C761EB-C1D4-41E8-90F4-5520BF7E8B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32</vt:i4>
      </vt:variant>
    </vt:vector>
  </HeadingPairs>
  <TitlesOfParts>
    <vt:vector size="41" baseType="lpstr">
      <vt:lpstr>Pro Forma IS</vt:lpstr>
      <vt:lpstr>Instructions</vt:lpstr>
      <vt:lpstr>Garbage LG 2019 </vt:lpstr>
      <vt:lpstr>Recycling LG 2019</vt:lpstr>
      <vt:lpstr>Assets</vt:lpstr>
      <vt:lpstr>Asset Verification</vt:lpstr>
      <vt:lpstr>Drive Hours Recap</vt:lpstr>
      <vt:lpstr>Price Out</vt:lpstr>
      <vt:lpstr>Tonnage and Disposal June 2020</vt:lpstr>
      <vt:lpstr>'Garbage LG 2019 '!Debt_Rate</vt:lpstr>
      <vt:lpstr>'Recycling LG 2019'!Debt_Rate</vt:lpstr>
      <vt:lpstr>'Garbage LG 2019 '!debtP</vt:lpstr>
      <vt:lpstr>'Recycling LG 2019'!debtP</vt:lpstr>
      <vt:lpstr>'Garbage LG 2019 '!Equity_percent</vt:lpstr>
      <vt:lpstr>'Recycling LG 2019'!Equity_percent</vt:lpstr>
      <vt:lpstr>'Garbage LG 2019 '!equityP</vt:lpstr>
      <vt:lpstr>'Recycling LG 2019'!equityP</vt:lpstr>
      <vt:lpstr>'Garbage LG 2019 '!expenses</vt:lpstr>
      <vt:lpstr>'Recycling LG 2019'!expenses</vt:lpstr>
      <vt:lpstr>'Garbage LG 2019 '!Investment</vt:lpstr>
      <vt:lpstr>'Recycling LG 2019'!Investment</vt:lpstr>
      <vt:lpstr>'Garbage LG 2019 '!Pfd_weighted</vt:lpstr>
      <vt:lpstr>'Recycling LG 2019'!Pfd_weighted</vt:lpstr>
      <vt:lpstr>'Garbage LG 2019 '!Print_Area</vt:lpstr>
      <vt:lpstr>'Recycling LG 2019'!Print_Area</vt:lpstr>
      <vt:lpstr>'Garbage LG 2019 '!regDebt_weighted</vt:lpstr>
      <vt:lpstr>'Recycling LG 2019'!regDebt_weighted</vt:lpstr>
      <vt:lpstr>'Garbage LG 2019 '!Revenue</vt:lpstr>
      <vt:lpstr>'Recycling LG 2019'!Revenue</vt:lpstr>
      <vt:lpstr>'Garbage LG 2019 '!slope</vt:lpstr>
      <vt:lpstr>slope</vt:lpstr>
      <vt:lpstr>'Garbage LG 2019 '!taxrate</vt:lpstr>
      <vt:lpstr>'Recycling LG 2019'!taxrate</vt:lpstr>
      <vt:lpstr>'Garbage LG 2019 '!y_inter1</vt:lpstr>
      <vt:lpstr>y_inter1</vt:lpstr>
      <vt:lpstr>'Garbage LG 2019 '!y_inter2</vt:lpstr>
      <vt:lpstr>y_inter2</vt:lpstr>
      <vt:lpstr>'Garbage LG 2019 '!y_inter3</vt:lpstr>
      <vt:lpstr>y_inter3</vt:lpstr>
      <vt:lpstr>'Garbage LG 2019 '!y_inter4</vt:lpstr>
      <vt:lpstr>y_inter4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SolidWaste-NonPublic Lurito Gallagher</dc:title>
  <dc:creator>Information Services</dc:creator>
  <cp:lastModifiedBy>Hammond, Greg (UTC)</cp:lastModifiedBy>
  <cp:lastPrinted>2018-03-23T23:41:52Z</cp:lastPrinted>
  <dcterms:created xsi:type="dcterms:W3CDTF">2016-10-12T18:11:03Z</dcterms:created>
  <dcterms:modified xsi:type="dcterms:W3CDTF">2020-08-24T18:49:05Z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0x0101006E56B4D1795A2E4DB2F0B01679ED314A00FA99DA38EAF13C4C9ECCD5992B8BCAE8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