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greg_hammond_utc_wa_gov/Documents/TG-180782 Freedom 2000 Compliance Filing/"/>
    </mc:Choice>
  </mc:AlternateContent>
  <xr:revisionPtr revIDLastSave="1" documentId="8_{26522A04-998E-44EA-B481-C3BB09B07DD3}" xr6:coauthVersionLast="45" xr6:coauthVersionMax="45" xr10:uidLastSave="{47AC8AAD-3385-467C-BFCE-50F19A640247}"/>
  <bookViews>
    <workbookView xWindow="-120" yWindow="-120" windowWidth="29040" windowHeight="15840" tabRatio="862" xr2:uid="{00000000-000D-0000-FFFF-FFFF00000000}"/>
  </bookViews>
  <sheets>
    <sheet name="Pro Forma IS" sheetId="45" r:id="rId1"/>
    <sheet name="Instructions" sheetId="66" r:id="rId2"/>
    <sheet name="Garbage LG 2019 " sheetId="39" r:id="rId3"/>
    <sheet name="Recycling LG 2019" sheetId="1" r:id="rId4"/>
    <sheet name="Assets" sheetId="23" r:id="rId5"/>
    <sheet name="Asset Verification" sheetId="58" r:id="rId6"/>
    <sheet name="Drive Hours Recap" sheetId="37" r:id="rId7"/>
    <sheet name="Price Out" sheetId="65" r:id="rId8"/>
    <sheet name="Tonnage and Disposal June 2020" sheetId="6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 localSheetId="5">[2]Hidden!#REF!</definedName>
    <definedName name="_ACT1" localSheetId="2">[2]Hidden!#REF!</definedName>
    <definedName name="_ACT1" localSheetId="7">[2]Hidden!#REF!</definedName>
    <definedName name="_ACT1">[2]Hidden!#REF!</definedName>
    <definedName name="_ACT1a" localSheetId="5">[2]Hidden!#REF!</definedName>
    <definedName name="_ACT1a" localSheetId="7">[2]Hidden!#REF!</definedName>
    <definedName name="_ACT1a">[2]Hidden!#REF!</definedName>
    <definedName name="_ACT1b" localSheetId="5">[2]Hidden!#REF!</definedName>
    <definedName name="_ACT1b" localSheetId="7">[2]Hidden!#REF!</definedName>
    <definedName name="_ACT1b">[2]Hidden!#REF!</definedName>
    <definedName name="_ACT2" localSheetId="5">[2]Hidden!#REF!</definedName>
    <definedName name="_ACT2" localSheetId="2">[2]Hidden!#REF!</definedName>
    <definedName name="_ACT2" localSheetId="7">[2]Hidden!#REF!</definedName>
    <definedName name="_ACT2">[2]Hidden!#REF!</definedName>
    <definedName name="_ACT3" localSheetId="5">[2]Hidden!#REF!</definedName>
    <definedName name="_ACT3" localSheetId="2">[2]Hidden!#REF!</definedName>
    <definedName name="_ACT3" localSheetId="7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 localSheetId="5">#REF!</definedName>
    <definedName name="a" localSheetId="2">#REF!</definedName>
    <definedName name="a" localSheetId="7">#REF!</definedName>
    <definedName name="a">#REF!</definedName>
    <definedName name="ACCT" localSheetId="5">[2]Hidden!#REF!</definedName>
    <definedName name="ACCT" localSheetId="2">[2]Hidden!#REF!</definedName>
    <definedName name="ACCT" localSheetId="7">[2]Hidden!#REF!</definedName>
    <definedName name="ACCT">[2]Hidden!#REF!</definedName>
    <definedName name="ACCT.ConsolSum">[1]Hidden!$Q$11</definedName>
    <definedName name="ACT_CUR" localSheetId="5">[2]Hidden!#REF!</definedName>
    <definedName name="ACT_CUR" localSheetId="2">[2]Hidden!#REF!</definedName>
    <definedName name="ACT_CUR" localSheetId="7">[2]Hidden!#REF!</definedName>
    <definedName name="ACT_CUR">[2]Hidden!#REF!</definedName>
    <definedName name="ACT_YTD" localSheetId="5">[2]Hidden!#REF!</definedName>
    <definedName name="ACT_YTD" localSheetId="2">[2]Hidden!#REF!</definedName>
    <definedName name="ACT_YTD" localSheetId="7">[2]Hidden!#REF!</definedName>
    <definedName name="ACT_YTD">[2]Hidden!#REF!</definedName>
    <definedName name="AmountCount" localSheetId="5">#REF!</definedName>
    <definedName name="AmountCount" localSheetId="2">#REF!</definedName>
    <definedName name="AmountCount" localSheetId="7">#REF!</definedName>
    <definedName name="AmountCount">#REF!</definedName>
    <definedName name="AmountTotal" localSheetId="5">#REF!</definedName>
    <definedName name="AmountTotal" localSheetId="2">#REF!</definedName>
    <definedName name="AmountTotal" localSheetId="7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 localSheetId="5">#REF!</definedName>
    <definedName name="BREMAIR_COST_of_SERVICE_STUDY" localSheetId="2">#REF!</definedName>
    <definedName name="BREMAIR_COST_of_SERVICE_STUDY" localSheetId="7">#REF!</definedName>
    <definedName name="BREMAIR_COST_of_SERVICE_STUDY">#REF!</definedName>
    <definedName name="BUD_CUR" localSheetId="5">[2]Hidden!#REF!</definedName>
    <definedName name="BUD_CUR" localSheetId="2">[2]Hidden!#REF!</definedName>
    <definedName name="BUD_CUR" localSheetId="7">[2]Hidden!#REF!</definedName>
    <definedName name="BUD_CUR">[2]Hidden!#REF!</definedName>
    <definedName name="BUD_YTD" localSheetId="5">[2]Hidden!#REF!</definedName>
    <definedName name="BUD_YTD" localSheetId="2">[2]Hidden!#REF!</definedName>
    <definedName name="BUD_YTD" localSheetId="7">[2]Hidden!#REF!</definedName>
    <definedName name="BUD_YTD">[2]Hidden!#REF!</definedName>
    <definedName name="CheckTotals" localSheetId="5">#REF!</definedName>
    <definedName name="CheckTotals" localSheetId="2">#REF!</definedName>
    <definedName name="CheckTotals" localSheetId="7">#REF!</definedName>
    <definedName name="CheckTotals">#REF!</definedName>
    <definedName name="colgroup">[1]Orientation!$G$6</definedName>
    <definedName name="colsegment">[1]Orientation!$F$6</definedName>
    <definedName name="CRCTable" localSheetId="5">#REF!</definedName>
    <definedName name="CRCTable" localSheetId="2">#REF!</definedName>
    <definedName name="CRCTable" localSheetId="7">#REF!</definedName>
    <definedName name="CRCTable">#REF!</definedName>
    <definedName name="CRCTableOLD" localSheetId="5">#REF!</definedName>
    <definedName name="CRCTableOLD" localSheetId="2">#REF!</definedName>
    <definedName name="CRCTableOLD" localSheetId="7">#REF!</definedName>
    <definedName name="CRCTableOLD">#REF!</definedName>
    <definedName name="CriteriaType">[4]ControlPanel!$Z$2:$Z$5</definedName>
    <definedName name="Cutomers" localSheetId="5">#REF!</definedName>
    <definedName name="Cutomers" localSheetId="2">#REF!</definedName>
    <definedName name="Cutomers" localSheetId="7">#REF!</definedName>
    <definedName name="Cutomers">#REF!</definedName>
    <definedName name="_xlnm.Database" localSheetId="5">#REF!</definedName>
    <definedName name="_xlnm.Database" localSheetId="2">#REF!</definedName>
    <definedName name="_xlnm.Database" localSheetId="7">#REF!</definedName>
    <definedName name="_xlnm.Database">#REF!</definedName>
    <definedName name="Database1" localSheetId="5">#REF!</definedName>
    <definedName name="Database1" localSheetId="2">#REF!</definedName>
    <definedName name="Database1" localSheetId="7">#REF!</definedName>
    <definedName name="Database1">#REF!</definedName>
    <definedName name="Debt_Rate" localSheetId="2">'Garbage LG 2019 '!$K$27</definedName>
    <definedName name="Debt_Rate" localSheetId="3">'Recycling LG 2019'!$K$27</definedName>
    <definedName name="debtP" localSheetId="2">'Garbage LG 2019 '!$I$27</definedName>
    <definedName name="debtP" localSheetId="3">'Recycling LG 2019'!$I$27</definedName>
    <definedName name="DEPT" localSheetId="5">[2]Hidden!#REF!</definedName>
    <definedName name="DEPT" localSheetId="2">[2]Hidden!#REF!</definedName>
    <definedName name="DEPT" localSheetId="7">[2]Hidden!#REF!</definedName>
    <definedName name="DEPT">[2]Hidden!#REF!</definedName>
    <definedName name="District" localSheetId="5">'[5]Vashon BS'!#REF!</definedName>
    <definedName name="District" localSheetId="2">'[5]Vashon BS'!#REF!</definedName>
    <definedName name="District" localSheetId="7">'[5]Vashon BS'!#REF!</definedName>
    <definedName name="District">'[5]Vashon BS'!#REF!</definedName>
    <definedName name="DistrictNum" localSheetId="5">#REF!</definedName>
    <definedName name="DistrictNum" localSheetId="2">#REF!</definedName>
    <definedName name="DistrictNum" localSheetId="7">#REF!</definedName>
    <definedName name="DistrictNum">#REF!</definedName>
    <definedName name="drlFilter">[1]Settings!$D$27</definedName>
    <definedName name="End" localSheetId="5">#REF!</definedName>
    <definedName name="End" localSheetId="2">#REF!</definedName>
    <definedName name="End" localSheetId="7">#REF!</definedName>
    <definedName name="End">#REF!</definedName>
    <definedName name="Equity_percent" localSheetId="2">'Garbage LG 2019 '!$S$58</definedName>
    <definedName name="Equity_percent" localSheetId="3">'Recycling LG 2019'!$S$58</definedName>
    <definedName name="equityP" localSheetId="2">'Garbage LG 2019 '!$I$26</definedName>
    <definedName name="equityP" localSheetId="3">'Recycling LG 2019'!$I$26</definedName>
    <definedName name="ExcludeIC" localSheetId="5">'[5]Vashon BS'!#REF!</definedName>
    <definedName name="ExcludeIC" localSheetId="2">'[5]Vashon BS'!#REF!</definedName>
    <definedName name="ExcludeIC" localSheetId="7">'[5]Vashon BS'!#REF!</definedName>
    <definedName name="ExcludeIC">'[5]Vashon BS'!#REF!</definedName>
    <definedName name="expenses" localSheetId="2">'Garbage LG 2019 '!$I$8</definedName>
    <definedName name="expenses" localSheetId="3">'Recycling LG 2019'!$I$8</definedName>
    <definedName name="FBTable" localSheetId="5">#REF!</definedName>
    <definedName name="FBTable" localSheetId="2">#REF!</definedName>
    <definedName name="FBTable" localSheetId="7">#REF!</definedName>
    <definedName name="FBTable">#REF!</definedName>
    <definedName name="FBTableOld" localSheetId="5">#REF!</definedName>
    <definedName name="FBTableOld" localSheetId="2">#REF!</definedName>
    <definedName name="FBTableOld" localSheetId="7">#REF!</definedName>
    <definedName name="FBTableOld">#REF!</definedName>
    <definedName name="FICA">'[6]Tax &amp; Ben'!$H$6</definedName>
    <definedName name="filter">[1]Settings!$B$14:$H$25</definedName>
    <definedName name="GLMappingStart" localSheetId="5">#REF!</definedName>
    <definedName name="GLMappingStart" localSheetId="2">#REF!</definedName>
    <definedName name="GLMappingStart" localSheetId="7">#REF!</definedName>
    <definedName name="GLMappingStart">#REF!</definedName>
    <definedName name="IncomeStmnt" localSheetId="5">#REF!</definedName>
    <definedName name="IncomeStmnt" localSheetId="2">#REF!</definedName>
    <definedName name="IncomeStmnt" localSheetId="7">#REF!</definedName>
    <definedName name="IncomeStmnt">#REF!</definedName>
    <definedName name="INPUT" localSheetId="5">#REF!</definedName>
    <definedName name="INPUT" localSheetId="2">'Garbage LG 2019 '!#REF!</definedName>
    <definedName name="INPUT" localSheetId="1">#REF!</definedName>
    <definedName name="INPUT" localSheetId="7">#REF!</definedName>
    <definedName name="INPUT" localSheetId="3">'Recycling LG 2019'!#REF!</definedName>
    <definedName name="INPUT">#REF!</definedName>
    <definedName name="INPUTc" localSheetId="5">#REF!</definedName>
    <definedName name="INPUTc" localSheetId="2">#REF!</definedName>
    <definedName name="INPUTc" localSheetId="1">#REF!</definedName>
    <definedName name="INPUTc" localSheetId="7">#REF!</definedName>
    <definedName name="INPUTc">#REF!</definedName>
    <definedName name="Insurance" localSheetId="5">#REF!</definedName>
    <definedName name="Insurance" localSheetId="2">#REF!</definedName>
    <definedName name="Insurance" localSheetId="7">#REF!</definedName>
    <definedName name="Insurance">#REF!</definedName>
    <definedName name="Investment" localSheetId="2">'Garbage LG 2019 '!$J$28</definedName>
    <definedName name="Investment" localSheetId="3">'Recycling LG 2019'!$J$28</definedName>
    <definedName name="JEDetail" localSheetId="5">#REF!</definedName>
    <definedName name="JEDetail" localSheetId="2">#REF!</definedName>
    <definedName name="JEDetail" localSheetId="7">#REF!</definedName>
    <definedName name="JEDetail">#REF!</definedName>
    <definedName name="JEType" localSheetId="5">#REF!</definedName>
    <definedName name="JEType" localSheetId="2">#REF!</definedName>
    <definedName name="JEType" localSheetId="7">#REF!</definedName>
    <definedName name="JEType">#REF!</definedName>
    <definedName name="lblBillAreaStatus" localSheetId="5">#REF!</definedName>
    <definedName name="lblBillAreaStatus" localSheetId="2">#REF!</definedName>
    <definedName name="lblBillAreaStatus" localSheetId="7">#REF!</definedName>
    <definedName name="lblBillAreaStatus">#REF!</definedName>
    <definedName name="lblBillCycleStatus" localSheetId="5">#REF!</definedName>
    <definedName name="lblBillCycleStatus" localSheetId="2">#REF!</definedName>
    <definedName name="lblBillCycleStatus" localSheetId="7">#REF!</definedName>
    <definedName name="lblBillCycleStatus">#REF!</definedName>
    <definedName name="lblCategoryStatus" localSheetId="5">#REF!</definedName>
    <definedName name="lblCategoryStatus" localSheetId="2">#REF!</definedName>
    <definedName name="lblCategoryStatus" localSheetId="7">#REF!</definedName>
    <definedName name="lblCategoryStatus">#REF!</definedName>
    <definedName name="lblCompanyStatus" localSheetId="5">#REF!</definedName>
    <definedName name="lblCompanyStatus" localSheetId="2">#REF!</definedName>
    <definedName name="lblCompanyStatus" localSheetId="7">#REF!</definedName>
    <definedName name="lblCompanyStatus">#REF!</definedName>
    <definedName name="lblDatabaseStatus" localSheetId="5">#REF!</definedName>
    <definedName name="lblDatabaseStatus" localSheetId="2">#REF!</definedName>
    <definedName name="lblDatabaseStatus" localSheetId="7">#REF!</definedName>
    <definedName name="lblDatabaseStatus">#REF!</definedName>
    <definedName name="lblPullStatus" localSheetId="5">#REF!</definedName>
    <definedName name="lblPullStatus" localSheetId="2">#REF!</definedName>
    <definedName name="lblPullStatus" localSheetId="7">#REF!</definedName>
    <definedName name="lblPullStatus">#REF!</definedName>
    <definedName name="lllllllllllllllllllll" localSheetId="5">#REF!</definedName>
    <definedName name="lllllllllllllllllllll" localSheetId="2">#REF!</definedName>
    <definedName name="lllllllllllllllllllll" localSheetId="7">#REF!</definedName>
    <definedName name="lllllllllllllllllllll">#REF!</definedName>
    <definedName name="MainDataEnd" localSheetId="5">#REF!</definedName>
    <definedName name="MainDataEnd" localSheetId="2">#REF!</definedName>
    <definedName name="MainDataEnd" localSheetId="7">#REF!</definedName>
    <definedName name="MainDataEnd">#REF!</definedName>
    <definedName name="MainDataStart" localSheetId="5">#REF!</definedName>
    <definedName name="MainDataStart" localSheetId="2">#REF!</definedName>
    <definedName name="MainDataStart" localSheetId="7">#REF!</definedName>
    <definedName name="MainDataStart">#REF!</definedName>
    <definedName name="MapKeyStart" localSheetId="5">#REF!</definedName>
    <definedName name="MapKeyStart" localSheetId="2">#REF!</definedName>
    <definedName name="MapKeyStart" localSheetId="7">#REF!</definedName>
    <definedName name="MapKeyStart">#REF!</definedName>
    <definedName name="master_def" localSheetId="5">#REF!</definedName>
    <definedName name="master_def" localSheetId="2">#REF!</definedName>
    <definedName name="master_def" localSheetId="7">#REF!</definedName>
    <definedName name="master_def">#REF!</definedName>
    <definedName name="MemoAttachment" localSheetId="5">#REF!</definedName>
    <definedName name="MemoAttachment" localSheetId="2">#REF!</definedName>
    <definedName name="MemoAttachment" localSheetId="7">#REF!</definedName>
    <definedName name="MemoAttachment">#REF!</definedName>
    <definedName name="MetaSet">[1]Orientation!$C$22</definedName>
    <definedName name="NewOnlyOrg">#N/A</definedName>
    <definedName name="NOTES" localSheetId="5">#REF!</definedName>
    <definedName name="NOTES" localSheetId="2">#REF!</definedName>
    <definedName name="NOTES" localSheetId="7">#REF!</definedName>
    <definedName name="NOTES">#REF!</definedName>
    <definedName name="NR" localSheetId="5">#REF!</definedName>
    <definedName name="NR" localSheetId="2">#REF!</definedName>
    <definedName name="NR" localSheetId="7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 localSheetId="5">#REF!</definedName>
    <definedName name="p" localSheetId="2">#REF!</definedName>
    <definedName name="p" localSheetId="7">#REF!</definedName>
    <definedName name="p">#REF!</definedName>
    <definedName name="PAGE_1" localSheetId="5">#REF!</definedName>
    <definedName name="PAGE_1" localSheetId="2">#REF!</definedName>
    <definedName name="PAGE_1" localSheetId="7">#REF!</definedName>
    <definedName name="PAGE_1">#REF!</definedName>
    <definedName name="pBatchID" localSheetId="5">#REF!</definedName>
    <definedName name="pBatchID" localSheetId="2">#REF!</definedName>
    <definedName name="pBatchID" localSheetId="7">#REF!</definedName>
    <definedName name="pBatchID">#REF!</definedName>
    <definedName name="pBillArea" localSheetId="5">#REF!</definedName>
    <definedName name="pBillArea" localSheetId="2">#REF!</definedName>
    <definedName name="pBillArea" localSheetId="7">#REF!</definedName>
    <definedName name="pBillArea">#REF!</definedName>
    <definedName name="pBillCycle" localSheetId="5">#REF!</definedName>
    <definedName name="pBillCycle" localSheetId="2">#REF!</definedName>
    <definedName name="pBillCycle" localSheetId="7">#REF!</definedName>
    <definedName name="pBillCycle">#REF!</definedName>
    <definedName name="pCategory" localSheetId="5">#REF!</definedName>
    <definedName name="pCategory" localSheetId="2">#REF!</definedName>
    <definedName name="pCategory" localSheetId="7">#REF!</definedName>
    <definedName name="pCategory">#REF!</definedName>
    <definedName name="pCompany" localSheetId="5">#REF!</definedName>
    <definedName name="pCompany" localSheetId="2">#REF!</definedName>
    <definedName name="pCompany" localSheetId="7">#REF!</definedName>
    <definedName name="pCompany">#REF!</definedName>
    <definedName name="pCustomerNumber" localSheetId="5">#REF!</definedName>
    <definedName name="pCustomerNumber" localSheetId="2">#REF!</definedName>
    <definedName name="pCustomerNumber" localSheetId="7">#REF!</definedName>
    <definedName name="pCustomerNumber">#REF!</definedName>
    <definedName name="pDatabase" localSheetId="5">#REF!</definedName>
    <definedName name="pDatabase" localSheetId="2">#REF!</definedName>
    <definedName name="pDatabase" localSheetId="7">#REF!</definedName>
    <definedName name="pDatabase">#REF!</definedName>
    <definedName name="pEndPostDate" localSheetId="5">#REF!</definedName>
    <definedName name="pEndPostDate" localSheetId="2">#REF!</definedName>
    <definedName name="pEndPostDate" localSheetId="7">#REF!</definedName>
    <definedName name="pEndPostDate">#REF!</definedName>
    <definedName name="Period" localSheetId="5">#REF!</definedName>
    <definedName name="Period" localSheetId="2">#REF!</definedName>
    <definedName name="Period" localSheetId="7">#REF!</definedName>
    <definedName name="Period">#REF!</definedName>
    <definedName name="Pfd_weighted" localSheetId="2">'Garbage LG 2019 '!$U$57</definedName>
    <definedName name="Pfd_weighted" localSheetId="3">'Recycling LG 2019'!$U$57</definedName>
    <definedName name="pMonth" localSheetId="5">#REF!</definedName>
    <definedName name="pMonth" localSheetId="2">#REF!</definedName>
    <definedName name="pMonth" localSheetId="7">#REF!</definedName>
    <definedName name="pMonth">#REF!</definedName>
    <definedName name="pOnlyShowLastTranx" localSheetId="5">#REF!</definedName>
    <definedName name="pOnlyShowLastTranx" localSheetId="2">#REF!</definedName>
    <definedName name="pOnlyShowLastTranx" localSheetId="7">#REF!</definedName>
    <definedName name="pOnlyShowLastTranx">#REF!</definedName>
    <definedName name="primtbl">[1]Orientation!$C$23</definedName>
    <definedName name="_xlnm.Print_Area" localSheetId="5">#REF!</definedName>
    <definedName name="_xlnm.Print_Area" localSheetId="2">'Garbage LG 2019 '!$F$2:$N$49</definedName>
    <definedName name="_xlnm.Print_Area" localSheetId="7">#REF!</definedName>
    <definedName name="_xlnm.Print_Area" localSheetId="3">'Recycling LG 2019'!$F$2:$N$49</definedName>
    <definedName name="_xlnm.Print_Area">#REF!</definedName>
    <definedName name="Print_Area_MI" localSheetId="5">#REF!</definedName>
    <definedName name="Print_Area_MI" localSheetId="2">#REF!</definedName>
    <definedName name="Print_Area_MI" localSheetId="1">#REF!</definedName>
    <definedName name="Print_Area_MI" localSheetId="7">#REF!</definedName>
    <definedName name="Print_Area_MI">#REF!</definedName>
    <definedName name="Print_Area_MIc" localSheetId="5">#REF!</definedName>
    <definedName name="Print_Area_MIc" localSheetId="2">#REF!</definedName>
    <definedName name="Print_Area_MIc" localSheetId="1">#REF!</definedName>
    <definedName name="Print_Area_MIc" localSheetId="7">#REF!</definedName>
    <definedName name="Print_Area_MIc">#REF!</definedName>
    <definedName name="Print_Area1" localSheetId="5">#REF!</definedName>
    <definedName name="Print_Area1" localSheetId="2">#REF!</definedName>
    <definedName name="Print_Area1" localSheetId="7">#REF!</definedName>
    <definedName name="Print_Area1">#REF!</definedName>
    <definedName name="Print_Area2" localSheetId="5">#REF!</definedName>
    <definedName name="Print_Area2" localSheetId="2">#REF!</definedName>
    <definedName name="Print_Area2" localSheetId="7">#REF!</definedName>
    <definedName name="Print_Area2">#REF!</definedName>
    <definedName name="Print_Area3" localSheetId="5">#REF!</definedName>
    <definedName name="Print_Area3" localSheetId="2">#REF!</definedName>
    <definedName name="Print_Area3" localSheetId="7">#REF!</definedName>
    <definedName name="Print_Area3">#REF!</definedName>
    <definedName name="Print_Area5" localSheetId="5">#REF!</definedName>
    <definedName name="Print_Area5" localSheetId="2">#REF!</definedName>
    <definedName name="Print_Area5" localSheetId="7">#REF!</definedName>
    <definedName name="Print_Area5">#REF!</definedName>
    <definedName name="Print1" localSheetId="5">#REF!</definedName>
    <definedName name="Print1" localSheetId="2">#REF!</definedName>
    <definedName name="Print1" localSheetId="7">#REF!</definedName>
    <definedName name="Print1">#REF!</definedName>
    <definedName name="Print2" localSheetId="5">#REF!</definedName>
    <definedName name="Print2" localSheetId="2">#REF!</definedName>
    <definedName name="Print2" localSheetId="7">#REF!</definedName>
    <definedName name="Print2">#REF!</definedName>
    <definedName name="Print5" localSheetId="5">#REF!</definedName>
    <definedName name="Print5" localSheetId="2">#REF!</definedName>
    <definedName name="Print5" localSheetId="7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 localSheetId="5">#REF!</definedName>
    <definedName name="pServer" localSheetId="2">#REF!</definedName>
    <definedName name="pServer" localSheetId="7">#REF!</definedName>
    <definedName name="pServer">#REF!</definedName>
    <definedName name="pServiceCode" localSheetId="5">#REF!</definedName>
    <definedName name="pServiceCode" localSheetId="2">#REF!</definedName>
    <definedName name="pServiceCode" localSheetId="7">#REF!</definedName>
    <definedName name="pServiceCode">#REF!</definedName>
    <definedName name="pShowAllUnposted" localSheetId="5">#REF!</definedName>
    <definedName name="pShowAllUnposted" localSheetId="2">#REF!</definedName>
    <definedName name="pShowAllUnposted" localSheetId="7">#REF!</definedName>
    <definedName name="pShowAllUnposted">#REF!</definedName>
    <definedName name="pShowCustomerDetail" localSheetId="5">#REF!</definedName>
    <definedName name="pShowCustomerDetail" localSheetId="2">#REF!</definedName>
    <definedName name="pShowCustomerDetail" localSheetId="7">#REF!</definedName>
    <definedName name="pShowCustomerDetail">#REF!</definedName>
    <definedName name="pSortOption" localSheetId="5">#REF!</definedName>
    <definedName name="pSortOption" localSheetId="2">#REF!</definedName>
    <definedName name="pSortOption" localSheetId="7">#REF!</definedName>
    <definedName name="pSortOption">#REF!</definedName>
    <definedName name="pStartPostDate" localSheetId="5">#REF!</definedName>
    <definedName name="pStartPostDate" localSheetId="2">#REF!</definedName>
    <definedName name="pStartPostDate" localSheetId="7">#REF!</definedName>
    <definedName name="pStartPostDate">#REF!</definedName>
    <definedName name="pTransType" localSheetId="5">#REF!</definedName>
    <definedName name="pTransType" localSheetId="2">#REF!</definedName>
    <definedName name="pTransType" localSheetId="7">#REF!</definedName>
    <definedName name="pTransType">#REF!</definedName>
    <definedName name="RCW_81.04.080">#N/A</definedName>
    <definedName name="RecyDisposal">#N/A</definedName>
    <definedName name="regDebt_weighted" localSheetId="2">'Garbage LG 2019 '!$U$56</definedName>
    <definedName name="regDebt_weighted" localSheetId="3">'Recycling LG 2019'!$U$56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 localSheetId="5">#REF!</definedName>
    <definedName name="RetainedEarnings" localSheetId="2">#REF!</definedName>
    <definedName name="RetainedEarnings" localSheetId="7">#REF!</definedName>
    <definedName name="RetainedEarnings">#REF!</definedName>
    <definedName name="RevCust" localSheetId="5">[8]RevenuesCust!#REF!</definedName>
    <definedName name="RevCust" localSheetId="2">[8]RevenuesCust!#REF!</definedName>
    <definedName name="RevCust" localSheetId="7">[8]RevenuesCust!#REF!</definedName>
    <definedName name="RevCust">[8]RevenuesCust!#REF!</definedName>
    <definedName name="Revenue" localSheetId="2">'Garbage LG 2019 '!$I$7</definedName>
    <definedName name="Revenue" localSheetId="3">'Recycling LG 2019'!$I$7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lope" localSheetId="2">'Garbage LG 2019 '!$Y$58</definedName>
    <definedName name="slope" localSheetId="1">'[13]LG Nonpublic 2018 V5.0'!$X$58</definedName>
    <definedName name="slope" localSheetId="7">#REF!</definedName>
    <definedName name="slope">'Recycling LG 2019'!$Y$58</definedName>
    <definedName name="sortcol" localSheetId="5">#REF!</definedName>
    <definedName name="sortcol" localSheetId="2">#REF!</definedName>
    <definedName name="sortcol" localSheetId="7">#REF!</definedName>
    <definedName name="sortcol">#REF!</definedName>
    <definedName name="sSRCDate" localSheetId="5">'[9]Feb''12 FAR Data'!#REF!</definedName>
    <definedName name="sSRCDate" localSheetId="2">'[9]Feb''12 FAR Data'!#REF!</definedName>
    <definedName name="sSRCDate" localSheetId="7">'[9]Feb''12 FAR Data'!#REF!</definedName>
    <definedName name="sSRCDate">'[9]Feb''12 FAR Data'!#REF!</definedName>
    <definedName name="Supplemental_filter">[1]Settings!$C$31</definedName>
    <definedName name="SWDisposal">#N/A</definedName>
    <definedName name="System">[10]BS_Close!$V$8</definedName>
    <definedName name="taxrate" localSheetId="2">'Garbage LG 2019 '!$J$38</definedName>
    <definedName name="taxrate" localSheetId="3">'Recycling LG 2019'!$J$38</definedName>
    <definedName name="TemplateEnd" localSheetId="5">#REF!</definedName>
    <definedName name="TemplateEnd" localSheetId="2">#REF!</definedName>
    <definedName name="TemplateEnd" localSheetId="7">#REF!</definedName>
    <definedName name="TemplateEnd">#REF!</definedName>
    <definedName name="TemplateStart" localSheetId="5">#REF!</definedName>
    <definedName name="TemplateStart" localSheetId="2">#REF!</definedName>
    <definedName name="TemplateStart" localSheetId="7">#REF!</definedName>
    <definedName name="TemplateStart">#REF!</definedName>
    <definedName name="TheTable" localSheetId="5">#REF!</definedName>
    <definedName name="TheTable" localSheetId="2">#REF!</definedName>
    <definedName name="TheTable" localSheetId="7">#REF!</definedName>
    <definedName name="TheTable">#REF!</definedName>
    <definedName name="TheTableOLD" localSheetId="5">#REF!</definedName>
    <definedName name="TheTableOLD" localSheetId="2">#REF!</definedName>
    <definedName name="TheTableOLD" localSheetId="7">#REF!</definedName>
    <definedName name="TheTableOLD">#REF!</definedName>
    <definedName name="timeseries">[1]Orientation!$B$6:$C$13</definedName>
    <definedName name="Transactions" localSheetId="5">#REF!</definedName>
    <definedName name="Transactions" localSheetId="2">#REF!</definedName>
    <definedName name="Transactions" localSheetId="7">#REF!</definedName>
    <definedName name="Transactions">#REF!</definedName>
    <definedName name="WTable" localSheetId="5">#REF!</definedName>
    <definedName name="WTable" localSheetId="2">#REF!</definedName>
    <definedName name="WTable" localSheetId="7">#REF!</definedName>
    <definedName name="WTable">#REF!</definedName>
    <definedName name="WTableOld" localSheetId="5">#REF!</definedName>
    <definedName name="WTableOld" localSheetId="2">#REF!</definedName>
    <definedName name="WTableOld" localSheetId="7">#REF!</definedName>
    <definedName name="WTableOld">#REF!</definedName>
    <definedName name="ww" localSheetId="5">#REF!</definedName>
    <definedName name="ww" localSheetId="2">#REF!</definedName>
    <definedName name="ww" localSheetId="7">#REF!</definedName>
    <definedName name="ww">#REF!</definedName>
    <definedName name="xperiod">[1]Orientation!$G$15</definedName>
    <definedName name="xtabin" localSheetId="5">[2]Hidden!#REF!</definedName>
    <definedName name="xtabin" localSheetId="2">[2]Hidden!#REF!</definedName>
    <definedName name="xtabin" localSheetId="7">[2]Hidden!#REF!</definedName>
    <definedName name="xtabin">[2]Hidden!#REF!</definedName>
    <definedName name="xx" localSheetId="5">#REF!</definedName>
    <definedName name="xx" localSheetId="2">#REF!</definedName>
    <definedName name="xx" localSheetId="7">#REF!</definedName>
    <definedName name="xx">#REF!</definedName>
    <definedName name="xxx" localSheetId="5">#REF!</definedName>
    <definedName name="xxx" localSheetId="2">#REF!</definedName>
    <definedName name="xxx" localSheetId="7">#REF!</definedName>
    <definedName name="xxx">#REF!</definedName>
    <definedName name="xxxx" localSheetId="5">#REF!</definedName>
    <definedName name="xxxx" localSheetId="2">#REF!</definedName>
    <definedName name="xxxx" localSheetId="7">#REF!</definedName>
    <definedName name="xxxx">#REF!</definedName>
    <definedName name="y_inter1" localSheetId="2">'Garbage LG 2019 '!$X$55</definedName>
    <definedName name="y_inter1" localSheetId="1">'[13]LG Nonpublic 2018 V5.0'!$W$55</definedName>
    <definedName name="y_inter1" localSheetId="7">#REF!</definedName>
    <definedName name="y_inter1">'Recycling LG 2019'!$X$55</definedName>
    <definedName name="y_inter2" localSheetId="2">'Garbage LG 2019 '!$X$56</definedName>
    <definedName name="y_inter2" localSheetId="1">'[13]LG Nonpublic 2018 V5.0'!$W$56</definedName>
    <definedName name="y_inter2" localSheetId="7">#REF!</definedName>
    <definedName name="y_inter2">'Recycling LG 2019'!$X$56</definedName>
    <definedName name="y_inter3" localSheetId="2">'Garbage LG 2019 '!$Z$55</definedName>
    <definedName name="y_inter3" localSheetId="1">'[13]LG Nonpublic 2018 V5.0'!$Y$55</definedName>
    <definedName name="y_inter3" localSheetId="7">#REF!</definedName>
    <definedName name="y_inter3">'Recycling LG 2019'!$Z$55</definedName>
    <definedName name="y_inter4" localSheetId="2">'Garbage LG 2019 '!$Z$56</definedName>
    <definedName name="y_inter4" localSheetId="1">'[13]LG Nonpublic 2018 V5.0'!$Y$56</definedName>
    <definedName name="y_inter4" localSheetId="7">#REF!</definedName>
    <definedName name="y_inter4">'Recycling LG 2019'!$Z$56</definedName>
    <definedName name="YearMonth" localSheetId="5">'[5]Vashon BS'!#REF!</definedName>
    <definedName name="YearMonth" localSheetId="2">'[5]Vashon BS'!#REF!</definedName>
    <definedName name="YearMonth" localSheetId="7">'[5]Vashon BS'!#REF!</definedName>
    <definedName name="YearMonth">'[5]Vashon BS'!#REF!</definedName>
    <definedName name="YWMedWasteDisp">#N/A</definedName>
  </definedNames>
  <calcPr calcId="191029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" i="45" l="1"/>
  <c r="V15" i="45"/>
  <c r="C5" i="39"/>
  <c r="S20" i="45" l="1"/>
  <c r="S40" i="45"/>
  <c r="S41" i="45"/>
  <c r="E48" i="65" l="1"/>
  <c r="E47" i="65"/>
  <c r="I6" i="65"/>
  <c r="I8" i="65"/>
  <c r="I9" i="65"/>
  <c r="H7" i="65" l="1"/>
  <c r="I7" i="65" s="1"/>
  <c r="G11" i="60" l="1"/>
  <c r="G12" i="60"/>
  <c r="G13" i="60"/>
  <c r="G14" i="60"/>
  <c r="G15" i="60"/>
  <c r="G10" i="60"/>
  <c r="F15" i="60" l="1"/>
  <c r="L11" i="60" l="1"/>
  <c r="L15" i="60"/>
  <c r="F10" i="60"/>
  <c r="L10" i="60" s="1"/>
  <c r="G9" i="60"/>
  <c r="F9" i="60"/>
  <c r="L9" i="60" s="1"/>
  <c r="G8" i="60"/>
  <c r="L8" i="60" s="1"/>
  <c r="F8" i="60"/>
  <c r="G7" i="60"/>
  <c r="F7" i="60"/>
  <c r="L7" i="60" s="1"/>
  <c r="F6" i="60"/>
  <c r="L6" i="60" s="1"/>
  <c r="G6" i="60"/>
  <c r="I6" i="60"/>
  <c r="H6" i="60"/>
  <c r="H5" i="60"/>
  <c r="G5" i="60"/>
  <c r="L5" i="60" s="1"/>
  <c r="F4" i="60"/>
  <c r="G4" i="60"/>
  <c r="H12" i="60" l="1"/>
  <c r="L12" i="60" s="1"/>
  <c r="H13" i="60"/>
  <c r="F13" i="60"/>
  <c r="L13" i="60" s="1"/>
  <c r="H14" i="60"/>
  <c r="L14" i="60" s="1"/>
  <c r="P26" i="45" l="1"/>
  <c r="P25" i="45"/>
  <c r="P39" i="45"/>
  <c r="P27" i="45"/>
  <c r="P37" i="45"/>
  <c r="P21" i="45"/>
  <c r="H4" i="60" l="1"/>
  <c r="L4" i="60" s="1"/>
  <c r="I16" i="60"/>
  <c r="G16" i="65"/>
  <c r="L63" i="23" l="1"/>
  <c r="L64" i="23"/>
  <c r="H64" i="23"/>
  <c r="I64" i="23" s="1"/>
  <c r="O6" i="37"/>
  <c r="O7" i="37"/>
  <c r="O13" i="37"/>
  <c r="O14" i="37"/>
  <c r="O15" i="37"/>
  <c r="O16" i="37"/>
  <c r="O5" i="37"/>
  <c r="H6" i="37"/>
  <c r="H7" i="37"/>
  <c r="T7" i="37" s="1"/>
  <c r="H10" i="37"/>
  <c r="H12" i="37"/>
  <c r="H13" i="37"/>
  <c r="T13" i="37" s="1"/>
  <c r="H14" i="37"/>
  <c r="T14" i="37" s="1"/>
  <c r="H15" i="37"/>
  <c r="H16" i="37"/>
  <c r="H5" i="37"/>
  <c r="T5" i="37" s="1"/>
  <c r="K12" i="37"/>
  <c r="O12" i="37" s="1"/>
  <c r="T6" i="37" l="1"/>
  <c r="T16" i="37"/>
  <c r="T15" i="37"/>
  <c r="T12" i="37"/>
  <c r="J64" i="23"/>
  <c r="N64" i="23" s="1"/>
  <c r="N11" i="37"/>
  <c r="O11" i="37" s="1"/>
  <c r="F11" i="37"/>
  <c r="E11" i="37"/>
  <c r="D11" i="37"/>
  <c r="Q10" i="37"/>
  <c r="K10" i="37"/>
  <c r="J10" i="37"/>
  <c r="L10" i="37"/>
  <c r="K9" i="37"/>
  <c r="L9" i="37"/>
  <c r="J9" i="37"/>
  <c r="D9" i="37"/>
  <c r="C9" i="37"/>
  <c r="H9" i="37" s="1"/>
  <c r="Q9" i="37"/>
  <c r="Q8" i="37"/>
  <c r="J8" i="37"/>
  <c r="O8" i="37" s="1"/>
  <c r="F8" i="37"/>
  <c r="E8" i="37"/>
  <c r="D8" i="37"/>
  <c r="D19" i="37" s="1"/>
  <c r="D21" i="37" s="1"/>
  <c r="C8" i="37"/>
  <c r="K19" i="37" l="1"/>
  <c r="H8" i="37"/>
  <c r="T8" i="37" s="1"/>
  <c r="H11" i="37"/>
  <c r="T11" i="37" s="1"/>
  <c r="O9" i="37"/>
  <c r="T9" i="37" s="1"/>
  <c r="O10" i="37"/>
  <c r="T10" i="37" s="1"/>
  <c r="O64" i="23"/>
  <c r="Q64" i="23" s="1"/>
  <c r="C16" i="60"/>
  <c r="D16" i="60"/>
  <c r="E16" i="60"/>
  <c r="F16" i="60"/>
  <c r="G16" i="60"/>
  <c r="H16" i="60"/>
  <c r="B16" i="60"/>
  <c r="P9" i="45"/>
  <c r="E49" i="65" s="1"/>
  <c r="J16" i="60" l="1"/>
  <c r="S8" i="45" l="1"/>
  <c r="S43" i="45" l="1"/>
  <c r="I12" i="65" l="1"/>
  <c r="E42" i="65" l="1"/>
  <c r="I42" i="65" s="1"/>
  <c r="F52" i="65" s="1"/>
  <c r="P4" i="45" s="1"/>
  <c r="E52" i="65" s="1"/>
  <c r="G52" i="65" s="1"/>
  <c r="H52" i="65" s="1"/>
  <c r="S9" i="45"/>
  <c r="I16" i="65"/>
  <c r="G36" i="65" l="1"/>
  <c r="I35" i="65"/>
  <c r="I34" i="65"/>
  <c r="G33" i="65"/>
  <c r="I32" i="65"/>
  <c r="I31" i="65"/>
  <c r="I30" i="65"/>
  <c r="I29" i="65"/>
  <c r="I28" i="65"/>
  <c r="I27" i="65"/>
  <c r="G26" i="65"/>
  <c r="I25" i="65"/>
  <c r="I24" i="65"/>
  <c r="I23" i="65"/>
  <c r="I22" i="65"/>
  <c r="I21" i="65"/>
  <c r="I20" i="65"/>
  <c r="I19" i="65"/>
  <c r="I18" i="65"/>
  <c r="I17" i="65"/>
  <c r="G15" i="65"/>
  <c r="E15" i="65"/>
  <c r="I14" i="65"/>
  <c r="I13" i="65"/>
  <c r="I11" i="65"/>
  <c r="E10" i="65"/>
  <c r="G9" i="65"/>
  <c r="G8" i="65"/>
  <c r="G7" i="65"/>
  <c r="G6" i="65"/>
  <c r="I26" i="65" l="1"/>
  <c r="F48" i="65" s="1"/>
  <c r="G48" i="65" s="1"/>
  <c r="H48" i="65" s="1"/>
  <c r="I33" i="65"/>
  <c r="I15" i="65"/>
  <c r="F47" i="65" s="1"/>
  <c r="G47" i="65" s="1"/>
  <c r="H47" i="65" s="1"/>
  <c r="I10" i="65"/>
  <c r="I36" i="65"/>
  <c r="G42" i="65"/>
  <c r="G10" i="65"/>
  <c r="G37" i="65" s="1"/>
  <c r="I37" i="65" l="1"/>
  <c r="F46" i="65"/>
  <c r="F49" i="65"/>
  <c r="G49" i="65" s="1"/>
  <c r="H49" i="65" s="1"/>
  <c r="J19" i="37"/>
  <c r="F50" i="65" l="1"/>
  <c r="I55" i="23"/>
  <c r="I58" i="23"/>
  <c r="J58" i="23" s="1"/>
  <c r="I59" i="23"/>
  <c r="J59" i="23" s="1"/>
  <c r="I60" i="23"/>
  <c r="J60" i="23" s="1"/>
  <c r="I56" i="23"/>
  <c r="J56" i="23" s="1"/>
  <c r="I57" i="23"/>
  <c r="J57" i="23" s="1"/>
  <c r="P3" i="45" l="1"/>
  <c r="F53" i="65"/>
  <c r="J55" i="23"/>
  <c r="O55" i="23" s="1"/>
  <c r="O59" i="23"/>
  <c r="O56" i="23"/>
  <c r="O60" i="23"/>
  <c r="O58" i="23"/>
  <c r="O57" i="23"/>
  <c r="R11" i="45" l="1"/>
  <c r="C18" i="60"/>
  <c r="G18" i="60"/>
  <c r="B18" i="60"/>
  <c r="C19" i="37"/>
  <c r="F18" i="60" l="1"/>
  <c r="I18" i="60"/>
  <c r="E18" i="60"/>
  <c r="G25" i="60" s="1"/>
  <c r="B21" i="60"/>
  <c r="H18" i="60"/>
  <c r="D18" i="60"/>
  <c r="I21" i="60"/>
  <c r="C21" i="60" l="1"/>
  <c r="C25" i="60" s="1"/>
  <c r="G26" i="60"/>
  <c r="I26" i="60"/>
  <c r="G21" i="60"/>
  <c r="I25" i="60"/>
  <c r="H21" i="60"/>
  <c r="D21" i="60"/>
  <c r="J18" i="60"/>
  <c r="E21" i="60"/>
  <c r="F21" i="60"/>
  <c r="C21" i="37"/>
  <c r="L25" i="60" l="1"/>
  <c r="L27" i="60" s="1"/>
  <c r="C26" i="60"/>
  <c r="AD7" i="45" s="1"/>
  <c r="J26" i="60"/>
  <c r="J23" i="37" s="1"/>
  <c r="J24" i="37" s="1"/>
  <c r="AD6" i="45"/>
  <c r="J25" i="60"/>
  <c r="G28" i="60"/>
  <c r="F35" i="23"/>
  <c r="I35" i="23" s="1"/>
  <c r="F19" i="23"/>
  <c r="F61" i="23" s="1"/>
  <c r="F17" i="23"/>
  <c r="F15" i="23"/>
  <c r="E28" i="58"/>
  <c r="F14" i="23" s="1"/>
  <c r="E9" i="58"/>
  <c r="F12" i="23" l="1"/>
  <c r="K23" i="37"/>
  <c r="J35" i="23"/>
  <c r="O35" i="23" s="1"/>
  <c r="K24" i="37" l="1"/>
  <c r="M35" i="23"/>
  <c r="N35" i="23"/>
  <c r="P35" i="23" l="1"/>
  <c r="Q35" i="23"/>
  <c r="P44" i="45" l="1"/>
  <c r="S42" i="45"/>
  <c r="S39" i="45"/>
  <c r="S38" i="45"/>
  <c r="S37" i="45"/>
  <c r="S36" i="45"/>
  <c r="S35" i="45"/>
  <c r="S34" i="45"/>
  <c r="S33" i="45"/>
  <c r="S31" i="45"/>
  <c r="S30" i="45"/>
  <c r="S29" i="45"/>
  <c r="S27" i="45"/>
  <c r="S25" i="45"/>
  <c r="S24" i="45"/>
  <c r="S23" i="45"/>
  <c r="S22" i="45"/>
  <c r="S21" i="45"/>
  <c r="S19" i="45"/>
  <c r="S18" i="45"/>
  <c r="S17" i="45"/>
  <c r="S16" i="45"/>
  <c r="S15" i="45"/>
  <c r="S4" i="45"/>
  <c r="O42" i="65" s="1"/>
  <c r="S5" i="45"/>
  <c r="V5" i="45" s="1"/>
  <c r="S6" i="45"/>
  <c r="T6" i="45" s="1"/>
  <c r="S7" i="45"/>
  <c r="T7" i="45" s="1"/>
  <c r="S10" i="45"/>
  <c r="U15" i="45" l="1"/>
  <c r="T11" i="45"/>
  <c r="F39" i="23"/>
  <c r="Q11" i="45"/>
  <c r="C33" i="45" l="1"/>
  <c r="C38" i="45"/>
  <c r="C27" i="45"/>
  <c r="C35" i="45"/>
  <c r="I15" i="45" l="1"/>
  <c r="C4" i="45" l="1"/>
  <c r="B23" i="45" l="1"/>
  <c r="G11" i="45" l="1"/>
  <c r="B16" i="45" l="1"/>
  <c r="D16" i="45" s="1"/>
  <c r="B17" i="45"/>
  <c r="D17" i="45" s="1"/>
  <c r="B18" i="45"/>
  <c r="D18" i="45" s="1"/>
  <c r="B19" i="45"/>
  <c r="D19" i="45" s="1"/>
  <c r="B20" i="45"/>
  <c r="B21" i="45"/>
  <c r="D21" i="45" s="1"/>
  <c r="B22" i="45"/>
  <c r="D22" i="45" s="1"/>
  <c r="D23" i="45"/>
  <c r="B24" i="45"/>
  <c r="D24" i="45" s="1"/>
  <c r="B25" i="45"/>
  <c r="D25" i="45" s="1"/>
  <c r="B27" i="45"/>
  <c r="B28" i="45"/>
  <c r="D28" i="45" s="1"/>
  <c r="B29" i="45"/>
  <c r="D29" i="45" s="1"/>
  <c r="B30" i="45"/>
  <c r="D30" i="45" s="1"/>
  <c r="B31" i="45"/>
  <c r="D31" i="45" s="1"/>
  <c r="B32" i="45"/>
  <c r="D32" i="45" s="1"/>
  <c r="B33" i="45"/>
  <c r="D33" i="45" s="1"/>
  <c r="B34" i="45"/>
  <c r="B35" i="45"/>
  <c r="D35" i="45" s="1"/>
  <c r="B36" i="45"/>
  <c r="D36" i="45" s="1"/>
  <c r="B37" i="45"/>
  <c r="B38" i="45"/>
  <c r="D38" i="45" s="1"/>
  <c r="B39" i="45"/>
  <c r="B42" i="45"/>
  <c r="D42" i="45" s="1"/>
  <c r="B43" i="45"/>
  <c r="D43" i="45" s="1"/>
  <c r="B15" i="45"/>
  <c r="B4" i="45"/>
  <c r="D4" i="45" s="1"/>
  <c r="F4" i="45" s="1"/>
  <c r="B5" i="45"/>
  <c r="B6" i="45"/>
  <c r="C6" i="45" s="1"/>
  <c r="B7" i="45"/>
  <c r="D7" i="45" s="1"/>
  <c r="B8" i="45"/>
  <c r="D8" i="45" s="1"/>
  <c r="F8" i="45" s="1"/>
  <c r="B9" i="45"/>
  <c r="D9" i="45" s="1"/>
  <c r="F9" i="45" s="1"/>
  <c r="B10" i="45"/>
  <c r="D10" i="45" s="1"/>
  <c r="F10" i="45" s="1"/>
  <c r="B3" i="45"/>
  <c r="D15" i="45" l="1"/>
  <c r="B44" i="45"/>
  <c r="C39" i="45"/>
  <c r="D39" i="45" s="1"/>
  <c r="C37" i="45"/>
  <c r="D37" i="45" s="1"/>
  <c r="D27" i="45"/>
  <c r="D6" i="45"/>
  <c r="F6" i="45" s="1"/>
  <c r="H6" i="45" s="1"/>
  <c r="D40" i="45"/>
  <c r="H4" i="45"/>
  <c r="E7" i="45"/>
  <c r="E11" i="45" s="1"/>
  <c r="H10" i="45"/>
  <c r="L10" i="45" s="1"/>
  <c r="H9" i="45"/>
  <c r="L9" i="45" s="1"/>
  <c r="H8" i="45"/>
  <c r="L8" i="45" s="1"/>
  <c r="B11" i="45"/>
  <c r="I6" i="45" l="1"/>
  <c r="N6" i="45" s="1"/>
  <c r="N8" i="45"/>
  <c r="U8" i="45"/>
  <c r="Y8" i="45" s="1"/>
  <c r="N9" i="45"/>
  <c r="J4" i="45"/>
  <c r="N10" i="45"/>
  <c r="U10" i="45"/>
  <c r="Y10" i="45" s="1"/>
  <c r="B48" i="45"/>
  <c r="F7" i="45"/>
  <c r="N4" i="45" l="1"/>
  <c r="J11" i="45"/>
  <c r="H7" i="45"/>
  <c r="L7" i="45" s="1"/>
  <c r="J33" i="45" l="1"/>
  <c r="J32" i="45"/>
  <c r="N7" i="45"/>
  <c r="U7" i="45"/>
  <c r="Y7" i="45" s="1"/>
  <c r="S59" i="39" l="1"/>
  <c r="U57" i="39"/>
  <c r="U56" i="39"/>
  <c r="V38" i="39" s="1"/>
  <c r="J46" i="39"/>
  <c r="J45" i="39"/>
  <c r="J44" i="39"/>
  <c r="J43" i="39"/>
  <c r="J38" i="39"/>
  <c r="Y68" i="39" s="1"/>
  <c r="K27" i="39"/>
  <c r="I27" i="39"/>
  <c r="F8" i="39"/>
  <c r="F9" i="39" s="1"/>
  <c r="F10" i="39" s="1"/>
  <c r="F11" i="39" s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25" i="39" s="1"/>
  <c r="F26" i="39" s="1"/>
  <c r="F27" i="39" s="1"/>
  <c r="F28" i="39" s="1"/>
  <c r="F29" i="39" s="1"/>
  <c r="F30" i="39" s="1"/>
  <c r="F31" i="39" s="1"/>
  <c r="F32" i="39" s="1"/>
  <c r="F33" i="39" s="1"/>
  <c r="F34" i="39" s="1"/>
  <c r="F35" i="39" s="1"/>
  <c r="F36" i="39" s="1"/>
  <c r="F37" i="39" s="1"/>
  <c r="F38" i="39" s="1"/>
  <c r="F39" i="39" s="1"/>
  <c r="F40" i="39" s="1"/>
  <c r="F41" i="39" s="1"/>
  <c r="F42" i="39" s="1"/>
  <c r="F43" i="39" s="1"/>
  <c r="F44" i="39" s="1"/>
  <c r="F45" i="39" s="1"/>
  <c r="F46" i="39" s="1"/>
  <c r="F47" i="39" s="1"/>
  <c r="F48" i="39" s="1"/>
  <c r="F49" i="39" s="1"/>
  <c r="I10" i="23"/>
  <c r="I12" i="23"/>
  <c r="I13" i="23"/>
  <c r="J13" i="23" s="1"/>
  <c r="M13" i="23" s="1"/>
  <c r="I14" i="23"/>
  <c r="I15" i="23"/>
  <c r="I16" i="23"/>
  <c r="I17" i="23"/>
  <c r="I18" i="23"/>
  <c r="J18" i="23" s="1"/>
  <c r="O18" i="23" s="1"/>
  <c r="I26" i="23"/>
  <c r="I27" i="23"/>
  <c r="J27" i="23" s="1"/>
  <c r="I28" i="23"/>
  <c r="J28" i="23" s="1"/>
  <c r="O28" i="23" s="1"/>
  <c r="I30" i="23"/>
  <c r="I32" i="23"/>
  <c r="J32" i="23" s="1"/>
  <c r="I8" i="23"/>
  <c r="V16" i="39" l="1"/>
  <c r="V36" i="39"/>
  <c r="O32" i="23"/>
  <c r="V11" i="39"/>
  <c r="V22" i="39"/>
  <c r="V32" i="39"/>
  <c r="V39" i="39"/>
  <c r="V17" i="39"/>
  <c r="V37" i="39"/>
  <c r="V7" i="39"/>
  <c r="V9" i="39"/>
  <c r="V21" i="39"/>
  <c r="V29" i="39"/>
  <c r="V12" i="39"/>
  <c r="V18" i="39"/>
  <c r="V24" i="39"/>
  <c r="V27" i="39"/>
  <c r="V33" i="39"/>
  <c r="V8" i="39"/>
  <c r="V14" i="39"/>
  <c r="V19" i="39"/>
  <c r="V26" i="39"/>
  <c r="V28" i="39"/>
  <c r="V34" i="39"/>
  <c r="K38" i="39"/>
  <c r="Z68" i="39" s="1"/>
  <c r="J10" i="23"/>
  <c r="M10" i="23" s="1"/>
  <c r="J17" i="23"/>
  <c r="M17" i="23" s="1"/>
  <c r="J26" i="23"/>
  <c r="O26" i="23" s="1"/>
  <c r="O27" i="23"/>
  <c r="J8" i="23"/>
  <c r="O13" i="23"/>
  <c r="J15" i="23"/>
  <c r="O15" i="23" s="1"/>
  <c r="V6" i="39"/>
  <c r="V13" i="39"/>
  <c r="V23" i="39"/>
  <c r="V31" i="39"/>
  <c r="J30" i="23"/>
  <c r="M30" i="23" s="1"/>
  <c r="J14" i="23"/>
  <c r="O14" i="23" s="1"/>
  <c r="P14" i="23" s="1"/>
  <c r="J12" i="23"/>
  <c r="O12" i="23" s="1"/>
  <c r="J16" i="23"/>
  <c r="O16" i="23" s="1"/>
  <c r="AA18" i="39"/>
  <c r="AA24" i="39"/>
  <c r="AA6" i="39"/>
  <c r="AA16" i="39"/>
  <c r="AA19" i="39"/>
  <c r="AA33" i="39"/>
  <c r="AA9" i="39"/>
  <c r="AA22" i="39"/>
  <c r="AA31" i="39"/>
  <c r="AA7" i="39"/>
  <c r="AA8" i="39"/>
  <c r="AA14" i="39"/>
  <c r="AA17" i="39"/>
  <c r="AA32" i="39"/>
  <c r="AA26" i="39"/>
  <c r="AA12" i="39"/>
  <c r="L27" i="39"/>
  <c r="AA34" i="39"/>
  <c r="AA23" i="39"/>
  <c r="AA21" i="39"/>
  <c r="AA13" i="39"/>
  <c r="AA11" i="39"/>
  <c r="AA38" i="39"/>
  <c r="AA37" i="39"/>
  <c r="AA36" i="39"/>
  <c r="AA29" i="39"/>
  <c r="AA27" i="39"/>
  <c r="I26" i="39"/>
  <c r="AA39" i="39"/>
  <c r="AA28" i="39"/>
  <c r="J47" i="39"/>
  <c r="O10" i="23" l="1"/>
  <c r="P10" i="23" s="1"/>
  <c r="O17" i="23"/>
  <c r="P17" i="23" s="1"/>
  <c r="O30" i="23"/>
  <c r="M8" i="23"/>
  <c r="I28" i="39"/>
  <c r="O8" i="23" l="1"/>
  <c r="R19" i="37"/>
  <c r="R21" i="37" s="1"/>
  <c r="P8" i="23" l="1"/>
  <c r="N19" i="37"/>
  <c r="N21" i="37" s="1"/>
  <c r="E19" i="37"/>
  <c r="Q19" i="37"/>
  <c r="Q21" i="37" s="1"/>
  <c r="W9" i="37" s="1"/>
  <c r="F19" i="37"/>
  <c r="L19" i="37"/>
  <c r="H28" i="37" s="1"/>
  <c r="K21" i="37"/>
  <c r="G19" i="37"/>
  <c r="M19" i="37"/>
  <c r="M21" i="37" s="1"/>
  <c r="E27" i="37" l="1"/>
  <c r="H27" i="37"/>
  <c r="F21" i="37"/>
  <c r="E28" i="37"/>
  <c r="E21" i="37"/>
  <c r="L21" i="37"/>
  <c r="T21" i="37"/>
  <c r="C34" i="45" s="1"/>
  <c r="J21" i="37"/>
  <c r="G21" i="37"/>
  <c r="W7" i="37" l="1"/>
  <c r="X7" i="37"/>
  <c r="W8" i="37"/>
  <c r="Y8" i="37" s="1"/>
  <c r="W6" i="37"/>
  <c r="O21" i="37"/>
  <c r="D32" i="37"/>
  <c r="D33" i="37"/>
  <c r="H29" i="37"/>
  <c r="J28" i="37" s="1"/>
  <c r="AB7" i="45" s="1"/>
  <c r="H21" i="37"/>
  <c r="J20" i="45"/>
  <c r="E29" i="37"/>
  <c r="E32" i="37" s="1"/>
  <c r="I20" i="45"/>
  <c r="T41" i="45" l="1"/>
  <c r="U41" i="45" s="1"/>
  <c r="T40" i="45"/>
  <c r="U40" i="45" s="1"/>
  <c r="T39" i="45"/>
  <c r="T16" i="45"/>
  <c r="K22" i="23"/>
  <c r="K21" i="23"/>
  <c r="F32" i="37"/>
  <c r="K63" i="23"/>
  <c r="K62" i="23"/>
  <c r="K64" i="23"/>
  <c r="U21" i="37"/>
  <c r="X6" i="37"/>
  <c r="W10" i="37"/>
  <c r="Y7" i="37"/>
  <c r="J27" i="37"/>
  <c r="T29" i="45"/>
  <c r="T30" i="45"/>
  <c r="T33" i="45"/>
  <c r="T31" i="45"/>
  <c r="T17" i="45"/>
  <c r="T23" i="45"/>
  <c r="T36" i="45"/>
  <c r="T25" i="45"/>
  <c r="T27" i="45"/>
  <c r="T22" i="45"/>
  <c r="T38" i="45"/>
  <c r="T35" i="45"/>
  <c r="T21" i="45"/>
  <c r="T18" i="45"/>
  <c r="T37" i="45"/>
  <c r="T34" i="45"/>
  <c r="T42" i="45"/>
  <c r="T24" i="45"/>
  <c r="K19" i="23"/>
  <c r="E33" i="37"/>
  <c r="F28" i="37"/>
  <c r="AB10" i="45" s="1"/>
  <c r="F27" i="37"/>
  <c r="AB9" i="45" s="1"/>
  <c r="E36" i="45"/>
  <c r="F36" i="45" s="1"/>
  <c r="E20" i="45"/>
  <c r="D34" i="45"/>
  <c r="F15" i="45"/>
  <c r="N32" i="23"/>
  <c r="Q32" i="23"/>
  <c r="N27" i="23"/>
  <c r="Q27" i="23"/>
  <c r="N18" i="23"/>
  <c r="Q18" i="23"/>
  <c r="N15" i="23"/>
  <c r="Q15" i="23"/>
  <c r="N17" i="23"/>
  <c r="Q17" i="23"/>
  <c r="N10" i="23"/>
  <c r="Q10" i="23"/>
  <c r="N8" i="23"/>
  <c r="Q8" i="23"/>
  <c r="N13" i="23"/>
  <c r="Q13" i="23"/>
  <c r="N30" i="23"/>
  <c r="Q30" i="23"/>
  <c r="N28" i="23"/>
  <c r="Q28" i="23"/>
  <c r="N26" i="23"/>
  <c r="Q26" i="23"/>
  <c r="N16" i="23"/>
  <c r="Q16" i="23"/>
  <c r="N14" i="23"/>
  <c r="Q14" i="23"/>
  <c r="P30" i="23"/>
  <c r="M16" i="23"/>
  <c r="P16" i="23"/>
  <c r="P13" i="23"/>
  <c r="M28" i="23"/>
  <c r="P28" i="23"/>
  <c r="M14" i="23"/>
  <c r="M15" i="23"/>
  <c r="P15" i="23"/>
  <c r="M27" i="23"/>
  <c r="P27" i="23"/>
  <c r="M32" i="23"/>
  <c r="P32" i="23"/>
  <c r="M18" i="23"/>
  <c r="P18" i="23"/>
  <c r="M26" i="23"/>
  <c r="P26" i="23"/>
  <c r="H22" i="23" l="1"/>
  <c r="I22" i="23" s="1"/>
  <c r="X9" i="37"/>
  <c r="V40" i="45"/>
  <c r="W40" i="45"/>
  <c r="V41" i="45"/>
  <c r="W41" i="45"/>
  <c r="F33" i="37"/>
  <c r="L22" i="23"/>
  <c r="L21" i="23"/>
  <c r="J22" i="23"/>
  <c r="O22" i="23" s="1"/>
  <c r="P64" i="23"/>
  <c r="M64" i="23"/>
  <c r="H21" i="23"/>
  <c r="AB6" i="45"/>
  <c r="Q27" i="37"/>
  <c r="R27" i="37"/>
  <c r="H20" i="23"/>
  <c r="Y6" i="37"/>
  <c r="G33" i="37"/>
  <c r="H33" i="37" s="1"/>
  <c r="L61" i="23"/>
  <c r="L19" i="23"/>
  <c r="H19" i="23"/>
  <c r="H61" i="23" s="1"/>
  <c r="I61" i="23" s="1"/>
  <c r="J61" i="23" s="1"/>
  <c r="N12" i="23"/>
  <c r="L20" i="23"/>
  <c r="L56" i="23"/>
  <c r="L57" i="23"/>
  <c r="L58" i="23"/>
  <c r="L60" i="23"/>
  <c r="L55" i="23"/>
  <c r="L59" i="23"/>
  <c r="K58" i="23"/>
  <c r="K60" i="23"/>
  <c r="K56" i="23"/>
  <c r="K61" i="23"/>
  <c r="K55" i="23"/>
  <c r="K59" i="23"/>
  <c r="K57" i="23"/>
  <c r="E19" i="45"/>
  <c r="F19" i="45" s="1"/>
  <c r="H19" i="45" s="1"/>
  <c r="E42" i="45"/>
  <c r="F42" i="45" s="1"/>
  <c r="H42" i="45" s="1"/>
  <c r="U42" i="45" s="1"/>
  <c r="E25" i="45"/>
  <c r="F25" i="45" s="1"/>
  <c r="H25" i="45" s="1"/>
  <c r="E31" i="45"/>
  <c r="F31" i="45" s="1"/>
  <c r="H31" i="45" s="1"/>
  <c r="E38" i="45"/>
  <c r="F38" i="45" s="1"/>
  <c r="H38" i="45" s="1"/>
  <c r="U38" i="45" s="1"/>
  <c r="E21" i="45"/>
  <c r="F21" i="45" s="1"/>
  <c r="H21" i="45" s="1"/>
  <c r="E27" i="45"/>
  <c r="F27" i="45" s="1"/>
  <c r="H27" i="45" s="1"/>
  <c r="E35" i="45"/>
  <c r="F35" i="45" s="1"/>
  <c r="H35" i="45" s="1"/>
  <c r="U35" i="45" s="1"/>
  <c r="E23" i="45"/>
  <c r="F23" i="45" s="1"/>
  <c r="E22" i="45"/>
  <c r="F22" i="45" s="1"/>
  <c r="H22" i="45" s="1"/>
  <c r="U22" i="45" s="1"/>
  <c r="E39" i="45"/>
  <c r="F39" i="45" s="1"/>
  <c r="H39" i="45" s="1"/>
  <c r="E18" i="45"/>
  <c r="F18" i="45" s="1"/>
  <c r="H18" i="45" s="1"/>
  <c r="E17" i="45"/>
  <c r="F17" i="45" s="1"/>
  <c r="H17" i="45" s="1"/>
  <c r="U17" i="45" s="1"/>
  <c r="V17" i="45" s="1"/>
  <c r="E24" i="45"/>
  <c r="F24" i="45" s="1"/>
  <c r="H24" i="45" s="1"/>
  <c r="E43" i="45"/>
  <c r="F43" i="45" s="1"/>
  <c r="H43" i="45" s="1"/>
  <c r="U43" i="45" s="1"/>
  <c r="E30" i="45"/>
  <c r="F30" i="45" s="1"/>
  <c r="H30" i="45" s="1"/>
  <c r="E16" i="45"/>
  <c r="F16" i="45" s="1"/>
  <c r="H16" i="45" s="1"/>
  <c r="E33" i="45"/>
  <c r="F33" i="45" s="1"/>
  <c r="E40" i="45"/>
  <c r="F40" i="45" s="1"/>
  <c r="H40" i="45" s="1"/>
  <c r="E37" i="45"/>
  <c r="F37" i="45" s="1"/>
  <c r="H37" i="45" s="1"/>
  <c r="E32" i="45"/>
  <c r="F32" i="45" s="1"/>
  <c r="E29" i="45"/>
  <c r="F29" i="45" s="1"/>
  <c r="H29" i="45" s="1"/>
  <c r="E28" i="45"/>
  <c r="F28" i="45" s="1"/>
  <c r="E34" i="37"/>
  <c r="L62" i="23" s="1"/>
  <c r="K20" i="23"/>
  <c r="E34" i="45"/>
  <c r="F34" i="45" s="1"/>
  <c r="H34" i="45" s="1"/>
  <c r="G32" i="37"/>
  <c r="H32" i="37" s="1"/>
  <c r="U37" i="45"/>
  <c r="U39" i="45"/>
  <c r="D20" i="45"/>
  <c r="F20" i="45" s="1"/>
  <c r="C44" i="45"/>
  <c r="H36" i="45"/>
  <c r="U36" i="45" s="1"/>
  <c r="AA9" i="37" l="1"/>
  <c r="X15" i="37" s="1"/>
  <c r="Y9" i="37"/>
  <c r="Z9" i="37"/>
  <c r="X14" i="37" s="1"/>
  <c r="X16" i="37" s="1"/>
  <c r="T20" i="45" s="1"/>
  <c r="Y41" i="45"/>
  <c r="Y40" i="45"/>
  <c r="Q22" i="23"/>
  <c r="P22" i="23"/>
  <c r="W20" i="45"/>
  <c r="M22" i="23"/>
  <c r="N22" i="23"/>
  <c r="H63" i="23"/>
  <c r="I63" i="23" s="1"/>
  <c r="J63" i="23" s="1"/>
  <c r="O63" i="23" s="1"/>
  <c r="I21" i="23"/>
  <c r="H62" i="23"/>
  <c r="I62" i="23" s="1"/>
  <c r="X10" i="37"/>
  <c r="I20" i="23"/>
  <c r="J20" i="23" s="1"/>
  <c r="N20" i="23" s="1"/>
  <c r="O61" i="23"/>
  <c r="Q61" i="23" s="1"/>
  <c r="N61" i="23"/>
  <c r="Y10" i="37"/>
  <c r="I19" i="23"/>
  <c r="J19" i="23" s="1"/>
  <c r="M19" i="23" s="1"/>
  <c r="Q12" i="23"/>
  <c r="M57" i="23"/>
  <c r="P57" i="23"/>
  <c r="P59" i="23"/>
  <c r="M59" i="23"/>
  <c r="N59" i="23"/>
  <c r="Q59" i="23"/>
  <c r="P55" i="23"/>
  <c r="M55" i="23"/>
  <c r="M60" i="23"/>
  <c r="P60" i="23"/>
  <c r="N55" i="23"/>
  <c r="Q55" i="23"/>
  <c r="N57" i="23"/>
  <c r="Q57" i="23"/>
  <c r="N60" i="23"/>
  <c r="Q60" i="23"/>
  <c r="P56" i="23"/>
  <c r="M56" i="23"/>
  <c r="N58" i="23"/>
  <c r="Q58" i="23"/>
  <c r="M61" i="23"/>
  <c r="P58" i="23"/>
  <c r="M58" i="23"/>
  <c r="N56" i="23"/>
  <c r="Q56" i="23"/>
  <c r="J23" i="45"/>
  <c r="P12" i="23"/>
  <c r="M12" i="23"/>
  <c r="V36" i="45"/>
  <c r="W36" i="45"/>
  <c r="V37" i="45"/>
  <c r="W37" i="45"/>
  <c r="V39" i="45"/>
  <c r="W39" i="45"/>
  <c r="W17" i="45"/>
  <c r="Y17" i="45" s="1"/>
  <c r="V22" i="45"/>
  <c r="W22" i="45"/>
  <c r="V43" i="45"/>
  <c r="W43" i="45"/>
  <c r="V38" i="45"/>
  <c r="W38" i="45"/>
  <c r="V42" i="45"/>
  <c r="W42" i="45"/>
  <c r="V35" i="45"/>
  <c r="W35" i="45"/>
  <c r="U19" i="45"/>
  <c r="U31" i="45"/>
  <c r="U29" i="45"/>
  <c r="U30" i="45"/>
  <c r="U16" i="45"/>
  <c r="U21" i="45"/>
  <c r="E44" i="45"/>
  <c r="U18" i="45"/>
  <c r="U24" i="45"/>
  <c r="U25" i="45"/>
  <c r="U27" i="45"/>
  <c r="J34" i="45"/>
  <c r="I17" i="45"/>
  <c r="J17" i="45"/>
  <c r="J42" i="45"/>
  <c r="I42" i="45"/>
  <c r="I24" i="45"/>
  <c r="J24" i="45"/>
  <c r="I16" i="45"/>
  <c r="J16" i="45"/>
  <c r="I22" i="45"/>
  <c r="J22" i="45"/>
  <c r="I39" i="45"/>
  <c r="J39" i="45"/>
  <c r="J38" i="45"/>
  <c r="I38" i="45"/>
  <c r="I31" i="45"/>
  <c r="J31" i="45"/>
  <c r="I21" i="45"/>
  <c r="J21" i="45"/>
  <c r="I30" i="45"/>
  <c r="J30" i="45"/>
  <c r="J27" i="45"/>
  <c r="I27" i="45"/>
  <c r="J37" i="45"/>
  <c r="I37" i="45"/>
  <c r="I29" i="45"/>
  <c r="J29" i="45"/>
  <c r="J18" i="45"/>
  <c r="I18" i="45"/>
  <c r="I36" i="45"/>
  <c r="J36" i="45"/>
  <c r="I25" i="45"/>
  <c r="J25" i="45"/>
  <c r="I40" i="45"/>
  <c r="J40" i="45"/>
  <c r="J43" i="45"/>
  <c r="I43" i="45"/>
  <c r="I35" i="45"/>
  <c r="J35" i="45"/>
  <c r="J19" i="45"/>
  <c r="I19" i="45"/>
  <c r="D44" i="45"/>
  <c r="V20" i="45" l="1"/>
  <c r="V16" i="45"/>
  <c r="W16" i="45"/>
  <c r="M20" i="23"/>
  <c r="J21" i="23"/>
  <c r="J39" i="23" s="1"/>
  <c r="Q28" i="45" s="1"/>
  <c r="S28" i="45" s="1"/>
  <c r="Q63" i="23"/>
  <c r="P63" i="23"/>
  <c r="J62" i="23"/>
  <c r="O62" i="23" s="1"/>
  <c r="O65" i="23" s="1"/>
  <c r="M63" i="23"/>
  <c r="N63" i="23"/>
  <c r="O20" i="23"/>
  <c r="Q20" i="23" s="1"/>
  <c r="P61" i="23"/>
  <c r="N19" i="23"/>
  <c r="U20" i="45"/>
  <c r="Y20" i="45" s="1"/>
  <c r="O19" i="23"/>
  <c r="Y35" i="45"/>
  <c r="Y38" i="45"/>
  <c r="Y22" i="45"/>
  <c r="Y39" i="45"/>
  <c r="Y36" i="45"/>
  <c r="Y42" i="45"/>
  <c r="Y43" i="45"/>
  <c r="Y37" i="45"/>
  <c r="V24" i="45"/>
  <c r="W24" i="45"/>
  <c r="W18" i="45"/>
  <c r="V18" i="45"/>
  <c r="V29" i="45"/>
  <c r="W29" i="45"/>
  <c r="V31" i="45"/>
  <c r="W31" i="45"/>
  <c r="V27" i="45"/>
  <c r="W27" i="45"/>
  <c r="V30" i="45"/>
  <c r="W30" i="45"/>
  <c r="V25" i="45"/>
  <c r="W25" i="45"/>
  <c r="V21" i="45"/>
  <c r="W21" i="45"/>
  <c r="W19" i="45"/>
  <c r="V19" i="45"/>
  <c r="U23" i="45"/>
  <c r="I34" i="45"/>
  <c r="N34" i="45" s="1"/>
  <c r="N25" i="45"/>
  <c r="N21" i="45"/>
  <c r="N22" i="45"/>
  <c r="N35" i="45"/>
  <c r="N40" i="45"/>
  <c r="N36" i="45"/>
  <c r="N29" i="45"/>
  <c r="N30" i="45"/>
  <c r="N31" i="45"/>
  <c r="N39" i="45"/>
  <c r="N16" i="45"/>
  <c r="N24" i="45"/>
  <c r="N17" i="45"/>
  <c r="N43" i="45"/>
  <c r="N18" i="45"/>
  <c r="N27" i="45"/>
  <c r="N38" i="45"/>
  <c r="N42" i="45"/>
  <c r="N19" i="45"/>
  <c r="N37" i="45"/>
  <c r="H20" i="45"/>
  <c r="F44" i="45"/>
  <c r="P20" i="23" l="1"/>
  <c r="M21" i="23"/>
  <c r="M39" i="23" s="1"/>
  <c r="M43" i="23" s="1"/>
  <c r="N21" i="23"/>
  <c r="N39" i="23" s="1"/>
  <c r="O21" i="23"/>
  <c r="O39" i="23" s="1"/>
  <c r="N62" i="23"/>
  <c r="M62" i="23"/>
  <c r="J65" i="23"/>
  <c r="J67" i="23" s="1"/>
  <c r="Q62" i="23"/>
  <c r="P62" i="23"/>
  <c r="T44" i="45"/>
  <c r="P19" i="23"/>
  <c r="Q19" i="23"/>
  <c r="Y19" i="45"/>
  <c r="Y18" i="45"/>
  <c r="Y27" i="45"/>
  <c r="Y24" i="45"/>
  <c r="Y25" i="45"/>
  <c r="Y29" i="45"/>
  <c r="Y16" i="45"/>
  <c r="Y21" i="45"/>
  <c r="Y30" i="45"/>
  <c r="Y31" i="45"/>
  <c r="G23" i="45"/>
  <c r="H23" i="45" s="1"/>
  <c r="I23" i="45"/>
  <c r="V23" i="45"/>
  <c r="W23" i="45"/>
  <c r="I28" i="45"/>
  <c r="U34" i="45"/>
  <c r="N20" i="45"/>
  <c r="N43" i="23" l="1"/>
  <c r="G28" i="45" s="1"/>
  <c r="H28" i="45" s="1"/>
  <c r="W28" i="45"/>
  <c r="M45" i="23"/>
  <c r="V28" i="45"/>
  <c r="Q21" i="23"/>
  <c r="Q39" i="23" s="1"/>
  <c r="Q43" i="23" s="1"/>
  <c r="C7" i="1" s="1"/>
  <c r="P21" i="23"/>
  <c r="P39" i="23" s="1"/>
  <c r="P43" i="23" s="1"/>
  <c r="N23" i="45"/>
  <c r="Y23" i="45"/>
  <c r="V34" i="45"/>
  <c r="W34" i="45"/>
  <c r="N45" i="23" l="1"/>
  <c r="J28" i="45"/>
  <c r="N28" i="45" s="1"/>
  <c r="C7" i="39"/>
  <c r="J28" i="39" s="1"/>
  <c r="R43" i="23"/>
  <c r="O45" i="23"/>
  <c r="Q44" i="45"/>
  <c r="Y34" i="45"/>
  <c r="U28" i="45"/>
  <c r="Y28" i="45" s="1"/>
  <c r="J27" i="39" l="1"/>
  <c r="M27" i="39" s="1"/>
  <c r="K11" i="39" s="1"/>
  <c r="J26" i="39"/>
  <c r="W15" i="45" l="1"/>
  <c r="I11" i="39"/>
  <c r="M11" i="39"/>
  <c r="C3" i="45"/>
  <c r="J28" i="1"/>
  <c r="J44" i="1"/>
  <c r="J45" i="1"/>
  <c r="J46" i="1"/>
  <c r="J43" i="1"/>
  <c r="K27" i="1"/>
  <c r="I27" i="1"/>
  <c r="Y15" i="45" l="1"/>
  <c r="D3" i="45"/>
  <c r="J38" i="1"/>
  <c r="F3" i="45" l="1"/>
  <c r="C5" i="45" l="1"/>
  <c r="H3" i="45"/>
  <c r="AA39" i="1"/>
  <c r="AA34" i="1"/>
  <c r="AA29" i="1"/>
  <c r="AA24" i="1"/>
  <c r="AA19" i="1"/>
  <c r="AA14" i="1"/>
  <c r="AA38" i="1"/>
  <c r="AA33" i="1"/>
  <c r="AA28" i="1"/>
  <c r="AA23" i="1"/>
  <c r="AA18" i="1"/>
  <c r="AA13" i="1"/>
  <c r="AA37" i="1"/>
  <c r="AA32" i="1"/>
  <c r="AA27" i="1"/>
  <c r="AA22" i="1"/>
  <c r="AA17" i="1"/>
  <c r="AA12" i="1"/>
  <c r="AA36" i="1"/>
  <c r="AA31" i="1"/>
  <c r="AA26" i="1"/>
  <c r="AA21" i="1"/>
  <c r="AA16" i="1"/>
  <c r="AA11" i="1"/>
  <c r="AA9" i="1"/>
  <c r="AA8" i="1"/>
  <c r="AA7" i="1"/>
  <c r="AA6" i="1"/>
  <c r="U57" i="1"/>
  <c r="U56" i="1"/>
  <c r="I3" i="45" l="1"/>
  <c r="D5" i="45"/>
  <c r="C11" i="45"/>
  <c r="V39" i="1"/>
  <c r="V34" i="1"/>
  <c r="V29" i="1"/>
  <c r="V24" i="1"/>
  <c r="V19" i="1"/>
  <c r="V14" i="1"/>
  <c r="V13" i="1"/>
  <c r="V37" i="1"/>
  <c r="V27" i="1"/>
  <c r="V17" i="1"/>
  <c r="V12" i="1"/>
  <c r="V31" i="1"/>
  <c r="V21" i="1"/>
  <c r="V11" i="1"/>
  <c r="V38" i="1"/>
  <c r="V33" i="1"/>
  <c r="V28" i="1"/>
  <c r="V23" i="1"/>
  <c r="V18" i="1"/>
  <c r="V32" i="1"/>
  <c r="V22" i="1"/>
  <c r="V36" i="1"/>
  <c r="V26" i="1"/>
  <c r="V16" i="1"/>
  <c r="V9" i="1"/>
  <c r="V7" i="1"/>
  <c r="V6" i="1"/>
  <c r="V8" i="1"/>
  <c r="N3" i="45" l="1"/>
  <c r="F5" i="45"/>
  <c r="D11" i="45"/>
  <c r="D48" i="45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I26" i="1"/>
  <c r="J27" i="1"/>
  <c r="M27" i="1" s="1"/>
  <c r="K11" i="1" s="1"/>
  <c r="M11" i="1" s="1"/>
  <c r="L27" i="1"/>
  <c r="K38" i="1"/>
  <c r="J47" i="1"/>
  <c r="S59" i="1"/>
  <c r="Y68" i="1"/>
  <c r="H5" i="45" l="1"/>
  <c r="F11" i="45"/>
  <c r="I28" i="1"/>
  <c r="Z68" i="1"/>
  <c r="J26" i="1"/>
  <c r="I11" i="1"/>
  <c r="G33" i="45" l="1"/>
  <c r="H33" i="45" s="1"/>
  <c r="G32" i="45"/>
  <c r="F48" i="45"/>
  <c r="I5" i="45"/>
  <c r="I32" i="45" s="1"/>
  <c r="H11" i="45"/>
  <c r="N5" i="45" l="1"/>
  <c r="I11" i="45"/>
  <c r="H32" i="45"/>
  <c r="N11" i="45" l="1"/>
  <c r="I33" i="45"/>
  <c r="N33" i="45" s="1"/>
  <c r="U9" i="45"/>
  <c r="V9" i="45" l="1"/>
  <c r="Y9" i="45" s="1"/>
  <c r="N32" i="45"/>
  <c r="I44" i="45"/>
  <c r="I48" i="45" l="1"/>
  <c r="U33" i="45" l="1"/>
  <c r="J15" i="45"/>
  <c r="J44" i="45" s="1"/>
  <c r="J48" i="45" s="1"/>
  <c r="G15" i="45"/>
  <c r="U6" i="45"/>
  <c r="V6" i="45" s="1"/>
  <c r="Y6" i="45" l="1"/>
  <c r="V33" i="45"/>
  <c r="W33" i="45"/>
  <c r="H15" i="45"/>
  <c r="G44" i="45"/>
  <c r="Y33" i="45" l="1"/>
  <c r="N15" i="45"/>
  <c r="H44" i="45"/>
  <c r="H48" i="45" s="1"/>
  <c r="U4" i="45"/>
  <c r="W4" i="45"/>
  <c r="W11" i="45" s="1"/>
  <c r="C5" i="1" s="1"/>
  <c r="U5" i="45"/>
  <c r="Y5" i="45" s="1"/>
  <c r="Y4" i="45" l="1"/>
  <c r="I7" i="1"/>
  <c r="S6" i="1" l="1"/>
  <c r="S7" i="1"/>
  <c r="S9" i="1"/>
  <c r="S8" i="1"/>
  <c r="J19" i="1"/>
  <c r="S32" i="45" l="1"/>
  <c r="R44" i="45"/>
  <c r="T9" i="1"/>
  <c r="U9" i="1" s="1"/>
  <c r="W9" i="1" s="1"/>
  <c r="X9" i="1" s="1"/>
  <c r="Y9" i="1" s="1"/>
  <c r="Z9" i="1" s="1"/>
  <c r="AB9" i="1" s="1"/>
  <c r="AC9" i="1" s="1"/>
  <c r="AD9" i="1" s="1"/>
  <c r="T8" i="1"/>
  <c r="U8" i="1" s="1"/>
  <c r="W8" i="1" s="1"/>
  <c r="X8" i="1" s="1"/>
  <c r="Y8" i="1" s="1"/>
  <c r="Z8" i="1" s="1"/>
  <c r="AB8" i="1" s="1"/>
  <c r="AC8" i="1" s="1"/>
  <c r="AD8" i="1" s="1"/>
  <c r="T7" i="1"/>
  <c r="U7" i="1" s="1"/>
  <c r="W7" i="1" s="1"/>
  <c r="X7" i="1" s="1"/>
  <c r="Y7" i="1" s="1"/>
  <c r="Z7" i="1" s="1"/>
  <c r="AB7" i="1" s="1"/>
  <c r="AC7" i="1" s="1"/>
  <c r="AD7" i="1" s="1"/>
  <c r="T6" i="1"/>
  <c r="U6" i="1" s="1"/>
  <c r="W6" i="1" s="1"/>
  <c r="X6" i="1" s="1"/>
  <c r="Y6" i="1" s="1"/>
  <c r="Z6" i="1" s="1"/>
  <c r="AB6" i="1" s="1"/>
  <c r="AC6" i="1" s="1"/>
  <c r="AD6" i="1" s="1"/>
  <c r="S44" i="45" l="1"/>
  <c r="U32" i="45"/>
  <c r="U44" i="45" l="1"/>
  <c r="V32" i="45"/>
  <c r="V44" i="45" s="1"/>
  <c r="C6" i="39" s="1"/>
  <c r="I8" i="39" s="1"/>
  <c r="W32" i="45"/>
  <c r="Y32" i="45" l="1"/>
  <c r="W44" i="45"/>
  <c r="C6" i="1" s="1"/>
  <c r="I8" i="1" s="1"/>
  <c r="K8" i="39"/>
  <c r="K5" i="45"/>
  <c r="L5" i="45" s="1"/>
  <c r="AE7" i="1" l="1"/>
  <c r="AF7" i="1" s="1"/>
  <c r="I9" i="1"/>
  <c r="AE6" i="1"/>
  <c r="AF6" i="1" s="1"/>
  <c r="AE9" i="1"/>
  <c r="AF9" i="1" s="1"/>
  <c r="AE8" i="1"/>
  <c r="AF8" i="1" s="1"/>
  <c r="K8" i="1"/>
  <c r="I16" i="1"/>
  <c r="K6" i="45"/>
  <c r="L6" i="45" s="1"/>
  <c r="K3" i="45" l="1"/>
  <c r="L3" i="45" l="1"/>
  <c r="L11" i="45" s="1"/>
  <c r="L13" i="45" s="1"/>
  <c r="K11" i="45"/>
  <c r="K4" i="45" l="1"/>
  <c r="L4" i="45" s="1"/>
  <c r="P11" i="45" l="1"/>
  <c r="P47" i="45" s="1"/>
  <c r="E46" i="65"/>
  <c r="G46" i="65" s="1"/>
  <c r="H46" i="65" s="1"/>
  <c r="S3" i="45"/>
  <c r="V3" i="45" s="1"/>
  <c r="V11" i="45" s="1"/>
  <c r="I7" i="39" s="1"/>
  <c r="E50" i="65" l="1"/>
  <c r="E53" i="65" s="1"/>
  <c r="J19" i="39"/>
  <c r="I16" i="39"/>
  <c r="I9" i="39"/>
  <c r="I14" i="39" s="1"/>
  <c r="S8" i="39"/>
  <c r="S7" i="39"/>
  <c r="S9" i="39"/>
  <c r="S6" i="39"/>
  <c r="U3" i="45"/>
  <c r="S11" i="45"/>
  <c r="G50" i="65"/>
  <c r="T6" i="39" l="1"/>
  <c r="U6" i="39" s="1"/>
  <c r="W6" i="39" s="1"/>
  <c r="X6" i="39" s="1"/>
  <c r="Y6" i="39" s="1"/>
  <c r="Z6" i="39" s="1"/>
  <c r="AB6" i="39" s="1"/>
  <c r="AC6" i="39" s="1"/>
  <c r="AD6" i="39" s="1"/>
  <c r="AE6" i="39" s="1"/>
  <c r="AF6" i="39" s="1"/>
  <c r="T7" i="39"/>
  <c r="U7" i="39" s="1"/>
  <c r="W7" i="39" s="1"/>
  <c r="X7" i="39" s="1"/>
  <c r="Y7" i="39" s="1"/>
  <c r="Z7" i="39" s="1"/>
  <c r="AB7" i="39" s="1"/>
  <c r="AC7" i="39" s="1"/>
  <c r="AD7" i="39" s="1"/>
  <c r="AE7" i="39" s="1"/>
  <c r="AF7" i="39" s="1"/>
  <c r="H50" i="65"/>
  <c r="G53" i="65"/>
  <c r="H53" i="65" s="1"/>
  <c r="Y3" i="45"/>
  <c r="U11" i="45"/>
  <c r="T9" i="39"/>
  <c r="U9" i="39" s="1"/>
  <c r="W9" i="39" s="1"/>
  <c r="X9" i="39" s="1"/>
  <c r="Y9" i="39" s="1"/>
  <c r="Z9" i="39" s="1"/>
  <c r="AB9" i="39" s="1"/>
  <c r="AC9" i="39" s="1"/>
  <c r="AD9" i="39" s="1"/>
  <c r="AE9" i="39" s="1"/>
  <c r="AF9" i="39" s="1"/>
  <c r="T8" i="39"/>
  <c r="U8" i="39" s="1"/>
  <c r="W8" i="39" s="1"/>
  <c r="X8" i="39" s="1"/>
  <c r="Y8" i="39" s="1"/>
  <c r="Z8" i="39" s="1"/>
  <c r="AB8" i="39" s="1"/>
  <c r="AC8" i="39" s="1"/>
  <c r="AD8" i="39" s="1"/>
  <c r="AE8" i="39" s="1"/>
  <c r="AF8" i="39" s="1"/>
  <c r="AG6" i="39"/>
  <c r="AH6" i="39"/>
  <c r="AI6" i="39"/>
  <c r="J7" i="39"/>
  <c r="K7" i="39"/>
  <c r="L7" i="39"/>
  <c r="M7" i="39"/>
  <c r="AG7" i="39"/>
  <c r="AH7" i="39"/>
  <c r="AI7" i="39"/>
  <c r="L8" i="39"/>
  <c r="M8" i="39"/>
  <c r="AG8" i="39"/>
  <c r="AH8" i="39"/>
  <c r="AI8" i="39"/>
  <c r="K9" i="39"/>
  <c r="M9" i="39"/>
  <c r="AG9" i="39"/>
  <c r="AH9" i="39"/>
  <c r="AI9" i="39"/>
  <c r="S11" i="39"/>
  <c r="T11" i="39"/>
  <c r="U11" i="39"/>
  <c r="W11" i="39"/>
  <c r="X11" i="39"/>
  <c r="Y11" i="39"/>
  <c r="Z11" i="39"/>
  <c r="AB11" i="39"/>
  <c r="AC11" i="39"/>
  <c r="AD11" i="39"/>
  <c r="AE11" i="39"/>
  <c r="AF11" i="39"/>
  <c r="AG11" i="39"/>
  <c r="AH11" i="39"/>
  <c r="AI11" i="39"/>
  <c r="J12" i="39"/>
  <c r="K12" i="39"/>
  <c r="M12" i="39"/>
  <c r="S12" i="39"/>
  <c r="T12" i="39"/>
  <c r="U12" i="39"/>
  <c r="W12" i="39"/>
  <c r="X12" i="39"/>
  <c r="Y12" i="39"/>
  <c r="Z12" i="39"/>
  <c r="AB12" i="39"/>
  <c r="AC12" i="39"/>
  <c r="AD12" i="39"/>
  <c r="AE12" i="39"/>
  <c r="AF12" i="39"/>
  <c r="AG12" i="39"/>
  <c r="AH12" i="39"/>
  <c r="AI12" i="39"/>
  <c r="S13" i="39"/>
  <c r="T13" i="39"/>
  <c r="U13" i="39"/>
  <c r="W13" i="39"/>
  <c r="X13" i="39"/>
  <c r="Y13" i="39"/>
  <c r="Z13" i="39"/>
  <c r="AB13" i="39"/>
  <c r="AC13" i="39"/>
  <c r="AD13" i="39"/>
  <c r="AE13" i="39"/>
  <c r="AF13" i="39"/>
  <c r="AG13" i="39"/>
  <c r="AH13" i="39"/>
  <c r="AI13" i="39"/>
  <c r="K14" i="39"/>
  <c r="M14" i="39"/>
  <c r="S14" i="39"/>
  <c r="T14" i="39"/>
  <c r="U14" i="39"/>
  <c r="W14" i="39"/>
  <c r="X14" i="39"/>
  <c r="Y14" i="39"/>
  <c r="Z14" i="39"/>
  <c r="AB14" i="39"/>
  <c r="AC14" i="39"/>
  <c r="AD14" i="39"/>
  <c r="AE14" i="39"/>
  <c r="AF14" i="39"/>
  <c r="AG14" i="39"/>
  <c r="AH14" i="39"/>
  <c r="AI14" i="39"/>
  <c r="K16" i="39"/>
  <c r="M16" i="39"/>
  <c r="S16" i="39"/>
  <c r="T16" i="39"/>
  <c r="U16" i="39"/>
  <c r="W16" i="39"/>
  <c r="X16" i="39"/>
  <c r="Y16" i="39"/>
  <c r="Z16" i="39"/>
  <c r="AB16" i="39"/>
  <c r="AC16" i="39"/>
  <c r="AD16" i="39"/>
  <c r="AE16" i="39"/>
  <c r="AF16" i="39"/>
  <c r="AG16" i="39"/>
  <c r="AH16" i="39"/>
  <c r="AI16" i="39"/>
  <c r="S17" i="39"/>
  <c r="T17" i="39"/>
  <c r="U17" i="39"/>
  <c r="W17" i="39"/>
  <c r="X17" i="39"/>
  <c r="Y17" i="39"/>
  <c r="Z17" i="39"/>
  <c r="AB17" i="39"/>
  <c r="AC17" i="39"/>
  <c r="AD17" i="39"/>
  <c r="AE17" i="39"/>
  <c r="AF17" i="39"/>
  <c r="AG17" i="39"/>
  <c r="AH17" i="39"/>
  <c r="AI17" i="39"/>
  <c r="N18" i="39"/>
  <c r="S18" i="39"/>
  <c r="T18" i="39"/>
  <c r="U18" i="39"/>
  <c r="W18" i="39"/>
  <c r="X18" i="39"/>
  <c r="Y18" i="39"/>
  <c r="Z18" i="39"/>
  <c r="AB18" i="39"/>
  <c r="AC18" i="39"/>
  <c r="AD18" i="39"/>
  <c r="AE18" i="39"/>
  <c r="AF18" i="39"/>
  <c r="AG18" i="39"/>
  <c r="AH18" i="39"/>
  <c r="AI18" i="39"/>
  <c r="M19" i="39"/>
  <c r="S19" i="39"/>
  <c r="T19" i="39"/>
  <c r="U19" i="39"/>
  <c r="W19" i="39"/>
  <c r="X19" i="39"/>
  <c r="Y19" i="39"/>
  <c r="Z19" i="39"/>
  <c r="AB19" i="39"/>
  <c r="AC19" i="39"/>
  <c r="AD19" i="39"/>
  <c r="AE19" i="39"/>
  <c r="AF19" i="39"/>
  <c r="AG19" i="39"/>
  <c r="AH19" i="39"/>
  <c r="AI19" i="39"/>
  <c r="J20" i="39"/>
  <c r="M20" i="39"/>
  <c r="J21" i="39"/>
  <c r="M21" i="39"/>
  <c r="N21" i="39"/>
  <c r="S21" i="39"/>
  <c r="T21" i="39"/>
  <c r="U21" i="39"/>
  <c r="W21" i="39"/>
  <c r="X21" i="39"/>
  <c r="Y21" i="39"/>
  <c r="Z21" i="39"/>
  <c r="AB21" i="39"/>
  <c r="AC21" i="39"/>
  <c r="AD21" i="39"/>
  <c r="AE21" i="39"/>
  <c r="AF21" i="39"/>
  <c r="AG21" i="39"/>
  <c r="AH21" i="39"/>
  <c r="AI21" i="39"/>
  <c r="K22" i="39"/>
  <c r="S22" i="39"/>
  <c r="T22" i="39"/>
  <c r="U22" i="39"/>
  <c r="W22" i="39"/>
  <c r="X22" i="39"/>
  <c r="Y22" i="39"/>
  <c r="Z22" i="39"/>
  <c r="AB22" i="39"/>
  <c r="AC22" i="39"/>
  <c r="AD22" i="39"/>
  <c r="AE22" i="39"/>
  <c r="AF22" i="39"/>
  <c r="AG22" i="39"/>
  <c r="AH22" i="39"/>
  <c r="AI22" i="39"/>
  <c r="S23" i="39"/>
  <c r="T23" i="39"/>
  <c r="U23" i="39"/>
  <c r="W23" i="39"/>
  <c r="X23" i="39"/>
  <c r="Y23" i="39"/>
  <c r="Z23" i="39"/>
  <c r="AB23" i="39"/>
  <c r="AC23" i="39"/>
  <c r="AD23" i="39"/>
  <c r="AE23" i="39"/>
  <c r="AF23" i="39"/>
  <c r="AG23" i="39"/>
  <c r="AH23" i="39"/>
  <c r="AI23" i="39"/>
  <c r="S24" i="39"/>
  <c r="T24" i="39"/>
  <c r="U24" i="39"/>
  <c r="W24" i="39"/>
  <c r="X24" i="39"/>
  <c r="Y24" i="39"/>
  <c r="Z24" i="39"/>
  <c r="AB24" i="39"/>
  <c r="AC24" i="39"/>
  <c r="AD24" i="39"/>
  <c r="AE24" i="39"/>
  <c r="AF24" i="39"/>
  <c r="AG24" i="39"/>
  <c r="AH24" i="39"/>
  <c r="AI24" i="39"/>
  <c r="K26" i="39"/>
  <c r="L26" i="39"/>
  <c r="M26" i="39"/>
  <c r="S26" i="39"/>
  <c r="T26" i="39"/>
  <c r="U26" i="39"/>
  <c r="W26" i="39"/>
  <c r="X26" i="39"/>
  <c r="Y26" i="39"/>
  <c r="Z26" i="39"/>
  <c r="AB26" i="39"/>
  <c r="AC26" i="39"/>
  <c r="AD26" i="39"/>
  <c r="AE26" i="39"/>
  <c r="AF26" i="39"/>
  <c r="AG26" i="39"/>
  <c r="AH26" i="39"/>
  <c r="AI26" i="39"/>
  <c r="S27" i="39"/>
  <c r="T27" i="39"/>
  <c r="U27" i="39"/>
  <c r="W27" i="39"/>
  <c r="X27" i="39"/>
  <c r="Y27" i="39"/>
  <c r="Z27" i="39"/>
  <c r="AB27" i="39"/>
  <c r="AC27" i="39"/>
  <c r="AD27" i="39"/>
  <c r="AE27" i="39"/>
  <c r="AF27" i="39"/>
  <c r="AG27" i="39"/>
  <c r="AH27" i="39"/>
  <c r="AI27" i="39"/>
  <c r="L28" i="39"/>
  <c r="M28" i="39"/>
  <c r="S28" i="39"/>
  <c r="T28" i="39"/>
  <c r="U28" i="39"/>
  <c r="W28" i="39"/>
  <c r="X28" i="39"/>
  <c r="Y28" i="39"/>
  <c r="Z28" i="39"/>
  <c r="AB28" i="39"/>
  <c r="AC28" i="39"/>
  <c r="AD28" i="39"/>
  <c r="AE28" i="39"/>
  <c r="AF28" i="39"/>
  <c r="AG28" i="39"/>
  <c r="AH28" i="39"/>
  <c r="AI28" i="39"/>
  <c r="S29" i="39"/>
  <c r="T29" i="39"/>
  <c r="U29" i="39"/>
  <c r="W29" i="39"/>
  <c r="X29" i="39"/>
  <c r="Y29" i="39"/>
  <c r="Z29" i="39"/>
  <c r="AB29" i="39"/>
  <c r="AC29" i="39"/>
  <c r="AD29" i="39"/>
  <c r="AE29" i="39"/>
  <c r="AF29" i="39"/>
  <c r="AG29" i="39"/>
  <c r="AH29" i="39"/>
  <c r="AI29" i="39"/>
  <c r="S31" i="39"/>
  <c r="T31" i="39"/>
  <c r="U31" i="39"/>
  <c r="W31" i="39"/>
  <c r="X31" i="39"/>
  <c r="Y31" i="39"/>
  <c r="Z31" i="39"/>
  <c r="AB31" i="39"/>
  <c r="AC31" i="39"/>
  <c r="AD31" i="39"/>
  <c r="AE31" i="39"/>
  <c r="AF31" i="39"/>
  <c r="AG31" i="39"/>
  <c r="AH31" i="39"/>
  <c r="AI31" i="39"/>
  <c r="S32" i="39"/>
  <c r="T32" i="39"/>
  <c r="U32" i="39"/>
  <c r="W32" i="39"/>
  <c r="X32" i="39"/>
  <c r="Y32" i="39"/>
  <c r="Z32" i="39"/>
  <c r="AB32" i="39"/>
  <c r="AC32" i="39"/>
  <c r="AD32" i="39"/>
  <c r="AE32" i="39"/>
  <c r="AF32" i="39"/>
  <c r="AG32" i="39"/>
  <c r="AH32" i="39"/>
  <c r="AI32" i="39"/>
  <c r="J33" i="39"/>
  <c r="K33" i="39"/>
  <c r="S33" i="39"/>
  <c r="T33" i="39"/>
  <c r="U33" i="39"/>
  <c r="W33" i="39"/>
  <c r="X33" i="39"/>
  <c r="Y33" i="39"/>
  <c r="Z33" i="39"/>
  <c r="AB33" i="39"/>
  <c r="AC33" i="39"/>
  <c r="AD33" i="39"/>
  <c r="AE33" i="39"/>
  <c r="AF33" i="39"/>
  <c r="AG33" i="39"/>
  <c r="AH33" i="39"/>
  <c r="AI33" i="39"/>
  <c r="J34" i="39"/>
  <c r="K34" i="39"/>
  <c r="S34" i="39"/>
  <c r="T34" i="39"/>
  <c r="U34" i="39"/>
  <c r="W34" i="39"/>
  <c r="X34" i="39"/>
  <c r="Y34" i="39"/>
  <c r="Z34" i="39"/>
  <c r="AB34" i="39"/>
  <c r="AC34" i="39"/>
  <c r="AD34" i="39"/>
  <c r="AE34" i="39"/>
  <c r="AF34" i="39"/>
  <c r="AG34" i="39"/>
  <c r="AH34" i="39"/>
  <c r="AI34" i="39"/>
  <c r="J35" i="39"/>
  <c r="K35" i="39"/>
  <c r="J36" i="39"/>
  <c r="K36" i="39"/>
  <c r="S36" i="39"/>
  <c r="T36" i="39"/>
  <c r="U36" i="39"/>
  <c r="W36" i="39"/>
  <c r="X36" i="39"/>
  <c r="Y36" i="39"/>
  <c r="Z36" i="39"/>
  <c r="AB36" i="39"/>
  <c r="AC36" i="39"/>
  <c r="AD36" i="39"/>
  <c r="AE36" i="39"/>
  <c r="AF36" i="39"/>
  <c r="AG36" i="39"/>
  <c r="AH36" i="39"/>
  <c r="AI36" i="39"/>
  <c r="J37" i="39"/>
  <c r="K37" i="39"/>
  <c r="S37" i="39"/>
  <c r="T37" i="39"/>
  <c r="U37" i="39"/>
  <c r="W37" i="39"/>
  <c r="X37" i="39"/>
  <c r="Y37" i="39"/>
  <c r="Z37" i="39"/>
  <c r="AB37" i="39"/>
  <c r="AC37" i="39"/>
  <c r="AD37" i="39"/>
  <c r="AE37" i="39"/>
  <c r="AF37" i="39"/>
  <c r="AG37" i="39"/>
  <c r="AH37" i="39"/>
  <c r="AI37" i="39"/>
  <c r="S38" i="39"/>
  <c r="T38" i="39"/>
  <c r="U38" i="39"/>
  <c r="W38" i="39"/>
  <c r="X38" i="39"/>
  <c r="Y38" i="39"/>
  <c r="Z38" i="39"/>
  <c r="AB38" i="39"/>
  <c r="AC38" i="39"/>
  <c r="AD38" i="39"/>
  <c r="AE38" i="39"/>
  <c r="AF38" i="39"/>
  <c r="AG38" i="39"/>
  <c r="AH38" i="39"/>
  <c r="AI38" i="39"/>
  <c r="S39" i="39"/>
  <c r="T39" i="39"/>
  <c r="U39" i="39"/>
  <c r="W39" i="39"/>
  <c r="X39" i="39"/>
  <c r="Y39" i="39"/>
  <c r="Z39" i="39"/>
  <c r="AB39" i="39"/>
  <c r="AC39" i="39"/>
  <c r="AD39" i="39"/>
  <c r="AE39" i="39"/>
  <c r="AF39" i="39"/>
  <c r="AG39" i="39"/>
  <c r="AH39" i="39"/>
  <c r="AI39" i="39"/>
  <c r="K43" i="39"/>
  <c r="V43" i="39"/>
  <c r="K44" i="39"/>
  <c r="V44" i="39"/>
  <c r="K45" i="39"/>
  <c r="V45" i="39"/>
  <c r="K46" i="39"/>
  <c r="K47" i="39"/>
  <c r="R48" i="39"/>
  <c r="J49" i="39"/>
  <c r="R49" i="39"/>
  <c r="R51" i="39"/>
  <c r="Y63" i="39"/>
  <c r="Z63" i="39"/>
  <c r="Y64" i="39"/>
  <c r="Z64" i="39"/>
  <c r="Y65" i="39"/>
  <c r="Z65" i="39"/>
  <c r="Y66" i="39"/>
  <c r="Z66" i="39"/>
  <c r="Y67" i="39"/>
  <c r="Z67" i="39"/>
  <c r="J3" i="65"/>
  <c r="J4" i="65"/>
  <c r="J6" i="65"/>
  <c r="K6" i="65"/>
  <c r="L6" i="65"/>
  <c r="M6" i="65"/>
  <c r="J7" i="65"/>
  <c r="K7" i="65"/>
  <c r="L7" i="65"/>
  <c r="M7" i="65"/>
  <c r="J8" i="65"/>
  <c r="K8" i="65"/>
  <c r="L8" i="65"/>
  <c r="M8" i="65"/>
  <c r="J9" i="65"/>
  <c r="K9" i="65"/>
  <c r="L9" i="65"/>
  <c r="M9" i="65"/>
  <c r="L10" i="65"/>
  <c r="M10" i="65"/>
  <c r="J11" i="65"/>
  <c r="K11" i="65"/>
  <c r="L11" i="65"/>
  <c r="M11" i="65"/>
  <c r="J12" i="65"/>
  <c r="K12" i="65"/>
  <c r="L12" i="65"/>
  <c r="M12" i="65"/>
  <c r="J13" i="65"/>
  <c r="K13" i="65"/>
  <c r="L13" i="65"/>
  <c r="M13" i="65"/>
  <c r="J14" i="65"/>
  <c r="K14" i="65"/>
  <c r="L14" i="65"/>
  <c r="M14" i="65"/>
  <c r="L15" i="65"/>
  <c r="M15" i="65"/>
  <c r="J16" i="65"/>
  <c r="K16" i="65"/>
  <c r="L16" i="65"/>
  <c r="M16" i="65"/>
  <c r="J17" i="65"/>
  <c r="K17" i="65"/>
  <c r="L17" i="65"/>
  <c r="M17" i="65"/>
  <c r="J18" i="65"/>
  <c r="K18" i="65"/>
  <c r="L18" i="65"/>
  <c r="M18" i="65"/>
  <c r="J19" i="65"/>
  <c r="K19" i="65"/>
  <c r="L19" i="65"/>
  <c r="M19" i="65"/>
  <c r="J20" i="65"/>
  <c r="K20" i="65"/>
  <c r="L20" i="65"/>
  <c r="M20" i="65"/>
  <c r="J21" i="65"/>
  <c r="K21" i="65"/>
  <c r="L21" i="65"/>
  <c r="M21" i="65"/>
  <c r="J22" i="65"/>
  <c r="K22" i="65"/>
  <c r="L22" i="65"/>
  <c r="M22" i="65"/>
  <c r="J23" i="65"/>
  <c r="K23" i="65"/>
  <c r="L23" i="65"/>
  <c r="M23" i="65"/>
  <c r="J24" i="65"/>
  <c r="K24" i="65"/>
  <c r="L24" i="65"/>
  <c r="M24" i="65"/>
  <c r="J25" i="65"/>
  <c r="K25" i="65"/>
  <c r="L25" i="65"/>
  <c r="M25" i="65"/>
  <c r="L26" i="65"/>
  <c r="M26" i="65"/>
  <c r="J27" i="65"/>
  <c r="K27" i="65"/>
  <c r="L27" i="65"/>
  <c r="M27" i="65"/>
  <c r="J28" i="65"/>
  <c r="K28" i="65"/>
  <c r="L28" i="65"/>
  <c r="M28" i="65"/>
  <c r="J29" i="65"/>
  <c r="K29" i="65"/>
  <c r="L29" i="65"/>
  <c r="M29" i="65"/>
  <c r="J30" i="65"/>
  <c r="K30" i="65"/>
  <c r="L30" i="65"/>
  <c r="M30" i="65"/>
  <c r="J31" i="65"/>
  <c r="K31" i="65"/>
  <c r="L31" i="65"/>
  <c r="M31" i="65"/>
  <c r="J32" i="65"/>
  <c r="K32" i="65"/>
  <c r="L32" i="65"/>
  <c r="M32" i="65"/>
  <c r="L33" i="65"/>
  <c r="M33" i="65"/>
  <c r="J34" i="65"/>
  <c r="K34" i="65"/>
  <c r="L34" i="65"/>
  <c r="M34" i="65"/>
  <c r="J35" i="65"/>
  <c r="K35" i="65"/>
  <c r="L35" i="65"/>
  <c r="M35" i="65"/>
  <c r="L36" i="65"/>
  <c r="M36" i="65"/>
  <c r="L37" i="65"/>
  <c r="M37" i="65"/>
  <c r="J42" i="65"/>
  <c r="K42" i="65"/>
  <c r="L42" i="65"/>
  <c r="M42" i="65"/>
  <c r="X12" i="45"/>
  <c r="AG6" i="1"/>
  <c r="AH6" i="1"/>
  <c r="AI6" i="1"/>
  <c r="J7" i="1"/>
  <c r="K7" i="1"/>
  <c r="L7" i="1"/>
  <c r="M7" i="1"/>
  <c r="AG7" i="1"/>
  <c r="AH7" i="1"/>
  <c r="AI7" i="1"/>
  <c r="L8" i="1"/>
  <c r="M8" i="1"/>
  <c r="AG8" i="1"/>
  <c r="AH8" i="1"/>
  <c r="AI8" i="1"/>
  <c r="K9" i="1"/>
  <c r="M9" i="1"/>
  <c r="AG9" i="1"/>
  <c r="AH9" i="1"/>
  <c r="AI9" i="1"/>
  <c r="S11" i="1"/>
  <c r="T11" i="1"/>
  <c r="U11" i="1"/>
  <c r="W11" i="1"/>
  <c r="X11" i="1"/>
  <c r="Y11" i="1"/>
  <c r="Z11" i="1"/>
  <c r="AB11" i="1"/>
  <c r="AC11" i="1"/>
  <c r="AD11" i="1"/>
  <c r="AE11" i="1"/>
  <c r="AF11" i="1"/>
  <c r="AG11" i="1"/>
  <c r="AH11" i="1"/>
  <c r="AI11" i="1"/>
  <c r="I12" i="1"/>
  <c r="J12" i="1"/>
  <c r="K12" i="1"/>
  <c r="M12" i="1"/>
  <c r="S12" i="1"/>
  <c r="T12" i="1"/>
  <c r="U12" i="1"/>
  <c r="W12" i="1"/>
  <c r="X12" i="1"/>
  <c r="Y12" i="1"/>
  <c r="Z12" i="1"/>
  <c r="AB12" i="1"/>
  <c r="AC12" i="1"/>
  <c r="AD12" i="1"/>
  <c r="AE12" i="1"/>
  <c r="AF12" i="1"/>
  <c r="AG12" i="1"/>
  <c r="AH12" i="1"/>
  <c r="AI12" i="1"/>
  <c r="S13" i="1"/>
  <c r="T13" i="1"/>
  <c r="U13" i="1"/>
  <c r="W13" i="1"/>
  <c r="X13" i="1"/>
  <c r="Y13" i="1"/>
  <c r="Z13" i="1"/>
  <c r="AB13" i="1"/>
  <c r="AC13" i="1"/>
  <c r="AD13" i="1"/>
  <c r="AE13" i="1"/>
  <c r="AF13" i="1"/>
  <c r="AG13" i="1"/>
  <c r="AH13" i="1"/>
  <c r="AI13" i="1"/>
  <c r="I14" i="1"/>
  <c r="K14" i="1"/>
  <c r="M14" i="1"/>
  <c r="S14" i="1"/>
  <c r="T14" i="1"/>
  <c r="U14" i="1"/>
  <c r="W14" i="1"/>
  <c r="X14" i="1"/>
  <c r="Y14" i="1"/>
  <c r="Z14" i="1"/>
  <c r="AB14" i="1"/>
  <c r="AC14" i="1"/>
  <c r="AD14" i="1"/>
  <c r="AE14" i="1"/>
  <c r="AF14" i="1"/>
  <c r="AG14" i="1"/>
  <c r="AH14" i="1"/>
  <c r="AI14" i="1"/>
  <c r="K16" i="1"/>
  <c r="M16" i="1"/>
  <c r="S16" i="1"/>
  <c r="T16" i="1"/>
  <c r="U16" i="1"/>
  <c r="W16" i="1"/>
  <c r="X16" i="1"/>
  <c r="Y16" i="1"/>
  <c r="Z16" i="1"/>
  <c r="AB16" i="1"/>
  <c r="AC16" i="1"/>
  <c r="AD16" i="1"/>
  <c r="AE16" i="1"/>
  <c r="AF16" i="1"/>
  <c r="AG16" i="1"/>
  <c r="AH16" i="1"/>
  <c r="AI16" i="1"/>
  <c r="S17" i="1"/>
  <c r="T17" i="1"/>
  <c r="U17" i="1"/>
  <c r="W17" i="1"/>
  <c r="X17" i="1"/>
  <c r="Y17" i="1"/>
  <c r="Z17" i="1"/>
  <c r="AB17" i="1"/>
  <c r="AC17" i="1"/>
  <c r="AD17" i="1"/>
  <c r="AE17" i="1"/>
  <c r="AF17" i="1"/>
  <c r="AG17" i="1"/>
  <c r="AH17" i="1"/>
  <c r="AI17" i="1"/>
  <c r="S18" i="1"/>
  <c r="T18" i="1"/>
  <c r="U18" i="1"/>
  <c r="W18" i="1"/>
  <c r="X18" i="1"/>
  <c r="Y18" i="1"/>
  <c r="Z18" i="1"/>
  <c r="AB18" i="1"/>
  <c r="AC18" i="1"/>
  <c r="AD18" i="1"/>
  <c r="AE18" i="1"/>
  <c r="AF18" i="1"/>
  <c r="AG18" i="1"/>
  <c r="AH18" i="1"/>
  <c r="AI18" i="1"/>
  <c r="M19" i="1"/>
  <c r="S19" i="1"/>
  <c r="T19" i="1"/>
  <c r="U19" i="1"/>
  <c r="W19" i="1"/>
  <c r="X19" i="1"/>
  <c r="Y19" i="1"/>
  <c r="Z19" i="1"/>
  <c r="AB19" i="1"/>
  <c r="AC19" i="1"/>
  <c r="AD19" i="1"/>
  <c r="AE19" i="1"/>
  <c r="AF19" i="1"/>
  <c r="AG19" i="1"/>
  <c r="AH19" i="1"/>
  <c r="AI19" i="1"/>
  <c r="J20" i="1"/>
  <c r="M20" i="1"/>
  <c r="J21" i="1"/>
  <c r="M21" i="1"/>
  <c r="N21" i="1"/>
  <c r="S21" i="1"/>
  <c r="T21" i="1"/>
  <c r="U21" i="1"/>
  <c r="W21" i="1"/>
  <c r="X21" i="1"/>
  <c r="Y21" i="1"/>
  <c r="Z21" i="1"/>
  <c r="AB21" i="1"/>
  <c r="AC21" i="1"/>
  <c r="AD21" i="1"/>
  <c r="AE21" i="1"/>
  <c r="AF21" i="1"/>
  <c r="AG21" i="1"/>
  <c r="AH21" i="1"/>
  <c r="AI21" i="1"/>
  <c r="K22" i="1"/>
  <c r="S22" i="1"/>
  <c r="T22" i="1"/>
  <c r="U22" i="1"/>
  <c r="W22" i="1"/>
  <c r="X22" i="1"/>
  <c r="Y22" i="1"/>
  <c r="Z22" i="1"/>
  <c r="AB22" i="1"/>
  <c r="AC22" i="1"/>
  <c r="AD22" i="1"/>
  <c r="AE22" i="1"/>
  <c r="AF22" i="1"/>
  <c r="AG22" i="1"/>
  <c r="AH22" i="1"/>
  <c r="AI22" i="1"/>
  <c r="S23" i="1"/>
  <c r="T23" i="1"/>
  <c r="U23" i="1"/>
  <c r="W23" i="1"/>
  <c r="X23" i="1"/>
  <c r="Y23" i="1"/>
  <c r="Z23" i="1"/>
  <c r="AB23" i="1"/>
  <c r="AC23" i="1"/>
  <c r="AD23" i="1"/>
  <c r="AE23" i="1"/>
  <c r="AF23" i="1"/>
  <c r="AG23" i="1"/>
  <c r="AH23" i="1"/>
  <c r="AI23" i="1"/>
  <c r="S24" i="1"/>
  <c r="T24" i="1"/>
  <c r="U24" i="1"/>
  <c r="W24" i="1"/>
  <c r="X24" i="1"/>
  <c r="Y24" i="1"/>
  <c r="Z24" i="1"/>
  <c r="AB24" i="1"/>
  <c r="AC24" i="1"/>
  <c r="AD24" i="1"/>
  <c r="AE24" i="1"/>
  <c r="AF24" i="1"/>
  <c r="AG24" i="1"/>
  <c r="AH24" i="1"/>
  <c r="AI24" i="1"/>
  <c r="K26" i="1"/>
  <c r="L26" i="1"/>
  <c r="M26" i="1"/>
  <c r="S26" i="1"/>
  <c r="T26" i="1"/>
  <c r="U26" i="1"/>
  <c r="W26" i="1"/>
  <c r="X26" i="1"/>
  <c r="Y26" i="1"/>
  <c r="Z26" i="1"/>
  <c r="AB26" i="1"/>
  <c r="AC26" i="1"/>
  <c r="AD26" i="1"/>
  <c r="AE26" i="1"/>
  <c r="AF26" i="1"/>
  <c r="AG26" i="1"/>
  <c r="AH26" i="1"/>
  <c r="AI26" i="1"/>
  <c r="S27" i="1"/>
  <c r="T27" i="1"/>
  <c r="U27" i="1"/>
  <c r="W27" i="1"/>
  <c r="X27" i="1"/>
  <c r="Y27" i="1"/>
  <c r="Z27" i="1"/>
  <c r="AB27" i="1"/>
  <c r="AC27" i="1"/>
  <c r="AD27" i="1"/>
  <c r="AE27" i="1"/>
  <c r="AF27" i="1"/>
  <c r="AG27" i="1"/>
  <c r="AH27" i="1"/>
  <c r="AI27" i="1"/>
  <c r="L28" i="1"/>
  <c r="M28" i="1"/>
  <c r="S28" i="1"/>
  <c r="T28" i="1"/>
  <c r="U28" i="1"/>
  <c r="W28" i="1"/>
  <c r="X28" i="1"/>
  <c r="Y28" i="1"/>
  <c r="Z28" i="1"/>
  <c r="AB28" i="1"/>
  <c r="AC28" i="1"/>
  <c r="AD28" i="1"/>
  <c r="AE28" i="1"/>
  <c r="AF28" i="1"/>
  <c r="AG28" i="1"/>
  <c r="AH28" i="1"/>
  <c r="AI28" i="1"/>
  <c r="S29" i="1"/>
  <c r="T29" i="1"/>
  <c r="U29" i="1"/>
  <c r="W29" i="1"/>
  <c r="X29" i="1"/>
  <c r="Y29" i="1"/>
  <c r="Z29" i="1"/>
  <c r="AB29" i="1"/>
  <c r="AC29" i="1"/>
  <c r="AD29" i="1"/>
  <c r="AE29" i="1"/>
  <c r="AF29" i="1"/>
  <c r="AG29" i="1"/>
  <c r="AH29" i="1"/>
  <c r="AI29" i="1"/>
  <c r="S31" i="1"/>
  <c r="T31" i="1"/>
  <c r="U31" i="1"/>
  <c r="W31" i="1"/>
  <c r="X31" i="1"/>
  <c r="Y31" i="1"/>
  <c r="Z31" i="1"/>
  <c r="AB31" i="1"/>
  <c r="AC31" i="1"/>
  <c r="AD31" i="1"/>
  <c r="AE31" i="1"/>
  <c r="AF31" i="1"/>
  <c r="AG31" i="1"/>
  <c r="AH31" i="1"/>
  <c r="AI31" i="1"/>
  <c r="S32" i="1"/>
  <c r="T32" i="1"/>
  <c r="U32" i="1"/>
  <c r="W32" i="1"/>
  <c r="X32" i="1"/>
  <c r="Y32" i="1"/>
  <c r="Z32" i="1"/>
  <c r="AB32" i="1"/>
  <c r="AC32" i="1"/>
  <c r="AD32" i="1"/>
  <c r="AE32" i="1"/>
  <c r="AF32" i="1"/>
  <c r="AG32" i="1"/>
  <c r="AH32" i="1"/>
  <c r="AI32" i="1"/>
  <c r="J33" i="1"/>
  <c r="K33" i="1"/>
  <c r="S33" i="1"/>
  <c r="T33" i="1"/>
  <c r="U33" i="1"/>
  <c r="W33" i="1"/>
  <c r="X33" i="1"/>
  <c r="Y33" i="1"/>
  <c r="Z33" i="1"/>
  <c r="AB33" i="1"/>
  <c r="AC33" i="1"/>
  <c r="AD33" i="1"/>
  <c r="AE33" i="1"/>
  <c r="AF33" i="1"/>
  <c r="AG33" i="1"/>
  <c r="AH33" i="1"/>
  <c r="AI33" i="1"/>
  <c r="J34" i="1"/>
  <c r="K34" i="1"/>
  <c r="S34" i="1"/>
  <c r="T34" i="1"/>
  <c r="U34" i="1"/>
  <c r="W34" i="1"/>
  <c r="X34" i="1"/>
  <c r="Y34" i="1"/>
  <c r="Z34" i="1"/>
  <c r="AB34" i="1"/>
  <c r="AC34" i="1"/>
  <c r="AD34" i="1"/>
  <c r="AE34" i="1"/>
  <c r="AF34" i="1"/>
  <c r="AG34" i="1"/>
  <c r="AH34" i="1"/>
  <c r="AI34" i="1"/>
  <c r="J35" i="1"/>
  <c r="K35" i="1"/>
  <c r="J36" i="1"/>
  <c r="K36" i="1"/>
  <c r="S36" i="1"/>
  <c r="T36" i="1"/>
  <c r="U36" i="1"/>
  <c r="W36" i="1"/>
  <c r="X36" i="1"/>
  <c r="Y36" i="1"/>
  <c r="Z36" i="1"/>
  <c r="AB36" i="1"/>
  <c r="AC36" i="1"/>
  <c r="AD36" i="1"/>
  <c r="AE36" i="1"/>
  <c r="AF36" i="1"/>
  <c r="AG36" i="1"/>
  <c r="AH36" i="1"/>
  <c r="AI36" i="1"/>
  <c r="J37" i="1"/>
  <c r="K37" i="1"/>
  <c r="S37" i="1"/>
  <c r="T37" i="1"/>
  <c r="U37" i="1"/>
  <c r="W37" i="1"/>
  <c r="X37" i="1"/>
  <c r="Y37" i="1"/>
  <c r="Z37" i="1"/>
  <c r="AB37" i="1"/>
  <c r="AC37" i="1"/>
  <c r="AD37" i="1"/>
  <c r="AE37" i="1"/>
  <c r="AF37" i="1"/>
  <c r="AG37" i="1"/>
  <c r="AH37" i="1"/>
  <c r="AI37" i="1"/>
  <c r="S38" i="1"/>
  <c r="T38" i="1"/>
  <c r="U38" i="1"/>
  <c r="W38" i="1"/>
  <c r="X38" i="1"/>
  <c r="Y38" i="1"/>
  <c r="Z38" i="1"/>
  <c r="AB38" i="1"/>
  <c r="AC38" i="1"/>
  <c r="AD38" i="1"/>
  <c r="AE38" i="1"/>
  <c r="AF38" i="1"/>
  <c r="AG38" i="1"/>
  <c r="AH38" i="1"/>
  <c r="AI38" i="1"/>
  <c r="S39" i="1"/>
  <c r="T39" i="1"/>
  <c r="U39" i="1"/>
  <c r="W39" i="1"/>
  <c r="X39" i="1"/>
  <c r="Y39" i="1"/>
  <c r="Z39" i="1"/>
  <c r="AB39" i="1"/>
  <c r="AC39" i="1"/>
  <c r="AD39" i="1"/>
  <c r="AE39" i="1"/>
  <c r="AF39" i="1"/>
  <c r="AG39" i="1"/>
  <c r="AH39" i="1"/>
  <c r="AI39" i="1"/>
  <c r="K43" i="1"/>
  <c r="V43" i="1"/>
  <c r="K44" i="1"/>
  <c r="V44" i="1"/>
  <c r="K45" i="1"/>
  <c r="V45" i="1"/>
  <c r="K46" i="1"/>
  <c r="K47" i="1"/>
  <c r="R48" i="1"/>
  <c r="J49" i="1"/>
  <c r="R49" i="1"/>
  <c r="R51" i="1"/>
  <c r="Y63" i="1"/>
  <c r="Z63" i="1"/>
  <c r="Y64" i="1"/>
  <c r="Z64" i="1"/>
  <c r="Y65" i="1"/>
  <c r="Z65" i="1"/>
  <c r="Y66" i="1"/>
  <c r="Z66" i="1"/>
  <c r="Y67" i="1"/>
  <c r="Z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  <author>tc={2BD4251B-FBE0-4133-A703-250C9D9E6D83}</author>
    <author>tc={52C3F3C5-04FD-44AB-9767-14F8B43C52F9}</author>
    <author>tc={16975DF6-24B8-4539-8015-FDF7BE1B8C50}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$34,030 of this revenue is attributable to passthrough disposal fees</t>
        </r>
      </text>
    </comment>
    <comment ref="W15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should be allocated directly using the costs for long-haul/disposal</t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Ties to Direct Labor and Casual labor</t>
        </r>
      </text>
    </comment>
    <comment ref="W20" authorId="2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the percentages on the Driver Hours Recap Worksheet, and allocated using these amounts</t>
      </text>
    </comment>
    <comment ref="B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Hammond, Greg (UTC):
</t>
        </r>
        <r>
          <rPr>
            <sz val="9"/>
            <color indexed="81"/>
            <rFont val="Tahoma"/>
            <family val="2"/>
          </rPr>
          <t>Includes Facility Insurance and Vehicle - Insurance accounts</t>
        </r>
      </text>
    </comment>
    <comment ref="C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See adjustments on "Permits" Worksheet</t>
        </r>
      </text>
    </comment>
    <comment ref="B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Added from Annual Report - Negate With adjustment</t>
        </r>
      </text>
    </comment>
    <comment ref="W28" authorId="3" shapeId="0" xr:uid="{00000000-0006-0000-00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two were pulling from the 6 month adjusted totals - updated links to pull from the 12 month totals</t>
      </text>
    </comment>
    <comment ref="C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 federal income taxes, these are recovered through LG</t>
        </r>
      </text>
    </comment>
    <comment ref="B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Includes $500 donation to food bank</t>
        </r>
      </text>
    </comment>
    <comment ref="C3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 Charitable Donation</t>
        </r>
      </text>
    </comment>
    <comment ref="C3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Restate to GL Supported amount</t>
        </r>
      </text>
    </comment>
    <comment ref="C3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 Non-Allowabe Meals and Entertainment Expenses</t>
        </r>
      </text>
    </comment>
    <comment ref="C3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Restated to general ledger amount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D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1200 total bins, 400 sets of 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J3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Hammond, Greg (UTC):</t>
        </r>
        <r>
          <rPr>
            <sz val="9"/>
            <color indexed="81"/>
            <rFont val="Tahoma"/>
            <charset val="1"/>
          </rPr>
          <t xml:space="preserve">
These are costs of recycling disposal - currently uncharged to regulated side - including portion of these as regulated costs and hours for allocation purposes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Hammond, Greg (UTC)</author>
  </authors>
  <commentList>
    <comment ref="H7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Hammond, Greg (UTC):</t>
        </r>
        <r>
          <rPr>
            <sz val="9"/>
            <color indexed="81"/>
            <rFont val="Tahoma"/>
            <charset val="1"/>
          </rPr>
          <t xml:space="preserve">
Since these customers are also part of the 1915 customers on EOW, using the amount in excess of EOW rate. Tariff rate for weekly is 22.60</t>
        </r>
      </text>
    </comment>
  </commentList>
</comments>
</file>

<file path=xl/sharedStrings.xml><?xml version="1.0" encoding="utf-8"?>
<sst xmlns="http://schemas.openxmlformats.org/spreadsheetml/2006/main" count="893" uniqueCount="401">
  <si>
    <t>2018 Version Update Changes</t>
  </si>
  <si>
    <t>CALCULATION TABLES</t>
  </si>
  <si>
    <t>(a)</t>
  </si>
  <si>
    <t>(b)</t>
  </si>
  <si>
    <t>(c)</t>
  </si>
  <si>
    <t>(d)</t>
  </si>
  <si>
    <t>(e)</t>
  </si>
  <si>
    <t>(f)</t>
  </si>
  <si>
    <t>Regession</t>
  </si>
  <si>
    <t>Hauler</t>
  </si>
  <si>
    <t>Line</t>
  </si>
  <si>
    <t>Historical</t>
  </si>
  <si>
    <t>Revenue</t>
  </si>
  <si>
    <t>Proforma</t>
  </si>
  <si>
    <t>Before Tax</t>
  </si>
  <si>
    <t>Less</t>
  </si>
  <si>
    <t>Adjusted</t>
  </si>
  <si>
    <t>After Tax</t>
  </si>
  <si>
    <t>Weighted Cost</t>
  </si>
  <si>
    <t>No.</t>
  </si>
  <si>
    <t>Taxes</t>
  </si>
  <si>
    <t>Requirment</t>
  </si>
  <si>
    <t>Profit Ratio</t>
  </si>
  <si>
    <t>BTROI</t>
  </si>
  <si>
    <t>WCDebt</t>
  </si>
  <si>
    <t>BTROE</t>
  </si>
  <si>
    <t>ROE</t>
  </si>
  <si>
    <t>Equity</t>
  </si>
  <si>
    <t>Equity BFT</t>
  </si>
  <si>
    <t>Debt</t>
  </si>
  <si>
    <t>BTROR</t>
  </si>
  <si>
    <t>Operating Ratio</t>
  </si>
  <si>
    <t>Operating Revenue</t>
  </si>
  <si>
    <t>Operating Expenses</t>
  </si>
  <si>
    <t>Operating Income</t>
  </si>
  <si>
    <t>Interest Expense</t>
  </si>
  <si>
    <t>2nd Iteration</t>
  </si>
  <si>
    <t>Income Tax Expense</t>
  </si>
  <si>
    <t>Net Income</t>
  </si>
  <si>
    <t xml:space="preserve">Operating Ratio </t>
  </si>
  <si>
    <t>3rd Iteration</t>
  </si>
  <si>
    <t>Rev Sensitive Taxes</t>
  </si>
  <si>
    <t>Rate Increase</t>
  </si>
  <si>
    <t>4th Iteration</t>
  </si>
  <si>
    <t>Financing Cost</t>
  </si>
  <si>
    <t>Type</t>
  </si>
  <si>
    <t>Percent</t>
  </si>
  <si>
    <t>Amount</t>
  </si>
  <si>
    <t>Rate</t>
  </si>
  <si>
    <t>Weighted</t>
  </si>
  <si>
    <t>5th Iteration</t>
  </si>
  <si>
    <t>Operating Statistics</t>
  </si>
  <si>
    <t>Pre-tax</t>
  </si>
  <si>
    <t>6th Iteration</t>
  </si>
  <si>
    <t>Return on Investment</t>
  </si>
  <si>
    <t>Return on Equity</t>
  </si>
  <si>
    <t>Profit Margin</t>
  </si>
  <si>
    <t>Final turnover</t>
  </si>
  <si>
    <t>Tax Rate</t>
  </si>
  <si>
    <t>Curve</t>
  </si>
  <si>
    <t>Lookup Table</t>
  </si>
  <si>
    <t>Revenue Sensitive Taxes Charges</t>
  </si>
  <si>
    <t xml:space="preserve"> B &amp; O Tax</t>
  </si>
  <si>
    <t xml:space="preserve"> WUTC Fee</t>
  </si>
  <si>
    <t>Curve turnover</t>
  </si>
  <si>
    <t>@EXP(5.72260-(.68367*@LN(T)))</t>
  </si>
  <si>
    <t xml:space="preserve"> City Tax</t>
  </si>
  <si>
    <t>Curve No. used</t>
  </si>
  <si>
    <t>@EXP(5.70827-(.68367*@LN(T)))</t>
  </si>
  <si>
    <t xml:space="preserve"> Bad Debts</t>
  </si>
  <si>
    <t>@EXP(5.69850-(.68367*@LN(T)))</t>
  </si>
  <si>
    <t>Revenue Sensitive</t>
  </si>
  <si>
    <t>@EXP(5.69220-(.68367*@LN(T)))</t>
  </si>
  <si>
    <t>Conversion Factor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</si>
  <si>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</si>
  <si>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</si>
  <si>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</si>
  <si>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</si>
  <si>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</si>
  <si>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</si>
  <si>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</si>
  <si>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</si>
  <si>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</si>
  <si>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Revenue Requirement</t>
  </si>
  <si>
    <t>7th Iteration</t>
  </si>
  <si>
    <t>RevS Taxes</t>
  </si>
  <si>
    <t>Revenue Req</t>
  </si>
  <si>
    <t xml:space="preserve">Total </t>
  </si>
  <si>
    <t xml:space="preserve"> Increase Before</t>
  </si>
  <si>
    <t xml:space="preserve">Revenue </t>
  </si>
  <si>
    <t>Increase After</t>
  </si>
  <si>
    <t xml:space="preserve">RevS </t>
  </si>
  <si>
    <t>Revenue Senstive Taxes (RevS)</t>
  </si>
  <si>
    <t>Before RevS</t>
  </si>
  <si>
    <t>Before</t>
  </si>
  <si>
    <t>Income Tax</t>
  </si>
  <si>
    <t>After</t>
  </si>
  <si>
    <t>B&amp;O Tax Rate</t>
  </si>
  <si>
    <t>Federal Income Tax Rate</t>
  </si>
  <si>
    <t>WUTC Fee</t>
  </si>
  <si>
    <t>City Tax</t>
  </si>
  <si>
    <t>Bad Debts</t>
  </si>
  <si>
    <t>No</t>
  </si>
  <si>
    <t>Total</t>
  </si>
  <si>
    <t>Investment</t>
  </si>
  <si>
    <t>Captial Structure Financing Investment</t>
  </si>
  <si>
    <t>Non-Public Companies</t>
  </si>
  <si>
    <t>Percent Chg</t>
  </si>
  <si>
    <t>● Minimizes impact of changes in test-year revenue from</t>
  </si>
  <si>
    <t>● Allows Income Tax Rate Changes,</t>
  </si>
  <si>
    <t xml:space="preserve">   resulting revenue requirment,</t>
  </si>
  <si>
    <t>● Corrects interest rate transposition in LG.</t>
  </si>
  <si>
    <t>nonpubco</t>
  </si>
  <si>
    <t>Capital Structure - Debt Cost</t>
  </si>
  <si>
    <t>Capital Structure - Debt %</t>
  </si>
  <si>
    <t>INPUTS - Test Year</t>
  </si>
  <si>
    <t>Cost of Capital</t>
  </si>
  <si>
    <t>Change</t>
  </si>
  <si>
    <t>Add: Revenue</t>
  </si>
  <si>
    <t xml:space="preserve"> Sensitive Taxes</t>
  </si>
  <si>
    <t>(d) + (e)</t>
  </si>
  <si>
    <t>(b) + (c)</t>
  </si>
  <si>
    <t>Historical Revenue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</si>
  <si>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</si>
  <si>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Check when input is complete</t>
  </si>
  <si>
    <t>For Intial input: Uncheck Checkbox Until Completed</t>
  </si>
  <si>
    <t>Revenue Increase before taxes</t>
  </si>
  <si>
    <t>Freedom 2000 LLC dba Cando Recycling</t>
  </si>
  <si>
    <t>Price Out</t>
  </si>
  <si>
    <t>Whatcom County-all customers</t>
  </si>
  <si>
    <t xml:space="preserve">Item No. </t>
  </si>
  <si>
    <t>Tariff Page</t>
  </si>
  <si>
    <t>Scheduled Service</t>
  </si>
  <si>
    <t>Monthly Customers</t>
  </si>
  <si>
    <t>Monthly Frequency</t>
  </si>
  <si>
    <t>Annual PU's</t>
  </si>
  <si>
    <t>Residential</t>
  </si>
  <si>
    <t>1 minican EOW</t>
  </si>
  <si>
    <t>1 can EOW</t>
  </si>
  <si>
    <t>Commercial</t>
  </si>
  <si>
    <t>Extra cans (32 Gal)</t>
  </si>
  <si>
    <t>Prepaid Tags (32 Gal)</t>
  </si>
  <si>
    <t>Overweight/Overfull (32Gal)</t>
  </si>
  <si>
    <t>Totals</t>
  </si>
  <si>
    <t>Depreciation</t>
  </si>
  <si>
    <t>Commercial Revenue</t>
  </si>
  <si>
    <t>Drop Box &amp; Compactor Revenue</t>
  </si>
  <si>
    <t>Recycling &amp; Sale of Commodities</t>
  </si>
  <si>
    <t>Miscellaneous Garbage Revenue</t>
  </si>
  <si>
    <t>Fuel Surcharge</t>
  </si>
  <si>
    <t>Disposal Fees</t>
  </si>
  <si>
    <t>Shop Labor Cost Allocation</t>
  </si>
  <si>
    <t>Tires &amp; Tubes</t>
  </si>
  <si>
    <t>Employee Benefits</t>
  </si>
  <si>
    <t>Payroll Taxes</t>
  </si>
  <si>
    <t>Fuel &amp; Oil</t>
  </si>
  <si>
    <t>Truck Depreciation</t>
  </si>
  <si>
    <t>Regulatory Expense</t>
  </si>
  <si>
    <t>Admin Labor Cost Allocation</t>
  </si>
  <si>
    <t>Advertising &amp; Promotion</t>
  </si>
  <si>
    <t>Bad Debt</t>
  </si>
  <si>
    <t>Legal &amp; Accounting</t>
  </si>
  <si>
    <t>Meals &amp; Entertainment</t>
  </si>
  <si>
    <t>Office Expense</t>
  </si>
  <si>
    <t>G&amp;A Allocation</t>
  </si>
  <si>
    <t>Total Operating Expense</t>
  </si>
  <si>
    <t>Garbage</t>
  </si>
  <si>
    <t>Recycling</t>
  </si>
  <si>
    <t>Regulated</t>
  </si>
  <si>
    <t>Non Regulated</t>
  </si>
  <si>
    <t>Shared</t>
  </si>
  <si>
    <t>GT D</t>
  </si>
  <si>
    <t>RT D</t>
  </si>
  <si>
    <t>GT S</t>
  </si>
  <si>
    <t>RT S</t>
  </si>
  <si>
    <t>Roll Off</t>
  </si>
  <si>
    <t>Yard</t>
  </si>
  <si>
    <t>Window</t>
  </si>
  <si>
    <t>Admin</t>
  </si>
  <si>
    <t>Truck</t>
  </si>
  <si>
    <t>Hours %</t>
  </si>
  <si>
    <t>Overhead</t>
  </si>
  <si>
    <t>G=garbage</t>
  </si>
  <si>
    <t>R=Recycling</t>
  </si>
  <si>
    <t>S=swampers (helpers)</t>
  </si>
  <si>
    <t>Driver Hours</t>
  </si>
  <si>
    <t>Asset Category</t>
  </si>
  <si>
    <t>List</t>
  </si>
  <si>
    <t>Roll-off Truck</t>
  </si>
  <si>
    <t>Garbage/Yardwaste/Recycle Truck</t>
  </si>
  <si>
    <t>Commercial Container</t>
  </si>
  <si>
    <t>Roll-off Container</t>
  </si>
  <si>
    <t>Office Equipment</t>
  </si>
  <si>
    <t>Machinery &amp; Yard Equipment</t>
  </si>
  <si>
    <t>Leasehold Improvements-Land</t>
  </si>
  <si>
    <t>Commercial container</t>
  </si>
  <si>
    <t>Recycling Containers</t>
  </si>
  <si>
    <t>Roll off container</t>
  </si>
  <si>
    <t>Forklift</t>
  </si>
  <si>
    <t>Freedom 2000</t>
  </si>
  <si>
    <t>proposed</t>
  </si>
  <si>
    <t>existing</t>
  </si>
  <si>
    <t>ordered</t>
  </si>
  <si>
    <t>Asset Description</t>
  </si>
  <si>
    <t>2007 Sterling (used)</t>
  </si>
  <si>
    <t xml:space="preserve">2004 International Recycle Truck </t>
  </si>
  <si>
    <t>2001 International Garbage Truck (used)</t>
  </si>
  <si>
    <t>1999 CCC Recycling Truck (used)</t>
  </si>
  <si>
    <t>6 Yard Wayne Garbage Truck (used)</t>
  </si>
  <si>
    <t>1 1/2 yard dumpsters (5)</t>
  </si>
  <si>
    <t>20 yard Container</t>
  </si>
  <si>
    <t>1 1/2 Yard dumpsters (25)</t>
  </si>
  <si>
    <t>Computers</t>
  </si>
  <si>
    <t>Software</t>
  </si>
  <si>
    <t>Komatsu Excavator</t>
  </si>
  <si>
    <t>Kubota Tractor</t>
  </si>
  <si>
    <t>Temporary fencing</t>
  </si>
  <si>
    <t>6-4 Yard dumpsters</t>
  </si>
  <si>
    <t>112 sets of 3</t>
  </si>
  <si>
    <t>Nissan Forklift</t>
  </si>
  <si>
    <t>14 yard Container</t>
  </si>
  <si>
    <t>1 yard self tipping bins</t>
  </si>
  <si>
    <t>Yr</t>
  </si>
  <si>
    <t>$</t>
  </si>
  <si>
    <t>Date</t>
  </si>
  <si>
    <t>Service Life</t>
  </si>
  <si>
    <t>%</t>
  </si>
  <si>
    <t>Allocation</t>
  </si>
  <si>
    <t>Annual</t>
  </si>
  <si>
    <t>Asset Listing</t>
  </si>
  <si>
    <t>**Note: Percentages are based on driver hours</t>
  </si>
  <si>
    <t>see tab "Driver Hours Recap"</t>
  </si>
  <si>
    <t>Residential Recycling</t>
  </si>
  <si>
    <t>Indirect Labor</t>
  </si>
  <si>
    <t>Total Revenue</t>
  </si>
  <si>
    <t>Allocated</t>
  </si>
  <si>
    <t>Residential Garbage Revenue</t>
  </si>
  <si>
    <t xml:space="preserve">Residential Recycling Revenue </t>
  </si>
  <si>
    <t>Monthly cont. rent 1.5 yd</t>
  </si>
  <si>
    <t>Management Fee</t>
  </si>
  <si>
    <t>Non-Regulated</t>
  </si>
  <si>
    <t>non reg</t>
  </si>
  <si>
    <t>shared</t>
  </si>
  <si>
    <t>Non-reg</t>
  </si>
  <si>
    <t>Future</t>
  </si>
  <si>
    <t>Tons</t>
  </si>
  <si>
    <t>Revenue Increase/  (Decrease)</t>
  </si>
  <si>
    <t>Regulated OH</t>
  </si>
  <si>
    <t>Whatcom County Fee @ $0.50 per customer</t>
  </si>
  <si>
    <t>Less: Non-Regulated</t>
  </si>
  <si>
    <t>Test Year Total</t>
  </si>
  <si>
    <t>Restating Adjustments</t>
  </si>
  <si>
    <t>Restated Total</t>
  </si>
  <si>
    <t>Pro Forma Adjustments</t>
  </si>
  <si>
    <t>Regulated Pro Forma Total</t>
  </si>
  <si>
    <t>Current Customer Count</t>
  </si>
  <si>
    <t>Regulated Total</t>
  </si>
  <si>
    <t>Total Garbage</t>
  </si>
  <si>
    <t>Total Recycling</t>
  </si>
  <si>
    <t>Depreciation Exp.</t>
  </si>
  <si>
    <t>Allocation Method</t>
  </si>
  <si>
    <t>Direct</t>
  </si>
  <si>
    <t>check</t>
  </si>
  <si>
    <t>Direct/Driver Hours</t>
  </si>
  <si>
    <t>Driver Hours (New)</t>
  </si>
  <si>
    <t>Direct/Driver Hours (New)</t>
  </si>
  <si>
    <t>Regulated Truck Hours</t>
  </si>
  <si>
    <t>Total Truck Hours</t>
  </si>
  <si>
    <t>1 minican weekly</t>
  </si>
  <si>
    <t>MiniCan Overweight</t>
  </si>
  <si>
    <t>Mini Cans Extra (20 Gal)</t>
  </si>
  <si>
    <t>1 32 gal can EOW</t>
  </si>
  <si>
    <t>Prepaid Tags (MiniCan)</t>
  </si>
  <si>
    <t>1.5 Yd Overfill</t>
  </si>
  <si>
    <t>1.5 Yd Additional Pickup</t>
  </si>
  <si>
    <t>1.5 Yd First Pickup</t>
  </si>
  <si>
    <t>1.5 Yd Special Container PU</t>
  </si>
  <si>
    <t>Rolloff</t>
  </si>
  <si>
    <t>RollOut Charge</t>
  </si>
  <si>
    <t>12 Yard Delivery</t>
  </si>
  <si>
    <t>12 Yard Pickup</t>
  </si>
  <si>
    <t>16 Yard Daily Rent</t>
  </si>
  <si>
    <t>12 Yd Daily Rent</t>
  </si>
  <si>
    <t>16 Yard Delivery</t>
  </si>
  <si>
    <t>16 Yard Pickup</t>
  </si>
  <si>
    <t>20 Yard Daily Rent</t>
  </si>
  <si>
    <t>20 Yard Pickup</t>
  </si>
  <si>
    <t>1 32 gal can weekly</t>
  </si>
  <si>
    <t>Effect of Proposed Rates</t>
  </si>
  <si>
    <t>Pro Forma w/Proposed Rates</t>
  </si>
  <si>
    <t>Rate Increase/ (Decrease)</t>
  </si>
  <si>
    <t>State B&amp;O Tax (and Fed Tax)</t>
  </si>
  <si>
    <t>Pro Forma Total</t>
  </si>
  <si>
    <t>Current Rate</t>
  </si>
  <si>
    <t>Proposed Rate</t>
  </si>
  <si>
    <t>Company Calculated Revenue</t>
  </si>
  <si>
    <t>Residential Total</t>
  </si>
  <si>
    <t>Total Roll-Off</t>
  </si>
  <si>
    <t>Total Commercial</t>
  </si>
  <si>
    <t>Total Extras</t>
  </si>
  <si>
    <t>2 yard self tipping bins</t>
  </si>
  <si>
    <t>Recycle Bin Depreciation</t>
  </si>
  <si>
    <t>Dumpster Depreciation</t>
  </si>
  <si>
    <t>Other Depreciation</t>
  </si>
  <si>
    <t>Allocation Factors</t>
  </si>
  <si>
    <t>Truck Hours</t>
  </si>
  <si>
    <t>Asset Type</t>
  </si>
  <si>
    <t>Asset</t>
  </si>
  <si>
    <t>1999 Ford F550 6RL Rear Loader</t>
  </si>
  <si>
    <t>Notes</t>
  </si>
  <si>
    <t>2001 International W/ McNeilus Packer</t>
  </si>
  <si>
    <t>1200 14 Gal. Bins</t>
  </si>
  <si>
    <t>Cost (from Compliance Filing)</t>
  </si>
  <si>
    <t>Invoice Provided - OK</t>
  </si>
  <si>
    <t xml:space="preserve">Question </t>
  </si>
  <si>
    <t>No Invoice Provided</t>
  </si>
  <si>
    <t>Recyc. Long Haul</t>
  </si>
  <si>
    <t>Operating Expenses (Includes Transfer Station)</t>
  </si>
  <si>
    <t>Is F550 Below</t>
  </si>
  <si>
    <t>Transfer Station</t>
  </si>
  <si>
    <t>1000 sets of 3</t>
  </si>
  <si>
    <t>Includes tax</t>
  </si>
  <si>
    <t>Same as 6 Yd Wayne listed above</t>
  </si>
  <si>
    <t>6 Yard Wayne Garbage Truck F550 (used)</t>
  </si>
  <si>
    <t>2001 International Garbage Truck w/McNeilus Packer (used)</t>
  </si>
  <si>
    <t>Komatsu Excavator - Non-Regulated</t>
  </si>
  <si>
    <t>Kubota Tractor - Non-Regulated</t>
  </si>
  <si>
    <t>Temporary fencing - Non-Regulated</t>
  </si>
  <si>
    <t>Nissan Forklift - Non-Regulated</t>
  </si>
  <si>
    <t>2 yard self tipping bins - Non-Regulated</t>
  </si>
  <si>
    <t>1 yard self tipping bins - Non-Regulated</t>
  </si>
  <si>
    <t>Adjust for 6 Month Test Period</t>
  </si>
  <si>
    <t>Curbside Residential</t>
  </si>
  <si>
    <t>Curbside Recycling</t>
  </si>
  <si>
    <t>Self Haul Garbage</t>
  </si>
  <si>
    <t>Comm. Garbage</t>
  </si>
  <si>
    <t>Self Haul Recycling</t>
  </si>
  <si>
    <t>Comm. Recycling</t>
  </si>
  <si>
    <t>Total lbs</t>
  </si>
  <si>
    <t>Total lbs Disposed</t>
  </si>
  <si>
    <t xml:space="preserve">Regulated </t>
  </si>
  <si>
    <t>Total Tons</t>
  </si>
  <si>
    <t>Regulated Tons</t>
  </si>
  <si>
    <t>Regulated %</t>
  </si>
  <si>
    <t>Repairs and Maintenance</t>
  </si>
  <si>
    <t>Insurance - Vehicle</t>
  </si>
  <si>
    <t>Vehicle License, Registration Fees, Permits (Includes Business)</t>
  </si>
  <si>
    <t>Percent Increase</t>
  </si>
  <si>
    <t>Transfer Station Assets</t>
  </si>
  <si>
    <t>Recyling Long Haul - Repackaging</t>
  </si>
  <si>
    <t>Regulated Hours</t>
  </si>
  <si>
    <t>Regulated Recycling Tons Percentage</t>
  </si>
  <si>
    <t>20 Yard Delivery Fee</t>
  </si>
  <si>
    <t>Roll-Off Disposal Fee</t>
  </si>
  <si>
    <t>TF Stn</t>
  </si>
  <si>
    <t>Dump Fee Revenue (Self Haul)</t>
  </si>
  <si>
    <t>Salaries and Wages</t>
  </si>
  <si>
    <t>Bins</t>
  </si>
  <si>
    <t>Not On Prior Asset List - Invoice Provided</t>
  </si>
  <si>
    <t xml:space="preserve">Purchased </t>
  </si>
  <si>
    <t>2006 Sterling (Used)</t>
  </si>
  <si>
    <t>For Partial Test Year - July 1, 2019 through June 30, 2020</t>
  </si>
  <si>
    <t>July 2019 - June 2020</t>
  </si>
  <si>
    <t>2006 Sterling (used</t>
  </si>
  <si>
    <t>Harry  Transfer Station</t>
  </si>
  <si>
    <t>David</t>
  </si>
  <si>
    <t>Jordan/Sierra/Kaitlyn</t>
  </si>
  <si>
    <t>Jordan Transf Station</t>
  </si>
  <si>
    <t>Dee/Linda/Sierra</t>
  </si>
  <si>
    <t>2001 International w/ McNeilus Packer (used)</t>
  </si>
  <si>
    <t>Bins for thin plastic &amp; film</t>
  </si>
  <si>
    <t>Workstations</t>
  </si>
  <si>
    <t>purchased</t>
  </si>
  <si>
    <t>Company Current Revenue (12 Month)</t>
  </si>
  <si>
    <t>Equipment rental</t>
  </si>
  <si>
    <t>Vehicle Repairs and Maintenance</t>
  </si>
  <si>
    <t>Curbside Commercial</t>
  </si>
  <si>
    <t>Garbage LG</t>
  </si>
  <si>
    <t>Recycling LG</t>
  </si>
  <si>
    <t>Per PFIS</t>
  </si>
  <si>
    <t>Residential Garbage</t>
  </si>
  <si>
    <t>Commercial Garbage</t>
  </si>
  <si>
    <t>Drop Box</t>
  </si>
  <si>
    <t>Miscellaneous</t>
  </si>
  <si>
    <t xml:space="preserve">Recycling </t>
  </si>
  <si>
    <t>Revenue Reconciliation</t>
  </si>
  <si>
    <t>Per Price Out</t>
  </si>
  <si>
    <t>Variance</t>
  </si>
  <si>
    <t>Disposal Costs</t>
  </si>
  <si>
    <t>July 2019 to June 2020</t>
  </si>
  <si>
    <t xml:space="preserve">   When data has been entered into the Inputs box, recheck.</t>
  </si>
  <si>
    <r>
      <t xml:space="preserve">   For the </t>
    </r>
    <r>
      <rPr>
        <b/>
        <u/>
        <sz val="14"/>
        <rFont val="Times New Roman"/>
        <family val="1"/>
      </rPr>
      <t>initial</t>
    </r>
    <r>
      <rPr>
        <b/>
        <sz val="14"/>
        <rFont val="Times New Roman"/>
        <family val="1"/>
      </rPr>
      <t xml:space="preserve"> input of numbers uncheck the "Input competed" box.</t>
    </r>
  </si>
  <si>
    <t>File&gt;Options&gt;Formulas</t>
  </si>
  <si>
    <t>the new model uses an "INPUTS" box for initially entering the company data.</t>
  </si>
  <si>
    <t xml:space="preserve">Check the "Enable iterative calculation" box. </t>
  </si>
  <si>
    <t>To prevent a model "error cascade" caused by large changes in numbers,</t>
  </si>
  <si>
    <t>Circular Reference Error</t>
  </si>
  <si>
    <t>Error Cascade</t>
  </si>
  <si>
    <t>It uses the same computational data and method reflected in the original model and therefore should produce the same Revenue Requirements that the original model.</t>
  </si>
  <si>
    <t>This model has been designed to replace the original LG model because of the original model's inability to use lower income tax rates.</t>
  </si>
  <si>
    <t>Lurito Gallagher Model Replacement V5.0c -  Use the inputs box to enter company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</si>
</sst>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,##0.0000_);\(#,##0.0000\)"/>
    <numFmt numFmtId="166" formatCode="#,##0.00000_);\(#,##0.00000\)"/>
    <numFmt numFmtId="167" formatCode="0.00000"/>
    <numFmt numFmtId="168" formatCode="0.000%"/>
    <numFmt numFmtId="169" formatCode="_(* #,##0_);_(* \(#,##0\);_(* &quot;-&quot;??_);_(@_)"/>
    <numFmt numFmtId="170" formatCode="General_)"/>
    <numFmt numFmtId="171" formatCode="_(&quot;$&quot;* #,##0_);_(&quot;$&quot;* \(#,##0\);_(&quot;$&quot;* &quot;-&quot;??_);_(@_)"/>
    <numFmt numFmtId="172" formatCode="_(&quot;$&quot;* #,##0.000_);_(&quot;$&quot;* \(#,##0.000\);_(&quot;$&quot;* &quot;-&quot;??_);_(@_)"/>
    <numFmt numFmtId="173" formatCode="#,###,##0.00;\(#,###,##0.00\)"/>
    <numFmt numFmtId="174" formatCode="&quot;$&quot;#,##0.00"/>
    <numFmt numFmtId="175" formatCode="&quot;$&quot;#,##0"/>
    <numFmt numFmtId="176" formatCode="0.0%"/>
    <numFmt numFmtId="177" formatCode="0.0"/>
    <numFmt numFmtId="178" formatCode="_(* #,##0.0000_);_(* \(#,##0.0000\);_(* &quot;-&quot;_);_(@_)"/>
  </numFmts>
  <fonts count="77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39"/>
      <name val="Times New Roman"/>
      <family val="1"/>
    </font>
    <font>
      <sz val="12"/>
      <color indexed="39"/>
      <name val="SWISS"/>
    </font>
    <font>
      <sz val="12"/>
      <color indexed="10"/>
      <name val="SWISS"/>
    </font>
    <font>
      <sz val="12"/>
      <color indexed="8"/>
      <name val="SWISS"/>
    </font>
    <font>
      <sz val="10"/>
      <color indexed="18"/>
      <name val="Times New Roman"/>
      <family val="1"/>
    </font>
    <font>
      <sz val="12"/>
      <color indexed="18"/>
      <name val="SWISS"/>
    </font>
    <font>
      <sz val="12"/>
      <color indexed="32"/>
      <name val="SWISS"/>
    </font>
    <font>
      <b/>
      <sz val="14"/>
      <name val="SWISS"/>
    </font>
    <font>
      <sz val="12"/>
      <color indexed="12"/>
      <name val="SWISS"/>
    </font>
    <font>
      <i/>
      <sz val="12"/>
      <name val="SWISS"/>
    </font>
    <font>
      <sz val="12"/>
      <color indexed="56"/>
      <name val="SWISS"/>
    </font>
    <font>
      <b/>
      <sz val="12"/>
      <name val="SWISS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sz val="12"/>
      <color indexed="39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12"/>
      <name val="Times New Roman"/>
      <family val="1"/>
    </font>
    <font>
      <u/>
      <sz val="12"/>
      <color indexed="8"/>
      <name val="Times New Roman"/>
      <family val="1"/>
    </font>
    <font>
      <sz val="14"/>
      <color indexed="9"/>
      <name val="Calibri"/>
      <family val="2"/>
    </font>
    <font>
      <b/>
      <u/>
      <sz val="12"/>
      <color indexed="39"/>
      <name val="Times New Roman"/>
      <family val="1"/>
    </font>
    <font>
      <sz val="9"/>
      <color indexed="39"/>
      <name val="Times New Roman"/>
      <family val="1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2"/>
      <name val="SWISS"/>
    </font>
    <font>
      <sz val="8"/>
      <color indexed="9"/>
      <name val="Calibri"/>
      <family val="2"/>
    </font>
    <font>
      <b/>
      <sz val="10"/>
      <name val="SWISS"/>
    </font>
    <font>
      <sz val="9"/>
      <color rgb="FF0070C0"/>
      <name val="SWISS"/>
    </font>
    <font>
      <sz val="12"/>
      <name val="Helv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u val="singleAccounting"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Times New Roman"/>
      <family val="1"/>
    </font>
    <font>
      <sz val="11"/>
      <color theme="2" tint="-0.249977111117893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indexed="0"/>
      <name val="Calibri"/>
      <family val="2"/>
      <scheme val="minor"/>
    </font>
    <font>
      <b/>
      <sz val="12"/>
      <color indexed="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2" borderId="0"/>
    <xf numFmtId="0" fontId="39" fillId="6" borderId="0" applyNumberFormat="0" applyBorder="0" applyAlignment="0" applyProtection="0"/>
    <xf numFmtId="41" fontId="14" fillId="3" borderId="0">
      <alignment horizontal="left"/>
    </xf>
    <xf numFmtId="10" fontId="51" fillId="3" borderId="0" applyFill="0"/>
    <xf numFmtId="9" fontId="27" fillId="0" borderId="0" applyFont="0" applyFill="0" applyBorder="0" applyAlignment="0" applyProtection="0"/>
    <xf numFmtId="0" fontId="41" fillId="2" borderId="0"/>
    <xf numFmtId="170" fontId="45" fillId="0" borderId="0"/>
    <xf numFmtId="41" fontId="14" fillId="3" borderId="0">
      <alignment horizontal="left"/>
    </xf>
    <xf numFmtId="0" fontId="13" fillId="0" borderId="0"/>
    <xf numFmtId="0" fontId="4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8" borderId="0" applyNumberFormat="0" applyBorder="0" applyAlignment="0" applyProtection="0"/>
    <xf numFmtId="0" fontId="53" fillId="0" borderId="0"/>
    <xf numFmtId="173" fontId="53" fillId="0" borderId="0"/>
    <xf numFmtId="0" fontId="54" fillId="0" borderId="0">
      <alignment vertical="top"/>
    </xf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45" fillId="0" borderId="0"/>
    <xf numFmtId="44" fontId="46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/>
    <xf numFmtId="44" fontId="4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67" fillId="0" borderId="0"/>
    <xf numFmtId="43" fontId="46" fillId="0" borderId="0" applyFont="0" applyFill="0" applyBorder="0" applyAlignment="0" applyProtection="0"/>
    <xf numFmtId="0" fontId="9" fillId="0" borderId="0"/>
    <xf numFmtId="0" fontId="8" fillId="0" borderId="0"/>
    <xf numFmtId="0" fontId="7" fillId="8" borderId="0" applyNumberFormat="0" applyBorder="0" applyAlignment="0" applyProtection="0"/>
    <xf numFmtId="44" fontId="41" fillId="0" borderId="0" applyFont="0" applyFill="0" applyBorder="0" applyAlignment="0" applyProtection="0"/>
    <xf numFmtId="10" fontId="14" fillId="3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2">
    <xf numFmtId="0" fontId="0" fillId="2" borderId="0" xfId="0" applyNumberFormat="1"/>
    <xf numFmtId="0" fontId="0" fillId="2" borderId="0" xfId="0" applyNumberFormat="1" applyAlignment="1">
      <alignment horizontal="center"/>
    </xf>
    <xf numFmtId="0" fontId="14" fillId="2" borderId="0" xfId="0" applyNumberFormat="1" applyFont="1"/>
    <xf numFmtId="0" fontId="0" fillId="2" borderId="2" xfId="0" applyNumberFormat="1" applyBorder="1" applyAlignment="1">
      <alignment horizontal="center"/>
    </xf>
    <xf numFmtId="10" fontId="17" fillId="2" borderId="0" xfId="0" applyNumberFormat="1" applyFont="1" applyBorder="1"/>
    <xf numFmtId="0" fontId="0" fillId="2" borderId="5" xfId="0" applyNumberFormat="1" applyBorder="1" applyAlignment="1">
      <alignment horizontal="center"/>
    </xf>
    <xf numFmtId="165" fontId="0" fillId="2" borderId="0" xfId="0" applyNumberFormat="1" applyBorder="1"/>
    <xf numFmtId="0" fontId="0" fillId="2" borderId="8" xfId="0" applyNumberFormat="1" applyBorder="1" applyAlignment="1">
      <alignment horizontal="center"/>
    </xf>
    <xf numFmtId="165" fontId="0" fillId="2" borderId="9" xfId="0" applyNumberFormat="1" applyBorder="1"/>
    <xf numFmtId="37" fontId="0" fillId="2" borderId="0" xfId="0" applyNumberFormat="1"/>
    <xf numFmtId="165" fontId="0" fillId="2" borderId="0" xfId="0" applyNumberFormat="1"/>
    <xf numFmtId="41" fontId="0" fillId="2" borderId="0" xfId="0" applyNumberFormat="1"/>
    <xf numFmtId="10" fontId="51" fillId="3" borderId="0" xfId="3"/>
    <xf numFmtId="39" fontId="0" fillId="2" borderId="0" xfId="0" applyNumberFormat="1"/>
    <xf numFmtId="164" fontId="0" fillId="2" borderId="0" xfId="0" applyNumberFormat="1"/>
    <xf numFmtId="0" fontId="0" fillId="2" borderId="3" xfId="0" applyNumberFormat="1" applyBorder="1"/>
    <xf numFmtId="0" fontId="0" fillId="2" borderId="4" xfId="0" applyNumberFormat="1" applyBorder="1"/>
    <xf numFmtId="0" fontId="0" fillId="2" borderId="0" xfId="0" applyNumberFormat="1" applyBorder="1"/>
    <xf numFmtId="0" fontId="0" fillId="2" borderId="6" xfId="0" applyNumberFormat="1" applyBorder="1"/>
    <xf numFmtId="0" fontId="0" fillId="2" borderId="0" xfId="0" quotePrefix="1" applyNumberFormat="1" applyBorder="1" applyAlignment="1">
      <alignment horizontal="right"/>
    </xf>
    <xf numFmtId="10" fontId="0" fillId="2" borderId="6" xfId="0" applyNumberFormat="1" applyBorder="1"/>
    <xf numFmtId="0" fontId="0" fillId="2" borderId="9" xfId="0" applyNumberFormat="1" applyBorder="1"/>
    <xf numFmtId="0" fontId="0" fillId="2" borderId="10" xfId="0" applyNumberFormat="1" applyBorder="1"/>
    <xf numFmtId="166" fontId="0" fillId="2" borderId="0" xfId="0" applyNumberFormat="1"/>
    <xf numFmtId="0" fontId="0" fillId="2" borderId="2" xfId="0" applyNumberFormat="1" applyBorder="1"/>
    <xf numFmtId="0" fontId="0" fillId="2" borderId="5" xfId="0" applyNumberFormat="1" applyBorder="1"/>
    <xf numFmtId="0" fontId="20" fillId="2" borderId="10" xfId="0" applyNumberFormat="1" applyFont="1" applyBorder="1"/>
    <xf numFmtId="0" fontId="0" fillId="2" borderId="8" xfId="0" applyNumberFormat="1" applyBorder="1"/>
    <xf numFmtId="0" fontId="0" fillId="2" borderId="2" xfId="0" applyNumberFormat="1" applyBorder="1" applyAlignment="1">
      <alignment horizontal="centerContinuous"/>
    </xf>
    <xf numFmtId="0" fontId="0" fillId="2" borderId="4" xfId="0" applyNumberFormat="1" applyBorder="1" applyAlignment="1">
      <alignment horizontal="centerContinuous"/>
    </xf>
    <xf numFmtId="0" fontId="0" fillId="2" borderId="5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"/>
    </xf>
    <xf numFmtId="0" fontId="0" fillId="2" borderId="10" xfId="0" applyNumberFormat="1" applyBorder="1" applyAlignment="1">
      <alignment horizontal="center"/>
    </xf>
    <xf numFmtId="165" fontId="18" fillId="2" borderId="0" xfId="0" applyNumberFormat="1" applyFont="1" applyBorder="1"/>
    <xf numFmtId="0" fontId="18" fillId="2" borderId="5" xfId="0" applyNumberFormat="1" applyFont="1" applyBorder="1" applyAlignment="1">
      <alignment horizontal="center"/>
    </xf>
    <xf numFmtId="0" fontId="22" fillId="2" borderId="11" xfId="0" applyNumberFormat="1" applyFont="1" applyBorder="1" applyAlignment="1">
      <alignment horizontal="centerContinuous"/>
    </xf>
    <xf numFmtId="0" fontId="22" fillId="2" borderId="12" xfId="0" applyNumberFormat="1" applyFont="1" applyBorder="1" applyAlignment="1">
      <alignment horizontal="centerContinuous"/>
    </xf>
    <xf numFmtId="0" fontId="0" fillId="2" borderId="12" xfId="0" applyNumberFormat="1" applyBorder="1" applyAlignment="1">
      <alignment horizontal="centerContinuous"/>
    </xf>
    <xf numFmtId="0" fontId="23" fillId="0" borderId="0" xfId="0" applyNumberFormat="1" applyFont="1" applyFill="1"/>
    <xf numFmtId="0" fontId="23" fillId="0" borderId="0" xfId="0" applyNumberFormat="1" applyFont="1" applyFill="1" applyAlignment="1">
      <alignment horizontal="center"/>
    </xf>
    <xf numFmtId="0" fontId="23" fillId="4" borderId="0" xfId="0" applyNumberFormat="1" applyFont="1" applyFill="1"/>
    <xf numFmtId="0" fontId="23" fillId="4" borderId="13" xfId="0" applyNumberFormat="1" applyFont="1" applyFill="1" applyBorder="1"/>
    <xf numFmtId="0" fontId="0" fillId="4" borderId="0" xfId="0" applyNumberFormat="1" applyFill="1"/>
    <xf numFmtId="0" fontId="20" fillId="4" borderId="0" xfId="0" applyNumberFormat="1" applyFont="1" applyFill="1"/>
    <xf numFmtId="0" fontId="16" fillId="4" borderId="0" xfId="0" applyNumberFormat="1" applyFont="1" applyFill="1"/>
    <xf numFmtId="10" fontId="0" fillId="4" borderId="0" xfId="0" applyNumberFormat="1" applyFill="1"/>
    <xf numFmtId="0" fontId="21" fillId="4" borderId="0" xfId="0" applyNumberFormat="1" applyFont="1" applyFill="1"/>
    <xf numFmtId="2" fontId="21" fillId="4" borderId="0" xfId="0" applyNumberFormat="1" applyFont="1" applyFill="1"/>
    <xf numFmtId="41" fontId="0" fillId="4" borderId="0" xfId="0" applyNumberFormat="1" applyFill="1"/>
    <xf numFmtId="0" fontId="0" fillId="4" borderId="0" xfId="0" applyNumberFormat="1" applyFill="1" applyAlignment="1">
      <alignment horizontal="right"/>
    </xf>
    <xf numFmtId="0" fontId="20" fillId="4" borderId="0" xfId="0" applyNumberFormat="1" applyFont="1" applyFill="1" applyAlignment="1">
      <alignment horizontal="fill"/>
    </xf>
    <xf numFmtId="0" fontId="0" fillId="3" borderId="0" xfId="0" applyNumberFormat="1" applyFill="1"/>
    <xf numFmtId="167" fontId="0" fillId="2" borderId="0" xfId="0" applyNumberFormat="1"/>
    <xf numFmtId="0" fontId="0" fillId="2" borderId="2" xfId="0" applyNumberFormat="1" applyBorder="1" applyAlignment="1">
      <alignment horizontal="left"/>
    </xf>
    <xf numFmtId="0" fontId="0" fillId="2" borderId="5" xfId="0" applyNumberFormat="1" applyBorder="1" applyAlignment="1">
      <alignment horizontal="left"/>
    </xf>
    <xf numFmtId="167" fontId="0" fillId="2" borderId="6" xfId="0" applyNumberFormat="1" applyBorder="1" applyAlignment="1">
      <alignment horizontal="center"/>
    </xf>
    <xf numFmtId="0" fontId="0" fillId="2" borderId="9" xfId="0" applyNumberFormat="1" applyBorder="1" applyAlignment="1">
      <alignment horizontal="right"/>
    </xf>
    <xf numFmtId="167" fontId="0" fillId="2" borderId="10" xfId="0" applyNumberFormat="1" applyBorder="1" applyAlignment="1">
      <alignment horizontal="center"/>
    </xf>
    <xf numFmtId="0" fontId="0" fillId="2" borderId="0" xfId="0" applyNumberFormat="1" applyAlignment="1">
      <alignment horizontal="centerContinuous"/>
    </xf>
    <xf numFmtId="0" fontId="24" fillId="2" borderId="0" xfId="0" applyNumberFormat="1" applyFont="1" applyBorder="1" applyAlignment="1">
      <alignment horizontal="centerContinuous"/>
    </xf>
    <xf numFmtId="0" fontId="0" fillId="2" borderId="0" xfId="0" applyNumberFormat="1" applyBorder="1" applyAlignment="1">
      <alignment horizontal="left"/>
    </xf>
    <xf numFmtId="0" fontId="0" fillId="2" borderId="3" xfId="0" applyNumberFormat="1" applyBorder="1" applyAlignment="1">
      <alignment horizontal="left"/>
    </xf>
    <xf numFmtId="167" fontId="25" fillId="2" borderId="3" xfId="0" applyNumberFormat="1" applyFont="1" applyBorder="1" applyAlignment="1">
      <alignment horizontal="center"/>
    </xf>
    <xf numFmtId="167" fontId="25" fillId="2" borderId="0" xfId="0" applyNumberFormat="1" applyFont="1" applyBorder="1" applyAlignment="1">
      <alignment horizontal="center"/>
    </xf>
    <xf numFmtId="167" fontId="25" fillId="2" borderId="4" xfId="0" applyNumberFormat="1" applyFont="1" applyBorder="1" applyAlignment="1">
      <alignment horizontal="center"/>
    </xf>
    <xf numFmtId="10" fontId="0" fillId="2" borderId="0" xfId="0" applyNumberFormat="1" applyAlignment="1">
      <alignment horizontal="center"/>
    </xf>
    <xf numFmtId="167" fontId="25" fillId="2" borderId="6" xfId="0" applyNumberFormat="1" applyFont="1" applyBorder="1" applyAlignment="1">
      <alignment horizontal="center"/>
    </xf>
    <xf numFmtId="0" fontId="26" fillId="2" borderId="0" xfId="0" applyNumberFormat="1" applyFont="1" applyBorder="1" applyAlignment="1">
      <alignment horizontal="centerContinuous"/>
    </xf>
    <xf numFmtId="167" fontId="25" fillId="2" borderId="9" xfId="0" applyNumberFormat="1" applyFont="1" applyBorder="1" applyAlignment="1">
      <alignment horizontal="left"/>
    </xf>
    <xf numFmtId="0" fontId="23" fillId="0" borderId="5" xfId="0" applyNumberFormat="1" applyFont="1" applyFill="1" applyBorder="1"/>
    <xf numFmtId="0" fontId="0" fillId="2" borderId="14" xfId="0" applyNumberFormat="1" applyBorder="1"/>
    <xf numFmtId="0" fontId="28" fillId="2" borderId="0" xfId="0" applyNumberFormat="1" applyFont="1"/>
    <xf numFmtId="41" fontId="28" fillId="2" borderId="0" xfId="0" applyNumberFormat="1" applyFont="1"/>
    <xf numFmtId="0" fontId="29" fillId="2" borderId="0" xfId="0" applyNumberFormat="1" applyFont="1"/>
    <xf numFmtId="0" fontId="30" fillId="2" borderId="0" xfId="0" applyNumberFormat="1" applyFont="1"/>
    <xf numFmtId="0" fontId="31" fillId="2" borderId="0" xfId="0" applyNumberFormat="1" applyFont="1"/>
    <xf numFmtId="0" fontId="32" fillId="5" borderId="0" xfId="0" applyNumberFormat="1" applyFont="1" applyFill="1" applyAlignment="1">
      <alignment horizontal="center"/>
    </xf>
    <xf numFmtId="0" fontId="33" fillId="5" borderId="0" xfId="0" applyNumberFormat="1" applyFont="1" applyFill="1" applyAlignment="1">
      <alignment horizontal="center"/>
    </xf>
    <xf numFmtId="0" fontId="31" fillId="2" borderId="0" xfId="0" applyNumberFormat="1" applyFont="1" applyAlignment="1">
      <alignment horizontal="right"/>
    </xf>
    <xf numFmtId="41" fontId="31" fillId="2" borderId="0" xfId="0" applyNumberFormat="1" applyFont="1"/>
    <xf numFmtId="41" fontId="31" fillId="2" borderId="7" xfId="0" applyNumberFormat="1" applyFont="1" applyBorder="1"/>
    <xf numFmtId="5" fontId="31" fillId="2" borderId="7" xfId="0" applyNumberFormat="1" applyFont="1" applyBorder="1"/>
    <xf numFmtId="10" fontId="31" fillId="2" borderId="0" xfId="0" applyNumberFormat="1" applyFont="1" applyAlignment="1">
      <alignment horizontal="right"/>
    </xf>
    <xf numFmtId="0" fontId="34" fillId="2" borderId="0" xfId="0" applyNumberFormat="1" applyFont="1" applyAlignment="1">
      <alignment horizontal="right"/>
    </xf>
    <xf numFmtId="41" fontId="34" fillId="2" borderId="0" xfId="0" applyNumberFormat="1" applyFont="1" applyAlignment="1">
      <alignment horizontal="center"/>
    </xf>
    <xf numFmtId="0" fontId="34" fillId="2" borderId="0" xfId="0" applyNumberFormat="1" applyFont="1" applyAlignment="1">
      <alignment horizontal="center"/>
    </xf>
    <xf numFmtId="41" fontId="31" fillId="2" borderId="0" xfId="0" applyNumberFormat="1" applyFont="1" applyBorder="1" applyProtection="1">
      <protection locked="0"/>
    </xf>
    <xf numFmtId="10" fontId="31" fillId="2" borderId="0" xfId="0" applyNumberFormat="1" applyFont="1" applyAlignment="1">
      <alignment horizontal="center"/>
    </xf>
    <xf numFmtId="10" fontId="31" fillId="2" borderId="0" xfId="0" applyNumberFormat="1" applyFont="1"/>
    <xf numFmtId="41" fontId="31" fillId="2" borderId="9" xfId="0" applyNumberFormat="1" applyFont="1" applyBorder="1" applyProtection="1">
      <protection locked="0"/>
    </xf>
    <xf numFmtId="9" fontId="31" fillId="2" borderId="0" xfId="0" applyNumberFormat="1" applyFont="1" applyAlignment="1">
      <alignment horizontal="center"/>
    </xf>
    <xf numFmtId="0" fontId="31" fillId="2" borderId="0" xfId="0" quotePrefix="1" applyNumberFormat="1" applyFont="1" applyAlignment="1">
      <alignment horizontal="left"/>
    </xf>
    <xf numFmtId="39" fontId="31" fillId="2" borderId="0" xfId="0" applyNumberFormat="1" applyFont="1"/>
    <xf numFmtId="0" fontId="35" fillId="2" borderId="0" xfId="0" applyNumberFormat="1" applyFont="1"/>
    <xf numFmtId="0" fontId="32" fillId="5" borderId="9" xfId="0" applyNumberFormat="1" applyFont="1" applyFill="1" applyBorder="1"/>
    <xf numFmtId="0" fontId="33" fillId="5" borderId="9" xfId="0" applyNumberFormat="1" applyFont="1" applyFill="1" applyBorder="1"/>
    <xf numFmtId="0" fontId="33" fillId="5" borderId="9" xfId="0" applyNumberFormat="1" applyFont="1" applyFill="1" applyBorder="1" applyAlignment="1">
      <alignment horizontal="center"/>
    </xf>
    <xf numFmtId="0" fontId="36" fillId="6" borderId="16" xfId="1" applyNumberFormat="1" applyFont="1" applyBorder="1" applyAlignment="1">
      <alignment horizontal="centerContinuous"/>
    </xf>
    <xf numFmtId="0" fontId="36" fillId="6" borderId="16" xfId="1" applyNumberFormat="1" applyFont="1" applyBorder="1" applyAlignment="1">
      <alignment horizontal="left"/>
    </xf>
    <xf numFmtId="0" fontId="28" fillId="2" borderId="0" xfId="0" applyNumberFormat="1" applyFont="1" applyBorder="1"/>
    <xf numFmtId="0" fontId="32" fillId="3" borderId="0" xfId="0" applyNumberFormat="1" applyFont="1" applyFill="1" applyBorder="1" applyAlignment="1">
      <alignment horizontal="centerContinuous"/>
    </xf>
    <xf numFmtId="0" fontId="37" fillId="2" borderId="0" xfId="0" applyNumberFormat="1" applyFont="1"/>
    <xf numFmtId="0" fontId="33" fillId="2" borderId="0" xfId="0" applyNumberFormat="1" applyFont="1"/>
    <xf numFmtId="0" fontId="37" fillId="2" borderId="0" xfId="0" applyNumberFormat="1" applyFont="1" applyAlignment="1">
      <alignment horizontal="right"/>
    </xf>
    <xf numFmtId="41" fontId="31" fillId="2" borderId="0" xfId="0" applyNumberFormat="1" applyFont="1" applyBorder="1"/>
    <xf numFmtId="41" fontId="31" fillId="2" borderId="1" xfId="0" applyNumberFormat="1" applyFont="1" applyBorder="1"/>
    <xf numFmtId="0" fontId="33" fillId="2" borderId="0" xfId="0" applyNumberFormat="1" applyFont="1" applyAlignment="1">
      <alignment horizontal="center"/>
    </xf>
    <xf numFmtId="0" fontId="33" fillId="2" borderId="9" xfId="0" applyNumberFormat="1" applyFont="1" applyBorder="1" applyAlignment="1">
      <alignment horizontal="right"/>
    </xf>
    <xf numFmtId="0" fontId="15" fillId="2" borderId="0" xfId="0" applyNumberFormat="1" applyFont="1" applyBorder="1"/>
    <xf numFmtId="0" fontId="14" fillId="2" borderId="0" xfId="0" applyNumberFormat="1" applyFont="1" applyBorder="1"/>
    <xf numFmtId="10" fontId="40" fillId="3" borderId="0" xfId="3" applyFont="1" applyBorder="1"/>
    <xf numFmtId="168" fontId="40" fillId="3" borderId="6" xfId="3" applyNumberFormat="1" applyFont="1" applyBorder="1"/>
    <xf numFmtId="10" fontId="40" fillId="3" borderId="9" xfId="3" applyFont="1" applyBorder="1"/>
    <xf numFmtId="10" fontId="40" fillId="3" borderId="10" xfId="3" applyFont="1" applyBorder="1"/>
    <xf numFmtId="0" fontId="26" fillId="4" borderId="0" xfId="0" applyNumberFormat="1" applyFont="1" applyFill="1"/>
    <xf numFmtId="0" fontId="0" fillId="7" borderId="0" xfId="0" applyNumberFormat="1" applyFill="1" applyBorder="1"/>
    <xf numFmtId="2" fontId="0" fillId="2" borderId="19" xfId="0" applyNumberFormat="1" applyBorder="1" applyAlignment="1">
      <alignment horizontal="center"/>
    </xf>
    <xf numFmtId="165" fontId="0" fillId="2" borderId="20" xfId="0" applyNumberFormat="1" applyBorder="1"/>
    <xf numFmtId="10" fontId="17" fillId="2" borderId="20" xfId="0" applyNumberFormat="1" applyFont="1" applyBorder="1"/>
    <xf numFmtId="41" fontId="0" fillId="2" borderId="21" xfId="0" applyNumberFormat="1" applyBorder="1"/>
    <xf numFmtId="41" fontId="0" fillId="2" borderId="19" xfId="0" applyNumberFormat="1" applyBorder="1"/>
    <xf numFmtId="41" fontId="0" fillId="2" borderId="20" xfId="0" applyNumberFormat="1" applyBorder="1"/>
    <xf numFmtId="2" fontId="0" fillId="2" borderId="5" xfId="0" applyNumberFormat="1" applyBorder="1" applyAlignment="1">
      <alignment horizontal="center"/>
    </xf>
    <xf numFmtId="41" fontId="0" fillId="2" borderId="6" xfId="0" applyNumberFormat="1" applyBorder="1"/>
    <xf numFmtId="41" fontId="0" fillId="2" borderId="5" xfId="0" applyNumberFormat="1" applyBorder="1"/>
    <xf numFmtId="41" fontId="0" fillId="2" borderId="0" xfId="0" applyNumberFormat="1" applyBorder="1"/>
    <xf numFmtId="168" fontId="31" fillId="2" borderId="0" xfId="0" applyNumberFormat="1" applyFont="1"/>
    <xf numFmtId="169" fontId="31" fillId="2" borderId="0" xfId="0" applyNumberFormat="1" applyFont="1" applyBorder="1" applyProtection="1">
      <protection locked="0"/>
    </xf>
    <xf numFmtId="41" fontId="28" fillId="0" borderId="10" xfId="2" applyFont="1" applyFill="1" applyBorder="1">
      <alignment horizontal="left"/>
    </xf>
    <xf numFmtId="41" fontId="28" fillId="0" borderId="22" xfId="2" applyFont="1" applyFill="1" applyBorder="1">
      <alignment horizontal="left"/>
    </xf>
    <xf numFmtId="10" fontId="28" fillId="0" borderId="22" xfId="3" applyFont="1" applyFill="1" applyBorder="1"/>
    <xf numFmtId="168" fontId="28" fillId="0" borderId="22" xfId="3" applyNumberFormat="1" applyFont="1" applyFill="1" applyBorder="1"/>
    <xf numFmtId="0" fontId="36" fillId="6" borderId="23" xfId="1" applyNumberFormat="1" applyFont="1" applyBorder="1" applyAlignment="1">
      <alignment horizontal="left"/>
    </xf>
    <xf numFmtId="0" fontId="31" fillId="2" borderId="14" xfId="0" applyNumberFormat="1" applyFont="1" applyBorder="1" applyAlignment="1">
      <alignment horizontal="right"/>
    </xf>
    <xf numFmtId="0" fontId="31" fillId="2" borderId="18" xfId="0" applyNumberFormat="1" applyFont="1" applyBorder="1" applyAlignment="1">
      <alignment horizontal="right"/>
    </xf>
    <xf numFmtId="41" fontId="31" fillId="2" borderId="24" xfId="0" applyNumberFormat="1" applyFont="1" applyBorder="1"/>
    <xf numFmtId="168" fontId="31" fillId="2" borderId="24" xfId="0" applyNumberFormat="1" applyFont="1" applyBorder="1"/>
    <xf numFmtId="0" fontId="28" fillId="2" borderId="25" xfId="0" applyNumberFormat="1" applyFont="1" applyBorder="1"/>
    <xf numFmtId="0" fontId="31" fillId="2" borderId="5" xfId="0" applyNumberFormat="1" applyFont="1" applyBorder="1"/>
    <xf numFmtId="0" fontId="31" fillId="2" borderId="8" xfId="0" applyNumberFormat="1" applyFont="1" applyBorder="1"/>
    <xf numFmtId="0" fontId="31" fillId="2" borderId="26" xfId="0" applyNumberFormat="1" applyFont="1" applyBorder="1" applyAlignment="1">
      <alignment horizontal="center"/>
    </xf>
    <xf numFmtId="0" fontId="31" fillId="2" borderId="14" xfId="0" applyNumberFormat="1" applyFont="1" applyBorder="1" applyAlignment="1">
      <alignment horizontal="center"/>
    </xf>
    <xf numFmtId="10" fontId="31" fillId="2" borderId="24" xfId="0" applyNumberFormat="1" applyFont="1" applyBorder="1" applyAlignment="1">
      <alignment horizontal="center"/>
    </xf>
    <xf numFmtId="0" fontId="28" fillId="2" borderId="0" xfId="0" applyNumberFormat="1" applyFont="1" applyAlignment="1">
      <alignment horizontal="right"/>
    </xf>
    <xf numFmtId="0" fontId="32" fillId="5" borderId="0" xfId="0" applyNumberFormat="1" applyFont="1" applyFill="1" applyBorder="1" applyAlignment="1">
      <alignment horizontal="right"/>
    </xf>
    <xf numFmtId="0" fontId="0" fillId="2" borderId="9" xfId="0" applyNumberFormat="1" applyFont="1" applyBorder="1"/>
    <xf numFmtId="39" fontId="0" fillId="2" borderId="2" xfId="0" applyNumberFormat="1" applyFont="1" applyBorder="1" applyAlignment="1">
      <alignment horizontal="center"/>
    </xf>
    <xf numFmtId="0" fontId="0" fillId="2" borderId="3" xfId="0" quotePrefix="1" applyNumberFormat="1" applyFont="1" applyBorder="1" applyAlignment="1">
      <alignment horizontal="left"/>
    </xf>
    <xf numFmtId="0" fontId="0" fillId="2" borderId="5" xfId="0" applyNumberFormat="1" applyFont="1" applyBorder="1" applyAlignment="1">
      <alignment horizontal="center"/>
    </xf>
    <xf numFmtId="0" fontId="0" fillId="2" borderId="0" xfId="0" quotePrefix="1" applyNumberFormat="1" applyFont="1" applyBorder="1" applyAlignment="1">
      <alignment horizontal="left"/>
    </xf>
    <xf numFmtId="0" fontId="0" fillId="2" borderId="0" xfId="0" applyNumberFormat="1" applyFont="1" applyBorder="1"/>
    <xf numFmtId="10" fontId="0" fillId="2" borderId="8" xfId="0" applyNumberFormat="1" applyFont="1" applyBorder="1" applyAlignment="1">
      <alignment horizontal="center"/>
    </xf>
    <xf numFmtId="0" fontId="0" fillId="2" borderId="21" xfId="0" applyNumberFormat="1" applyBorder="1"/>
    <xf numFmtId="0" fontId="0" fillId="2" borderId="19" xfId="0" applyNumberFormat="1" applyBorder="1"/>
    <xf numFmtId="0" fontId="15" fillId="2" borderId="20" xfId="0" applyNumberFormat="1" applyFont="1" applyBorder="1"/>
    <xf numFmtId="0" fontId="15" fillId="2" borderId="5" xfId="0" applyNumberFormat="1" applyFont="1" applyBorder="1"/>
    <xf numFmtId="0" fontId="15" fillId="2" borderId="6" xfId="0" applyNumberFormat="1" applyFont="1" applyBorder="1"/>
    <xf numFmtId="10" fontId="40" fillId="3" borderId="6" xfId="3" applyFont="1" applyBorder="1"/>
    <xf numFmtId="0" fontId="19" fillId="2" borderId="0" xfId="0" applyNumberFormat="1" applyFont="1" applyBorder="1"/>
    <xf numFmtId="39" fontId="0" fillId="2" borderId="9" xfId="0" applyNumberFormat="1" applyBorder="1"/>
    <xf numFmtId="164" fontId="0" fillId="2" borderId="9" xfId="0" applyNumberFormat="1" applyBorder="1"/>
    <xf numFmtId="165" fontId="0" fillId="2" borderId="10" xfId="0" applyNumberFormat="1" applyBorder="1"/>
    <xf numFmtId="0" fontId="0" fillId="2" borderId="20" xfId="0" applyNumberFormat="1" applyBorder="1"/>
    <xf numFmtId="10" fontId="0" fillId="2" borderId="0" xfId="0" applyNumberFormat="1" applyBorder="1"/>
    <xf numFmtId="10" fontId="0" fillId="2" borderId="9" xfId="0" applyNumberFormat="1" applyBorder="1"/>
    <xf numFmtId="0" fontId="43" fillId="2" borderId="3" xfId="0" applyNumberFormat="1" applyFont="1" applyBorder="1" applyAlignment="1">
      <alignment horizontal="center"/>
    </xf>
    <xf numFmtId="0" fontId="43" fillId="2" borderId="4" xfId="0" applyNumberFormat="1" applyFont="1" applyBorder="1" applyAlignment="1">
      <alignment horizontal="center"/>
    </xf>
    <xf numFmtId="10" fontId="0" fillId="2" borderId="6" xfId="0" applyNumberFormat="1" applyBorder="1" applyAlignment="1">
      <alignment horizontal="right"/>
    </xf>
    <xf numFmtId="0" fontId="42" fillId="6" borderId="17" xfId="1" applyNumberFormat="1" applyFont="1" applyBorder="1" applyAlignment="1">
      <alignment horizontal="centerContinuous"/>
    </xf>
    <xf numFmtId="0" fontId="36" fillId="6" borderId="11" xfId="1" applyNumberFormat="1" applyFont="1" applyBorder="1" applyAlignment="1">
      <alignment horizontal="left"/>
    </xf>
    <xf numFmtId="168" fontId="31" fillId="2" borderId="0" xfId="0" applyNumberFormat="1" applyFont="1" applyBorder="1"/>
    <xf numFmtId="0" fontId="0" fillId="2" borderId="0" xfId="0" applyNumberFormat="1" applyBorder="1" applyAlignment="1">
      <alignment horizontal="center"/>
    </xf>
    <xf numFmtId="0" fontId="41" fillId="2" borderId="0" xfId="5" applyNumberFormat="1"/>
    <xf numFmtId="0" fontId="31" fillId="2" borderId="0" xfId="5" applyNumberFormat="1" applyFont="1" applyBorder="1" applyAlignment="1">
      <alignment horizontal="right"/>
    </xf>
    <xf numFmtId="41" fontId="31" fillId="2" borderId="0" xfId="5" applyNumberFormat="1" applyFont="1" applyBorder="1"/>
    <xf numFmtId="0" fontId="38" fillId="2" borderId="0" xfId="5" applyNumberFormat="1" applyFont="1" applyBorder="1" applyAlignment="1">
      <alignment horizontal="left"/>
    </xf>
    <xf numFmtId="0" fontId="41" fillId="2" borderId="0" xfId="5" applyNumberFormat="1" applyBorder="1"/>
    <xf numFmtId="0" fontId="28" fillId="2" borderId="5" xfId="0" applyNumberFormat="1" applyFont="1" applyBorder="1"/>
    <xf numFmtId="0" fontId="44" fillId="2" borderId="0" xfId="0" applyNumberFormat="1" applyFont="1" applyAlignment="1">
      <alignment horizontal="center"/>
    </xf>
    <xf numFmtId="0" fontId="31" fillId="2" borderId="0" xfId="5" applyNumberFormat="1" applyFont="1" applyAlignment="1">
      <alignment horizontal="right"/>
    </xf>
    <xf numFmtId="10" fontId="31" fillId="2" borderId="0" xfId="5" applyNumberFormat="1" applyFont="1" applyAlignment="1">
      <alignment horizontal="right"/>
    </xf>
    <xf numFmtId="41" fontId="28" fillId="3" borderId="0" xfId="7" applyFont="1" applyAlignment="1">
      <alignment horizontal="right"/>
    </xf>
    <xf numFmtId="0" fontId="41" fillId="2" borderId="0" xfId="5" applyNumberFormat="1" applyAlignment="1">
      <alignment horizontal="right"/>
    </xf>
    <xf numFmtId="0" fontId="28" fillId="2" borderId="0" xfId="5" applyNumberFormat="1" applyFont="1"/>
    <xf numFmtId="0" fontId="32" fillId="5" borderId="19" xfId="5" applyNumberFormat="1" applyFont="1" applyFill="1" applyBorder="1" applyAlignment="1">
      <alignment horizontal="left"/>
    </xf>
    <xf numFmtId="0" fontId="41" fillId="2" borderId="20" xfId="5" applyNumberFormat="1" applyBorder="1"/>
    <xf numFmtId="0" fontId="41" fillId="2" borderId="21" xfId="5" applyNumberFormat="1" applyBorder="1"/>
    <xf numFmtId="0" fontId="28" fillId="2" borderId="5" xfId="5" applyNumberFormat="1" applyFont="1" applyBorder="1"/>
    <xf numFmtId="41" fontId="31" fillId="2" borderId="6" xfId="5" applyNumberFormat="1" applyFont="1" applyBorder="1"/>
    <xf numFmtId="0" fontId="33" fillId="2" borderId="0" xfId="5" applyNumberFormat="1" applyFont="1" applyBorder="1" applyAlignment="1">
      <alignment horizontal="right"/>
    </xf>
    <xf numFmtId="41" fontId="33" fillId="2" borderId="27" xfId="5" applyNumberFormat="1" applyFont="1" applyBorder="1"/>
    <xf numFmtId="0" fontId="41" fillId="2" borderId="8" xfId="5" applyNumberFormat="1" applyBorder="1"/>
    <xf numFmtId="0" fontId="41" fillId="2" borderId="9" xfId="5" applyNumberFormat="1" applyBorder="1"/>
    <xf numFmtId="0" fontId="33" fillId="2" borderId="9" xfId="0" applyNumberFormat="1" applyFont="1" applyBorder="1" applyAlignment="1">
      <alignment horizontal="center"/>
    </xf>
    <xf numFmtId="0" fontId="31" fillId="2" borderId="0" xfId="0" applyNumberFormat="1" applyFont="1" applyBorder="1"/>
    <xf numFmtId="10" fontId="31" fillId="2" borderId="0" xfId="0" applyNumberFormat="1" applyFont="1" applyBorder="1"/>
    <xf numFmtId="0" fontId="33" fillId="2" borderId="14" xfId="0" applyNumberFormat="1" applyFont="1" applyBorder="1" applyAlignment="1">
      <alignment horizontal="right"/>
    </xf>
    <xf numFmtId="0" fontId="31" fillId="2" borderId="28" xfId="5" applyNumberFormat="1" applyFont="1" applyBorder="1" applyAlignment="1">
      <alignment horizontal="right"/>
    </xf>
    <xf numFmtId="0" fontId="51" fillId="0" borderId="0" xfId="9" applyFont="1" applyFill="1" applyBorder="1" applyAlignment="1">
      <alignment horizontal="left"/>
    </xf>
    <xf numFmtId="0" fontId="51" fillId="0" borderId="9" xfId="9" applyFont="1" applyFill="1" applyBorder="1" applyAlignment="1">
      <alignment horizontal="left"/>
    </xf>
    <xf numFmtId="0" fontId="52" fillId="0" borderId="27" xfId="9" applyFont="1" applyFill="1" applyBorder="1" applyAlignment="1">
      <alignment horizontal="left"/>
    </xf>
    <xf numFmtId="0" fontId="52" fillId="0" borderId="0" xfId="9" applyFont="1" applyFill="1" applyBorder="1" applyAlignment="1">
      <alignment horizontal="center" vertical="center"/>
    </xf>
    <xf numFmtId="0" fontId="54" fillId="0" borderId="0" xfId="16">
      <alignment vertical="top"/>
    </xf>
    <xf numFmtId="0" fontId="12" fillId="0" borderId="30" xfId="19" applyBorder="1"/>
    <xf numFmtId="0" fontId="12" fillId="0" borderId="31" xfId="19" applyBorder="1"/>
    <xf numFmtId="0" fontId="12" fillId="0" borderId="32" xfId="19" applyBorder="1"/>
    <xf numFmtId="0" fontId="12" fillId="0" borderId="0" xfId="19"/>
    <xf numFmtId="0" fontId="12" fillId="0" borderId="5" xfId="19" applyBorder="1"/>
    <xf numFmtId="0" fontId="12" fillId="0" borderId="14" xfId="19" applyBorder="1"/>
    <xf numFmtId="0" fontId="12" fillId="0" borderId="0" xfId="19" applyBorder="1"/>
    <xf numFmtId="0" fontId="12" fillId="0" borderId="26" xfId="19" applyBorder="1"/>
    <xf numFmtId="0" fontId="12" fillId="0" borderId="33" xfId="19" applyBorder="1"/>
    <xf numFmtId="0" fontId="12" fillId="0" borderId="0" xfId="19" applyAlignment="1">
      <alignment horizontal="center"/>
    </xf>
    <xf numFmtId="0" fontId="12" fillId="0" borderId="14" xfId="19" applyBorder="1" applyAlignment="1">
      <alignment horizontal="center"/>
    </xf>
    <xf numFmtId="0" fontId="12" fillId="0" borderId="33" xfId="19" applyFill="1" applyBorder="1" applyAlignment="1">
      <alignment horizontal="center"/>
    </xf>
    <xf numFmtId="0" fontId="12" fillId="0" borderId="27" xfId="19" applyBorder="1"/>
    <xf numFmtId="0" fontId="12" fillId="0" borderId="34" xfId="19" applyBorder="1"/>
    <xf numFmtId="0" fontId="12" fillId="0" borderId="35" xfId="19" applyBorder="1"/>
    <xf numFmtId="174" fontId="12" fillId="0" borderId="0" xfId="19" applyNumberFormat="1"/>
    <xf numFmtId="0" fontId="12" fillId="0" borderId="0" xfId="19" applyFill="1" applyBorder="1"/>
    <xf numFmtId="2" fontId="12" fillId="0" borderId="0" xfId="19" applyNumberFormat="1"/>
    <xf numFmtId="2" fontId="12" fillId="0" borderId="27" xfId="19" applyNumberFormat="1" applyBorder="1"/>
    <xf numFmtId="174" fontId="12" fillId="7" borderId="0" xfId="19" applyNumberFormat="1" applyFill="1"/>
    <xf numFmtId="174" fontId="12" fillId="9" borderId="0" xfId="19" applyNumberFormat="1" applyFill="1"/>
    <xf numFmtId="174" fontId="12" fillId="10" borderId="0" xfId="19" applyNumberFormat="1" applyFill="1"/>
    <xf numFmtId="174" fontId="12" fillId="11" borderId="0" xfId="19" applyNumberFormat="1" applyFill="1"/>
    <xf numFmtId="174" fontId="12" fillId="12" borderId="0" xfId="19" applyNumberFormat="1" applyFill="1"/>
    <xf numFmtId="0" fontId="56" fillId="0" borderId="0" xfId="19" applyFont="1"/>
    <xf numFmtId="174" fontId="56" fillId="0" borderId="0" xfId="19" applyNumberFormat="1" applyFont="1"/>
    <xf numFmtId="0" fontId="54" fillId="0" borderId="0" xfId="16" applyFill="1">
      <alignment vertical="top"/>
    </xf>
    <xf numFmtId="0" fontId="55" fillId="0" borderId="0" xfId="16" applyFont="1">
      <alignment vertical="top"/>
    </xf>
    <xf numFmtId="0" fontId="12" fillId="14" borderId="19" xfId="13" applyNumberFormat="1" applyFill="1" applyBorder="1" applyAlignment="1"/>
    <xf numFmtId="0" fontId="60" fillId="0" borderId="0" xfId="19" applyFont="1"/>
    <xf numFmtId="9" fontId="12" fillId="0" borderId="0" xfId="19" applyNumberFormat="1"/>
    <xf numFmtId="0" fontId="62" fillId="15" borderId="19" xfId="13" applyNumberFormat="1" applyFont="1" applyFill="1" applyBorder="1" applyAlignment="1"/>
    <xf numFmtId="0" fontId="55" fillId="16" borderId="0" xfId="16" applyFont="1" applyFill="1">
      <alignment vertical="top"/>
    </xf>
    <xf numFmtId="44" fontId="54" fillId="0" borderId="0" xfId="16" applyNumberFormat="1">
      <alignment vertical="top"/>
    </xf>
    <xf numFmtId="175" fontId="56" fillId="0" borderId="0" xfId="19" applyNumberFormat="1" applyFont="1"/>
    <xf numFmtId="171" fontId="51" fillId="0" borderId="0" xfId="27" applyNumberFormat="1" applyFont="1" applyFill="1" applyBorder="1"/>
    <xf numFmtId="0" fontId="0" fillId="0" borderId="0" xfId="0" applyNumberFormat="1" applyFill="1"/>
    <xf numFmtId="0" fontId="51" fillId="0" borderId="0" xfId="0" applyNumberFormat="1" applyFont="1" applyFill="1"/>
    <xf numFmtId="0" fontId="64" fillId="0" borderId="0" xfId="14" applyFont="1" applyAlignment="1">
      <alignment horizontal="left"/>
    </xf>
    <xf numFmtId="0" fontId="64" fillId="0" borderId="0" xfId="14" applyFont="1"/>
    <xf numFmtId="0" fontId="65" fillId="0" borderId="0" xfId="14" applyFont="1" applyAlignment="1">
      <alignment horizontal="left"/>
    </xf>
    <xf numFmtId="0" fontId="64" fillId="0" borderId="0" xfId="14" applyFont="1" applyFill="1" applyAlignment="1">
      <alignment horizontal="left"/>
    </xf>
    <xf numFmtId="0" fontId="52" fillId="0" borderId="0" xfId="14" applyFont="1"/>
    <xf numFmtId="171" fontId="51" fillId="0" borderId="0" xfId="27" applyNumberFormat="1" applyFont="1" applyFill="1"/>
    <xf numFmtId="171" fontId="51" fillId="0" borderId="9" xfId="27" applyNumberFormat="1" applyFont="1" applyFill="1" applyBorder="1"/>
    <xf numFmtId="0" fontId="52" fillId="0" borderId="0" xfId="14" applyFont="1" applyFill="1" applyAlignment="1">
      <alignment horizontal="left"/>
    </xf>
    <xf numFmtId="0" fontId="64" fillId="0" borderId="0" xfId="14" applyFont="1" applyFill="1"/>
    <xf numFmtId="0" fontId="51" fillId="0" borderId="0" xfId="14" applyFont="1" applyFill="1" applyAlignment="1">
      <alignment horizontal="left"/>
    </xf>
    <xf numFmtId="0" fontId="51" fillId="0" borderId="9" xfId="0" applyNumberFormat="1" applyFont="1" applyFill="1" applyBorder="1" applyAlignment="1">
      <alignment horizontal="center"/>
    </xf>
    <xf numFmtId="0" fontId="51" fillId="0" borderId="0" xfId="0" applyNumberFormat="1" applyFont="1" applyFill="1" applyAlignment="1"/>
    <xf numFmtId="0" fontId="51" fillId="0" borderId="9" xfId="0" applyNumberFormat="1" applyFont="1" applyFill="1" applyBorder="1" applyAlignment="1">
      <alignment horizontal="center" wrapText="1"/>
    </xf>
    <xf numFmtId="0" fontId="51" fillId="0" borderId="0" xfId="0" applyNumberFormat="1" applyFont="1" applyFill="1" applyBorder="1" applyAlignment="1">
      <alignment horizontal="center" wrapText="1"/>
    </xf>
    <xf numFmtId="0" fontId="51" fillId="0" borderId="0" xfId="0" applyNumberFormat="1" applyFont="1" applyFill="1" applyBorder="1"/>
    <xf numFmtId="0" fontId="51" fillId="0" borderId="0" xfId="0" applyNumberFormat="1" applyFont="1" applyFill="1" applyAlignment="1">
      <alignment horizontal="center" wrapText="1"/>
    </xf>
    <xf numFmtId="171" fontId="51" fillId="7" borderId="0" xfId="27" applyNumberFormat="1" applyFont="1" applyFill="1"/>
    <xf numFmtId="0" fontId="54" fillId="0" borderId="28" xfId="16" applyBorder="1">
      <alignment vertical="top"/>
    </xf>
    <xf numFmtId="44" fontId="54" fillId="19" borderId="28" xfId="16" applyNumberFormat="1" applyFill="1" applyBorder="1">
      <alignment vertical="top"/>
    </xf>
    <xf numFmtId="0" fontId="12" fillId="0" borderId="28" xfId="13" applyNumberFormat="1" applyFill="1" applyBorder="1" applyAlignment="1">
      <alignment horizontal="center" wrapText="1"/>
    </xf>
    <xf numFmtId="0" fontId="12" fillId="0" borderId="36" xfId="13" applyNumberFormat="1" applyFill="1" applyBorder="1" applyAlignment="1">
      <alignment vertical="top"/>
    </xf>
    <xf numFmtId="0" fontId="12" fillId="0" borderId="19" xfId="13" applyNumberFormat="1" applyFill="1" applyBorder="1" applyAlignment="1">
      <alignment horizontal="center" wrapText="1"/>
    </xf>
    <xf numFmtId="0" fontId="12" fillId="0" borderId="19" xfId="13" applyNumberFormat="1" applyFill="1" applyBorder="1" applyAlignment="1">
      <alignment horizontal="center"/>
    </xf>
    <xf numFmtId="0" fontId="12" fillId="0" borderId="19" xfId="13" applyNumberFormat="1" applyFill="1" applyBorder="1" applyAlignment="1">
      <alignment wrapText="1"/>
    </xf>
    <xf numFmtId="0" fontId="12" fillId="0" borderId="26" xfId="13" applyNumberFormat="1" applyFill="1" applyBorder="1" applyAlignment="1">
      <alignment horizontal="center" wrapText="1"/>
    </xf>
    <xf numFmtId="0" fontId="12" fillId="0" borderId="0" xfId="13" applyNumberFormat="1" applyFill="1" applyBorder="1" applyAlignment="1">
      <alignment vertical="top"/>
    </xf>
    <xf numFmtId="0" fontId="54" fillId="0" borderId="0" xfId="16" applyFill="1" applyBorder="1">
      <alignment vertical="top"/>
    </xf>
    <xf numFmtId="44" fontId="54" fillId="0" borderId="0" xfId="16" applyNumberFormat="1" applyFill="1" applyBorder="1">
      <alignment vertical="top"/>
    </xf>
    <xf numFmtId="0" fontId="54" fillId="0" borderId="0" xfId="16" applyAlignment="1">
      <alignment horizontal="right" vertical="top"/>
    </xf>
    <xf numFmtId="171" fontId="51" fillId="12" borderId="0" xfId="27" applyNumberFormat="1" applyFont="1" applyFill="1"/>
    <xf numFmtId="0" fontId="12" fillId="0" borderId="0" xfId="19" applyAlignment="1">
      <alignment horizontal="right"/>
    </xf>
    <xf numFmtId="171" fontId="12" fillId="0" borderId="0" xfId="27" applyNumberFormat="1" applyFont="1"/>
    <xf numFmtId="171" fontId="12" fillId="0" borderId="9" xfId="27" applyNumberFormat="1" applyFont="1" applyBorder="1"/>
    <xf numFmtId="171" fontId="12" fillId="0" borderId="0" xfId="19" applyNumberFormat="1"/>
    <xf numFmtId="0" fontId="51" fillId="0" borderId="5" xfId="0" applyNumberFormat="1" applyFont="1" applyFill="1" applyBorder="1" applyAlignment="1">
      <alignment horizontal="center" wrapText="1"/>
    </xf>
    <xf numFmtId="171" fontId="51" fillId="0" borderId="5" xfId="27" applyNumberFormat="1" applyFont="1" applyFill="1" applyBorder="1"/>
    <xf numFmtId="44" fontId="51" fillId="0" borderId="0" xfId="27" applyNumberFormat="1" applyFont="1" applyFill="1"/>
    <xf numFmtId="171" fontId="51" fillId="18" borderId="0" xfId="27" applyNumberFormat="1" applyFont="1" applyFill="1" applyBorder="1"/>
    <xf numFmtId="171" fontId="51" fillId="20" borderId="0" xfId="27" applyNumberFormat="1" applyFont="1" applyFill="1" applyBorder="1"/>
    <xf numFmtId="171" fontId="51" fillId="21" borderId="0" xfId="27" applyNumberFormat="1" applyFont="1" applyFill="1" applyBorder="1"/>
    <xf numFmtId="171" fontId="51" fillId="0" borderId="20" xfId="27" applyNumberFormat="1" applyFont="1" applyFill="1" applyBorder="1"/>
    <xf numFmtId="171" fontId="51" fillId="0" borderId="19" xfId="27" applyNumberFormat="1" applyFont="1" applyFill="1" applyBorder="1"/>
    <xf numFmtId="0" fontId="12" fillId="0" borderId="0" xfId="19" applyFill="1"/>
    <xf numFmtId="41" fontId="57" fillId="0" borderId="0" xfId="2" applyFont="1" applyFill="1" applyBorder="1">
      <alignment horizontal="left"/>
    </xf>
    <xf numFmtId="171" fontId="49" fillId="0" borderId="0" xfId="27" applyNumberFormat="1" applyFont="1" applyFill="1"/>
    <xf numFmtId="0" fontId="52" fillId="0" borderId="9" xfId="9" applyFont="1" applyFill="1" applyBorder="1" applyAlignment="1">
      <alignment horizontal="left"/>
    </xf>
    <xf numFmtId="171" fontId="49" fillId="0" borderId="0" xfId="27" applyNumberFormat="1" applyFont="1" applyFill="1" applyBorder="1"/>
    <xf numFmtId="0" fontId="0" fillId="0" borderId="0" xfId="0" applyNumberFormat="1" applyFill="1" applyBorder="1"/>
    <xf numFmtId="10" fontId="52" fillId="0" borderId="0" xfId="3" applyFont="1" applyFill="1"/>
    <xf numFmtId="41" fontId="31" fillId="0" borderId="0" xfId="0" applyNumberFormat="1" applyFont="1" applyFill="1"/>
    <xf numFmtId="43" fontId="51" fillId="0" borderId="0" xfId="0" applyNumberFormat="1" applyFont="1" applyFill="1"/>
    <xf numFmtId="171" fontId="51" fillId="22" borderId="0" xfId="27" applyNumberFormat="1" applyFont="1" applyFill="1"/>
    <xf numFmtId="172" fontId="51" fillId="0" borderId="0" xfId="27" applyNumberFormat="1" applyFont="1" applyFill="1"/>
    <xf numFmtId="10" fontId="51" fillId="2" borderId="0" xfId="3" applyFill="1"/>
    <xf numFmtId="44" fontId="51" fillId="0" borderId="0" xfId="27" applyNumberFormat="1" applyFont="1" applyFill="1" applyBorder="1"/>
    <xf numFmtId="44" fontId="58" fillId="0" borderId="18" xfId="16" applyNumberFormat="1" applyFont="1" applyBorder="1">
      <alignment vertical="top"/>
    </xf>
    <xf numFmtId="44" fontId="58" fillId="0" borderId="8" xfId="16" applyNumberFormat="1" applyFont="1" applyBorder="1">
      <alignment vertical="top"/>
    </xf>
    <xf numFmtId="0" fontId="26" fillId="0" borderId="0" xfId="0" applyNumberFormat="1" applyFont="1" applyFill="1" applyBorder="1" applyAlignment="1"/>
    <xf numFmtId="10" fontId="51" fillId="0" borderId="0" xfId="3" applyFont="1" applyFill="1" applyBorder="1"/>
    <xf numFmtId="171" fontId="51" fillId="0" borderId="0" xfId="0" applyNumberFormat="1" applyFont="1" applyFill="1" applyBorder="1"/>
    <xf numFmtId="0" fontId="41" fillId="0" borderId="0" xfId="0" applyNumberFormat="1" applyFont="1" applyFill="1" applyBorder="1"/>
    <xf numFmtId="171" fontId="0" fillId="0" borderId="0" xfId="0" applyNumberFormat="1" applyFill="1" applyBorder="1"/>
    <xf numFmtId="10" fontId="51" fillId="0" borderId="0" xfId="3" applyFill="1" applyBorder="1"/>
    <xf numFmtId="0" fontId="0" fillId="0" borderId="0" xfId="0" applyNumberFormat="1" applyFill="1" applyBorder="1" applyAlignment="1">
      <alignment horizontal="right"/>
    </xf>
    <xf numFmtId="176" fontId="51" fillId="0" borderId="0" xfId="3" applyNumberFormat="1" applyFill="1" applyBorder="1"/>
    <xf numFmtId="0" fontId="12" fillId="0" borderId="0" xfId="13" applyNumberFormat="1" applyFill="1" applyBorder="1" applyAlignment="1"/>
    <xf numFmtId="1" fontId="12" fillId="0" borderId="0" xfId="13" applyNumberFormat="1" applyFill="1" applyBorder="1" applyAlignment="1"/>
    <xf numFmtId="0" fontId="57" fillId="0" borderId="0" xfId="13" applyNumberFormat="1" applyFont="1" applyFill="1" applyBorder="1" applyAlignment="1"/>
    <xf numFmtId="1" fontId="57" fillId="0" borderId="0" xfId="13" applyNumberFormat="1" applyFont="1" applyFill="1" applyBorder="1" applyAlignment="1"/>
    <xf numFmtId="44" fontId="57" fillId="0" borderId="0" xfId="13" applyNumberFormat="1" applyFont="1" applyFill="1" applyBorder="1"/>
    <xf numFmtId="0" fontId="57" fillId="0" borderId="0" xfId="5" applyNumberFormat="1" applyFont="1" applyFill="1" applyBorder="1"/>
    <xf numFmtId="0" fontId="57" fillId="24" borderId="0" xfId="5" applyNumberFormat="1" applyFont="1" applyFill="1" applyBorder="1"/>
    <xf numFmtId="0" fontId="57" fillId="12" borderId="0" xfId="5" applyNumberFormat="1" applyFont="1" applyFill="1" applyBorder="1"/>
    <xf numFmtId="0" fontId="57" fillId="7" borderId="0" xfId="5" applyNumberFormat="1" applyFont="1" applyFill="1" applyBorder="1"/>
    <xf numFmtId="0" fontId="57" fillId="17" borderId="0" xfId="5" applyNumberFormat="1" applyFont="1" applyFill="1" applyBorder="1"/>
    <xf numFmtId="0" fontId="57" fillId="0" borderId="0" xfId="5" applyNumberFormat="1" applyFont="1" applyFill="1" applyBorder="1" applyAlignment="1">
      <alignment wrapText="1"/>
    </xf>
    <xf numFmtId="0" fontId="7" fillId="8" borderId="0" xfId="37" applyNumberFormat="1" applyBorder="1" applyAlignment="1"/>
    <xf numFmtId="0" fontId="57" fillId="0" borderId="0" xfId="37" applyNumberFormat="1" applyFont="1" applyFill="1" applyBorder="1" applyAlignment="1"/>
    <xf numFmtId="1" fontId="57" fillId="0" borderId="0" xfId="37" applyNumberFormat="1" applyFont="1" applyFill="1" applyBorder="1" applyAlignment="1"/>
    <xf numFmtId="171" fontId="57" fillId="12" borderId="0" xfId="37" applyNumberFormat="1" applyFont="1" applyFill="1" applyBorder="1"/>
    <xf numFmtId="171" fontId="57" fillId="0" borderId="0" xfId="37" applyNumberFormat="1" applyFont="1" applyFill="1" applyBorder="1"/>
    <xf numFmtId="171" fontId="57" fillId="0" borderId="0" xfId="5" applyNumberFormat="1" applyFont="1" applyFill="1" applyBorder="1"/>
    <xf numFmtId="0" fontId="7" fillId="14" borderId="0" xfId="37" applyNumberFormat="1" applyFill="1" applyBorder="1" applyAlignment="1"/>
    <xf numFmtId="171" fontId="57" fillId="25" borderId="0" xfId="37" applyNumberFormat="1" applyFont="1" applyFill="1" applyBorder="1"/>
    <xf numFmtId="0" fontId="7" fillId="19" borderId="0" xfId="37" applyNumberFormat="1" applyFill="1" applyBorder="1" applyAlignment="1"/>
    <xf numFmtId="0" fontId="62" fillId="15" borderId="0" xfId="37" applyNumberFormat="1" applyFont="1" applyFill="1" applyBorder="1" applyAlignment="1"/>
    <xf numFmtId="0" fontId="57" fillId="24" borderId="0" xfId="37" applyNumberFormat="1" applyFont="1" applyFill="1" applyBorder="1" applyAlignment="1"/>
    <xf numFmtId="1" fontId="57" fillId="24" borderId="0" xfId="37" applyNumberFormat="1" applyFont="1" applyFill="1" applyBorder="1" applyAlignment="1"/>
    <xf numFmtId="171" fontId="57" fillId="24" borderId="0" xfId="37" applyNumberFormat="1" applyFont="1" applyFill="1" applyBorder="1"/>
    <xf numFmtId="0" fontId="57" fillId="25" borderId="0" xfId="5" applyNumberFormat="1" applyFont="1" applyFill="1" applyBorder="1"/>
    <xf numFmtId="0" fontId="62" fillId="24" borderId="0" xfId="37" applyNumberFormat="1" applyFont="1" applyFill="1" applyBorder="1" applyAlignment="1"/>
    <xf numFmtId="0" fontId="62" fillId="0" borderId="0" xfId="37" applyNumberFormat="1" applyFont="1" applyFill="1" applyBorder="1" applyAlignment="1"/>
    <xf numFmtId="0" fontId="7" fillId="0" borderId="0" xfId="37" applyNumberFormat="1" applyFill="1" applyBorder="1" applyAlignment="1"/>
    <xf numFmtId="0" fontId="68" fillId="0" borderId="0" xfId="37" applyNumberFormat="1" applyFont="1" applyFill="1" applyBorder="1" applyAlignment="1"/>
    <xf numFmtId="171" fontId="57" fillId="12" borderId="0" xfId="38" applyNumberFormat="1" applyFont="1" applyFill="1" applyBorder="1"/>
    <xf numFmtId="171" fontId="57" fillId="0" borderId="0" xfId="38" applyNumberFormat="1" applyFont="1" applyFill="1" applyBorder="1"/>
    <xf numFmtId="0" fontId="68" fillId="0" borderId="0" xfId="5" applyNumberFormat="1" applyFont="1" applyFill="1" applyBorder="1"/>
    <xf numFmtId="1" fontId="7" fillId="0" borderId="0" xfId="37" applyNumberFormat="1" applyFill="1" applyBorder="1" applyAlignment="1"/>
    <xf numFmtId="171" fontId="7" fillId="17" borderId="0" xfId="37" applyNumberFormat="1" applyFill="1" applyBorder="1"/>
    <xf numFmtId="44" fontId="57" fillId="0" borderId="0" xfId="38" applyFont="1" applyFill="1" applyBorder="1"/>
    <xf numFmtId="10" fontId="57" fillId="0" borderId="0" xfId="13" applyNumberFormat="1" applyFont="1" applyFill="1" applyBorder="1"/>
    <xf numFmtId="9" fontId="57" fillId="0" borderId="0" xfId="13" applyNumberFormat="1" applyFont="1" applyFill="1" applyBorder="1"/>
    <xf numFmtId="9" fontId="57" fillId="0" borderId="0" xfId="13" applyNumberFormat="1" applyFont="1" applyFill="1" applyBorder="1" applyAlignment="1">
      <alignment vertical="top"/>
    </xf>
    <xf numFmtId="44" fontId="57" fillId="0" borderId="0" xfId="13" applyNumberFormat="1" applyFont="1" applyFill="1" applyBorder="1" applyAlignment="1">
      <alignment vertical="top"/>
    </xf>
    <xf numFmtId="44" fontId="12" fillId="0" borderId="0" xfId="13" applyNumberFormat="1" applyFill="1" applyBorder="1"/>
    <xf numFmtId="10" fontId="12" fillId="0" borderId="0" xfId="13" applyNumberFormat="1" applyFill="1" applyBorder="1"/>
    <xf numFmtId="9" fontId="12" fillId="0" borderId="0" xfId="13" applyNumberFormat="1" applyFill="1" applyBorder="1"/>
    <xf numFmtId="9" fontId="12" fillId="0" borderId="0" xfId="13" applyNumberFormat="1" applyFill="1" applyBorder="1" applyAlignment="1">
      <alignment vertical="top"/>
    </xf>
    <xf numFmtId="44" fontId="12" fillId="0" borderId="0" xfId="13" applyNumberFormat="1" applyFill="1" applyBorder="1" applyAlignment="1">
      <alignment vertical="top"/>
    </xf>
    <xf numFmtId="0" fontId="12" fillId="0" borderId="9" xfId="13" applyNumberFormat="1" applyFill="1" applyBorder="1" applyAlignment="1"/>
    <xf numFmtId="1" fontId="12" fillId="0" borderId="9" xfId="13" applyNumberFormat="1" applyFill="1" applyBorder="1" applyAlignment="1"/>
    <xf numFmtId="44" fontId="12" fillId="0" borderId="9" xfId="13" applyNumberFormat="1" applyFill="1" applyBorder="1"/>
    <xf numFmtId="10" fontId="12" fillId="0" borderId="9" xfId="13" applyNumberFormat="1" applyFill="1" applyBorder="1"/>
    <xf numFmtId="9" fontId="12" fillId="0" borderId="9" xfId="13" applyNumberFormat="1" applyFill="1" applyBorder="1"/>
    <xf numFmtId="9" fontId="12" fillId="0" borderId="9" xfId="13" applyNumberFormat="1" applyFill="1" applyBorder="1" applyAlignment="1">
      <alignment vertical="top"/>
    </xf>
    <xf numFmtId="44" fontId="12" fillId="0" borderId="9" xfId="13" applyNumberFormat="1" applyFill="1" applyBorder="1" applyAlignment="1">
      <alignment vertical="top"/>
    </xf>
    <xf numFmtId="0" fontId="12" fillId="0" borderId="11" xfId="13" applyNumberFormat="1" applyFill="1" applyBorder="1" applyAlignment="1">
      <alignment horizontal="center"/>
    </xf>
    <xf numFmtId="171" fontId="12" fillId="0" borderId="11" xfId="13" applyNumberFormat="1" applyFill="1" applyBorder="1" applyAlignment="1">
      <alignment horizontal="center" wrapText="1"/>
    </xf>
    <xf numFmtId="0" fontId="12" fillId="0" borderId="28" xfId="13" applyNumberFormat="1" applyFill="1" applyBorder="1" applyAlignment="1">
      <alignment horizontal="center"/>
    </xf>
    <xf numFmtId="44" fontId="57" fillId="15" borderId="0" xfId="13" applyNumberFormat="1" applyFont="1" applyFill="1" applyBorder="1"/>
    <xf numFmtId="44" fontId="57" fillId="12" borderId="0" xfId="13" applyNumberFormat="1" applyFont="1" applyFill="1" applyBorder="1"/>
    <xf numFmtId="10" fontId="57" fillId="15" borderId="0" xfId="13" applyNumberFormat="1" applyFont="1" applyFill="1" applyBorder="1"/>
    <xf numFmtId="9" fontId="57" fillId="15" borderId="0" xfId="13" applyNumberFormat="1" applyFont="1" applyFill="1" applyBorder="1"/>
    <xf numFmtId="9" fontId="57" fillId="15" borderId="0" xfId="13" applyNumberFormat="1" applyFont="1" applyFill="1" applyBorder="1" applyAlignment="1">
      <alignment vertical="top"/>
    </xf>
    <xf numFmtId="44" fontId="57" fillId="15" borderId="0" xfId="13" applyNumberFormat="1" applyFont="1" applyFill="1" applyBorder="1" applyAlignment="1">
      <alignment vertical="top"/>
    </xf>
    <xf numFmtId="44" fontId="12" fillId="12" borderId="0" xfId="13" applyNumberFormat="1" applyFill="1" applyBorder="1"/>
    <xf numFmtId="0" fontId="46" fillId="0" borderId="0" xfId="16" applyFont="1" applyFill="1" applyBorder="1">
      <alignment vertical="top"/>
    </xf>
    <xf numFmtId="0" fontId="46" fillId="0" borderId="0" xfId="16" applyFont="1" applyFill="1" applyBorder="1" applyAlignment="1">
      <alignment horizontal="right" vertical="top"/>
    </xf>
    <xf numFmtId="44" fontId="46" fillId="0" borderId="0" xfId="16" applyNumberFormat="1" applyFont="1" applyFill="1" applyBorder="1">
      <alignment vertical="top"/>
    </xf>
    <xf numFmtId="0" fontId="6" fillId="0" borderId="0" xfId="19" applyFont="1" applyFill="1"/>
    <xf numFmtId="41" fontId="57" fillId="0" borderId="0" xfId="2" applyFont="1" applyFill="1">
      <alignment horizontal="left"/>
    </xf>
    <xf numFmtId="176" fontId="51" fillId="0" borderId="0" xfId="3" applyNumberFormat="1" applyFill="1"/>
    <xf numFmtId="0" fontId="60" fillId="0" borderId="0" xfId="19" applyFont="1" applyFill="1"/>
    <xf numFmtId="10" fontId="61" fillId="0" borderId="0" xfId="3" applyFont="1" applyFill="1"/>
    <xf numFmtId="10" fontId="60" fillId="0" borderId="0" xfId="19" applyNumberFormat="1" applyFont="1" applyFill="1"/>
    <xf numFmtId="0" fontId="12" fillId="0" borderId="26" xfId="13" applyNumberFormat="1" applyFill="1" applyBorder="1" applyAlignment="1">
      <alignment horizontal="center" wrapText="1"/>
    </xf>
    <xf numFmtId="0" fontId="57" fillId="15" borderId="0" xfId="13" applyNumberFormat="1" applyFont="1" applyFill="1" applyBorder="1" applyAlignment="1"/>
    <xf numFmtId="10" fontId="51" fillId="0" borderId="0" xfId="3" applyFill="1"/>
    <xf numFmtId="41" fontId="51" fillId="0" borderId="0" xfId="2" applyFont="1" applyFill="1">
      <alignment horizontal="left"/>
    </xf>
    <xf numFmtId="176" fontId="51" fillId="0" borderId="0" xfId="3" applyNumberFormat="1" applyFont="1" applyFill="1"/>
    <xf numFmtId="43" fontId="51" fillId="0" borderId="0" xfId="0" applyNumberFormat="1" applyFont="1" applyFill="1" applyBorder="1"/>
    <xf numFmtId="176" fontId="51" fillId="0" borderId="0" xfId="0" applyNumberFormat="1" applyFont="1" applyFill="1" applyBorder="1"/>
    <xf numFmtId="0" fontId="0" fillId="0" borderId="0" xfId="0" applyNumberFormat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/>
    <xf numFmtId="0" fontId="51" fillId="0" borderId="0" xfId="0" applyNumberFormat="1" applyFont="1" applyFill="1" applyBorder="1" applyAlignment="1">
      <alignment horizontal="right"/>
    </xf>
    <xf numFmtId="10" fontId="33" fillId="2" borderId="9" xfId="5" applyNumberFormat="1" applyFont="1" applyBorder="1" applyAlignment="1">
      <alignment horizontal="center" vertical="center"/>
    </xf>
    <xf numFmtId="0" fontId="31" fillId="2" borderId="9" xfId="5" applyNumberFormat="1" applyFont="1" applyBorder="1" applyAlignment="1">
      <alignment horizontal="right" vertical="center"/>
    </xf>
    <xf numFmtId="44" fontId="57" fillId="0" borderId="9" xfId="13" applyNumberFormat="1" applyFont="1" applyFill="1" applyBorder="1" applyAlignment="1">
      <alignment vertical="top"/>
    </xf>
    <xf numFmtId="41" fontId="51" fillId="0" borderId="0" xfId="2" applyFont="1" applyFill="1" applyBorder="1">
      <alignment horizontal="left"/>
    </xf>
    <xf numFmtId="0" fontId="12" fillId="0" borderId="0" xfId="19" applyAlignment="1">
      <alignment horizontal="center" wrapText="1"/>
    </xf>
    <xf numFmtId="10" fontId="12" fillId="0" borderId="0" xfId="19" applyNumberFormat="1" applyFill="1" applyBorder="1"/>
    <xf numFmtId="41" fontId="71" fillId="0" borderId="15" xfId="2" applyFont="1" applyFill="1" applyBorder="1">
      <alignment horizontal="left"/>
    </xf>
    <xf numFmtId="41" fontId="71" fillId="0" borderId="16" xfId="2" applyFont="1" applyFill="1" applyBorder="1">
      <alignment horizontal="left"/>
    </xf>
    <xf numFmtId="0" fontId="12" fillId="0" borderId="17" xfId="19" applyBorder="1"/>
    <xf numFmtId="0" fontId="12" fillId="0" borderId="40" xfId="19" applyBorder="1"/>
    <xf numFmtId="174" fontId="12" fillId="0" borderId="0" xfId="19" applyNumberFormat="1" applyFill="1"/>
    <xf numFmtId="0" fontId="49" fillId="0" borderId="0" xfId="40" applyFont="1" applyFill="1"/>
    <xf numFmtId="0" fontId="50" fillId="0" borderId="0" xfId="40" applyFont="1" applyFill="1"/>
    <xf numFmtId="9" fontId="49" fillId="0" borderId="0" xfId="40" applyNumberFormat="1" applyFont="1" applyFill="1"/>
    <xf numFmtId="0" fontId="49" fillId="0" borderId="9" xfId="40" applyFont="1" applyFill="1" applyBorder="1"/>
    <xf numFmtId="0" fontId="49" fillId="0" borderId="9" xfId="40" applyFont="1" applyFill="1" applyBorder="1" applyAlignment="1">
      <alignment wrapText="1"/>
    </xf>
    <xf numFmtId="0" fontId="50" fillId="0" borderId="9" xfId="40" applyFont="1" applyFill="1" applyBorder="1" applyAlignment="1">
      <alignment horizontal="center" vertical="center"/>
    </xf>
    <xf numFmtId="0" fontId="49" fillId="0" borderId="9" xfId="40" applyFont="1" applyFill="1" applyBorder="1" applyAlignment="1">
      <alignment horizontal="center" wrapText="1"/>
    </xf>
    <xf numFmtId="0" fontId="49" fillId="0" borderId="0" xfId="40" applyFont="1" applyFill="1" applyBorder="1" applyAlignment="1">
      <alignment horizontal="center" wrapText="1"/>
    </xf>
    <xf numFmtId="0" fontId="49" fillId="0" borderId="0" xfId="40" applyFont="1" applyFill="1" applyBorder="1" applyAlignment="1">
      <alignment horizontal="center" vertical="center"/>
    </xf>
    <xf numFmtId="0" fontId="49" fillId="0" borderId="0" xfId="40" applyFont="1" applyFill="1" applyBorder="1" applyAlignment="1">
      <alignment vertical="center"/>
    </xf>
    <xf numFmtId="43" fontId="51" fillId="0" borderId="0" xfId="41" applyFont="1" applyFill="1" applyBorder="1"/>
    <xf numFmtId="169" fontId="49" fillId="0" borderId="0" xfId="40" applyNumberFormat="1" applyFont="1" applyFill="1" applyBorder="1"/>
    <xf numFmtId="44" fontId="51" fillId="12" borderId="0" xfId="41" applyNumberFormat="1" applyFont="1" applyFill="1" applyBorder="1"/>
    <xf numFmtId="171" fontId="51" fillId="0" borderId="0" xfId="41" applyNumberFormat="1" applyFont="1" applyFill="1" applyBorder="1"/>
    <xf numFmtId="44" fontId="51" fillId="0" borderId="0" xfId="41" applyNumberFormat="1" applyFont="1" applyFill="1" applyBorder="1"/>
    <xf numFmtId="44" fontId="51" fillId="0" borderId="0" xfId="42" applyNumberFormat="1" applyFont="1" applyFill="1" applyBorder="1"/>
    <xf numFmtId="171" fontId="49" fillId="0" borderId="0" xfId="40" applyNumberFormat="1" applyFont="1" applyFill="1" applyBorder="1"/>
    <xf numFmtId="0" fontId="49" fillId="0" borderId="39" xfId="40" applyFont="1" applyFill="1" applyBorder="1" applyAlignment="1">
      <alignment horizontal="center" vertical="center" textRotation="90"/>
    </xf>
    <xf numFmtId="0" fontId="49" fillId="0" borderId="39" xfId="40" applyFont="1" applyFill="1" applyBorder="1" applyAlignment="1">
      <alignment vertical="center"/>
    </xf>
    <xf numFmtId="0" fontId="52" fillId="0" borderId="39" xfId="9" applyFont="1" applyFill="1" applyBorder="1" applyAlignment="1">
      <alignment horizontal="left"/>
    </xf>
    <xf numFmtId="3" fontId="50" fillId="0" borderId="39" xfId="40" applyNumberFormat="1" applyFont="1" applyFill="1" applyBorder="1"/>
    <xf numFmtId="171" fontId="52" fillId="0" borderId="39" xfId="41" applyNumberFormat="1" applyFont="1" applyFill="1" applyBorder="1"/>
    <xf numFmtId="0" fontId="49" fillId="0" borderId="38" xfId="40" applyFont="1" applyFill="1" applyBorder="1" applyAlignment="1">
      <alignment horizontal="center" vertical="center"/>
    </xf>
    <xf numFmtId="0" fontId="49" fillId="0" borderId="38" xfId="40" applyFont="1" applyFill="1" applyBorder="1" applyAlignment="1">
      <alignment vertical="center"/>
    </xf>
    <xf numFmtId="0" fontId="51" fillId="0" borderId="38" xfId="9" applyFont="1" applyFill="1" applyBorder="1" applyAlignment="1">
      <alignment horizontal="left"/>
    </xf>
    <xf numFmtId="3" fontId="49" fillId="0" borderId="38" xfId="40" applyNumberFormat="1" applyFont="1" applyFill="1" applyBorder="1"/>
    <xf numFmtId="43" fontId="51" fillId="0" borderId="38" xfId="41" applyFont="1" applyFill="1" applyBorder="1"/>
    <xf numFmtId="171" fontId="51" fillId="0" borderId="38" xfId="41" applyNumberFormat="1" applyFont="1" applyFill="1" applyBorder="1"/>
    <xf numFmtId="44" fontId="51" fillId="0" borderId="38" xfId="41" applyNumberFormat="1" applyFont="1" applyFill="1" applyBorder="1"/>
    <xf numFmtId="44" fontId="51" fillId="0" borderId="38" xfId="42" applyNumberFormat="1" applyFont="1" applyFill="1" applyBorder="1"/>
    <xf numFmtId="0" fontId="49" fillId="0" borderId="0" xfId="40" applyFont="1" applyFill="1" applyBorder="1"/>
    <xf numFmtId="3" fontId="49" fillId="0" borderId="0" xfId="40" applyNumberFormat="1" applyFont="1" applyFill="1" applyBorder="1"/>
    <xf numFmtId="171" fontId="49" fillId="0" borderId="0" xfId="40" applyNumberFormat="1" applyFont="1" applyFill="1"/>
    <xf numFmtId="0" fontId="49" fillId="0" borderId="9" xfId="40" applyFont="1" applyFill="1" applyBorder="1" applyAlignment="1">
      <alignment horizontal="center" vertical="center"/>
    </xf>
    <xf numFmtId="0" fontId="49" fillId="0" borderId="9" xfId="40" applyFont="1" applyFill="1" applyBorder="1" applyAlignment="1">
      <alignment vertical="center"/>
    </xf>
    <xf numFmtId="3" fontId="49" fillId="0" borderId="9" xfId="40" applyNumberFormat="1" applyFont="1" applyFill="1" applyBorder="1"/>
    <xf numFmtId="43" fontId="51" fillId="0" borderId="9" xfId="41" applyFont="1" applyFill="1" applyBorder="1"/>
    <xf numFmtId="44" fontId="51" fillId="0" borderId="9" xfId="41" applyNumberFormat="1" applyFont="1" applyFill="1" applyBorder="1"/>
    <xf numFmtId="44" fontId="51" fillId="0" borderId="9" xfId="42" applyNumberFormat="1" applyFont="1" applyFill="1" applyBorder="1"/>
    <xf numFmtId="171" fontId="51" fillId="0" borderId="9" xfId="41" applyNumberFormat="1" applyFont="1" applyFill="1" applyBorder="1"/>
    <xf numFmtId="171" fontId="59" fillId="0" borderId="0" xfId="40" applyNumberFormat="1" applyFont="1" applyFill="1"/>
    <xf numFmtId="0" fontId="49" fillId="0" borderId="9" xfId="40" applyFont="1" applyFill="1" applyBorder="1" applyAlignment="1">
      <alignment horizontal="center" vertical="center" textRotation="90"/>
    </xf>
    <xf numFmtId="3" fontId="50" fillId="0" borderId="9" xfId="40" applyNumberFormat="1" applyFont="1" applyFill="1" applyBorder="1"/>
    <xf numFmtId="169" fontId="50" fillId="0" borderId="39" xfId="40" applyNumberFormat="1" applyFont="1" applyFill="1" applyBorder="1"/>
    <xf numFmtId="43" fontId="51" fillId="0" borderId="39" xfId="41" applyFont="1" applyFill="1" applyBorder="1"/>
    <xf numFmtId="171" fontId="50" fillId="0" borderId="39" xfId="40" applyNumberFormat="1" applyFont="1" applyFill="1" applyBorder="1"/>
    <xf numFmtId="171" fontId="50" fillId="0" borderId="9" xfId="40" applyNumberFormat="1" applyFont="1" applyFill="1" applyBorder="1"/>
    <xf numFmtId="171" fontId="52" fillId="0" borderId="9" xfId="41" applyNumberFormat="1" applyFont="1" applyFill="1" applyBorder="1"/>
    <xf numFmtId="0" fontId="49" fillId="0" borderId="0" xfId="40" applyFont="1" applyFill="1" applyBorder="1" applyAlignment="1">
      <alignment horizontal="center" vertical="center" textRotation="90"/>
    </xf>
    <xf numFmtId="3" fontId="50" fillId="0" borderId="0" xfId="40" applyNumberFormat="1" applyFont="1" applyFill="1" applyBorder="1"/>
    <xf numFmtId="43" fontId="51" fillId="12" borderId="0" xfId="41" applyFont="1" applyFill="1" applyBorder="1"/>
    <xf numFmtId="0" fontId="49" fillId="0" borderId="39" xfId="40" applyFont="1" applyFill="1" applyBorder="1"/>
    <xf numFmtId="0" fontId="50" fillId="0" borderId="39" xfId="40" applyFont="1" applyFill="1" applyBorder="1"/>
    <xf numFmtId="44" fontId="52" fillId="0" borderId="39" xfId="41" applyNumberFormat="1" applyFont="1" applyFill="1" applyBorder="1"/>
    <xf numFmtId="177" fontId="49" fillId="0" borderId="0" xfId="40" applyNumberFormat="1" applyFont="1" applyFill="1" applyBorder="1" applyAlignment="1">
      <alignment wrapText="1"/>
    </xf>
    <xf numFmtId="43" fontId="51" fillId="0" borderId="0" xfId="41" applyFont="1" applyFill="1" applyBorder="1" applyAlignment="1">
      <alignment wrapText="1"/>
    </xf>
    <xf numFmtId="43" fontId="51" fillId="0" borderId="9" xfId="41" applyFont="1" applyFill="1" applyBorder="1" applyAlignment="1">
      <alignment wrapText="1"/>
    </xf>
    <xf numFmtId="0" fontId="50" fillId="0" borderId="39" xfId="40" applyFont="1" applyFill="1" applyBorder="1" applyAlignment="1">
      <alignment wrapText="1"/>
    </xf>
    <xf numFmtId="169" fontId="50" fillId="0" borderId="39" xfId="41" applyNumberFormat="1" applyFont="1" applyFill="1" applyBorder="1" applyAlignment="1">
      <alignment horizontal="center" wrapText="1"/>
    </xf>
    <xf numFmtId="44" fontId="50" fillId="0" borderId="39" xfId="41" applyNumberFormat="1" applyFont="1" applyFill="1" applyBorder="1" applyAlignment="1">
      <alignment horizontal="center" wrapText="1"/>
    </xf>
    <xf numFmtId="171" fontId="50" fillId="0" borderId="39" xfId="41" applyNumberFormat="1" applyFont="1" applyFill="1" applyBorder="1"/>
    <xf numFmtId="44" fontId="51" fillId="0" borderId="39" xfId="41" applyNumberFormat="1" applyFont="1" applyFill="1" applyBorder="1"/>
    <xf numFmtId="171" fontId="50" fillId="0" borderId="39" xfId="41" applyNumberFormat="1" applyFont="1" applyFill="1" applyBorder="1" applyAlignment="1">
      <alignment horizontal="center" wrapText="1"/>
    </xf>
    <xf numFmtId="0" fontId="49" fillId="0" borderId="39" xfId="40" applyFont="1" applyFill="1" applyBorder="1" applyAlignment="1">
      <alignment wrapText="1"/>
    </xf>
    <xf numFmtId="0" fontId="49" fillId="0" borderId="39" xfId="40" applyFont="1" applyFill="1" applyBorder="1" applyAlignment="1">
      <alignment horizontal="center" wrapText="1"/>
    </xf>
    <xf numFmtId="0" fontId="49" fillId="0" borderId="27" xfId="40" applyFont="1" applyFill="1" applyBorder="1"/>
    <xf numFmtId="171" fontId="50" fillId="0" borderId="27" xfId="40" applyNumberFormat="1" applyFont="1" applyFill="1" applyBorder="1"/>
    <xf numFmtId="44" fontId="51" fillId="0" borderId="27" xfId="41" applyNumberFormat="1" applyFont="1" applyFill="1" applyBorder="1"/>
    <xf numFmtId="0" fontId="49" fillId="0" borderId="0" xfId="40" applyFont="1" applyFill="1" applyBorder="1" applyAlignment="1">
      <alignment vertical="center" textRotation="90"/>
    </xf>
    <xf numFmtId="43" fontId="49" fillId="0" borderId="0" xfId="40" applyNumberFormat="1" applyFont="1" applyFill="1"/>
    <xf numFmtId="0" fontId="49" fillId="0" borderId="0" xfId="40" applyFont="1" applyFill="1" applyAlignment="1">
      <alignment horizontal="right"/>
    </xf>
    <xf numFmtId="44" fontId="51" fillId="0" borderId="0" xfId="42" applyFont="1" applyFill="1" applyBorder="1"/>
    <xf numFmtId="171" fontId="63" fillId="0" borderId="0" xfId="40" applyNumberFormat="1" applyFont="1" applyFill="1" applyBorder="1"/>
    <xf numFmtId="0" fontId="50" fillId="0" borderId="0" xfId="40" applyFont="1" applyFill="1" applyBorder="1" applyAlignment="1">
      <alignment horizontal="left"/>
    </xf>
    <xf numFmtId="10" fontId="51" fillId="0" borderId="0" xfId="43" applyNumberFormat="1" applyFont="1" applyFill="1" applyBorder="1"/>
    <xf numFmtId="0" fontId="49" fillId="0" borderId="0" xfId="40" applyFont="1" applyFill="1" applyBorder="1" applyAlignment="1">
      <alignment horizontal="right" wrapText="1"/>
    </xf>
    <xf numFmtId="44" fontId="49" fillId="0" borderId="0" xfId="40" applyNumberFormat="1" applyFont="1" applyFill="1" applyBorder="1"/>
    <xf numFmtId="44" fontId="49" fillId="0" borderId="0" xfId="40" applyNumberFormat="1" applyFont="1" applyFill="1"/>
    <xf numFmtId="172" fontId="51" fillId="0" borderId="0" xfId="42" applyNumberFormat="1" applyFont="1" applyFill="1" applyBorder="1"/>
    <xf numFmtId="171" fontId="50" fillId="0" borderId="0" xfId="40" applyNumberFormat="1" applyFont="1" applyFill="1"/>
    <xf numFmtId="171" fontId="51" fillId="0" borderId="0" xfId="42" applyNumberFormat="1" applyFont="1" applyFill="1" applyBorder="1"/>
    <xf numFmtId="171" fontId="50" fillId="0" borderId="0" xfId="40" applyNumberFormat="1" applyFont="1" applyFill="1" applyBorder="1"/>
    <xf numFmtId="41" fontId="63" fillId="0" borderId="0" xfId="43" applyNumberFormat="1" applyFont="1" applyFill="1" applyBorder="1"/>
    <xf numFmtId="0" fontId="51" fillId="2" borderId="41" xfId="0" applyNumberFormat="1" applyFont="1" applyBorder="1" applyAlignment="1">
      <alignment horizontal="center"/>
    </xf>
    <xf numFmtId="171" fontId="51" fillId="2" borderId="42" xfId="27" applyNumberFormat="1" applyFont="1" applyFill="1" applyBorder="1"/>
    <xf numFmtId="0" fontId="12" fillId="0" borderId="9" xfId="19" applyBorder="1"/>
    <xf numFmtId="44" fontId="12" fillId="0" borderId="0" xfId="19" applyNumberFormat="1"/>
    <xf numFmtId="44" fontId="51" fillId="0" borderId="0" xfId="0" applyNumberFormat="1" applyFont="1" applyFill="1"/>
    <xf numFmtId="10" fontId="51" fillId="0" borderId="0" xfId="3" applyNumberFormat="1" applyFill="1"/>
    <xf numFmtId="178" fontId="14" fillId="0" borderId="0" xfId="2" applyNumberFormat="1" applyFill="1" applyBorder="1">
      <alignment horizontal="left"/>
    </xf>
    <xf numFmtId="171" fontId="51" fillId="2" borderId="0" xfId="27" applyNumberFormat="1" applyFont="1" applyFill="1" applyBorder="1"/>
    <xf numFmtId="0" fontId="12" fillId="0" borderId="0" xfId="19" applyFill="1" applyAlignment="1">
      <alignment horizontal="center"/>
    </xf>
    <xf numFmtId="0" fontId="60" fillId="0" borderId="0" xfId="19" applyFont="1" applyBorder="1"/>
    <xf numFmtId="174" fontId="60" fillId="0" borderId="0" xfId="19" applyNumberFormat="1" applyFont="1" applyBorder="1"/>
    <xf numFmtId="176" fontId="56" fillId="0" borderId="0" xfId="20" applyNumberFormat="1" applyFont="1" applyFill="1"/>
    <xf numFmtId="0" fontId="12" fillId="0" borderId="0" xfId="19" applyBorder="1" applyAlignment="1">
      <alignment horizontal="right"/>
    </xf>
    <xf numFmtId="171" fontId="12" fillId="0" borderId="0" xfId="27" applyNumberFormat="1" applyFont="1" applyBorder="1"/>
    <xf numFmtId="169" fontId="51" fillId="0" borderId="0" xfId="40" applyNumberFormat="1" applyFont="1" applyFill="1" applyBorder="1"/>
    <xf numFmtId="169" fontId="49" fillId="0" borderId="9" xfId="4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44" fontId="0" fillId="0" borderId="0" xfId="0" applyNumberFormat="1" applyFont="1" applyFill="1" applyBorder="1"/>
    <xf numFmtId="44" fontId="0" fillId="0" borderId="0" xfId="0" applyNumberFormat="1" applyFont="1" applyFill="1" applyBorder="1" applyAlignment="1"/>
    <xf numFmtId="0" fontId="4" fillId="0" borderId="0" xfId="37" applyNumberFormat="1" applyFont="1" applyFill="1" applyBorder="1" applyAlignment="1"/>
    <xf numFmtId="17" fontId="12" fillId="0" borderId="5" xfId="19" applyNumberFormat="1" applyBorder="1"/>
    <xf numFmtId="17" fontId="51" fillId="0" borderId="0" xfId="0" applyNumberFormat="1" applyFont="1" applyFill="1" applyBorder="1"/>
    <xf numFmtId="41" fontId="51" fillId="0" borderId="27" xfId="2" applyFont="1" applyFill="1" applyBorder="1">
      <alignment horizontal="left"/>
    </xf>
    <xf numFmtId="0" fontId="54" fillId="0" borderId="0" xfId="16" applyFont="1">
      <alignment vertical="top"/>
    </xf>
    <xf numFmtId="0" fontId="3" fillId="0" borderId="0" xfId="19" applyFont="1" applyAlignment="1">
      <alignment horizontal="center" wrapText="1"/>
    </xf>
    <xf numFmtId="0" fontId="3" fillId="0" borderId="0" xfId="19" applyFont="1"/>
    <xf numFmtId="0" fontId="12" fillId="0" borderId="14" xfId="19" applyFill="1" applyBorder="1"/>
    <xf numFmtId="2" fontId="12" fillId="0" borderId="0" xfId="19" applyNumberFormat="1" applyFill="1"/>
    <xf numFmtId="0" fontId="3" fillId="0" borderId="0" xfId="19" applyFont="1" applyAlignment="1">
      <alignment wrapText="1"/>
    </xf>
    <xf numFmtId="2" fontId="12" fillId="26" borderId="0" xfId="19" applyNumberFormat="1" applyFill="1"/>
    <xf numFmtId="2" fontId="12" fillId="0" borderId="33" xfId="19" applyNumberFormat="1" applyBorder="1"/>
    <xf numFmtId="0" fontId="2" fillId="14" borderId="0" xfId="37" applyNumberFormat="1" applyFont="1" applyFill="1" applyBorder="1" applyAlignment="1"/>
    <xf numFmtId="171" fontId="51" fillId="7" borderId="5" xfId="27" applyNumberFormat="1" applyFont="1" applyFill="1" applyBorder="1"/>
    <xf numFmtId="0" fontId="51" fillId="7" borderId="9" xfId="0" applyNumberFormat="1" applyFont="1" applyFill="1" applyBorder="1" applyAlignment="1">
      <alignment horizontal="center"/>
    </xf>
    <xf numFmtId="41" fontId="51" fillId="7" borderId="0" xfId="2" applyFont="1" applyFill="1">
      <alignment horizontal="left"/>
    </xf>
    <xf numFmtId="41" fontId="51" fillId="7" borderId="0" xfId="2" applyFont="1" applyFill="1" applyBorder="1">
      <alignment horizontal="left"/>
    </xf>
    <xf numFmtId="0" fontId="51" fillId="7" borderId="0" xfId="0" applyNumberFormat="1" applyFont="1" applyFill="1" applyBorder="1"/>
    <xf numFmtId="41" fontId="51" fillId="7" borderId="27" xfId="2" applyFont="1" applyFill="1" applyBorder="1">
      <alignment horizontal="left"/>
    </xf>
    <xf numFmtId="41" fontId="51" fillId="0" borderId="0" xfId="0" applyNumberFormat="1" applyFont="1" applyFill="1" applyBorder="1"/>
    <xf numFmtId="171" fontId="51" fillId="7" borderId="0" xfId="41" applyNumberFormat="1" applyFont="1" applyFill="1" applyBorder="1"/>
    <xf numFmtId="10" fontId="49" fillId="0" borderId="0" xfId="40" applyNumberFormat="1" applyFont="1" applyFill="1"/>
    <xf numFmtId="44" fontId="51" fillId="7" borderId="0" xfId="41" applyNumberFormat="1" applyFont="1" applyFill="1" applyBorder="1"/>
    <xf numFmtId="44" fontId="0" fillId="0" borderId="0" xfId="0" applyNumberFormat="1" applyFill="1"/>
    <xf numFmtId="1" fontId="0" fillId="0" borderId="0" xfId="0" applyNumberFormat="1" applyFill="1"/>
    <xf numFmtId="0" fontId="26" fillId="0" borderId="0" xfId="0" applyNumberFormat="1" applyFont="1" applyFill="1"/>
    <xf numFmtId="171" fontId="1" fillId="0" borderId="0" xfId="27" applyNumberFormat="1" applyFont="1" applyFill="1" applyBorder="1"/>
    <xf numFmtId="0" fontId="57" fillId="0" borderId="0" xfId="0" applyNumberFormat="1" applyFont="1" applyFill="1" applyBorder="1" applyAlignment="1"/>
    <xf numFmtId="171" fontId="57" fillId="0" borderId="0" xfId="27" applyNumberFormat="1" applyFont="1" applyFill="1" applyBorder="1"/>
    <xf numFmtId="171" fontId="68" fillId="0" borderId="0" xfId="27" applyNumberFormat="1" applyFont="1" applyFill="1" applyBorder="1" applyAlignment="1"/>
    <xf numFmtId="171" fontId="51" fillId="0" borderId="0" xfId="0" applyNumberFormat="1" applyFont="1" applyFill="1"/>
    <xf numFmtId="171" fontId="1" fillId="0" borderId="0" xfId="40" applyNumberFormat="1" applyFont="1" applyFill="1" applyBorder="1"/>
    <xf numFmtId="171" fontId="1" fillId="0" borderId="9" xfId="40" applyNumberFormat="1" applyFont="1" applyFill="1" applyBorder="1"/>
    <xf numFmtId="171" fontId="1" fillId="0" borderId="9" xfId="27" applyNumberFormat="1" applyFont="1" applyFill="1" applyBorder="1"/>
    <xf numFmtId="171" fontId="49" fillId="0" borderId="9" xfId="40" applyNumberFormat="1" applyFont="1" applyFill="1" applyBorder="1"/>
    <xf numFmtId="41" fontId="57" fillId="13" borderId="0" xfId="2" applyFont="1" applyFill="1" applyBorder="1">
      <alignment horizontal="left"/>
    </xf>
    <xf numFmtId="41" fontId="57" fillId="13" borderId="9" xfId="2" applyFont="1" applyFill="1" applyBorder="1">
      <alignment horizontal="left"/>
    </xf>
    <xf numFmtId="10" fontId="12" fillId="13" borderId="0" xfId="19" applyNumberFormat="1" applyFill="1" applyBorder="1"/>
    <xf numFmtId="44" fontId="12" fillId="0" borderId="9" xfId="19" applyNumberFormat="1" applyBorder="1"/>
    <xf numFmtId="171" fontId="51" fillId="13" borderId="0" xfId="27" applyNumberFormat="1" applyFont="1" applyFill="1"/>
    <xf numFmtId="0" fontId="51" fillId="0" borderId="45" xfId="0" applyNumberFormat="1" applyFont="1" applyFill="1" applyBorder="1"/>
    <xf numFmtId="176" fontId="51" fillId="0" borderId="46" xfId="3" applyNumberFormat="1" applyFill="1" applyBorder="1"/>
    <xf numFmtId="0" fontId="51" fillId="0" borderId="46" xfId="0" applyNumberFormat="1" applyFont="1" applyFill="1" applyBorder="1"/>
    <xf numFmtId="0" fontId="51" fillId="0" borderId="47" xfId="0" applyNumberFormat="1" applyFont="1" applyFill="1" applyBorder="1"/>
    <xf numFmtId="0" fontId="51" fillId="0" borderId="48" xfId="0" applyNumberFormat="1" applyFont="1" applyFill="1" applyBorder="1"/>
    <xf numFmtId="176" fontId="51" fillId="0" borderId="46" xfId="0" applyNumberFormat="1" applyFont="1" applyFill="1" applyBorder="1"/>
    <xf numFmtId="176" fontId="51" fillId="0" borderId="48" xfId="0" applyNumberFormat="1" applyFont="1" applyFill="1" applyBorder="1"/>
    <xf numFmtId="174" fontId="12" fillId="27" borderId="0" xfId="19" applyNumberFormat="1" applyFill="1"/>
    <xf numFmtId="171" fontId="51" fillId="23" borderId="0" xfId="27" applyNumberFormat="1" applyFont="1" applyFill="1"/>
    <xf numFmtId="0" fontId="66" fillId="0" borderId="0" xfId="0" applyNumberFormat="1" applyFont="1" applyFill="1" applyAlignment="1">
      <alignment horizontal="center"/>
    </xf>
    <xf numFmtId="0" fontId="66" fillId="0" borderId="5" xfId="0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horizontal="center"/>
    </xf>
    <xf numFmtId="0" fontId="51" fillId="0" borderId="43" xfId="0" applyNumberFormat="1" applyFont="1" applyFill="1" applyBorder="1" applyAlignment="1">
      <alignment horizontal="center"/>
    </xf>
    <xf numFmtId="0" fontId="51" fillId="0" borderId="44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28" fillId="4" borderId="29" xfId="0" applyNumberFormat="1" applyFont="1" applyFill="1" applyBorder="1" applyAlignment="1">
      <alignment horizontal="center"/>
    </xf>
    <xf numFmtId="0" fontId="26" fillId="4" borderId="0" xfId="0" applyNumberFormat="1" applyFont="1" applyFill="1" applyAlignment="1">
      <alignment horizont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28" fillId="4" borderId="0" xfId="0" applyNumberFormat="1" applyFont="1" applyFill="1" applyAlignment="1">
      <alignment horizontal="center"/>
    </xf>
    <xf numFmtId="0" fontId="28" fillId="4" borderId="0" xfId="0" applyNumberFormat="1" applyFont="1" applyFill="1" applyBorder="1" applyAlignment="1">
      <alignment horizontal="center"/>
    </xf>
    <xf numFmtId="0" fontId="28" fillId="4" borderId="20" xfId="0" applyNumberFormat="1" applyFont="1" applyFill="1" applyBorder="1" applyAlignment="1">
      <alignment horizontal="center"/>
    </xf>
    <xf numFmtId="0" fontId="12" fillId="0" borderId="26" xfId="13" applyNumberFormat="1" applyFill="1" applyBorder="1" applyAlignment="1">
      <alignment horizontal="center" wrapText="1"/>
    </xf>
    <xf numFmtId="0" fontId="12" fillId="0" borderId="18" xfId="13" applyNumberFormat="1" applyFill="1" applyBorder="1" applyAlignment="1">
      <alignment horizontal="center" wrapText="1"/>
    </xf>
    <xf numFmtId="0" fontId="54" fillId="0" borderId="9" xfId="16" applyFill="1" applyBorder="1" applyAlignment="1">
      <alignment horizontal="center" vertical="top"/>
    </xf>
    <xf numFmtId="0" fontId="57" fillId="0" borderId="11" xfId="22" applyFont="1" applyFill="1" applyBorder="1" applyAlignment="1">
      <alignment horizontal="center"/>
    </xf>
    <xf numFmtId="0" fontId="57" fillId="0" borderId="22" xfId="22" applyFont="1" applyFill="1" applyBorder="1" applyAlignment="1">
      <alignment horizontal="center"/>
    </xf>
    <xf numFmtId="0" fontId="54" fillId="0" borderId="9" xfId="16" applyBorder="1" applyAlignment="1">
      <alignment horizontal="center" vertical="top"/>
    </xf>
    <xf numFmtId="0" fontId="49" fillId="0" borderId="0" xfId="40" applyFont="1" applyFill="1" applyBorder="1" applyAlignment="1">
      <alignment horizontal="center" vertical="center" textRotation="90"/>
    </xf>
    <xf numFmtId="0" fontId="49" fillId="0" borderId="37" xfId="40" applyFont="1" applyFill="1" applyBorder="1" applyAlignment="1">
      <alignment horizontal="center" vertical="center" textRotation="90"/>
    </xf>
    <xf numFmtId="0" fontId="49" fillId="0" borderId="9" xfId="40" applyFont="1" applyFill="1" applyBorder="1" applyAlignment="1">
      <alignment horizontal="center" vertical="center" textRotation="90"/>
    </xf>
    <xf numFmtId="0" fontId="49" fillId="0" borderId="38" xfId="40" applyFont="1" applyFill="1" applyBorder="1" applyAlignment="1">
      <alignment horizontal="center" vertical="center" textRotation="90"/>
    </xf>
    <xf numFmtId="0" fontId="52" fillId="0" borderId="39" xfId="9" applyFont="1" applyFill="1" applyBorder="1" applyAlignment="1">
      <alignment horizontal="center" vertical="center"/>
    </xf>
    <xf numFmtId="41" fontId="28" fillId="7" borderId="10" xfId="2" applyFont="1" applyFill="1" applyBorder="1">
      <alignment horizontal="left"/>
    </xf>
    <xf numFmtId="170" fontId="45" fillId="0" borderId="0" xfId="6"/>
    <xf numFmtId="170" fontId="45" fillId="28" borderId="0" xfId="6" applyFill="1"/>
    <xf numFmtId="170" fontId="72" fillId="28" borderId="0" xfId="6" applyFont="1" applyFill="1"/>
    <xf numFmtId="170" fontId="74" fillId="28" borderId="0" xfId="6" applyFont="1" applyFill="1"/>
    <xf numFmtId="170" fontId="75" fillId="0" borderId="0" xfId="6" applyFont="1"/>
    <xf numFmtId="170" fontId="76" fillId="0" borderId="0" xfId="6" applyFont="1"/>
  </cellXfs>
  <cellStyles count="44">
    <cellStyle name="20% - Accent6" xfId="13" builtinId="50"/>
    <cellStyle name="20% - Accent6 2" xfId="37" xr:uid="{00000000-0005-0000-0000-000001000000}"/>
    <cellStyle name="Accent5" xfId="1" builtinId="45"/>
    <cellStyle name="Comma" xfId="2" builtinId="3"/>
    <cellStyle name="Comma 2" xfId="7" xr:uid="{00000000-0005-0000-0000-000004000000}"/>
    <cellStyle name="Comma 3" xfId="10" xr:uid="{00000000-0005-0000-0000-000005000000}"/>
    <cellStyle name="Comma 3 2" xfId="41" xr:uid="{00000000-0005-0000-0000-000006000000}"/>
    <cellStyle name="Comma 4" xfId="18" xr:uid="{00000000-0005-0000-0000-000007000000}"/>
    <cellStyle name="Comma 5" xfId="34" xr:uid="{00000000-0005-0000-0000-000008000000}"/>
    <cellStyle name="Currency" xfId="27" builtinId="4"/>
    <cellStyle name="Currency 2" xfId="11" xr:uid="{00000000-0005-0000-0000-00000A000000}"/>
    <cellStyle name="Currency 2 2" xfId="38" xr:uid="{00000000-0005-0000-0000-00000B000000}"/>
    <cellStyle name="Currency 2 3" xfId="42" xr:uid="{00000000-0005-0000-0000-00000C000000}"/>
    <cellStyle name="Currency 3" xfId="24" xr:uid="{00000000-0005-0000-0000-00000D000000}"/>
    <cellStyle name="Currency 4" xfId="29" xr:uid="{00000000-0005-0000-0000-00000E000000}"/>
    <cellStyle name="Currency 5" xfId="23" xr:uid="{00000000-0005-0000-0000-00000F000000}"/>
    <cellStyle name="Currency 6" xfId="32" xr:uid="{00000000-0005-0000-0000-000010000000}"/>
    <cellStyle name="FRxAmtStyle" xfId="15" xr:uid="{00000000-0005-0000-0000-000011000000}"/>
    <cellStyle name="Normal" xfId="0" builtinId="0"/>
    <cellStyle name="Normal 10" xfId="33" xr:uid="{00000000-0005-0000-0000-000013000000}"/>
    <cellStyle name="Normal 11" xfId="35" xr:uid="{00000000-0005-0000-0000-000014000000}"/>
    <cellStyle name="Normal 12" xfId="36" xr:uid="{00000000-0005-0000-0000-000015000000}"/>
    <cellStyle name="Normal 13" xfId="21" xr:uid="{00000000-0005-0000-0000-000016000000}"/>
    <cellStyle name="Normal 2" xfId="5" xr:uid="{00000000-0005-0000-0000-000017000000}"/>
    <cellStyle name="Normal 3" xfId="6" xr:uid="{00000000-0005-0000-0000-000018000000}"/>
    <cellStyle name="Normal 4" xfId="8" xr:uid="{00000000-0005-0000-0000-000019000000}"/>
    <cellStyle name="Normal 4 2" xfId="40" xr:uid="{00000000-0005-0000-0000-00001A000000}"/>
    <cellStyle name="Normal 5" xfId="16" xr:uid="{00000000-0005-0000-0000-00001B000000}"/>
    <cellStyle name="Normal 6" xfId="19" xr:uid="{00000000-0005-0000-0000-00001C000000}"/>
    <cellStyle name="Normal 7" xfId="26" xr:uid="{00000000-0005-0000-0000-00001D000000}"/>
    <cellStyle name="Normal 8" xfId="28" xr:uid="{00000000-0005-0000-0000-00001E000000}"/>
    <cellStyle name="Normal 9" xfId="31" xr:uid="{00000000-0005-0000-0000-00001F000000}"/>
    <cellStyle name="Normal_DEPN2K" xfId="22" xr:uid="{00000000-0005-0000-0000-000020000000}"/>
    <cellStyle name="Normal_Price out" xfId="9" xr:uid="{00000000-0005-0000-0000-000021000000}"/>
    <cellStyle name="Normal_Sheet3" xfId="14" xr:uid="{00000000-0005-0000-0000-000022000000}"/>
    <cellStyle name="Percent" xfId="3" builtinId="5" customBuiltin="1"/>
    <cellStyle name="Percent 2" xfId="4" xr:uid="{00000000-0005-0000-0000-000024000000}"/>
    <cellStyle name="Percent 3" xfId="12" xr:uid="{00000000-0005-0000-0000-000025000000}"/>
    <cellStyle name="Percent 3 2" xfId="43" xr:uid="{00000000-0005-0000-0000-000026000000}"/>
    <cellStyle name="Percent 4" xfId="17" xr:uid="{00000000-0005-0000-0000-000027000000}"/>
    <cellStyle name="Percent 5" xfId="20" xr:uid="{00000000-0005-0000-0000-000028000000}"/>
    <cellStyle name="Percent 6" xfId="30" xr:uid="{00000000-0005-0000-0000-000029000000}"/>
    <cellStyle name="Percent 7" xfId="39" xr:uid="{00000000-0005-0000-0000-00002A000000}"/>
    <cellStyle name="Percent 8" xfId="25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  <color rgb="FF00FF99"/>
      <color rgb="FFFF7C8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369094</xdr:colOff>
      <xdr:row>11</xdr:row>
      <xdr:rowOff>140493</xdr:rowOff>
    </xdr:from>
    <xdr:ext cx="8476190" cy="5950007"/>
    <xdr:pic>
      <xdr:nvPicPr>
        <xdr:cNvPr id="2" name="Picture 1">
          <a:extLst>
            <a:ext uri="{FF2B5EF4-FFF2-40B4-BE49-F238E27FC236}">
              <a16:creationId xmlns:a16="http://schemas.microsoft.com/office/drawing/2014/main" id="{DFE9E134-CC08-45DE-9999-709F70463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094" y="2235993"/>
          <a:ext cx="8476190" cy="59500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</xdr:col>
      <xdr:colOff>535780</xdr:colOff>
      <xdr:row>13</xdr:row>
      <xdr:rowOff>164330</xdr:rowOff>
    </xdr:from>
    <xdr:ext cx="5679281" cy="5340557"/>
    <xdr:pic>
      <xdr:nvPicPr>
        <xdr:cNvPr id="3" name="Picture 2">
          <a:extLst>
            <a:ext uri="{FF2B5EF4-FFF2-40B4-BE49-F238E27FC236}">
              <a16:creationId xmlns:a16="http://schemas.microsoft.com/office/drawing/2014/main" id="{7A08E260-6BFA-4A20-A443-187D9085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780" y="2640830"/>
          <a:ext cx="5679281" cy="53405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400050</xdr:colOff>
          <xdr:row>16</xdr:row>
          <xdr:rowOff>66675</xdr:rowOff>
        </xdr:to>
        <xdr:sp macro="" textlink="">
          <xdr:nvSpPr>
            <xdr:cNvPr id="38913" name="Check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96D3A80A-86B1-4FA5-935C-A998F8918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28575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194CA761-8E62-463E-8BD8-CF907A9B5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oung215/AppData/Local/Microsoft/Windows/INetCache/Content.Outlook/BZZ6GHZH/Staff%20Gary's%20Garbage%20rate%20case%2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n  Summary"/>
      <sheetName val="Pro Forma"/>
      <sheetName val="Staffs Tonnage"/>
      <sheetName val="Balance Sheet"/>
      <sheetName val="Depn Calculation"/>
      <sheetName val="Staff LG"/>
      <sheetName val="Staff Rate Plan Priceout"/>
      <sheetName val="Staff Priceout"/>
      <sheetName val="Staff old tax LG"/>
      <sheetName val="Lurito Gallagher as filed"/>
      <sheetName val="Fuel Useage Summary"/>
      <sheetName val="Diesel Invoices"/>
      <sheetName val="Fuel Invoices"/>
      <sheetName val="GL priceout revenue reconcile"/>
      <sheetName val="Customer Count (Submit)"/>
      <sheetName val="Reference"/>
      <sheetName val="Revenue Reconcile"/>
      <sheetName val="Staffs 30 Yard Box Tonnage"/>
      <sheetName val="30 Yard Box Tonnage"/>
    </sheetNames>
    <sheetDataSet>
      <sheetData sheetId="0"/>
      <sheetData sheetId="1">
        <row r="24">
          <cell r="I24">
            <v>15000</v>
          </cell>
        </row>
      </sheetData>
      <sheetData sheetId="2"/>
      <sheetData sheetId="3"/>
      <sheetData sheetId="4"/>
      <sheetData sheetId="5">
        <row r="55">
          <cell r="X55">
            <v>5.7225999999999999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2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mmond, Greg (UTC)" id="{69E2D96C-FF9A-4D57-9842-9CA6FDACA8D1}" userId="S::greg.hammond@utc.wa.gov::1a12d6dc-9091-421a-bf06-5f0772164ea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5" dT="2020-08-19T22:14:14.53" personId="{69E2D96C-FF9A-4D57-9842-9CA6FDACA8D1}" id="{2BD4251B-FBE0-4133-A703-250C9D9E6D83}">
    <text>These should be allocated directly using the costs for long-haul/disposal</text>
  </threadedComment>
  <threadedComment ref="W20" dT="2020-08-19T22:24:24.78" personId="{69E2D96C-FF9A-4D57-9842-9CA6FDACA8D1}" id="{52C3F3C5-04FD-44AB-9767-14F8B43C52F9}">
    <text>Updated the percentages on the Driver Hours Recap Worksheet, and allocated using these amounts</text>
  </threadedComment>
  <threadedComment ref="W28" dT="2020-08-19T22:25:11.45" personId="{69E2D96C-FF9A-4D57-9842-9CA6FDACA8D1}" id="{16975DF6-24B8-4539-8015-FDF7BE1B8C50}">
    <text>These two were pulling from the 6 month adjusted totals - updated links to pull from the 12 month totals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Q370"/>
  <sheetViews>
    <sheetView tabSelected="1" workbookViewId="0">
      <selection activeCell="T21" sqref="T21"/>
    </sheetView>
  </sheetViews>
  <sheetFormatPr defaultRowHeight="15"/>
  <cols>
    <col min="1" max="1" width="33.77734375" customWidth="1"/>
    <col min="2" max="2" width="12.109375" hidden="1" customWidth="1"/>
    <col min="3" max="3" width="10.44140625" hidden="1" customWidth="1"/>
    <col min="4" max="4" width="10.33203125" hidden="1" customWidth="1"/>
    <col min="5" max="5" width="11.5546875" hidden="1" customWidth="1"/>
    <col min="6" max="6" width="12.33203125" hidden="1" customWidth="1"/>
    <col min="7" max="7" width="10.33203125" hidden="1" customWidth="1"/>
    <col min="8" max="11" width="0" hidden="1" customWidth="1"/>
    <col min="12" max="12" width="9.88671875" hidden="1" customWidth="1"/>
    <col min="13" max="13" width="15.33203125" hidden="1" customWidth="1"/>
    <col min="14" max="14" width="6.109375" hidden="1" customWidth="1"/>
    <col min="15" max="15" width="3" hidden="1" customWidth="1"/>
    <col min="16" max="17" width="10.77734375" customWidth="1"/>
    <col min="18" max="18" width="12.21875" customWidth="1"/>
    <col min="19" max="19" width="9.88671875" customWidth="1"/>
    <col min="20" max="20" width="12.44140625" customWidth="1"/>
    <col min="21" max="21" width="9.88671875" customWidth="1"/>
    <col min="22" max="23" width="9.88671875" bestFit="1" customWidth="1"/>
    <col min="24" max="24" width="20.44140625" customWidth="1"/>
    <col min="26" max="26" width="10.77734375" bestFit="1" customWidth="1"/>
    <col min="27" max="27" width="11.5546875" customWidth="1"/>
    <col min="29" max="29" width="11.5546875" customWidth="1"/>
  </cols>
  <sheetData>
    <row r="1" spans="1:43" ht="15.75">
      <c r="A1" s="241"/>
      <c r="B1" s="550" t="s">
        <v>255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253"/>
      <c r="O1" s="253"/>
      <c r="P1" s="551" t="s">
        <v>361</v>
      </c>
      <c r="Q1" s="552"/>
      <c r="R1" s="552"/>
      <c r="S1" s="552"/>
      <c r="T1" s="552"/>
      <c r="U1" s="552"/>
      <c r="V1" s="552"/>
      <c r="W1" s="552"/>
      <c r="X1" s="552"/>
      <c r="Y1" s="552"/>
      <c r="Z1" s="241"/>
      <c r="AA1" s="241"/>
      <c r="AB1" s="241"/>
      <c r="AC1" s="241"/>
      <c r="AD1" s="241"/>
      <c r="AE1" s="241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</row>
    <row r="2" spans="1:43" ht="47.25">
      <c r="A2" s="241"/>
      <c r="B2" s="252" t="s">
        <v>250</v>
      </c>
      <c r="C2" s="254" t="s">
        <v>251</v>
      </c>
      <c r="D2" s="254" t="s">
        <v>252</v>
      </c>
      <c r="E2" s="254" t="s">
        <v>249</v>
      </c>
      <c r="F2" s="254" t="s">
        <v>256</v>
      </c>
      <c r="G2" s="254" t="s">
        <v>253</v>
      </c>
      <c r="H2" s="254" t="s">
        <v>254</v>
      </c>
      <c r="I2" s="254" t="s">
        <v>257</v>
      </c>
      <c r="J2" s="254" t="s">
        <v>258</v>
      </c>
      <c r="K2" s="255" t="s">
        <v>288</v>
      </c>
      <c r="L2" s="255" t="s">
        <v>289</v>
      </c>
      <c r="M2" s="255" t="s">
        <v>260</v>
      </c>
      <c r="N2" s="255" t="s">
        <v>262</v>
      </c>
      <c r="O2" s="255"/>
      <c r="P2" s="276" t="s">
        <v>250</v>
      </c>
      <c r="Q2" s="255" t="s">
        <v>251</v>
      </c>
      <c r="R2" s="257" t="s">
        <v>253</v>
      </c>
      <c r="S2" s="257" t="s">
        <v>292</v>
      </c>
      <c r="T2" s="257" t="s">
        <v>249</v>
      </c>
      <c r="U2" s="257" t="s">
        <v>254</v>
      </c>
      <c r="V2" s="257" t="s">
        <v>257</v>
      </c>
      <c r="W2" s="257" t="s">
        <v>258</v>
      </c>
      <c r="X2" s="257" t="s">
        <v>260</v>
      </c>
      <c r="Y2" s="241" t="s">
        <v>262</v>
      </c>
      <c r="Z2" s="241"/>
      <c r="AA2" s="241"/>
      <c r="AB2" s="241"/>
      <c r="AC2" s="241"/>
      <c r="AD2" s="241"/>
      <c r="AE2" s="241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ht="15.75">
      <c r="A3" s="242" t="s">
        <v>236</v>
      </c>
      <c r="B3" s="247" t="e">
        <f>#REF!</f>
        <v>#REF!</v>
      </c>
      <c r="C3" s="247" t="e">
        <f>#REF!-B3</f>
        <v>#REF!</v>
      </c>
      <c r="D3" s="247" t="e">
        <f>B3+C3</f>
        <v>#REF!</v>
      </c>
      <c r="E3" s="247"/>
      <c r="F3" s="247" t="e">
        <f>D3+E3</f>
        <v>#REF!</v>
      </c>
      <c r="G3" s="247"/>
      <c r="H3" s="247" t="e">
        <f>F3+G3</f>
        <v>#REF!</v>
      </c>
      <c r="I3" s="247" t="e">
        <f>H3</f>
        <v>#REF!</v>
      </c>
      <c r="J3" s="247"/>
      <c r="K3" s="247" t="e">
        <f>#REF!</f>
        <v>#REF!</v>
      </c>
      <c r="L3" s="247" t="e">
        <f>H3+K3</f>
        <v>#REF!</v>
      </c>
      <c r="M3" s="280" t="s">
        <v>261</v>
      </c>
      <c r="N3" s="239" t="e">
        <f t="shared" ref="N3:N10" si="0">SUM(I3:J3)-H3</f>
        <v>#REF!</v>
      </c>
      <c r="O3" s="239"/>
      <c r="P3" s="514">
        <f>'Price Out'!F50</f>
        <v>358220.42499999999</v>
      </c>
      <c r="Q3" s="239"/>
      <c r="R3" s="247"/>
      <c r="S3" s="247">
        <f>P3+Q3+R3</f>
        <v>358220.42499999999</v>
      </c>
      <c r="T3" s="247"/>
      <c r="U3" s="247">
        <f>S3+T3</f>
        <v>358220.42499999999</v>
      </c>
      <c r="V3" s="247">
        <f>S3</f>
        <v>358220.42499999999</v>
      </c>
      <c r="W3" s="247"/>
      <c r="X3" s="280" t="s">
        <v>261</v>
      </c>
      <c r="Y3" s="247">
        <f t="shared" ref="Y3:Y10" si="1">U3-V3-W3</f>
        <v>0</v>
      </c>
      <c r="Z3" s="247"/>
      <c r="AA3" s="241"/>
      <c r="AB3" s="241"/>
      <c r="AC3" s="241"/>
      <c r="AD3" s="241"/>
      <c r="AE3" s="241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</row>
    <row r="4" spans="1:43" ht="16.5" thickBot="1">
      <c r="A4" s="242" t="s">
        <v>237</v>
      </c>
      <c r="B4" s="247" t="e">
        <f>#REF!</f>
        <v>#REF!</v>
      </c>
      <c r="C4" s="247" t="e">
        <f>#REF!</f>
        <v>#REF!</v>
      </c>
      <c r="D4" s="247" t="e">
        <f t="shared" ref="D4:D10" si="2">B4+C4</f>
        <v>#REF!</v>
      </c>
      <c r="E4" s="247"/>
      <c r="F4" s="247" t="e">
        <f t="shared" ref="F4:F10" si="3">D4+E4</f>
        <v>#REF!</v>
      </c>
      <c r="G4" s="247"/>
      <c r="H4" s="247" t="e">
        <f t="shared" ref="H4:H10" si="4">F4+G4</f>
        <v>#REF!</v>
      </c>
      <c r="I4" s="247"/>
      <c r="J4" s="247" t="e">
        <f>H4</f>
        <v>#REF!</v>
      </c>
      <c r="K4" s="247" t="e">
        <f>#REF!</f>
        <v>#REF!</v>
      </c>
      <c r="L4" s="247" t="e">
        <f t="shared" ref="L4:L10" si="5">H4+K4</f>
        <v>#REF!</v>
      </c>
      <c r="M4" s="280" t="s">
        <v>261</v>
      </c>
      <c r="N4" s="239" t="e">
        <f t="shared" si="0"/>
        <v>#REF!</v>
      </c>
      <c r="O4" s="239"/>
      <c r="P4" s="277">
        <f>'Price Out'!F52</f>
        <v>121334.40000000001</v>
      </c>
      <c r="Q4" s="239"/>
      <c r="R4" s="247"/>
      <c r="S4" s="247">
        <f t="shared" ref="S4:S10" si="6">P4+Q4+R4</f>
        <v>121334.40000000001</v>
      </c>
      <c r="T4" s="247"/>
      <c r="U4" s="247">
        <f t="shared" ref="U4:U10" si="7">S4+T4</f>
        <v>121334.40000000001</v>
      </c>
      <c r="V4" s="247"/>
      <c r="W4" s="247">
        <f>S4</f>
        <v>121334.40000000001</v>
      </c>
      <c r="X4" s="280" t="s">
        <v>261</v>
      </c>
      <c r="Y4" s="247">
        <f t="shared" si="1"/>
        <v>0</v>
      </c>
      <c r="Z4" s="247"/>
      <c r="AA4" s="555" t="s">
        <v>304</v>
      </c>
      <c r="AB4" s="555"/>
      <c r="AC4" s="555"/>
      <c r="AD4" s="555"/>
      <c r="AE4" s="241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ht="15.75">
      <c r="A5" s="242" t="s">
        <v>145</v>
      </c>
      <c r="B5" s="247" t="e">
        <f>#REF!</f>
        <v>#REF!</v>
      </c>
      <c r="C5" s="247" t="e">
        <f>#REF!-B5</f>
        <v>#REF!</v>
      </c>
      <c r="D5" s="247" t="e">
        <f t="shared" si="2"/>
        <v>#REF!</v>
      </c>
      <c r="E5" s="247"/>
      <c r="F5" s="247" t="e">
        <f t="shared" si="3"/>
        <v>#REF!</v>
      </c>
      <c r="G5" s="247"/>
      <c r="H5" s="247" t="e">
        <f t="shared" si="4"/>
        <v>#REF!</v>
      </c>
      <c r="I5" s="247" t="e">
        <f>H5</f>
        <v>#REF!</v>
      </c>
      <c r="J5" s="247"/>
      <c r="K5" s="247" t="e">
        <f>#REF!</f>
        <v>#REF!</v>
      </c>
      <c r="L5" s="247" t="e">
        <f t="shared" si="5"/>
        <v>#REF!</v>
      </c>
      <c r="M5" s="280" t="s">
        <v>261</v>
      </c>
      <c r="N5" s="239" t="e">
        <f t="shared" si="0"/>
        <v>#REF!</v>
      </c>
      <c r="O5" s="239"/>
      <c r="P5" s="277">
        <v>80872.02</v>
      </c>
      <c r="Q5" s="239"/>
      <c r="R5" s="247"/>
      <c r="S5" s="247">
        <f t="shared" si="6"/>
        <v>80872.02</v>
      </c>
      <c r="T5" s="247"/>
      <c r="U5" s="247">
        <f t="shared" si="7"/>
        <v>80872.02</v>
      </c>
      <c r="V5" s="247">
        <f>S5</f>
        <v>80872.02</v>
      </c>
      <c r="W5" s="247"/>
      <c r="X5" s="280" t="s">
        <v>261</v>
      </c>
      <c r="Y5" s="247">
        <f t="shared" si="1"/>
        <v>0</v>
      </c>
      <c r="Z5" s="247"/>
      <c r="AA5" s="553" t="s">
        <v>305</v>
      </c>
      <c r="AB5" s="554"/>
      <c r="AC5" s="553" t="s">
        <v>245</v>
      </c>
      <c r="AD5" s="554"/>
      <c r="AE5" s="241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</row>
    <row r="6" spans="1:43" ht="15.75">
      <c r="A6" s="242" t="s">
        <v>146</v>
      </c>
      <c r="B6" s="247" t="e">
        <f>#REF!</f>
        <v>#REF!</v>
      </c>
      <c r="C6" s="247" t="e">
        <f>#REF!-B6+#REF!</f>
        <v>#REF!</v>
      </c>
      <c r="D6" s="247" t="e">
        <f>B6+C6</f>
        <v>#REF!</v>
      </c>
      <c r="E6" s="247"/>
      <c r="F6" s="247" t="e">
        <f t="shared" si="3"/>
        <v>#REF!</v>
      </c>
      <c r="G6" s="247"/>
      <c r="H6" s="247" t="e">
        <f t="shared" si="4"/>
        <v>#REF!</v>
      </c>
      <c r="I6" s="247" t="e">
        <f>H6</f>
        <v>#REF!</v>
      </c>
      <c r="J6" s="247"/>
      <c r="K6" s="247" t="e">
        <f>#REF!</f>
        <v>#REF!</v>
      </c>
      <c r="L6" s="247" t="e">
        <f t="shared" si="5"/>
        <v>#REF!</v>
      </c>
      <c r="M6" s="280" t="s">
        <v>261</v>
      </c>
      <c r="N6" s="239" t="e">
        <f t="shared" si="0"/>
        <v>#REF!</v>
      </c>
      <c r="O6" s="239"/>
      <c r="P6" s="277">
        <v>0</v>
      </c>
      <c r="Q6" s="239"/>
      <c r="R6" s="247"/>
      <c r="S6" s="247">
        <f t="shared" si="6"/>
        <v>0</v>
      </c>
      <c r="T6" s="247">
        <f>-S6</f>
        <v>0</v>
      </c>
      <c r="U6" s="247">
        <f t="shared" si="7"/>
        <v>0</v>
      </c>
      <c r="V6" s="247">
        <f>U6</f>
        <v>0</v>
      </c>
      <c r="W6" s="247"/>
      <c r="X6" s="280" t="s">
        <v>261</v>
      </c>
      <c r="Y6" s="247">
        <f t="shared" si="1"/>
        <v>0</v>
      </c>
      <c r="Z6" s="247"/>
      <c r="AA6" s="541" t="s">
        <v>168</v>
      </c>
      <c r="AB6" s="546">
        <f>'Drive Hours Recap'!J27</f>
        <v>0.6864434547851086</v>
      </c>
      <c r="AC6" s="541" t="s">
        <v>168</v>
      </c>
      <c r="AD6" s="542">
        <f>'Tonnage and Disposal June 2020'!C25</f>
        <v>0.63045572160405905</v>
      </c>
      <c r="AE6" s="241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</row>
    <row r="7" spans="1:43" ht="15.75">
      <c r="A7" s="242" t="s">
        <v>355</v>
      </c>
      <c r="B7" s="247" t="e">
        <f>#REF!</f>
        <v>#REF!</v>
      </c>
      <c r="C7" s="247"/>
      <c r="D7" s="247" t="e">
        <f t="shared" si="2"/>
        <v>#REF!</v>
      </c>
      <c r="E7" s="247" t="e">
        <f>-D7</f>
        <v>#REF!</v>
      </c>
      <c r="F7" s="247" t="e">
        <f t="shared" si="3"/>
        <v>#REF!</v>
      </c>
      <c r="G7" s="247"/>
      <c r="H7" s="247" t="e">
        <f t="shared" si="4"/>
        <v>#REF!</v>
      </c>
      <c r="I7" s="247"/>
      <c r="J7" s="247"/>
      <c r="K7" s="247"/>
      <c r="L7" s="247" t="e">
        <f t="shared" si="5"/>
        <v>#REF!</v>
      </c>
      <c r="M7" s="280" t="s">
        <v>261</v>
      </c>
      <c r="N7" s="239" t="e">
        <f t="shared" si="0"/>
        <v>#REF!</v>
      </c>
      <c r="O7" s="239"/>
      <c r="P7" s="277">
        <v>100762.57</v>
      </c>
      <c r="Q7" s="239"/>
      <c r="R7" s="247"/>
      <c r="S7" s="247">
        <f t="shared" si="6"/>
        <v>100762.57</v>
      </c>
      <c r="T7" s="247">
        <f>-S7</f>
        <v>-100762.57</v>
      </c>
      <c r="U7" s="247">
        <f t="shared" si="7"/>
        <v>0</v>
      </c>
      <c r="V7" s="247"/>
      <c r="W7" s="247"/>
      <c r="X7" s="280" t="s">
        <v>261</v>
      </c>
      <c r="Y7" s="247">
        <f t="shared" si="1"/>
        <v>0</v>
      </c>
      <c r="Z7" s="247"/>
      <c r="AA7" s="541" t="s">
        <v>240</v>
      </c>
      <c r="AB7" s="546">
        <f>'Drive Hours Recap'!J28</f>
        <v>0.3135565452148914</v>
      </c>
      <c r="AC7" s="541" t="s">
        <v>240</v>
      </c>
      <c r="AD7" s="542">
        <f>'Tonnage and Disposal June 2020'!C26</f>
        <v>0.36954427839594095</v>
      </c>
      <c r="AE7" s="241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</row>
    <row r="8" spans="1:43" ht="15.75">
      <c r="A8" s="242" t="s">
        <v>147</v>
      </c>
      <c r="B8" s="247" t="e">
        <f>#REF!</f>
        <v>#REF!</v>
      </c>
      <c r="C8" s="247"/>
      <c r="D8" s="247" t="e">
        <f t="shared" si="2"/>
        <v>#REF!</v>
      </c>
      <c r="E8" s="247"/>
      <c r="F8" s="247" t="e">
        <f t="shared" si="3"/>
        <v>#REF!</v>
      </c>
      <c r="G8" s="247"/>
      <c r="H8" s="247" t="e">
        <f t="shared" si="4"/>
        <v>#REF!</v>
      </c>
      <c r="I8" s="247"/>
      <c r="J8" s="247"/>
      <c r="K8" s="247"/>
      <c r="L8" s="247" t="e">
        <f t="shared" si="5"/>
        <v>#REF!</v>
      </c>
      <c r="M8" s="280" t="s">
        <v>261</v>
      </c>
      <c r="N8" s="239" t="e">
        <f t="shared" si="0"/>
        <v>#REF!</v>
      </c>
      <c r="O8" s="239"/>
      <c r="P8" s="277"/>
      <c r="Q8" s="239"/>
      <c r="R8" s="247"/>
      <c r="S8" s="247">
        <f>P8+Q8+R8</f>
        <v>0</v>
      </c>
      <c r="T8" s="247"/>
      <c r="U8" s="247">
        <f t="shared" si="7"/>
        <v>0</v>
      </c>
      <c r="V8" s="247"/>
      <c r="W8" s="247"/>
      <c r="X8" s="280" t="s">
        <v>261</v>
      </c>
      <c r="Y8" s="247">
        <f t="shared" si="1"/>
        <v>0</v>
      </c>
      <c r="Z8" s="247"/>
      <c r="AA8" s="541"/>
      <c r="AB8" s="543"/>
      <c r="AC8" s="541"/>
      <c r="AD8" s="543"/>
      <c r="AE8" s="241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</row>
    <row r="9" spans="1:43" ht="15.75">
      <c r="A9" s="242" t="s">
        <v>148</v>
      </c>
      <c r="B9" s="247" t="e">
        <f>#REF!</f>
        <v>#REF!</v>
      </c>
      <c r="C9" s="247"/>
      <c r="D9" s="247" t="e">
        <f t="shared" si="2"/>
        <v>#REF!</v>
      </c>
      <c r="E9" s="247"/>
      <c r="F9" s="247" t="e">
        <f t="shared" si="3"/>
        <v>#REF!</v>
      </c>
      <c r="G9" s="247"/>
      <c r="H9" s="247" t="e">
        <f t="shared" si="4"/>
        <v>#REF!</v>
      </c>
      <c r="I9" s="247"/>
      <c r="J9" s="247"/>
      <c r="K9" s="247"/>
      <c r="L9" s="247" t="e">
        <f t="shared" si="5"/>
        <v>#REF!</v>
      </c>
      <c r="M9" s="280" t="s">
        <v>261</v>
      </c>
      <c r="N9" s="239" t="e">
        <f t="shared" si="0"/>
        <v>#REF!</v>
      </c>
      <c r="O9" s="239"/>
      <c r="P9" s="277">
        <f>8112.33+39.9</f>
        <v>8152.23</v>
      </c>
      <c r="Q9" s="239"/>
      <c r="R9" s="247"/>
      <c r="S9" s="247">
        <f>P9+Q9+R9</f>
        <v>8152.23</v>
      </c>
      <c r="T9" s="247"/>
      <c r="U9" s="247">
        <f t="shared" si="7"/>
        <v>8152.23</v>
      </c>
      <c r="V9" s="247">
        <f>S9</f>
        <v>8152.23</v>
      </c>
      <c r="W9" s="247"/>
      <c r="X9" s="280" t="s">
        <v>261</v>
      </c>
      <c r="Y9" s="247">
        <f t="shared" si="1"/>
        <v>0</v>
      </c>
      <c r="Z9" s="247"/>
      <c r="AA9" s="541" t="s">
        <v>166</v>
      </c>
      <c r="AB9" s="546">
        <f>'Drive Hours Recap'!F27</f>
        <v>0.50156027946704529</v>
      </c>
      <c r="AC9" s="541"/>
      <c r="AD9" s="543"/>
      <c r="AE9" s="241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</row>
    <row r="10" spans="1:43" ht="16.5" thickBot="1">
      <c r="A10" s="242" t="s">
        <v>149</v>
      </c>
      <c r="B10" s="248" t="e">
        <f>#REF!</f>
        <v>#REF!</v>
      </c>
      <c r="C10" s="248"/>
      <c r="D10" s="248" t="e">
        <f t="shared" si="2"/>
        <v>#REF!</v>
      </c>
      <c r="E10" s="248"/>
      <c r="F10" s="248" t="e">
        <f t="shared" si="3"/>
        <v>#REF!</v>
      </c>
      <c r="G10" s="248"/>
      <c r="H10" s="248" t="e">
        <f t="shared" si="4"/>
        <v>#REF!</v>
      </c>
      <c r="I10" s="248"/>
      <c r="J10" s="248"/>
      <c r="K10" s="248"/>
      <c r="L10" s="248" t="e">
        <f t="shared" si="5"/>
        <v>#REF!</v>
      </c>
      <c r="M10" s="280" t="s">
        <v>261</v>
      </c>
      <c r="N10" s="239" t="e">
        <f t="shared" si="0"/>
        <v>#REF!</v>
      </c>
      <c r="O10" s="239"/>
      <c r="P10" s="277"/>
      <c r="Q10" s="248"/>
      <c r="R10" s="248"/>
      <c r="S10" s="248">
        <f t="shared" si="6"/>
        <v>0</v>
      </c>
      <c r="T10" s="248"/>
      <c r="U10" s="248">
        <f t="shared" si="7"/>
        <v>0</v>
      </c>
      <c r="V10" s="248"/>
      <c r="W10" s="248"/>
      <c r="X10" s="280" t="s">
        <v>261</v>
      </c>
      <c r="Y10" s="247">
        <f t="shared" si="1"/>
        <v>0</v>
      </c>
      <c r="Z10" s="239"/>
      <c r="AA10" s="544" t="s">
        <v>167</v>
      </c>
      <c r="AB10" s="547">
        <f>'Drive Hours Recap'!F28</f>
        <v>0.49843972053295477</v>
      </c>
      <c r="AC10" s="544"/>
      <c r="AD10" s="545"/>
      <c r="AE10" s="241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</row>
    <row r="11" spans="1:43" ht="15.75">
      <c r="A11" s="246" t="s">
        <v>234</v>
      </c>
      <c r="B11" s="247" t="e">
        <f>SUM(B3:B10)</f>
        <v>#REF!</v>
      </c>
      <c r="C11" s="247" t="e">
        <f t="shared" ref="C11:H11" si="8">SUM(C3:C10)</f>
        <v>#REF!</v>
      </c>
      <c r="D11" s="247" t="e">
        <f t="shared" si="8"/>
        <v>#REF!</v>
      </c>
      <c r="E11" s="247" t="e">
        <f t="shared" si="8"/>
        <v>#REF!</v>
      </c>
      <c r="F11" s="247" t="e">
        <f t="shared" si="8"/>
        <v>#REF!</v>
      </c>
      <c r="G11" s="247">
        <f t="shared" si="8"/>
        <v>0</v>
      </c>
      <c r="H11" s="247" t="e">
        <f t="shared" si="8"/>
        <v>#REF!</v>
      </c>
      <c r="I11" s="247" t="e">
        <f>SUM(I3:I10)</f>
        <v>#REF!</v>
      </c>
      <c r="J11" s="247" t="e">
        <f>SUM(J3:J10)</f>
        <v>#REF!</v>
      </c>
      <c r="K11" s="247" t="e">
        <f>SUM(K3:K10)</f>
        <v>#REF!</v>
      </c>
      <c r="L11" s="247" t="e">
        <f>SUM(L3:L10)</f>
        <v>#REF!</v>
      </c>
      <c r="M11" s="247"/>
      <c r="N11" s="239" t="e">
        <f>SUM(I11:J11)-H11</f>
        <v>#REF!</v>
      </c>
      <c r="O11" s="247"/>
      <c r="P11" s="283">
        <f>SUM(P3:P10)</f>
        <v>669341.64500000002</v>
      </c>
      <c r="Q11" s="239">
        <f t="shared" ref="Q11" si="9">SUM(Q3:Q10)</f>
        <v>0</v>
      </c>
      <c r="R11" s="239">
        <f>SUM(R3:R10)</f>
        <v>0</v>
      </c>
      <c r="S11" s="239">
        <f t="shared" ref="S11:W11" si="10">SUM(S3:S10)</f>
        <v>669341.64500000002</v>
      </c>
      <c r="T11" s="239">
        <f t="shared" si="10"/>
        <v>-100762.57</v>
      </c>
      <c r="U11" s="239">
        <f t="shared" si="10"/>
        <v>568579.07499999995</v>
      </c>
      <c r="V11" s="239">
        <f t="shared" si="10"/>
        <v>447244.67499999999</v>
      </c>
      <c r="W11" s="239">
        <f t="shared" si="10"/>
        <v>121334.40000000001</v>
      </c>
      <c r="X11" s="239"/>
      <c r="Y11" s="247"/>
      <c r="Z11" s="247"/>
      <c r="AA11" s="241"/>
      <c r="AB11" s="241"/>
      <c r="AC11" s="241"/>
      <c r="AD11" s="241"/>
      <c r="AE11" s="241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</row>
    <row r="12" spans="1:43" ht="15.75">
      <c r="A12" s="244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39"/>
      <c r="N12" s="239"/>
      <c r="O12" s="239"/>
      <c r="P12" s="277"/>
      <c r="Q12" s="239"/>
      <c r="R12" s="247"/>
      <c r="S12" s="247"/>
      <c r="T12" s="247"/>
      <c r="U12" s="247"/>
      <c r="V12" s="247"/>
      <c r="W12" s="247"/>
      <c r="X12" s="247">
        <f ca="1">'Garbage LG 2019 '!J21+'Recycling LG 2019'!J21</f>
        <v>493993.16147786978</v>
      </c>
      <c r="Y12" s="247"/>
      <c r="Z12" s="241"/>
      <c r="AA12" s="241"/>
      <c r="AB12" s="241"/>
      <c r="AC12" s="241"/>
      <c r="AD12" s="241"/>
      <c r="AE12" s="241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</row>
    <row r="13" spans="1:43" ht="15.75">
      <c r="A13" s="243"/>
      <c r="B13" s="247"/>
      <c r="C13" s="247"/>
      <c r="D13" s="247"/>
      <c r="E13" s="247"/>
      <c r="F13" s="247"/>
      <c r="G13" s="247"/>
      <c r="H13" s="247"/>
      <c r="I13" s="247"/>
      <c r="J13" s="247"/>
      <c r="K13" s="278"/>
      <c r="L13" s="294" t="e">
        <f>(L11-H11)/H11</f>
        <v>#REF!</v>
      </c>
      <c r="M13" s="239"/>
      <c r="N13" s="239"/>
      <c r="O13" s="239"/>
      <c r="P13" s="277"/>
      <c r="Q13" s="239"/>
      <c r="R13" s="247"/>
      <c r="S13" s="247"/>
      <c r="T13" s="247"/>
      <c r="U13" s="487"/>
      <c r="V13" s="247"/>
      <c r="W13" s="247"/>
      <c r="X13" s="247"/>
      <c r="Y13" s="247"/>
      <c r="Z13" s="241"/>
      <c r="AA13" s="241"/>
      <c r="AB13" s="241"/>
      <c r="AC13" s="241"/>
      <c r="AD13" s="241"/>
      <c r="AE13" s="241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</row>
    <row r="14" spans="1:43" ht="15.75">
      <c r="A14" s="246" t="s">
        <v>317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39"/>
      <c r="N14" s="239"/>
      <c r="O14" s="239"/>
      <c r="P14" s="277"/>
      <c r="Q14" s="239"/>
      <c r="R14" s="247"/>
      <c r="S14" s="247"/>
      <c r="T14" s="247"/>
      <c r="U14" s="247"/>
      <c r="V14" s="247"/>
      <c r="W14" s="247"/>
      <c r="X14" s="247"/>
      <c r="Y14" s="247"/>
      <c r="Z14" s="241"/>
      <c r="AA14" s="241"/>
      <c r="AB14" s="241"/>
      <c r="AC14" s="241"/>
      <c r="AD14" s="241"/>
      <c r="AE14" s="241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</row>
    <row r="15" spans="1:43" ht="15.75">
      <c r="A15" s="242" t="s">
        <v>150</v>
      </c>
      <c r="B15" s="271" t="e">
        <f>#REF!</f>
        <v>#REF!</v>
      </c>
      <c r="C15" s="247"/>
      <c r="D15" s="247" t="e">
        <f>B15+C15</f>
        <v>#REF!</v>
      </c>
      <c r="E15" s="247">
        <v>0</v>
      </c>
      <c r="F15" s="247" t="e">
        <f>D15+E15</f>
        <v>#REF!</v>
      </c>
      <c r="G15" s="247" t="e">
        <f>#REF!+#REF!+#REF!-'Pro Forma IS'!F15</f>
        <v>#REF!</v>
      </c>
      <c r="H15" s="247" t="e">
        <f>F15+G15</f>
        <v>#REF!</v>
      </c>
      <c r="I15" s="247" t="e">
        <f>#REF!+#REF!</f>
        <v>#REF!</v>
      </c>
      <c r="J15" s="247" t="e">
        <f>#REF!</f>
        <v>#REF!</v>
      </c>
      <c r="K15" s="247"/>
      <c r="L15" s="247"/>
      <c r="M15" s="280" t="s">
        <v>261</v>
      </c>
      <c r="N15" s="239" t="e">
        <f>SUM(I15:J15)-H15</f>
        <v>#REF!</v>
      </c>
      <c r="O15" s="239"/>
      <c r="P15" s="277">
        <v>115164.02</v>
      </c>
      <c r="Q15" s="239"/>
      <c r="R15" s="247"/>
      <c r="S15" s="247">
        <f t="shared" ref="S15:S42" si="11">P15+Q15+R15</f>
        <v>115164.02</v>
      </c>
      <c r="T15" s="540">
        <f>-(S15*$AD$7)</f>
        <v>-42558.204668075712</v>
      </c>
      <c r="U15" s="540">
        <f>S15+T15</f>
        <v>72605.815331924299</v>
      </c>
      <c r="V15" s="258">
        <f>U15*$AB$9</f>
        <v>36416.193028812631</v>
      </c>
      <c r="W15" s="540">
        <f t="shared" ref="W15:W16" si="12">U15*$AB$10</f>
        <v>36189.622303111668</v>
      </c>
      <c r="X15" s="280" t="s">
        <v>261</v>
      </c>
      <c r="Y15" s="247">
        <f t="shared" ref="Y15:Y43" si="13">U15-V15-W15</f>
        <v>0</v>
      </c>
      <c r="Z15" s="241"/>
      <c r="AA15" s="241"/>
      <c r="AB15" s="292"/>
      <c r="AC15" s="292"/>
      <c r="AD15" s="241"/>
      <c r="AE15" s="241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</row>
    <row r="16" spans="1:43" ht="15.75" hidden="1">
      <c r="A16" s="242" t="s">
        <v>151</v>
      </c>
      <c r="B16" s="247" t="e">
        <f>#REF!</f>
        <v>#REF!</v>
      </c>
      <c r="C16" s="247"/>
      <c r="D16" s="247" t="e">
        <f t="shared" ref="D16:D43" si="14">B16+C16</f>
        <v>#REF!</v>
      </c>
      <c r="E16" s="247" t="e">
        <f>-D16*'Drive Hours Recap'!$L$42</f>
        <v>#REF!</v>
      </c>
      <c r="F16" s="247" t="e">
        <f t="shared" ref="F16:F43" si="15">D16+E16</f>
        <v>#REF!</v>
      </c>
      <c r="G16" s="247"/>
      <c r="H16" s="247" t="e">
        <f t="shared" ref="H16:H43" si="16">F16+G16</f>
        <v>#REF!</v>
      </c>
      <c r="I16" s="247" t="e">
        <f>H16*'Drive Hours Recap'!$E$32</f>
        <v>#REF!</v>
      </c>
      <c r="J16" s="247" t="e">
        <f>H16*'Drive Hours Recap'!$E$33</f>
        <v>#REF!</v>
      </c>
      <c r="K16" s="247"/>
      <c r="L16" s="247"/>
      <c r="M16" s="279" t="s">
        <v>185</v>
      </c>
      <c r="N16" s="239" t="e">
        <f t="shared" ref="N16:N43" si="17">SUM(I16:J16)-H16</f>
        <v>#REF!</v>
      </c>
      <c r="O16" s="239"/>
      <c r="P16" s="277"/>
      <c r="Q16" s="239"/>
      <c r="R16" s="247"/>
      <c r="S16" s="247">
        <f t="shared" si="11"/>
        <v>0</v>
      </c>
      <c r="T16" s="247">
        <f t="shared" ref="T16" si="18">-(S16*$AB$7)</f>
        <v>0</v>
      </c>
      <c r="U16" s="247">
        <f t="shared" ref="U16:U43" si="19">S16+T16</f>
        <v>0</v>
      </c>
      <c r="V16" s="247">
        <f t="shared" ref="V16" si="20">U16*$AB$9</f>
        <v>0</v>
      </c>
      <c r="W16" s="247">
        <f t="shared" si="12"/>
        <v>0</v>
      </c>
      <c r="X16" s="279" t="s">
        <v>264</v>
      </c>
      <c r="Y16" s="247">
        <f t="shared" si="13"/>
        <v>0</v>
      </c>
      <c r="Z16" s="241"/>
      <c r="AA16" s="241"/>
      <c r="AB16" s="241"/>
      <c r="AC16" s="241"/>
      <c r="AD16" s="241"/>
      <c r="AE16" s="241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</row>
    <row r="17" spans="1:43" ht="15.75">
      <c r="A17" s="242" t="s">
        <v>344</v>
      </c>
      <c r="B17" s="271" t="e">
        <f>#REF!</f>
        <v>#REF!</v>
      </c>
      <c r="C17" s="247"/>
      <c r="D17" s="247" t="e">
        <f t="shared" si="14"/>
        <v>#REF!</v>
      </c>
      <c r="E17" s="247" t="e">
        <f>-D17*'Drive Hours Recap'!$L$42</f>
        <v>#REF!</v>
      </c>
      <c r="F17" s="247" t="e">
        <f t="shared" si="15"/>
        <v>#REF!</v>
      </c>
      <c r="G17" s="247"/>
      <c r="H17" s="247" t="e">
        <f t="shared" si="16"/>
        <v>#REF!</v>
      </c>
      <c r="I17" s="247" t="e">
        <f>H17*'Drive Hours Recap'!$E$32</f>
        <v>#REF!</v>
      </c>
      <c r="J17" s="247" t="e">
        <f>H17*'Drive Hours Recap'!$E$33</f>
        <v>#REF!</v>
      </c>
      <c r="K17" s="247"/>
      <c r="L17" s="247"/>
      <c r="M17" s="279" t="s">
        <v>185</v>
      </c>
      <c r="N17" s="239" t="e">
        <f t="shared" si="17"/>
        <v>#REF!</v>
      </c>
      <c r="O17" s="239"/>
      <c r="P17" s="277">
        <v>12626.53</v>
      </c>
      <c r="Q17" s="239"/>
      <c r="R17" s="247"/>
      <c r="S17" s="247">
        <f t="shared" si="11"/>
        <v>12626.53</v>
      </c>
      <c r="T17" s="247">
        <f>-(S17*$AB$7)</f>
        <v>-3959.1311248521829</v>
      </c>
      <c r="U17" s="247">
        <f t="shared" si="19"/>
        <v>8667.3988751478173</v>
      </c>
      <c r="V17" s="247">
        <f>U17*$AB$9</f>
        <v>4347.2230020714933</v>
      </c>
      <c r="W17" s="247">
        <f>U17*$AB$10</f>
        <v>4320.1758730763249</v>
      </c>
      <c r="X17" s="279" t="s">
        <v>264</v>
      </c>
      <c r="Y17" s="247">
        <f t="shared" si="13"/>
        <v>0</v>
      </c>
      <c r="Z17" s="241"/>
      <c r="AA17" s="241"/>
      <c r="AB17" s="241"/>
      <c r="AC17" s="292"/>
      <c r="AD17" s="241"/>
      <c r="AE17" s="241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</row>
    <row r="18" spans="1:43" ht="15.75">
      <c r="A18" s="242" t="s">
        <v>152</v>
      </c>
      <c r="B18" s="271" t="e">
        <f>#REF!</f>
        <v>#REF!</v>
      </c>
      <c r="C18" s="247"/>
      <c r="D18" s="247" t="e">
        <f t="shared" si="14"/>
        <v>#REF!</v>
      </c>
      <c r="E18" s="247" t="e">
        <f>-D18*'Drive Hours Recap'!$L$42</f>
        <v>#REF!</v>
      </c>
      <c r="F18" s="247" t="e">
        <f t="shared" si="15"/>
        <v>#REF!</v>
      </c>
      <c r="G18" s="247"/>
      <c r="H18" s="247" t="e">
        <f t="shared" si="16"/>
        <v>#REF!</v>
      </c>
      <c r="I18" s="247" t="e">
        <f>H18*'Drive Hours Recap'!$E$32</f>
        <v>#REF!</v>
      </c>
      <c r="J18" s="247" t="e">
        <f>H18*'Drive Hours Recap'!$E$33</f>
        <v>#REF!</v>
      </c>
      <c r="K18" s="247"/>
      <c r="L18" s="247"/>
      <c r="M18" s="279" t="s">
        <v>185</v>
      </c>
      <c r="N18" s="239" t="e">
        <f t="shared" si="17"/>
        <v>#REF!</v>
      </c>
      <c r="O18" s="239"/>
      <c r="P18" s="277">
        <v>54.09</v>
      </c>
      <c r="Q18" s="239"/>
      <c r="R18" s="247"/>
      <c r="S18" s="247">
        <f t="shared" si="11"/>
        <v>54.09</v>
      </c>
      <c r="T18" s="247">
        <f>-(S18*$AB$7)</f>
        <v>-16.960273530673476</v>
      </c>
      <c r="U18" s="247">
        <f t="shared" si="19"/>
        <v>37.129726469326528</v>
      </c>
      <c r="V18" s="247">
        <f>U18*$AB$9</f>
        <v>18.622795984490363</v>
      </c>
      <c r="W18" s="247">
        <f>U18*$AB$10</f>
        <v>18.506930484836168</v>
      </c>
      <c r="X18" s="279" t="s">
        <v>264</v>
      </c>
      <c r="Y18" s="247">
        <f t="shared" si="13"/>
        <v>0</v>
      </c>
      <c r="Z18" s="241"/>
      <c r="AA18" s="241"/>
      <c r="AB18" s="241"/>
      <c r="AC18" s="292"/>
      <c r="AD18" s="292"/>
      <c r="AE18" s="241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</row>
    <row r="19" spans="1:43" ht="15.75">
      <c r="A19" s="242" t="s">
        <v>374</v>
      </c>
      <c r="B19" s="247" t="e">
        <f>#REF!</f>
        <v>#REF!</v>
      </c>
      <c r="C19" s="247"/>
      <c r="D19" s="247" t="e">
        <f t="shared" si="14"/>
        <v>#REF!</v>
      </c>
      <c r="E19" s="247" t="e">
        <f>-D19*'Drive Hours Recap'!$L$42</f>
        <v>#REF!</v>
      </c>
      <c r="F19" s="247" t="e">
        <f t="shared" si="15"/>
        <v>#REF!</v>
      </c>
      <c r="G19" s="247"/>
      <c r="H19" s="247" t="e">
        <f t="shared" si="16"/>
        <v>#REF!</v>
      </c>
      <c r="I19" s="247" t="e">
        <f>H19*'Drive Hours Recap'!$E$32</f>
        <v>#REF!</v>
      </c>
      <c r="J19" s="247" t="e">
        <f>H19*'Drive Hours Recap'!$E$33</f>
        <v>#REF!</v>
      </c>
      <c r="K19" s="247"/>
      <c r="L19" s="247"/>
      <c r="M19" s="279" t="s">
        <v>185</v>
      </c>
      <c r="N19" s="239" t="e">
        <f t="shared" si="17"/>
        <v>#REF!</v>
      </c>
      <c r="O19" s="239"/>
      <c r="P19" s="277">
        <v>2730.8</v>
      </c>
      <c r="Q19" s="239"/>
      <c r="R19" s="247"/>
      <c r="S19" s="247">
        <f t="shared" si="11"/>
        <v>2730.8</v>
      </c>
      <c r="T19" s="247"/>
      <c r="U19" s="247">
        <f t="shared" si="19"/>
        <v>2730.8</v>
      </c>
      <c r="V19" s="247">
        <f>U19*$AB$9</f>
        <v>1369.6608111686073</v>
      </c>
      <c r="W19" s="247">
        <f>U19*$AB$10</f>
        <v>1361.1391888313929</v>
      </c>
      <c r="X19" s="279" t="s">
        <v>264</v>
      </c>
      <c r="Y19" s="247">
        <f t="shared" si="13"/>
        <v>0</v>
      </c>
      <c r="Z19" s="241"/>
      <c r="AA19" s="241"/>
      <c r="AB19" s="241"/>
      <c r="AC19" s="241"/>
      <c r="AD19" s="241"/>
      <c r="AE19" s="241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</row>
    <row r="20" spans="1:43" ht="15.75">
      <c r="A20" s="242" t="s">
        <v>356</v>
      </c>
      <c r="B20" s="271" t="e">
        <f>#REF!</f>
        <v>#REF!</v>
      </c>
      <c r="C20" s="247"/>
      <c r="D20" s="247" t="e">
        <f>B20+C20</f>
        <v>#REF!</v>
      </c>
      <c r="E20" s="247" t="e">
        <f>'Drive Hours Recap'!H21-'Pro Forma IS'!B20</f>
        <v>#REF!</v>
      </c>
      <c r="F20" s="247" t="e">
        <f>D20+E20</f>
        <v>#REF!</v>
      </c>
      <c r="G20" s="247"/>
      <c r="H20" s="247" t="e">
        <f t="shared" si="16"/>
        <v>#REF!</v>
      </c>
      <c r="I20" s="247">
        <f>'Drive Hours Recap'!C21+'Drive Hours Recap'!E21+'Drive Hours Recap'!G21</f>
        <v>35357.5</v>
      </c>
      <c r="J20" s="247">
        <f>'Drive Hours Recap'!D21+'Drive Hours Recap'!F21</f>
        <v>26171.5</v>
      </c>
      <c r="K20" s="247"/>
      <c r="L20" s="247"/>
      <c r="M20" s="280" t="s">
        <v>261</v>
      </c>
      <c r="N20" s="239" t="e">
        <f t="shared" si="17"/>
        <v>#REF!</v>
      </c>
      <c r="O20" s="239"/>
      <c r="P20" s="277">
        <v>149185.44</v>
      </c>
      <c r="Q20" s="247"/>
      <c r="R20" s="240"/>
      <c r="S20" s="247">
        <f t="shared" si="11"/>
        <v>149185.44</v>
      </c>
      <c r="T20" s="540">
        <f>'Drive Hours Recap'!X16-'Pro Forma IS'!S20</f>
        <v>339.85052648978308</v>
      </c>
      <c r="U20" s="540">
        <f>S20+T20</f>
        <v>149525.29052648979</v>
      </c>
      <c r="V20" s="540">
        <f>'Drive Hours Recap'!X6+'Drive Hours Recap'!Z9</f>
        <v>74195.515082865037</v>
      </c>
      <c r="W20" s="540">
        <f>'Drive Hours Recap'!X7+'Drive Hours Recap'!AA9</f>
        <v>75329.775443624734</v>
      </c>
      <c r="X20" s="280" t="s">
        <v>261</v>
      </c>
      <c r="Y20" s="247">
        <f>U20-V20-W20</f>
        <v>0</v>
      </c>
      <c r="Z20" s="241"/>
      <c r="AA20" s="241"/>
      <c r="AB20" s="241"/>
      <c r="AC20" s="241"/>
      <c r="AD20" s="241"/>
      <c r="AE20" s="241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</row>
    <row r="21" spans="1:43" ht="15.75">
      <c r="A21" s="242" t="s">
        <v>233</v>
      </c>
      <c r="B21" s="247" t="e">
        <f>#REF!</f>
        <v>#REF!</v>
      </c>
      <c r="C21" s="247"/>
      <c r="D21" s="247" t="e">
        <f t="shared" si="14"/>
        <v>#REF!</v>
      </c>
      <c r="E21" s="247" t="e">
        <f>-D21*'Drive Hours Recap'!$L$42</f>
        <v>#REF!</v>
      </c>
      <c r="F21" s="247" t="e">
        <f t="shared" si="15"/>
        <v>#REF!</v>
      </c>
      <c r="G21" s="247"/>
      <c r="H21" s="247" t="e">
        <f t="shared" si="16"/>
        <v>#REF!</v>
      </c>
      <c r="I21" s="247" t="e">
        <f>H21*'Drive Hours Recap'!$E$32</f>
        <v>#REF!</v>
      </c>
      <c r="J21" s="247" t="e">
        <f>H21*'Drive Hours Recap'!$E$33</f>
        <v>#REF!</v>
      </c>
      <c r="K21" s="247"/>
      <c r="L21" s="247"/>
      <c r="M21" s="279" t="s">
        <v>185</v>
      </c>
      <c r="N21" s="239" t="e">
        <f t="shared" si="17"/>
        <v>#REF!</v>
      </c>
      <c r="O21" s="239"/>
      <c r="P21" s="277">
        <f>230+6906.25</f>
        <v>7136.25</v>
      </c>
      <c r="Q21" s="239"/>
      <c r="R21" s="247"/>
      <c r="S21" s="247">
        <f t="shared" si="11"/>
        <v>7136.25</v>
      </c>
      <c r="T21" s="247">
        <f t="shared" ref="T21:T42" si="21">-(S21*$AB$7)</f>
        <v>-2237.6178957897687</v>
      </c>
      <c r="U21" s="247">
        <f t="shared" si="19"/>
        <v>4898.6321042102318</v>
      </c>
      <c r="V21" s="247">
        <f t="shared" ref="V21:V27" si="22">U21*$AB$9</f>
        <v>2456.959287193924</v>
      </c>
      <c r="W21" s="247">
        <f t="shared" ref="W21:W27" si="23">U21*$AB$10</f>
        <v>2441.6728170163083</v>
      </c>
      <c r="X21" s="279" t="s">
        <v>264</v>
      </c>
      <c r="Y21" s="247">
        <f t="shared" si="13"/>
        <v>0</v>
      </c>
      <c r="Z21" s="241"/>
      <c r="AA21" s="241"/>
      <c r="AB21" s="241"/>
      <c r="AC21" s="292"/>
      <c r="AD21" s="241"/>
      <c r="AE21" s="241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</row>
    <row r="22" spans="1:43" ht="15.75">
      <c r="A22" s="242" t="s">
        <v>153</v>
      </c>
      <c r="B22" s="247" t="e">
        <f>#REF!</f>
        <v>#REF!</v>
      </c>
      <c r="C22" s="247"/>
      <c r="D22" s="247" t="e">
        <f t="shared" si="14"/>
        <v>#REF!</v>
      </c>
      <c r="E22" s="247" t="e">
        <f>-D22*'Drive Hours Recap'!$L$42</f>
        <v>#REF!</v>
      </c>
      <c r="F22" s="247" t="e">
        <f t="shared" si="15"/>
        <v>#REF!</v>
      </c>
      <c r="G22" s="247"/>
      <c r="H22" s="247" t="e">
        <f t="shared" si="16"/>
        <v>#REF!</v>
      </c>
      <c r="I22" s="247" t="e">
        <f>H22*'Drive Hours Recap'!$E$32</f>
        <v>#REF!</v>
      </c>
      <c r="J22" s="247" t="e">
        <f>H22*'Drive Hours Recap'!$E$33</f>
        <v>#REF!</v>
      </c>
      <c r="K22" s="247"/>
      <c r="L22" s="247"/>
      <c r="M22" s="279" t="s">
        <v>185</v>
      </c>
      <c r="N22" s="239" t="e">
        <f t="shared" si="17"/>
        <v>#REF!</v>
      </c>
      <c r="O22" s="239"/>
      <c r="P22" s="277">
        <v>7150.81</v>
      </c>
      <c r="Q22" s="239"/>
      <c r="R22" s="247"/>
      <c r="S22" s="247">
        <f t="shared" si="11"/>
        <v>7150.81</v>
      </c>
      <c r="T22" s="247">
        <f t="shared" si="21"/>
        <v>-2242.1832790880976</v>
      </c>
      <c r="U22" s="247">
        <f t="shared" si="19"/>
        <v>4908.6267209119032</v>
      </c>
      <c r="V22" s="247">
        <f t="shared" si="22"/>
        <v>2461.9721899399801</v>
      </c>
      <c r="W22" s="247">
        <f t="shared" si="23"/>
        <v>2446.6545309719231</v>
      </c>
      <c r="X22" s="279" t="s">
        <v>264</v>
      </c>
      <c r="Y22" s="247">
        <f t="shared" si="13"/>
        <v>0</v>
      </c>
      <c r="Z22" s="241"/>
      <c r="AA22" s="241"/>
      <c r="AB22" s="241"/>
      <c r="AC22" s="241"/>
      <c r="AD22" s="241"/>
      <c r="AE22" s="241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</row>
    <row r="23" spans="1:43" ht="15.75">
      <c r="A23" s="242" t="s">
        <v>154</v>
      </c>
      <c r="B23" s="271" t="e">
        <f>#REF!</f>
        <v>#REF!</v>
      </c>
      <c r="C23" s="247"/>
      <c r="D23" s="247" t="e">
        <f t="shared" si="14"/>
        <v>#REF!</v>
      </c>
      <c r="E23" s="247" t="e">
        <f>-D23*'Drive Hours Recap'!$L$42</f>
        <v>#REF!</v>
      </c>
      <c r="F23" s="247" t="e">
        <f t="shared" si="15"/>
        <v>#REF!</v>
      </c>
      <c r="G23" s="247" t="e">
        <f>'Drive Hours Recap'!T39-'Pro Forma IS'!F23</f>
        <v>#REF!</v>
      </c>
      <c r="H23" s="247" t="e">
        <f t="shared" si="16"/>
        <v>#REF!</v>
      </c>
      <c r="I23" s="247">
        <f>'Drive Hours Recap'!Q39</f>
        <v>0</v>
      </c>
      <c r="J23" s="247">
        <f>'Drive Hours Recap'!R39</f>
        <v>0</v>
      </c>
      <c r="K23" s="247"/>
      <c r="L23" s="247"/>
      <c r="M23" s="281" t="s">
        <v>263</v>
      </c>
      <c r="N23" s="239" t="e">
        <f t="shared" si="17"/>
        <v>#REF!</v>
      </c>
      <c r="O23" s="239"/>
      <c r="P23" s="277">
        <v>36876.01</v>
      </c>
      <c r="Q23" s="239"/>
      <c r="R23" s="247"/>
      <c r="S23" s="247">
        <f t="shared" si="11"/>
        <v>36876.01</v>
      </c>
      <c r="T23" s="247">
        <f t="shared" si="21"/>
        <v>-11562.714296909788</v>
      </c>
      <c r="U23" s="247">
        <f t="shared" si="19"/>
        <v>25313.295703090214</v>
      </c>
      <c r="V23" s="247">
        <f t="shared" si="22"/>
        <v>12696.143667073884</v>
      </c>
      <c r="W23" s="247">
        <f t="shared" si="23"/>
        <v>12617.15203601633</v>
      </c>
      <c r="X23" s="279" t="s">
        <v>264</v>
      </c>
      <c r="Y23" s="247">
        <f t="shared" si="13"/>
        <v>0</v>
      </c>
      <c r="Z23" s="241"/>
      <c r="AA23" s="241"/>
      <c r="AB23" s="241"/>
      <c r="AC23" s="241"/>
      <c r="AD23" s="241"/>
      <c r="AE23" s="241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</row>
    <row r="24" spans="1:43" ht="15.75">
      <c r="A24" s="242" t="s">
        <v>155</v>
      </c>
      <c r="B24" s="271" t="e">
        <f>#REF!</f>
        <v>#REF!</v>
      </c>
      <c r="C24" s="247"/>
      <c r="D24" s="247" t="e">
        <f t="shared" si="14"/>
        <v>#REF!</v>
      </c>
      <c r="E24" s="247" t="e">
        <f>-D24*'Drive Hours Recap'!$L$42</f>
        <v>#REF!</v>
      </c>
      <c r="F24" s="247" t="e">
        <f t="shared" si="15"/>
        <v>#REF!</v>
      </c>
      <c r="G24" s="247"/>
      <c r="H24" s="247" t="e">
        <f t="shared" si="16"/>
        <v>#REF!</v>
      </c>
      <c r="I24" s="247" t="e">
        <f>H24*'Drive Hours Recap'!$E$32</f>
        <v>#REF!</v>
      </c>
      <c r="J24" s="247" t="e">
        <f>H24*'Drive Hours Recap'!$E$33</f>
        <v>#REF!</v>
      </c>
      <c r="K24" s="247"/>
      <c r="L24" s="247"/>
      <c r="M24" s="279" t="s">
        <v>185</v>
      </c>
      <c r="N24" s="239" t="e">
        <f t="shared" si="17"/>
        <v>#REF!</v>
      </c>
      <c r="O24" s="239"/>
      <c r="P24" s="277">
        <v>9432.5</v>
      </c>
      <c r="Q24" s="239"/>
      <c r="R24" s="247"/>
      <c r="S24" s="247">
        <f t="shared" si="11"/>
        <v>9432.5</v>
      </c>
      <c r="T24" s="247">
        <f t="shared" si="21"/>
        <v>-2957.6221127394633</v>
      </c>
      <c r="U24" s="247">
        <f t="shared" si="19"/>
        <v>6474.8778872605362</v>
      </c>
      <c r="V24" s="247">
        <f t="shared" si="22"/>
        <v>3247.5415626493864</v>
      </c>
      <c r="W24" s="247">
        <f t="shared" si="23"/>
        <v>3227.3363246111503</v>
      </c>
      <c r="X24" s="279" t="s">
        <v>264</v>
      </c>
      <c r="Y24" s="247">
        <f t="shared" si="13"/>
        <v>0</v>
      </c>
      <c r="Z24" s="241"/>
      <c r="AA24" s="241"/>
      <c r="AB24" s="241"/>
      <c r="AC24" s="241"/>
      <c r="AD24" s="241"/>
      <c r="AE24" s="241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</row>
    <row r="25" spans="1:43" ht="15.75">
      <c r="A25" s="242" t="s">
        <v>345</v>
      </c>
      <c r="B25" s="271" t="e">
        <f>#REF!</f>
        <v>#REF!</v>
      </c>
      <c r="C25" s="247"/>
      <c r="D25" s="247" t="e">
        <f t="shared" si="14"/>
        <v>#REF!</v>
      </c>
      <c r="E25" s="247" t="e">
        <f>-D25*'Drive Hours Recap'!$L$42</f>
        <v>#REF!</v>
      </c>
      <c r="F25" s="247" t="e">
        <f t="shared" si="15"/>
        <v>#REF!</v>
      </c>
      <c r="G25" s="247"/>
      <c r="H25" s="247" t="e">
        <f t="shared" si="16"/>
        <v>#REF!</v>
      </c>
      <c r="I25" s="247" t="e">
        <f>H25*'Drive Hours Recap'!$E$32</f>
        <v>#REF!</v>
      </c>
      <c r="J25" s="247" t="e">
        <f>H25*'Drive Hours Recap'!$E$33</f>
        <v>#REF!</v>
      </c>
      <c r="K25" s="247"/>
      <c r="L25" s="247"/>
      <c r="M25" s="279" t="s">
        <v>185</v>
      </c>
      <c r="N25" s="239" t="e">
        <f t="shared" si="17"/>
        <v>#REF!</v>
      </c>
      <c r="O25" s="239"/>
      <c r="P25" s="277">
        <f>11466+1407.5</f>
        <v>12873.5</v>
      </c>
      <c r="Q25" s="239"/>
      <c r="R25" s="247"/>
      <c r="S25" s="247">
        <f t="shared" si="11"/>
        <v>12873.5</v>
      </c>
      <c r="T25" s="247">
        <f t="shared" si="21"/>
        <v>-4036.5701848239046</v>
      </c>
      <c r="U25" s="247">
        <f t="shared" si="19"/>
        <v>8836.9298151760959</v>
      </c>
      <c r="V25" s="247">
        <f t="shared" si="22"/>
        <v>4432.2529877303878</v>
      </c>
      <c r="W25" s="247">
        <f t="shared" si="23"/>
        <v>4404.676827445709</v>
      </c>
      <c r="X25" s="279" t="s">
        <v>264</v>
      </c>
      <c r="Y25" s="247">
        <f t="shared" si="13"/>
        <v>0</v>
      </c>
      <c r="Z25" s="241"/>
      <c r="AA25" s="241"/>
      <c r="AB25" s="241"/>
      <c r="AC25" s="241"/>
      <c r="AD25" s="241"/>
      <c r="AE25" s="241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</row>
    <row r="26" spans="1:43" ht="15.75">
      <c r="A26" s="242" t="s">
        <v>375</v>
      </c>
      <c r="B26" s="271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79"/>
      <c r="N26" s="239"/>
      <c r="O26" s="239"/>
      <c r="P26" s="277">
        <f>52974.75+6724.65+7917</f>
        <v>67616.399999999994</v>
      </c>
      <c r="Q26" s="239"/>
      <c r="R26" s="247"/>
      <c r="S26" s="247"/>
      <c r="T26" s="247"/>
      <c r="U26" s="247"/>
      <c r="V26" s="247"/>
      <c r="W26" s="247"/>
      <c r="X26" s="279"/>
      <c r="Y26" s="247"/>
      <c r="Z26" s="241"/>
      <c r="AA26" s="241"/>
      <c r="AB26" s="241"/>
      <c r="AC26" s="241"/>
      <c r="AD26" s="241"/>
      <c r="AE26" s="241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</row>
    <row r="27" spans="1:43" ht="15.75">
      <c r="A27" s="242" t="s">
        <v>346</v>
      </c>
      <c r="B27" s="271" t="e">
        <f>#REF!</f>
        <v>#REF!</v>
      </c>
      <c r="C27" s="247" t="e">
        <f>#REF!</f>
        <v>#REF!</v>
      </c>
      <c r="D27" s="247" t="e">
        <f t="shared" si="14"/>
        <v>#REF!</v>
      </c>
      <c r="E27" s="247" t="e">
        <f>-D27*'Drive Hours Recap'!$L$42</f>
        <v>#REF!</v>
      </c>
      <c r="F27" s="247" t="e">
        <f t="shared" si="15"/>
        <v>#REF!</v>
      </c>
      <c r="G27" s="247"/>
      <c r="H27" s="247" t="e">
        <f t="shared" si="16"/>
        <v>#REF!</v>
      </c>
      <c r="I27" s="247" t="e">
        <f>H27*'Drive Hours Recap'!$E$32</f>
        <v>#REF!</v>
      </c>
      <c r="J27" s="247" t="e">
        <f>H27*'Drive Hours Recap'!$E$33</f>
        <v>#REF!</v>
      </c>
      <c r="K27" s="247"/>
      <c r="L27" s="247"/>
      <c r="M27" s="279" t="s">
        <v>185</v>
      </c>
      <c r="N27" s="239" t="e">
        <f t="shared" si="17"/>
        <v>#REF!</v>
      </c>
      <c r="O27" s="239"/>
      <c r="P27" s="277">
        <f>1442.25+3750.94+431.85+1506.53</f>
        <v>7131.5700000000006</v>
      </c>
      <c r="Q27" s="239"/>
      <c r="R27" s="247"/>
      <c r="S27" s="247">
        <f t="shared" si="11"/>
        <v>7131.5700000000006</v>
      </c>
      <c r="T27" s="247">
        <f t="shared" si="21"/>
        <v>-2236.1504511581634</v>
      </c>
      <c r="U27" s="247">
        <f t="shared" si="19"/>
        <v>4895.4195488418372</v>
      </c>
      <c r="V27" s="247">
        <f t="shared" si="22"/>
        <v>2455.3479970255485</v>
      </c>
      <c r="W27" s="247">
        <f t="shared" si="23"/>
        <v>2440.0715518162888</v>
      </c>
      <c r="X27" s="279" t="s">
        <v>264</v>
      </c>
      <c r="Y27" s="247">
        <f t="shared" si="13"/>
        <v>0</v>
      </c>
      <c r="Z27" s="241"/>
      <c r="AA27" s="241"/>
      <c r="AB27" s="241"/>
      <c r="AC27" s="241"/>
      <c r="AD27" s="241"/>
      <c r="AE27" s="241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</row>
    <row r="28" spans="1:43" ht="15.75">
      <c r="A28" s="242" t="s">
        <v>156</v>
      </c>
      <c r="B28" s="293" t="e">
        <f>#REF!</f>
        <v>#REF!</v>
      </c>
      <c r="C28" s="247"/>
      <c r="D28" s="247" t="e">
        <f>B28+C28</f>
        <v>#REF!</v>
      </c>
      <c r="E28" s="247" t="e">
        <f>-D28*'Drive Hours Recap'!$L$42</f>
        <v>#REF!</v>
      </c>
      <c r="F28" s="247" t="e">
        <f t="shared" si="15"/>
        <v>#REF!</v>
      </c>
      <c r="G28" s="247" t="e">
        <f>(Assets!M43+Assets!N43)-F28</f>
        <v>#REF!</v>
      </c>
      <c r="H28" s="247" t="e">
        <f>F28+G28</f>
        <v>#REF!</v>
      </c>
      <c r="I28" s="247">
        <f>Assets!M43</f>
        <v>20807.664371877265</v>
      </c>
      <c r="J28" s="247">
        <f>Assets!N43</f>
        <v>14329.896394506053</v>
      </c>
      <c r="K28" s="247"/>
      <c r="L28" s="247"/>
      <c r="M28" s="281" t="s">
        <v>263</v>
      </c>
      <c r="N28" s="239" t="e">
        <f t="shared" si="17"/>
        <v>#REF!</v>
      </c>
      <c r="O28" s="239"/>
      <c r="P28" s="277">
        <v>30479.62</v>
      </c>
      <c r="Q28" s="540">
        <f>Assets!J39-'Pro Forma IS'!P28</f>
        <v>4657.9407663833226</v>
      </c>
      <c r="R28" s="240"/>
      <c r="S28" s="247">
        <f t="shared" si="11"/>
        <v>35137.560766383322</v>
      </c>
      <c r="T28" s="247"/>
      <c r="U28" s="247">
        <f t="shared" si="19"/>
        <v>35137.560766383322</v>
      </c>
      <c r="V28" s="549">
        <f>Assets!M43</f>
        <v>20807.664371877265</v>
      </c>
      <c r="W28" s="549">
        <f>Assets!N39</f>
        <v>14329.896394506053</v>
      </c>
      <c r="X28" s="281" t="s">
        <v>265</v>
      </c>
      <c r="Y28" s="247">
        <f t="shared" si="13"/>
        <v>0</v>
      </c>
      <c r="Z28" s="241"/>
      <c r="AA28" s="241"/>
      <c r="AB28" s="241"/>
      <c r="AC28" s="241"/>
      <c r="AD28" s="241"/>
      <c r="AE28" s="241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</row>
    <row r="29" spans="1:43" ht="15.75">
      <c r="A29" s="242" t="s">
        <v>302</v>
      </c>
      <c r="B29" s="247" t="e">
        <f>#REF!</f>
        <v>#REF!</v>
      </c>
      <c r="C29" s="247"/>
      <c r="D29" s="247" t="e">
        <f t="shared" si="14"/>
        <v>#REF!</v>
      </c>
      <c r="E29" s="247" t="e">
        <f>-D29*'Drive Hours Recap'!$L$42</f>
        <v>#REF!</v>
      </c>
      <c r="F29" s="247" t="e">
        <f t="shared" si="15"/>
        <v>#REF!</v>
      </c>
      <c r="G29" s="247"/>
      <c r="H29" s="247" t="e">
        <f t="shared" si="16"/>
        <v>#REF!</v>
      </c>
      <c r="I29" s="247" t="e">
        <f>H29*'Drive Hours Recap'!$E$32</f>
        <v>#REF!</v>
      </c>
      <c r="J29" s="247" t="e">
        <f>H29*'Drive Hours Recap'!$E$33</f>
        <v>#REF!</v>
      </c>
      <c r="K29" s="247"/>
      <c r="L29" s="247"/>
      <c r="M29" s="279" t="s">
        <v>185</v>
      </c>
      <c r="N29" s="239" t="e">
        <f t="shared" si="17"/>
        <v>#REF!</v>
      </c>
      <c r="O29" s="239"/>
      <c r="P29" s="277">
        <v>2231.62</v>
      </c>
      <c r="Q29" s="239"/>
      <c r="R29" s="247"/>
      <c r="S29" s="247">
        <f t="shared" si="11"/>
        <v>2231.62</v>
      </c>
      <c r="T29" s="247">
        <f t="shared" si="21"/>
        <v>-699.73905743245587</v>
      </c>
      <c r="U29" s="247">
        <f t="shared" si="19"/>
        <v>1531.880942567544</v>
      </c>
      <c r="V29" s="247">
        <f t="shared" ref="V29:V43" si="24">U29*$AB$9</f>
        <v>768.33063366441809</v>
      </c>
      <c r="W29" s="247">
        <f t="shared" ref="W29:W43" si="25">U29*$AB$10</f>
        <v>763.55030890312594</v>
      </c>
      <c r="X29" s="279" t="s">
        <v>264</v>
      </c>
      <c r="Y29" s="247">
        <f t="shared" si="13"/>
        <v>0</v>
      </c>
      <c r="Z29" s="241"/>
      <c r="AA29" s="241"/>
      <c r="AB29" s="241"/>
      <c r="AC29" s="241"/>
      <c r="AD29" s="241"/>
      <c r="AE29" s="241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</row>
    <row r="30" spans="1:43" ht="15.75">
      <c r="A30" s="242" t="s">
        <v>303</v>
      </c>
      <c r="B30" s="247" t="e">
        <f>#REF!</f>
        <v>#REF!</v>
      </c>
      <c r="C30" s="247"/>
      <c r="D30" s="247" t="e">
        <f t="shared" si="14"/>
        <v>#REF!</v>
      </c>
      <c r="E30" s="247" t="e">
        <f>-D30*'Drive Hours Recap'!$L$42</f>
        <v>#REF!</v>
      </c>
      <c r="F30" s="247" t="e">
        <f t="shared" si="15"/>
        <v>#REF!</v>
      </c>
      <c r="G30" s="247"/>
      <c r="H30" s="247" t="e">
        <f t="shared" si="16"/>
        <v>#REF!</v>
      </c>
      <c r="I30" s="247" t="e">
        <f>H30*'Drive Hours Recap'!$E$32</f>
        <v>#REF!</v>
      </c>
      <c r="J30" s="247" t="e">
        <f>H30*'Drive Hours Recap'!$E$33</f>
        <v>#REF!</v>
      </c>
      <c r="K30" s="247"/>
      <c r="L30" s="247"/>
      <c r="M30" s="279" t="s">
        <v>185</v>
      </c>
      <c r="N30" s="239" t="e">
        <f t="shared" si="17"/>
        <v>#REF!</v>
      </c>
      <c r="O30" s="239"/>
      <c r="P30" s="277">
        <v>12158.12</v>
      </c>
      <c r="Q30" s="239"/>
      <c r="R30" s="247"/>
      <c r="S30" s="247">
        <f t="shared" si="11"/>
        <v>12158.12</v>
      </c>
      <c r="T30" s="247">
        <f t="shared" si="21"/>
        <v>-3812.2581035080757</v>
      </c>
      <c r="U30" s="247">
        <f t="shared" si="19"/>
        <v>8345.861896491926</v>
      </c>
      <c r="V30" s="247">
        <f t="shared" si="24"/>
        <v>4185.9528251978554</v>
      </c>
      <c r="W30" s="247">
        <f t="shared" si="25"/>
        <v>4159.9090712940715</v>
      </c>
      <c r="X30" s="279" t="s">
        <v>264</v>
      </c>
      <c r="Y30" s="247">
        <f t="shared" si="13"/>
        <v>0</v>
      </c>
      <c r="Z30" s="241"/>
      <c r="AA30" s="241"/>
      <c r="AB30" s="241"/>
      <c r="AC30" s="241"/>
      <c r="AD30" s="241"/>
      <c r="AE30" s="241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</row>
    <row r="31" spans="1:43" ht="15.75">
      <c r="A31" s="242" t="s">
        <v>301</v>
      </c>
      <c r="B31" s="247" t="e">
        <f>#REF!</f>
        <v>#REF!</v>
      </c>
      <c r="C31" s="247"/>
      <c r="D31" s="247" t="e">
        <f t="shared" si="14"/>
        <v>#REF!</v>
      </c>
      <c r="E31" s="247" t="e">
        <f>-D31*'Drive Hours Recap'!$L$42</f>
        <v>#REF!</v>
      </c>
      <c r="F31" s="247" t="e">
        <f t="shared" si="15"/>
        <v>#REF!</v>
      </c>
      <c r="G31" s="247"/>
      <c r="H31" s="247" t="e">
        <f t="shared" si="16"/>
        <v>#REF!</v>
      </c>
      <c r="I31" s="247" t="e">
        <f>H31*'Drive Hours Recap'!$E$32</f>
        <v>#REF!</v>
      </c>
      <c r="J31" s="247" t="e">
        <f>H31*'Drive Hours Recap'!$E$33</f>
        <v>#REF!</v>
      </c>
      <c r="K31" s="247"/>
      <c r="L31" s="247"/>
      <c r="M31" s="279" t="s">
        <v>185</v>
      </c>
      <c r="N31" s="239" t="e">
        <f t="shared" si="17"/>
        <v>#REF!</v>
      </c>
      <c r="O31" s="239"/>
      <c r="P31" s="277">
        <v>3284</v>
      </c>
      <c r="Q31" s="239"/>
      <c r="R31" s="247"/>
      <c r="S31" s="247">
        <f t="shared" si="11"/>
        <v>3284</v>
      </c>
      <c r="T31" s="247">
        <f t="shared" si="21"/>
        <v>-1029.7196944857033</v>
      </c>
      <c r="U31" s="247">
        <f t="shared" si="19"/>
        <v>2254.2803055142967</v>
      </c>
      <c r="V31" s="247">
        <f t="shared" si="24"/>
        <v>1130.657460030807</v>
      </c>
      <c r="W31" s="247">
        <f t="shared" si="25"/>
        <v>1123.62284548349</v>
      </c>
      <c r="X31" s="279" t="s">
        <v>264</v>
      </c>
      <c r="Y31" s="247">
        <f t="shared" si="13"/>
        <v>0</v>
      </c>
      <c r="Z31" s="241"/>
      <c r="AA31" s="241"/>
      <c r="AB31" s="241"/>
      <c r="AC31" s="241"/>
      <c r="AD31" s="241"/>
      <c r="AE31" s="241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</row>
    <row r="32" spans="1:43" ht="15.75" hidden="1">
      <c r="A32" s="242" t="s">
        <v>157</v>
      </c>
      <c r="B32" s="247" t="e">
        <f>#REF!</f>
        <v>#REF!</v>
      </c>
      <c r="C32" s="247"/>
      <c r="D32" s="247" t="e">
        <f t="shared" si="14"/>
        <v>#REF!</v>
      </c>
      <c r="E32" s="247" t="e">
        <f>-D32*'Drive Hours Recap'!$L$42</f>
        <v>#REF!</v>
      </c>
      <c r="F32" s="247" t="e">
        <f t="shared" si="15"/>
        <v>#REF!</v>
      </c>
      <c r="G32" s="247" t="e">
        <f>(F11-#REF!)*0.0051</f>
        <v>#REF!</v>
      </c>
      <c r="H32" s="247" t="e">
        <f>F32+G32</f>
        <v>#REF!</v>
      </c>
      <c r="I32" s="247" t="e">
        <f>(I3+I5+I6-#REF!)*0.0051</f>
        <v>#REF!</v>
      </c>
      <c r="J32" s="247" t="e">
        <f>J11*0.0051</f>
        <v>#REF!</v>
      </c>
      <c r="K32" s="247"/>
      <c r="L32" s="247"/>
      <c r="M32" s="280" t="s">
        <v>261</v>
      </c>
      <c r="N32" s="239" t="e">
        <f t="shared" si="17"/>
        <v>#REF!</v>
      </c>
      <c r="O32" s="239"/>
      <c r="P32" s="277"/>
      <c r="Q32" s="239"/>
      <c r="R32" s="247">
        <v>0</v>
      </c>
      <c r="S32" s="247">
        <f>P32+Q32+R32</f>
        <v>0</v>
      </c>
      <c r="T32" s="247">
        <v>0</v>
      </c>
      <c r="U32" s="247">
        <f t="shared" si="19"/>
        <v>0</v>
      </c>
      <c r="V32" s="247">
        <f t="shared" si="24"/>
        <v>0</v>
      </c>
      <c r="W32" s="247">
        <f t="shared" si="25"/>
        <v>0</v>
      </c>
      <c r="X32" s="280" t="s">
        <v>261</v>
      </c>
      <c r="Y32" s="247">
        <f t="shared" si="13"/>
        <v>0</v>
      </c>
      <c r="Z32" s="241"/>
      <c r="AA32" s="241"/>
      <c r="AB32" s="241"/>
      <c r="AC32" s="241"/>
      <c r="AD32" s="241"/>
      <c r="AE32" s="241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</row>
    <row r="33" spans="1:43" ht="15.75">
      <c r="A33" s="242" t="s">
        <v>291</v>
      </c>
      <c r="B33" s="271" t="e">
        <f>#REF!</f>
        <v>#REF!</v>
      </c>
      <c r="C33" s="247" t="e">
        <f>-#REF!-#REF!</f>
        <v>#REF!</v>
      </c>
      <c r="D33" s="247" t="e">
        <f t="shared" si="14"/>
        <v>#REF!</v>
      </c>
      <c r="E33" s="247" t="e">
        <f>-D33*'Drive Hours Recap'!$L$42</f>
        <v>#REF!</v>
      </c>
      <c r="F33" s="247" t="e">
        <f>D33+E33</f>
        <v>#REF!</v>
      </c>
      <c r="G33" s="247" t="e">
        <f>F11*0.015-F33</f>
        <v>#REF!</v>
      </c>
      <c r="H33" s="247" t="e">
        <f>F33+G33</f>
        <v>#REF!</v>
      </c>
      <c r="I33" s="247" t="e">
        <f>I11*0.015</f>
        <v>#REF!</v>
      </c>
      <c r="J33" s="247" t="e">
        <f>J11*0.015</f>
        <v>#REF!</v>
      </c>
      <c r="K33" s="247"/>
      <c r="L33" s="247"/>
      <c r="M33" s="280" t="s">
        <v>261</v>
      </c>
      <c r="N33" s="239" t="e">
        <f t="shared" si="17"/>
        <v>#REF!</v>
      </c>
      <c r="O33" s="239"/>
      <c r="P33" s="277">
        <v>31668.07</v>
      </c>
      <c r="Q33" s="239"/>
      <c r="R33" s="247"/>
      <c r="S33" s="247">
        <f t="shared" si="11"/>
        <v>31668.07</v>
      </c>
      <c r="T33" s="247">
        <f t="shared" si="21"/>
        <v>-9929.7306228233465</v>
      </c>
      <c r="U33" s="247">
        <f t="shared" si="19"/>
        <v>21738.339377176653</v>
      </c>
      <c r="V33" s="247">
        <f t="shared" si="24"/>
        <v>10903.087573166198</v>
      </c>
      <c r="W33" s="247">
        <f t="shared" si="25"/>
        <v>10835.251804010457</v>
      </c>
      <c r="X33" s="280" t="s">
        <v>261</v>
      </c>
      <c r="Y33" s="247">
        <f t="shared" si="13"/>
        <v>0</v>
      </c>
      <c r="Z33" s="486"/>
      <c r="AA33" s="241"/>
      <c r="AB33" s="241"/>
      <c r="AC33" s="241"/>
      <c r="AD33" s="241"/>
      <c r="AE33" s="241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</row>
    <row r="34" spans="1:43" ht="15.75">
      <c r="A34" s="242" t="s">
        <v>158</v>
      </c>
      <c r="B34" s="247" t="e">
        <f>#REF!</f>
        <v>#REF!</v>
      </c>
      <c r="C34" s="247">
        <f>'Drive Hours Recap'!T21</f>
        <v>112805.20055000001</v>
      </c>
      <c r="D34" s="247" t="e">
        <f t="shared" si="14"/>
        <v>#REF!</v>
      </c>
      <c r="E34" s="247" t="e">
        <f>-D34*'Drive Hours Recap'!$L$42</f>
        <v>#REF!</v>
      </c>
      <c r="F34" s="247" t="e">
        <f>D34+E34</f>
        <v>#REF!</v>
      </c>
      <c r="G34" s="247"/>
      <c r="H34" s="247" t="e">
        <f>F34+G34</f>
        <v>#REF!</v>
      </c>
      <c r="I34" s="247" t="e">
        <f>H34*'Drive Hours Recap'!$E$32</f>
        <v>#REF!</v>
      </c>
      <c r="J34" s="247" t="e">
        <f>H34*'Drive Hours Recap'!$E$33</f>
        <v>#REF!</v>
      </c>
      <c r="K34" s="247"/>
      <c r="L34" s="247"/>
      <c r="M34" s="279" t="s">
        <v>185</v>
      </c>
      <c r="N34" s="239" t="e">
        <f t="shared" si="17"/>
        <v>#REF!</v>
      </c>
      <c r="O34" s="239"/>
      <c r="P34" s="277">
        <v>61250</v>
      </c>
      <c r="Q34" s="239"/>
      <c r="R34" s="247"/>
      <c r="S34" s="247">
        <f t="shared" si="11"/>
        <v>61250</v>
      </c>
      <c r="T34" s="247">
        <f t="shared" si="21"/>
        <v>-19205.338394412098</v>
      </c>
      <c r="U34" s="247">
        <f t="shared" si="19"/>
        <v>42044.661605587899</v>
      </c>
      <c r="V34" s="247">
        <f t="shared" si="24"/>
        <v>21087.932224996017</v>
      </c>
      <c r="W34" s="247">
        <f t="shared" si="25"/>
        <v>20956.729380591885</v>
      </c>
      <c r="X34" s="279" t="s">
        <v>264</v>
      </c>
      <c r="Y34" s="247">
        <f t="shared" si="13"/>
        <v>0</v>
      </c>
      <c r="Z34" s="241"/>
      <c r="AA34" s="241"/>
      <c r="AB34" s="241"/>
      <c r="AC34" s="241"/>
      <c r="AD34" s="241"/>
      <c r="AE34" s="241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</row>
    <row r="35" spans="1:43" ht="15.75">
      <c r="A35" s="245" t="s">
        <v>159</v>
      </c>
      <c r="B35" s="271" t="e">
        <f>#REF!</f>
        <v>#REF!</v>
      </c>
      <c r="C35" s="247">
        <f>-500</f>
        <v>-500</v>
      </c>
      <c r="D35" s="247" t="e">
        <f t="shared" si="14"/>
        <v>#REF!</v>
      </c>
      <c r="E35" s="247" t="e">
        <f>-D35*'Drive Hours Recap'!$L$42</f>
        <v>#REF!</v>
      </c>
      <c r="F35" s="247" t="e">
        <f t="shared" si="15"/>
        <v>#REF!</v>
      </c>
      <c r="G35" s="247"/>
      <c r="H35" s="247" t="e">
        <f t="shared" si="16"/>
        <v>#REF!</v>
      </c>
      <c r="I35" s="247" t="e">
        <f>H35*'Drive Hours Recap'!$E$32</f>
        <v>#REF!</v>
      </c>
      <c r="J35" s="247" t="e">
        <f>H35*'Drive Hours Recap'!$E$33</f>
        <v>#REF!</v>
      </c>
      <c r="K35" s="247"/>
      <c r="L35" s="247"/>
      <c r="M35" s="279" t="s">
        <v>185</v>
      </c>
      <c r="N35" s="239" t="e">
        <f t="shared" si="17"/>
        <v>#REF!</v>
      </c>
      <c r="O35" s="239"/>
      <c r="P35" s="277">
        <v>3111.98</v>
      </c>
      <c r="Q35" s="239"/>
      <c r="R35" s="247"/>
      <c r="S35" s="247">
        <f t="shared" si="11"/>
        <v>3111.98</v>
      </c>
      <c r="T35" s="247">
        <f t="shared" si="21"/>
        <v>-975.7816975778378</v>
      </c>
      <c r="U35" s="247">
        <f t="shared" si="19"/>
        <v>2136.1983024221622</v>
      </c>
      <c r="V35" s="247">
        <f t="shared" si="24"/>
        <v>1071.4322175598875</v>
      </c>
      <c r="W35" s="247">
        <f t="shared" si="25"/>
        <v>1064.766084862275</v>
      </c>
      <c r="X35" s="279" t="s">
        <v>264</v>
      </c>
      <c r="Y35" s="247">
        <f t="shared" si="13"/>
        <v>0</v>
      </c>
      <c r="Z35" s="240"/>
      <c r="AA35" s="241"/>
      <c r="AB35" s="241"/>
      <c r="AC35" s="241"/>
      <c r="AD35" s="241"/>
      <c r="AE35" s="241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</row>
    <row r="36" spans="1:43" ht="15.75">
      <c r="A36" s="242" t="s">
        <v>160</v>
      </c>
      <c r="B36" s="247" t="e">
        <f>#REF!</f>
        <v>#REF!</v>
      </c>
      <c r="C36" s="247"/>
      <c r="D36" s="247" t="e">
        <f t="shared" si="14"/>
        <v>#REF!</v>
      </c>
      <c r="E36" s="247" t="e">
        <f>-D36*'Drive Hours Recap'!$L$42</f>
        <v>#REF!</v>
      </c>
      <c r="F36" s="247" t="e">
        <f t="shared" si="15"/>
        <v>#REF!</v>
      </c>
      <c r="G36" s="247"/>
      <c r="H36" s="247" t="e">
        <f t="shared" si="16"/>
        <v>#REF!</v>
      </c>
      <c r="I36" s="247" t="e">
        <f>H36*'Drive Hours Recap'!$E$32</f>
        <v>#REF!</v>
      </c>
      <c r="J36" s="247" t="e">
        <f>H36*'Drive Hours Recap'!$E$33</f>
        <v>#REF!</v>
      </c>
      <c r="K36" s="247"/>
      <c r="L36" s="247"/>
      <c r="M36" s="279" t="s">
        <v>185</v>
      </c>
      <c r="N36" s="239" t="e">
        <f t="shared" si="17"/>
        <v>#REF!</v>
      </c>
      <c r="O36" s="239"/>
      <c r="P36" s="277">
        <v>5741.44</v>
      </c>
      <c r="Q36" s="239"/>
      <c r="R36" s="247"/>
      <c r="S36" s="247">
        <f t="shared" si="11"/>
        <v>5741.44</v>
      </c>
      <c r="T36" s="247">
        <f t="shared" si="21"/>
        <v>-1800.2660909585859</v>
      </c>
      <c r="U36" s="247">
        <f t="shared" si="19"/>
        <v>3941.1739090414139</v>
      </c>
      <c r="V36" s="247">
        <f t="shared" si="24"/>
        <v>1976.7362872470389</v>
      </c>
      <c r="W36" s="247">
        <f t="shared" si="25"/>
        <v>1964.4376217943752</v>
      </c>
      <c r="X36" s="279" t="s">
        <v>264</v>
      </c>
      <c r="Y36" s="247">
        <f t="shared" si="13"/>
        <v>0</v>
      </c>
      <c r="Z36" s="241"/>
      <c r="AA36" s="241"/>
      <c r="AB36" s="241"/>
      <c r="AC36" s="241"/>
      <c r="AD36" s="241"/>
      <c r="AE36" s="241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</row>
    <row r="37" spans="1:43" ht="15.75">
      <c r="A37" s="242" t="s">
        <v>161</v>
      </c>
      <c r="B37" s="258" t="e">
        <f>#REF!</f>
        <v>#REF!</v>
      </c>
      <c r="C37" s="247" t="e">
        <f>#REF!-B37</f>
        <v>#REF!</v>
      </c>
      <c r="D37" s="247" t="e">
        <f>B37+C37</f>
        <v>#REF!</v>
      </c>
      <c r="E37" s="247" t="e">
        <f>-D37*'Drive Hours Recap'!$L$42</f>
        <v>#REF!</v>
      </c>
      <c r="F37" s="247" t="e">
        <f>D37+E37</f>
        <v>#REF!</v>
      </c>
      <c r="G37" s="247"/>
      <c r="H37" s="247" t="e">
        <f>F37+G37</f>
        <v>#REF!</v>
      </c>
      <c r="I37" s="247" t="e">
        <f>H37*'Drive Hours Recap'!$E$32</f>
        <v>#REF!</v>
      </c>
      <c r="J37" s="247" t="e">
        <f>H37*'Drive Hours Recap'!$E$33</f>
        <v>#REF!</v>
      </c>
      <c r="K37" s="247"/>
      <c r="L37" s="247"/>
      <c r="M37" s="279" t="s">
        <v>185</v>
      </c>
      <c r="N37" s="239" t="e">
        <f t="shared" si="17"/>
        <v>#REF!</v>
      </c>
      <c r="O37" s="239"/>
      <c r="P37" s="277">
        <f>11548.25+2973.25</f>
        <v>14521.5</v>
      </c>
      <c r="Q37" s="239"/>
      <c r="R37" s="247"/>
      <c r="S37" s="247">
        <f t="shared" si="11"/>
        <v>14521.5</v>
      </c>
      <c r="T37" s="247">
        <f t="shared" si="21"/>
        <v>-4553.3113713380453</v>
      </c>
      <c r="U37" s="247">
        <f t="shared" si="19"/>
        <v>9968.1886286619556</v>
      </c>
      <c r="V37" s="247">
        <f t="shared" si="24"/>
        <v>4999.6474743719136</v>
      </c>
      <c r="W37" s="247">
        <f t="shared" si="25"/>
        <v>4968.5411542900429</v>
      </c>
      <c r="X37" s="279" t="s">
        <v>264</v>
      </c>
      <c r="Y37" s="247">
        <f t="shared" si="13"/>
        <v>0</v>
      </c>
      <c r="Z37" s="241"/>
      <c r="AA37" s="241"/>
      <c r="AB37" s="241"/>
      <c r="AC37" s="241"/>
      <c r="AD37" s="241"/>
      <c r="AE37" s="241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</row>
    <row r="38" spans="1:43" ht="15.75">
      <c r="A38" s="245" t="s">
        <v>162</v>
      </c>
      <c r="B38" s="271" t="e">
        <f>#REF!</f>
        <v>#REF!</v>
      </c>
      <c r="C38" s="247" t="e">
        <f>#REF!</f>
        <v>#REF!</v>
      </c>
      <c r="D38" s="247" t="e">
        <f t="shared" si="14"/>
        <v>#REF!</v>
      </c>
      <c r="E38" s="247" t="e">
        <f>-D38*'Drive Hours Recap'!$L$42</f>
        <v>#REF!</v>
      </c>
      <c r="F38" s="247" t="e">
        <f t="shared" si="15"/>
        <v>#REF!</v>
      </c>
      <c r="G38" s="247"/>
      <c r="H38" s="247" t="e">
        <f t="shared" si="16"/>
        <v>#REF!</v>
      </c>
      <c r="I38" s="247" t="e">
        <f>H38*'Drive Hours Recap'!$E$32</f>
        <v>#REF!</v>
      </c>
      <c r="J38" s="247" t="e">
        <f>H38*'Drive Hours Recap'!$E$33</f>
        <v>#REF!</v>
      </c>
      <c r="K38" s="247"/>
      <c r="L38" s="247"/>
      <c r="M38" s="279" t="s">
        <v>185</v>
      </c>
      <c r="N38" s="239" t="e">
        <f t="shared" si="17"/>
        <v>#REF!</v>
      </c>
      <c r="O38" s="239"/>
      <c r="P38" s="277"/>
      <c r="Q38" s="239"/>
      <c r="R38" s="247"/>
      <c r="S38" s="247">
        <f t="shared" si="11"/>
        <v>0</v>
      </c>
      <c r="T38" s="247">
        <f t="shared" si="21"/>
        <v>0</v>
      </c>
      <c r="U38" s="247">
        <f t="shared" si="19"/>
        <v>0</v>
      </c>
      <c r="V38" s="247">
        <f t="shared" si="24"/>
        <v>0</v>
      </c>
      <c r="W38" s="247">
        <f t="shared" si="25"/>
        <v>0</v>
      </c>
      <c r="X38" s="279" t="s">
        <v>264</v>
      </c>
      <c r="Y38" s="247">
        <f t="shared" si="13"/>
        <v>0</v>
      </c>
      <c r="Z38" s="241"/>
      <c r="AA38" s="241"/>
      <c r="AB38" s="241"/>
      <c r="AC38" s="241"/>
      <c r="AD38" s="241"/>
      <c r="AE38" s="241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</row>
    <row r="39" spans="1:43" ht="15.75">
      <c r="A39" s="245" t="s">
        <v>163</v>
      </c>
      <c r="B39" s="271" t="e">
        <f>#REF!</f>
        <v>#REF!</v>
      </c>
      <c r="C39" s="247" t="e">
        <f>#REF!-B39</f>
        <v>#REF!</v>
      </c>
      <c r="D39" s="247" t="e">
        <f t="shared" si="14"/>
        <v>#REF!</v>
      </c>
      <c r="E39" s="247" t="e">
        <f>-D39*'Drive Hours Recap'!$L$42</f>
        <v>#REF!</v>
      </c>
      <c r="F39" s="247" t="e">
        <f t="shared" si="15"/>
        <v>#REF!</v>
      </c>
      <c r="G39" s="247"/>
      <c r="H39" s="247" t="e">
        <f>F39+G39</f>
        <v>#REF!</v>
      </c>
      <c r="I39" s="247" t="e">
        <f>H39*'Drive Hours Recap'!$E$32</f>
        <v>#REF!</v>
      </c>
      <c r="J39" s="247" t="e">
        <f>H39*'Drive Hours Recap'!$E$33</f>
        <v>#REF!</v>
      </c>
      <c r="K39" s="247"/>
      <c r="L39" s="247"/>
      <c r="M39" s="279" t="s">
        <v>185</v>
      </c>
      <c r="N39" s="239" t="e">
        <f t="shared" si="17"/>
        <v>#REF!</v>
      </c>
      <c r="O39" s="239"/>
      <c r="P39" s="277">
        <f>26043.28+8204.22</f>
        <v>34247.5</v>
      </c>
      <c r="Q39" s="239"/>
      <c r="R39" s="247"/>
      <c r="S39" s="247">
        <f t="shared" si="11"/>
        <v>34247.5</v>
      </c>
      <c r="T39" s="247">
        <f>-(S39*$AB$7)</f>
        <v>-10738.527782246993</v>
      </c>
      <c r="U39" s="247">
        <f t="shared" si="19"/>
        <v>23508.972217753006</v>
      </c>
      <c r="V39" s="247">
        <f t="shared" si="24"/>
        <v>11791.166675519202</v>
      </c>
      <c r="W39" s="247">
        <f t="shared" si="25"/>
        <v>11717.805542233806</v>
      </c>
      <c r="X39" s="279" t="s">
        <v>264</v>
      </c>
      <c r="Y39" s="247">
        <f t="shared" si="13"/>
        <v>0</v>
      </c>
      <c r="Z39" s="241"/>
      <c r="AA39" s="241"/>
      <c r="AB39" s="241"/>
      <c r="AC39" s="241"/>
      <c r="AD39" s="241"/>
      <c r="AE39" s="241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</row>
    <row r="40" spans="1:43" ht="15.75" hidden="1">
      <c r="A40" s="245" t="s">
        <v>239</v>
      </c>
      <c r="B40" s="247">
        <v>0</v>
      </c>
      <c r="C40" s="247">
        <v>0</v>
      </c>
      <c r="D40" s="247">
        <f t="shared" si="14"/>
        <v>0</v>
      </c>
      <c r="E40" s="247">
        <f>-D40*'Drive Hours Recap'!$L$42</f>
        <v>0</v>
      </c>
      <c r="F40" s="247">
        <f t="shared" si="15"/>
        <v>0</v>
      </c>
      <c r="G40" s="247"/>
      <c r="H40" s="247">
        <f t="shared" si="16"/>
        <v>0</v>
      </c>
      <c r="I40" s="247">
        <f>H40*'Drive Hours Recap'!$E$32</f>
        <v>0</v>
      </c>
      <c r="J40" s="247">
        <f>H40*'Drive Hours Recap'!$E$33</f>
        <v>0</v>
      </c>
      <c r="K40" s="247"/>
      <c r="L40" s="247"/>
      <c r="M40" s="279" t="s">
        <v>185</v>
      </c>
      <c r="N40" s="239">
        <f t="shared" si="17"/>
        <v>0</v>
      </c>
      <c r="O40" s="239"/>
      <c r="P40" s="277"/>
      <c r="Q40" s="239"/>
      <c r="R40" s="247"/>
      <c r="S40" s="247">
        <f t="shared" si="11"/>
        <v>0</v>
      </c>
      <c r="T40" s="247">
        <f t="shared" ref="T40:T41" si="26">-(S40*$AB$7)</f>
        <v>0</v>
      </c>
      <c r="U40" s="247">
        <f t="shared" ref="U40:U41" si="27">S40+T40</f>
        <v>0</v>
      </c>
      <c r="V40" s="247">
        <f t="shared" ref="V40:V41" si="28">U40*$AB$9</f>
        <v>0</v>
      </c>
      <c r="W40" s="247">
        <f t="shared" ref="W40:W41" si="29">U40*$AB$10</f>
        <v>0</v>
      </c>
      <c r="X40" s="279" t="s">
        <v>264</v>
      </c>
      <c r="Y40" s="247">
        <f t="shared" si="13"/>
        <v>0</v>
      </c>
      <c r="Z40" s="241"/>
      <c r="AA40" s="241"/>
      <c r="AB40" s="241"/>
      <c r="AC40" s="241"/>
      <c r="AD40" s="241"/>
      <c r="AE40" s="241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</row>
    <row r="41" spans="1:43" ht="15.75">
      <c r="A41" s="245" t="s">
        <v>160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79"/>
      <c r="N41" s="239"/>
      <c r="O41" s="239"/>
      <c r="P41" s="277">
        <v>5741.44</v>
      </c>
      <c r="Q41" s="239"/>
      <c r="R41" s="247"/>
      <c r="S41" s="247">
        <f t="shared" si="11"/>
        <v>5741.44</v>
      </c>
      <c r="T41" s="247">
        <f t="shared" si="26"/>
        <v>-1800.2660909585859</v>
      </c>
      <c r="U41" s="247">
        <f t="shared" si="27"/>
        <v>3941.1739090414139</v>
      </c>
      <c r="V41" s="247">
        <f t="shared" si="28"/>
        <v>1976.7362872470389</v>
      </c>
      <c r="W41" s="247">
        <f t="shared" si="29"/>
        <v>1964.4376217943752</v>
      </c>
      <c r="X41" s="279" t="s">
        <v>264</v>
      </c>
      <c r="Y41" s="247">
        <f t="shared" si="13"/>
        <v>0</v>
      </c>
      <c r="Z41" s="241"/>
      <c r="AA41" s="241"/>
      <c r="AB41" s="241"/>
      <c r="AC41" s="241"/>
      <c r="AD41" s="241"/>
      <c r="AE41" s="241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</row>
    <row r="42" spans="1:43" ht="15.75">
      <c r="A42" s="245" t="s">
        <v>164</v>
      </c>
      <c r="B42" s="247" t="e">
        <f>#REF!</f>
        <v>#REF!</v>
      </c>
      <c r="C42" s="247"/>
      <c r="D42" s="247" t="e">
        <f t="shared" si="14"/>
        <v>#REF!</v>
      </c>
      <c r="E42" s="247" t="e">
        <f>-D42*'Drive Hours Recap'!$L$42</f>
        <v>#REF!</v>
      </c>
      <c r="F42" s="247" t="e">
        <f t="shared" si="15"/>
        <v>#REF!</v>
      </c>
      <c r="G42" s="247"/>
      <c r="H42" s="247" t="e">
        <f t="shared" si="16"/>
        <v>#REF!</v>
      </c>
      <c r="I42" s="247" t="e">
        <f>H42*'Drive Hours Recap'!$E$32</f>
        <v>#REF!</v>
      </c>
      <c r="J42" s="247" t="e">
        <f>H42*'Drive Hours Recap'!$E$33</f>
        <v>#REF!</v>
      </c>
      <c r="K42" s="247"/>
      <c r="L42" s="247"/>
      <c r="M42" s="279" t="s">
        <v>185</v>
      </c>
      <c r="N42" s="239" t="e">
        <f t="shared" si="17"/>
        <v>#REF!</v>
      </c>
      <c r="O42" s="239"/>
      <c r="P42" s="277">
        <v>25190.89</v>
      </c>
      <c r="Q42" s="239"/>
      <c r="R42" s="247"/>
      <c r="S42" s="247">
        <f t="shared" si="11"/>
        <v>25190.89</v>
      </c>
      <c r="T42" s="247">
        <f t="shared" si="21"/>
        <v>-7898.7684392883557</v>
      </c>
      <c r="U42" s="247">
        <f t="shared" si="19"/>
        <v>17292.121560711643</v>
      </c>
      <c r="V42" s="247">
        <f t="shared" si="24"/>
        <v>8673.0413225686516</v>
      </c>
      <c r="W42" s="247">
        <f t="shared" si="25"/>
        <v>8619.080238142993</v>
      </c>
      <c r="X42" s="279" t="s">
        <v>264</v>
      </c>
      <c r="Y42" s="247">
        <f t="shared" si="13"/>
        <v>0</v>
      </c>
      <c r="Z42" s="241"/>
      <c r="AA42" s="241"/>
      <c r="AB42" s="241"/>
      <c r="AC42" s="241"/>
      <c r="AD42" s="241"/>
      <c r="AE42" s="241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</row>
    <row r="43" spans="1:43" ht="15.75">
      <c r="A43" s="245" t="s">
        <v>248</v>
      </c>
      <c r="B43" s="248" t="e">
        <f>#REF!</f>
        <v>#REF!</v>
      </c>
      <c r="C43" s="248"/>
      <c r="D43" s="248" t="e">
        <f t="shared" si="14"/>
        <v>#REF!</v>
      </c>
      <c r="E43" s="248" t="e">
        <f>-D43*'Drive Hours Recap'!$L$42</f>
        <v>#REF!</v>
      </c>
      <c r="F43" s="248" t="e">
        <f t="shared" si="15"/>
        <v>#REF!</v>
      </c>
      <c r="G43" s="248"/>
      <c r="H43" s="248" t="e">
        <f t="shared" si="16"/>
        <v>#REF!</v>
      </c>
      <c r="I43" s="248" t="e">
        <f>H43*'Drive Hours Recap'!$E$32</f>
        <v>#REF!</v>
      </c>
      <c r="J43" s="248" t="e">
        <f>H43*'Drive Hours Recap'!$E$33</f>
        <v>#REF!</v>
      </c>
      <c r="K43" s="239"/>
      <c r="L43" s="239"/>
      <c r="M43" s="279" t="s">
        <v>185</v>
      </c>
      <c r="N43" s="239" t="e">
        <f t="shared" si="17"/>
        <v>#REF!</v>
      </c>
      <c r="O43" s="239"/>
      <c r="P43" s="277">
        <v>957.5</v>
      </c>
      <c r="Q43" s="239"/>
      <c r="R43" s="239"/>
      <c r="S43" s="247">
        <f>P43+Q43+R43</f>
        <v>957.5</v>
      </c>
      <c r="T43" s="247">
        <v>0</v>
      </c>
      <c r="U43" s="247">
        <f t="shared" si="19"/>
        <v>957.5</v>
      </c>
      <c r="V43" s="247">
        <f t="shared" si="24"/>
        <v>480.24396758969584</v>
      </c>
      <c r="W43" s="247">
        <f t="shared" si="25"/>
        <v>477.25603241030421</v>
      </c>
      <c r="X43" s="279" t="s">
        <v>264</v>
      </c>
      <c r="Y43" s="247">
        <f t="shared" si="13"/>
        <v>0</v>
      </c>
      <c r="Z43" s="241"/>
      <c r="AA43" s="241"/>
      <c r="AB43" s="241"/>
      <c r="AC43" s="241"/>
      <c r="AD43" s="241"/>
      <c r="AE43" s="241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</row>
    <row r="44" spans="1:43" ht="15.75">
      <c r="A44" s="249" t="s">
        <v>165</v>
      </c>
      <c r="B44" s="247" t="e">
        <f>SUM(B15:B43)</f>
        <v>#REF!</v>
      </c>
      <c r="C44" s="247" t="e">
        <f t="shared" ref="C44:H44" si="30">SUM(C15:C43)</f>
        <v>#REF!</v>
      </c>
      <c r="D44" s="247" t="e">
        <f t="shared" si="30"/>
        <v>#REF!</v>
      </c>
      <c r="E44" s="247" t="e">
        <f>SUM(E15:E43)</f>
        <v>#REF!</v>
      </c>
      <c r="F44" s="247" t="e">
        <f t="shared" si="30"/>
        <v>#REF!</v>
      </c>
      <c r="G44" s="247" t="e">
        <f t="shared" si="30"/>
        <v>#REF!</v>
      </c>
      <c r="H44" s="247" t="e">
        <f t="shared" si="30"/>
        <v>#REF!</v>
      </c>
      <c r="I44" s="247" t="e">
        <f>SUM(I15:I43)</f>
        <v>#REF!</v>
      </c>
      <c r="J44" s="247" t="e">
        <f>SUM(J15:J43)</f>
        <v>#REF!</v>
      </c>
      <c r="K44" s="247"/>
      <c r="L44" s="247"/>
      <c r="M44" s="239"/>
      <c r="N44" s="239"/>
      <c r="O44" s="239"/>
      <c r="P44" s="283">
        <f>SUM(P15:P43)</f>
        <v>658561.59999999986</v>
      </c>
      <c r="Q44" s="282">
        <f>SUM(Q15:Q43)</f>
        <v>4657.9407663833226</v>
      </c>
      <c r="R44" s="282">
        <f>SUM(R15:R43)</f>
        <v>0</v>
      </c>
      <c r="S44" s="282">
        <f>SUM(S15:S43)</f>
        <v>595603.14076638327</v>
      </c>
      <c r="T44" s="282">
        <f t="shared" ref="T44:U44" si="31">SUM(T15:T43)</f>
        <v>-133911.01110550805</v>
      </c>
      <c r="U44" s="282">
        <f t="shared" si="31"/>
        <v>461692.12966087519</v>
      </c>
      <c r="V44" s="282">
        <f>SUM(V15:V43)</f>
        <v>233950.06173355138</v>
      </c>
      <c r="W44" s="282">
        <f>SUM(W15:W43)</f>
        <v>227742.06792732392</v>
      </c>
      <c r="X44" s="247"/>
      <c r="Y44" s="247"/>
      <c r="Z44" s="241"/>
      <c r="AA44" s="241"/>
      <c r="AB44" s="241"/>
      <c r="AC44" s="241"/>
      <c r="AD44" s="241"/>
      <c r="AE44" s="241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</row>
    <row r="45" spans="1:43" ht="15.75">
      <c r="A45" s="240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39"/>
      <c r="N45" s="239"/>
      <c r="O45" s="239"/>
      <c r="P45" s="277"/>
      <c r="Q45" s="239"/>
      <c r="R45" s="247"/>
      <c r="S45" s="247"/>
      <c r="T45" s="247"/>
      <c r="U45" s="247"/>
      <c r="V45" s="247"/>
      <c r="W45" s="247"/>
      <c r="X45" s="247"/>
      <c r="Y45" s="247"/>
      <c r="Z45" s="241"/>
      <c r="AA45" s="241"/>
      <c r="AB45" s="241"/>
      <c r="AC45" s="241"/>
      <c r="AD45" s="241"/>
      <c r="AE45" s="241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</row>
    <row r="46" spans="1:43" ht="15.75">
      <c r="A46" s="240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39"/>
      <c r="N46" s="239"/>
      <c r="O46" s="239"/>
      <c r="P46" s="277"/>
      <c r="Q46" s="239"/>
      <c r="R46" s="247"/>
      <c r="S46" s="247"/>
      <c r="T46" s="247"/>
      <c r="U46" s="247"/>
      <c r="V46" s="247"/>
      <c r="W46" s="247"/>
      <c r="X46" s="247"/>
      <c r="Y46" s="247"/>
      <c r="Z46" s="241"/>
      <c r="AA46" s="241"/>
      <c r="AB46" s="241"/>
      <c r="AC46" s="241"/>
      <c r="AD46" s="241"/>
      <c r="AE46" s="241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</row>
    <row r="47" spans="1:43" ht="15.75">
      <c r="A47" s="250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39"/>
      <c r="N47" s="239"/>
      <c r="O47" s="239"/>
      <c r="P47" s="277">
        <f>P11-P44</f>
        <v>10780.045000000158</v>
      </c>
      <c r="Q47" s="239"/>
      <c r="R47" s="247"/>
      <c r="S47" s="247"/>
      <c r="T47" s="247"/>
      <c r="U47" s="247"/>
      <c r="V47" s="247"/>
      <c r="W47" s="247"/>
      <c r="X47" s="247"/>
      <c r="Y47" s="247"/>
      <c r="Z47" s="241"/>
      <c r="AA47" s="241"/>
      <c r="AB47" s="241"/>
      <c r="AC47" s="241"/>
      <c r="AD47" s="241"/>
      <c r="AE47" s="241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</row>
    <row r="48" spans="1:43" ht="15.75">
      <c r="A48" s="251"/>
      <c r="B48" s="247" t="e">
        <f>B11-B44</f>
        <v>#REF!</v>
      </c>
      <c r="C48" s="247"/>
      <c r="D48" s="247" t="e">
        <f>D11-D44</f>
        <v>#REF!</v>
      </c>
      <c r="E48" s="247"/>
      <c r="F48" s="247" t="e">
        <f>F11-F44</f>
        <v>#REF!</v>
      </c>
      <c r="G48" s="247"/>
      <c r="H48" s="247" t="e">
        <f>H11-H44</f>
        <v>#REF!</v>
      </c>
      <c r="I48" s="247" t="e">
        <f>I11-I44</f>
        <v>#REF!</v>
      </c>
      <c r="J48" s="247" t="e">
        <f>J11-J44</f>
        <v>#REF!</v>
      </c>
      <c r="K48" s="247"/>
      <c r="L48" s="247"/>
      <c r="M48" s="239"/>
      <c r="N48" s="239"/>
      <c r="O48" s="239"/>
      <c r="P48" s="277"/>
      <c r="Q48" s="239"/>
      <c r="R48" s="247"/>
      <c r="S48" s="247"/>
      <c r="T48" s="247"/>
      <c r="U48" s="247"/>
      <c r="V48" s="247"/>
      <c r="W48" s="247"/>
      <c r="X48" s="247"/>
      <c r="Y48" s="247"/>
      <c r="Z48" s="241"/>
      <c r="AA48" s="241"/>
      <c r="AB48" s="241"/>
      <c r="AC48" s="241"/>
      <c r="AD48" s="241"/>
      <c r="AE48" s="241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</row>
    <row r="49" spans="1:43" ht="15.75">
      <c r="A49" s="245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39"/>
      <c r="N49" s="239"/>
      <c r="O49" s="239"/>
      <c r="P49" s="239"/>
      <c r="Q49" s="239"/>
      <c r="R49" s="239"/>
      <c r="S49" s="296"/>
      <c r="T49" s="296"/>
      <c r="U49" s="296"/>
      <c r="V49" s="247"/>
      <c r="W49" s="247"/>
      <c r="X49" s="247"/>
      <c r="Y49" s="247"/>
      <c r="Z49" s="241"/>
      <c r="AA49" s="241"/>
      <c r="AB49" s="241"/>
      <c r="AC49" s="241"/>
      <c r="AD49" s="241"/>
      <c r="AE49" s="241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</row>
    <row r="50" spans="1:43" ht="15.75">
      <c r="A50" s="250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39"/>
      <c r="N50" s="239"/>
      <c r="O50" s="239"/>
      <c r="P50" s="239"/>
      <c r="Q50" s="239"/>
      <c r="R50" s="488"/>
      <c r="S50" s="296"/>
      <c r="T50" s="296"/>
      <c r="U50" s="296"/>
      <c r="V50" s="247"/>
      <c r="W50" s="247"/>
      <c r="X50" s="247"/>
      <c r="Y50" s="247"/>
      <c r="Z50" s="241"/>
      <c r="AA50" s="241"/>
      <c r="AB50" s="241"/>
      <c r="AC50" s="241"/>
      <c r="AD50" s="241"/>
      <c r="AE50" s="241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</row>
    <row r="51" spans="1:43" ht="15.75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</row>
    <row r="52" spans="1:43" ht="15.75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</row>
    <row r="53" spans="1:43" ht="15.75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</row>
    <row r="54" spans="1:43" ht="15.75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</row>
    <row r="55" spans="1:43" ht="15.75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</row>
    <row r="56" spans="1:43" ht="15.75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</row>
    <row r="57" spans="1:43" ht="15.75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</row>
    <row r="58" spans="1:43" ht="15.75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</row>
    <row r="59" spans="1:43" ht="15.75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</row>
    <row r="60" spans="1:43" ht="15.75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</row>
    <row r="61" spans="1:43" ht="15.75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</row>
    <row r="62" spans="1:43" ht="15.75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</row>
    <row r="63" spans="1:43" ht="15.75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</row>
    <row r="64" spans="1:43" ht="15.75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</row>
    <row r="65" spans="1:43" ht="15.75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</row>
    <row r="66" spans="1:43" ht="15.75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</row>
    <row r="67" spans="1:43" ht="15.75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</row>
    <row r="68" spans="1:43" ht="15.75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</row>
    <row r="69" spans="1:43" ht="15.75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</row>
    <row r="70" spans="1:43" ht="15.75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</row>
    <row r="71" spans="1:43" ht="15.75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</row>
    <row r="72" spans="1:43" ht="15.75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</row>
    <row r="73" spans="1:43" ht="15.75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</row>
    <row r="74" spans="1:43" ht="15.75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</row>
    <row r="75" spans="1:43" ht="15.75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</row>
    <row r="76" spans="1:43" ht="15.75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</row>
    <row r="77" spans="1:43" ht="15.75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</row>
    <row r="78" spans="1:43" ht="15.75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</row>
    <row r="79" spans="1:43" ht="15.75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</row>
    <row r="80" spans="1:43" ht="15.75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</row>
    <row r="81" spans="1:43" ht="15.75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</row>
    <row r="82" spans="1:43" ht="15.75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</row>
    <row r="83" spans="1:43" ht="15.75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</row>
    <row r="84" spans="1:43" ht="15.75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</row>
    <row r="85" spans="1:43" ht="15.75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</row>
    <row r="86" spans="1:43" ht="15.75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</row>
    <row r="87" spans="1:43" ht="15.75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</row>
    <row r="88" spans="1:43" ht="15.75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</row>
    <row r="89" spans="1:43" ht="15.75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</row>
    <row r="90" spans="1:43" ht="15.75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</row>
    <row r="91" spans="1:43" ht="15.75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</row>
    <row r="92" spans="1:43" ht="15.75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</row>
    <row r="93" spans="1:43" ht="15.75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</row>
    <row r="94" spans="1:43" ht="15.75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</row>
    <row r="95" spans="1:43" ht="15.75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</row>
    <row r="96" spans="1:43" ht="15.75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</row>
    <row r="97" spans="1:43" ht="15.75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</row>
    <row r="98" spans="1:43" ht="15.75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</row>
    <row r="99" spans="1:43" ht="15.75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</row>
    <row r="100" spans="1:43" ht="15.75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</row>
    <row r="101" spans="1:43" ht="15.75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</row>
    <row r="102" spans="1:43" ht="15.75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</row>
    <row r="103" spans="1:43" ht="15.75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</row>
    <row r="104" spans="1:43" ht="15.75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</row>
    <row r="105" spans="1:43" ht="15.75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</row>
    <row r="106" spans="1:43" ht="15.75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</row>
    <row r="107" spans="1:43" ht="15.75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</row>
    <row r="108" spans="1:43" ht="15.75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</row>
    <row r="109" spans="1:43" ht="15.75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</row>
    <row r="110" spans="1:43" ht="15.75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</row>
    <row r="111" spans="1:43" ht="15.75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</row>
    <row r="112" spans="1:43" ht="15.75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</row>
    <row r="113" spans="1:43" ht="15.75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</row>
    <row r="114" spans="1:43" ht="15.75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</row>
    <row r="115" spans="1:43" ht="15.75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</row>
    <row r="116" spans="1:43" ht="15.75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</row>
    <row r="117" spans="1:43" ht="15.75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</row>
    <row r="118" spans="1:43" ht="15.75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</row>
    <row r="119" spans="1:43" ht="15.75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</row>
    <row r="120" spans="1:43" ht="15.75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</row>
    <row r="121" spans="1:43" ht="15.75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</row>
    <row r="122" spans="1:43" ht="15.75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</row>
    <row r="123" spans="1:43" ht="15.75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</row>
    <row r="124" spans="1:43" ht="15.75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</row>
    <row r="125" spans="1:43" ht="15.75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</row>
    <row r="126" spans="1:43" ht="15.75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/>
    </row>
    <row r="127" spans="1:43" ht="15.75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</row>
    <row r="128" spans="1:43" ht="15.75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</row>
    <row r="129" spans="1:43" ht="15.75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</row>
    <row r="130" spans="1:43" ht="15.75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</row>
    <row r="131" spans="1:43" ht="15.75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</row>
    <row r="132" spans="1:43" ht="15.75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</row>
    <row r="133" spans="1:43" ht="15.75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</row>
    <row r="134" spans="1:43" ht="15.75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</row>
    <row r="135" spans="1:43" ht="15.75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</row>
    <row r="136" spans="1:43" ht="15.75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</row>
    <row r="137" spans="1:43" ht="15.75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</row>
    <row r="138" spans="1:43" ht="15.75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</row>
    <row r="139" spans="1:43" ht="15.75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</row>
    <row r="140" spans="1:43" ht="15.75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</row>
    <row r="141" spans="1:43" ht="15.75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</row>
    <row r="142" spans="1:43" ht="15.75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</row>
    <row r="143" spans="1:43" ht="15.75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</row>
    <row r="144" spans="1:43" ht="15.75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</row>
    <row r="145" spans="1:43" ht="15.75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</row>
    <row r="146" spans="1:43" ht="15.75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</row>
    <row r="147" spans="1:43" ht="15.75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</row>
    <row r="148" spans="1:43" ht="15.75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</row>
    <row r="149" spans="1:43" ht="15.75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</row>
    <row r="150" spans="1:43" ht="15.75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</row>
    <row r="151" spans="1:43" ht="15.75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</row>
    <row r="152" spans="1:43" ht="15.75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</row>
    <row r="153" spans="1:43" ht="15.75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</row>
    <row r="154" spans="1:43" ht="15.75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</row>
    <row r="155" spans="1:43" ht="15.75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</row>
    <row r="156" spans="1:43" ht="15.75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</row>
    <row r="157" spans="1:43" ht="15.75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</row>
    <row r="158" spans="1:43" ht="15.75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</row>
    <row r="159" spans="1:43" ht="15.75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</row>
    <row r="160" spans="1:43" ht="15.75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</row>
    <row r="161" spans="1:43" ht="15.75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</row>
    <row r="162" spans="1:43" ht="15.75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</row>
    <row r="163" spans="1:43" ht="15.75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</row>
    <row r="164" spans="1:43" ht="15.75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</row>
    <row r="165" spans="1:43" ht="15.75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</row>
    <row r="166" spans="1:43" ht="15.75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</row>
    <row r="167" spans="1:43" ht="15.75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</row>
    <row r="168" spans="1:43" ht="15.75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</row>
    <row r="169" spans="1:43" ht="15.75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</row>
    <row r="170" spans="1:43" ht="15.75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</row>
    <row r="171" spans="1:43" ht="15.75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</row>
    <row r="172" spans="1:43" ht="15.75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</row>
    <row r="173" spans="1:43" ht="15.75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</row>
    <row r="174" spans="1:43" ht="15.75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</row>
    <row r="175" spans="1:43" ht="15.75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</row>
    <row r="176" spans="1:43" ht="15.75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</row>
    <row r="177" spans="1:43" ht="15.75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</row>
    <row r="178" spans="1:43" ht="15.75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</row>
    <row r="179" spans="1:43" ht="15.75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</row>
    <row r="180" spans="1:43" ht="15.75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</row>
    <row r="181" spans="1:43" ht="15.75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</row>
    <row r="182" spans="1:43" ht="15.75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</row>
    <row r="183" spans="1:43" ht="15.75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</row>
    <row r="184" spans="1:43" ht="15.75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</row>
    <row r="185" spans="1:43" ht="15.75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</row>
    <row r="186" spans="1:43" ht="15.75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</row>
    <row r="187" spans="1:43" ht="15.75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</row>
    <row r="188" spans="1:43" ht="15.75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</row>
    <row r="189" spans="1:43" ht="15.75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</row>
    <row r="190" spans="1:43" ht="15.75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</row>
    <row r="191" spans="1:43" ht="15.75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</row>
    <row r="192" spans="1:43" ht="15.75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</row>
    <row r="193" spans="1:43" ht="15.75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</row>
    <row r="194" spans="1:43" ht="15.75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</row>
    <row r="195" spans="1:43" ht="15.75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</row>
    <row r="196" spans="1:43" ht="15.75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</row>
    <row r="197" spans="1:43" ht="15.75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</row>
    <row r="198" spans="1:43" ht="15.75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</row>
    <row r="199" spans="1:43" ht="15.75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</row>
    <row r="200" spans="1:43" ht="15.75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</row>
    <row r="201" spans="1:43" ht="15.75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</row>
    <row r="202" spans="1:43" ht="15.75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</row>
    <row r="203" spans="1:43" ht="15.75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</row>
    <row r="204" spans="1:43" ht="15.75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</row>
    <row r="205" spans="1:43" ht="15.75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</row>
    <row r="206" spans="1:43" ht="15.75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</row>
    <row r="207" spans="1:43" ht="15.75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</row>
    <row r="208" spans="1:43" ht="15.75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</row>
    <row r="209" spans="1:43" ht="15.75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</row>
    <row r="210" spans="1:43" ht="15.75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</row>
    <row r="211" spans="1:43" ht="15.75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</row>
    <row r="212" spans="1:43" ht="15.75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</row>
    <row r="213" spans="1:43" ht="15.75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</row>
    <row r="214" spans="1:43" ht="15.75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</row>
    <row r="215" spans="1:43" ht="15.75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</row>
    <row r="216" spans="1:43" ht="15.75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</row>
    <row r="217" spans="1:43" ht="15.75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</row>
    <row r="218" spans="1:43" ht="15.75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0"/>
    </row>
    <row r="219" spans="1:43" ht="15.75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</row>
    <row r="220" spans="1:43" ht="15.75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</row>
    <row r="221" spans="1:43" ht="15.75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</row>
    <row r="222" spans="1:43" ht="15.75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</row>
    <row r="223" spans="1:43" ht="15.75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</row>
    <row r="224" spans="1:43" ht="15.75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/>
      <c r="AQ224" s="240"/>
    </row>
    <row r="225" spans="1:43" ht="15.75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</row>
    <row r="226" spans="1:43" ht="15.75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</row>
    <row r="227" spans="1:43" ht="15.75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</row>
    <row r="228" spans="1:43" ht="15.75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/>
      <c r="AQ228" s="240"/>
    </row>
    <row r="229" spans="1:43" ht="15.75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</row>
    <row r="230" spans="1:43" ht="15.75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</row>
    <row r="231" spans="1:43" ht="15.75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  <c r="AA231" s="241"/>
      <c r="AB231" s="241"/>
      <c r="AC231" s="241"/>
      <c r="AD231" s="241"/>
      <c r="AE231" s="241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</row>
    <row r="232" spans="1:43" ht="15.75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</row>
    <row r="233" spans="1:43" ht="15.75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0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/>
    </row>
    <row r="234" spans="1:43" ht="15.75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0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/>
      <c r="AQ234" s="240"/>
    </row>
    <row r="235" spans="1:43" ht="15.75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</row>
    <row r="236" spans="1:43" ht="15.75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  <c r="AA236" s="241"/>
      <c r="AB236" s="241"/>
      <c r="AC236" s="241"/>
      <c r="AD236" s="241"/>
      <c r="AE236" s="241"/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/>
    </row>
    <row r="237" spans="1:43" ht="15.75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</row>
    <row r="238" spans="1:43" ht="15.75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0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/>
      <c r="AQ238" s="240"/>
    </row>
    <row r="239" spans="1:43" ht="15.75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</row>
    <row r="240" spans="1:43" ht="15.75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</row>
    <row r="241" spans="1:43" ht="15.75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</row>
    <row r="242" spans="1:43" ht="15.75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</row>
    <row r="243" spans="1:43" ht="15.75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</row>
    <row r="244" spans="1:43" ht="15.75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  <c r="AA244" s="241"/>
      <c r="AB244" s="241"/>
      <c r="AC244" s="241"/>
      <c r="AD244" s="241"/>
      <c r="AE244" s="241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</row>
    <row r="245" spans="1:43" ht="15.75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</row>
    <row r="246" spans="1:43" ht="15.75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</row>
    <row r="247" spans="1:43" ht="15.75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</row>
    <row r="248" spans="1:43" ht="15.75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/>
      <c r="AQ248" s="240"/>
    </row>
    <row r="249" spans="1:43" ht="15.75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</row>
    <row r="250" spans="1:43" ht="15.75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  <c r="AA250" s="241"/>
      <c r="AB250" s="241"/>
      <c r="AC250" s="241"/>
      <c r="AD250" s="241"/>
      <c r="AE250" s="241"/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</row>
    <row r="251" spans="1:43" ht="15.75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</row>
    <row r="252" spans="1:43" ht="15.75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</row>
    <row r="253" spans="1:43" ht="15.75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0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/>
      <c r="AQ253" s="240"/>
    </row>
    <row r="254" spans="1:43" ht="15.75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</row>
    <row r="255" spans="1:43" ht="15.75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</row>
    <row r="256" spans="1:43" ht="15.75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</row>
    <row r="257" spans="1:43" ht="15.75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</row>
    <row r="258" spans="1:43" ht="15.75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</row>
    <row r="259" spans="1:43" ht="15.75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</row>
    <row r="260" spans="1:43" ht="15.75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</row>
    <row r="261" spans="1:43" ht="15.75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</row>
    <row r="262" spans="1:43" ht="15.75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</row>
    <row r="263" spans="1:43" ht="15.75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</row>
    <row r="264" spans="1:43" ht="15.75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</row>
    <row r="265" spans="1:43" ht="15.75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</row>
    <row r="266" spans="1:43" ht="15.75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0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/>
      <c r="AQ266" s="240"/>
    </row>
    <row r="267" spans="1:43" ht="15.75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</row>
    <row r="268" spans="1:43" ht="15.75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</row>
    <row r="269" spans="1:43" ht="15.75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</row>
    <row r="270" spans="1:43" ht="15.75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</row>
    <row r="271" spans="1:43" ht="15.75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</row>
    <row r="272" spans="1:43" ht="15.75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/>
      <c r="AQ272" s="240"/>
    </row>
    <row r="273" spans="1:43" ht="15.75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  <c r="AA273" s="241"/>
      <c r="AB273" s="241"/>
      <c r="AC273" s="241"/>
      <c r="AD273" s="241"/>
      <c r="AE273" s="241"/>
      <c r="AF273" s="240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/>
      <c r="AQ273" s="240"/>
    </row>
    <row r="274" spans="1:43" ht="15.75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</row>
    <row r="275" spans="1:43" ht="15.75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0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/>
      <c r="AQ275" s="240"/>
    </row>
    <row r="276" spans="1:43" ht="15.75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</row>
    <row r="277" spans="1:43" ht="15.75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</row>
    <row r="278" spans="1:43" ht="15.75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  <c r="AA278" s="241"/>
      <c r="AB278" s="241"/>
      <c r="AC278" s="241"/>
      <c r="AD278" s="241"/>
      <c r="AE278" s="241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</row>
    <row r="279" spans="1:43" ht="15.75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</row>
    <row r="280" spans="1:43" ht="15.75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/>
      <c r="AQ280" s="240"/>
    </row>
    <row r="281" spans="1:43" ht="15.75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/>
    </row>
    <row r="282" spans="1:43" ht="15.75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</row>
    <row r="283" spans="1:43" ht="15.75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</row>
    <row r="284" spans="1:43" ht="15.75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</row>
    <row r="285" spans="1:43" ht="15.75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</row>
    <row r="286" spans="1:43" ht="15.75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/>
    </row>
    <row r="287" spans="1:43" ht="15.75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/>
    </row>
    <row r="288" spans="1:43" ht="15.75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</row>
    <row r="289" spans="1:43" ht="15.75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</row>
    <row r="290" spans="1:43" ht="15.75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</row>
    <row r="291" spans="1:43" ht="15.75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</row>
    <row r="292" spans="1:43" ht="15.75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  <c r="AA292" s="241"/>
      <c r="AB292" s="241"/>
      <c r="AC292" s="241"/>
      <c r="AD292" s="241"/>
      <c r="AE292" s="241"/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/>
      <c r="AQ292" s="240"/>
    </row>
    <row r="293" spans="1:43" ht="15.75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</row>
    <row r="294" spans="1:43" ht="15.75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/>
    </row>
    <row r="295" spans="1:43" ht="15.75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0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/>
      <c r="AQ295" s="240"/>
    </row>
    <row r="296" spans="1:43" ht="15.75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</row>
    <row r="297" spans="1:43" ht="15.75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</row>
    <row r="298" spans="1:43" ht="15.75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</row>
    <row r="299" spans="1:43" ht="15.75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0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/>
      <c r="AQ299" s="240"/>
    </row>
    <row r="300" spans="1:43" ht="15.75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/>
      <c r="AQ300" s="240"/>
    </row>
    <row r="301" spans="1:43" ht="15.75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/>
    </row>
    <row r="302" spans="1:43" ht="15.75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</row>
    <row r="303" spans="1:43" ht="15.75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0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/>
      <c r="AQ303" s="240"/>
    </row>
    <row r="304" spans="1:43" ht="15.75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</row>
    <row r="305" spans="1:43" ht="15.75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</row>
    <row r="306" spans="1:43" ht="15.75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</row>
    <row r="307" spans="1:43" ht="15.75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</row>
    <row r="308" spans="1:43" ht="15.75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0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/>
      <c r="AQ308" s="240"/>
    </row>
    <row r="309" spans="1:43" ht="15.75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/>
      <c r="AQ309" s="240"/>
    </row>
    <row r="310" spans="1:43" ht="15.75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</row>
    <row r="311" spans="1:43" ht="15.75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</row>
    <row r="312" spans="1:43" ht="15.75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</row>
    <row r="313" spans="1:43" ht="15.75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/>
      <c r="AQ313" s="240"/>
    </row>
    <row r="314" spans="1:43" ht="15.75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</row>
    <row r="315" spans="1:43" ht="15.75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  <c r="AA315" s="241"/>
      <c r="AB315" s="241"/>
      <c r="AC315" s="241"/>
      <c r="AD315" s="241"/>
      <c r="AE315" s="241"/>
      <c r="AF315" s="240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/>
      <c r="AQ315" s="240"/>
    </row>
    <row r="316" spans="1:43" ht="15.75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</row>
    <row r="317" spans="1:43" ht="15.75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0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/>
      <c r="AQ317" s="240"/>
    </row>
    <row r="318" spans="1:43" ht="15.75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</row>
    <row r="319" spans="1:43" ht="15.75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</row>
    <row r="320" spans="1:43" ht="15.75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  <c r="AA320" s="241"/>
      <c r="AB320" s="241"/>
      <c r="AC320" s="241"/>
      <c r="AD320" s="241"/>
      <c r="AE320" s="241"/>
      <c r="AF320" s="240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/>
      <c r="AQ320" s="240"/>
    </row>
    <row r="321" spans="1:43" ht="15.75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</row>
    <row r="322" spans="1:43" ht="15.75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/>
      <c r="AQ322" s="240"/>
    </row>
    <row r="323" spans="1:43" ht="15.75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  <c r="AA323" s="241"/>
      <c r="AB323" s="241"/>
      <c r="AC323" s="241"/>
      <c r="AD323" s="241"/>
      <c r="AE323" s="241"/>
      <c r="AF323" s="240"/>
      <c r="AG323" s="240"/>
      <c r="AH323" s="240"/>
      <c r="AI323" s="240"/>
      <c r="AJ323" s="240"/>
      <c r="AK323" s="240"/>
      <c r="AL323" s="240"/>
      <c r="AM323" s="240"/>
      <c r="AN323" s="240"/>
      <c r="AO323" s="240"/>
      <c r="AP323" s="240"/>
      <c r="AQ323" s="240"/>
    </row>
    <row r="324" spans="1:43" ht="15.75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</row>
    <row r="325" spans="1:43" ht="15.75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</row>
    <row r="326" spans="1:43" ht="15.75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</row>
    <row r="327" spans="1:43" ht="15.75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0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/>
      <c r="AQ327" s="240"/>
    </row>
    <row r="328" spans="1:43" ht="15.75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/>
    </row>
    <row r="329" spans="1:43" ht="15.75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/>
      <c r="AQ329" s="240"/>
    </row>
    <row r="330" spans="1:43" ht="15.75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/>
      <c r="AQ330" s="240"/>
    </row>
    <row r="331" spans="1:43" ht="15.75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/>
    </row>
    <row r="332" spans="1:43" ht="15.75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0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/>
      <c r="AQ332" s="240"/>
    </row>
    <row r="333" spans="1:43" ht="15.75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0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/>
      <c r="AQ333" s="240"/>
    </row>
    <row r="334" spans="1:43" ht="15.75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0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/>
      <c r="AQ334" s="240"/>
    </row>
    <row r="335" spans="1:43" ht="15.75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0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/>
    </row>
    <row r="336" spans="1:43" ht="15.75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0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/>
      <c r="AQ336" s="240"/>
    </row>
    <row r="337" spans="1:43" ht="15.75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0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/>
      <c r="AQ337" s="240"/>
    </row>
    <row r="338" spans="1:43" ht="15.75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0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/>
      <c r="AQ338" s="240"/>
    </row>
    <row r="339" spans="1:43" ht="15.75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0"/>
      <c r="T339" s="240"/>
      <c r="U339" s="240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0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/>
      <c r="AQ339" s="240"/>
    </row>
    <row r="340" spans="1:43" ht="15.75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0"/>
      <c r="T340" s="240"/>
      <c r="U340" s="240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/>
      <c r="AQ340" s="240"/>
    </row>
    <row r="341" spans="1:43" ht="15.75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1"/>
      <c r="AC341" s="241"/>
      <c r="AD341" s="241"/>
      <c r="AE341" s="241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/>
    </row>
    <row r="342" spans="1:43" ht="15.75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1"/>
      <c r="AC342" s="241"/>
      <c r="AD342" s="241"/>
      <c r="AE342" s="241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/>
      <c r="AQ342" s="240"/>
    </row>
    <row r="343" spans="1:43" ht="15.75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1"/>
      <c r="AC343" s="241"/>
      <c r="AD343" s="241"/>
      <c r="AE343" s="241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/>
    </row>
    <row r="344" spans="1:43" ht="15.75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1"/>
      <c r="AC344" s="241"/>
      <c r="AD344" s="241"/>
      <c r="AE344" s="241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</row>
    <row r="345" spans="1:43" ht="15.75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1"/>
      <c r="AC345" s="241"/>
      <c r="AD345" s="241"/>
      <c r="AE345" s="241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/>
      <c r="AQ345" s="240"/>
    </row>
    <row r="346" spans="1:43" ht="15.75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1"/>
      <c r="AC346" s="241"/>
      <c r="AD346" s="241"/>
      <c r="AE346" s="241"/>
      <c r="AF346" s="240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/>
      <c r="AQ346" s="240"/>
    </row>
    <row r="347" spans="1:43" ht="15.75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1"/>
      <c r="AC347" s="241"/>
      <c r="AD347" s="241"/>
      <c r="AE347" s="241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/>
      <c r="AQ347" s="240"/>
    </row>
    <row r="348" spans="1:43" ht="15.75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1"/>
      <c r="AC348" s="241"/>
      <c r="AD348" s="241"/>
      <c r="AE348" s="241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/>
      <c r="AQ348" s="240"/>
    </row>
    <row r="349" spans="1:43" ht="15.75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1"/>
      <c r="AC349" s="241"/>
      <c r="AD349" s="241"/>
      <c r="AE349" s="241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/>
      <c r="AQ349" s="240"/>
    </row>
    <row r="350" spans="1:43" ht="15.75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1"/>
      <c r="AC350" s="241"/>
      <c r="AD350" s="241"/>
      <c r="AE350" s="241"/>
      <c r="AF350" s="240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/>
      <c r="AQ350" s="240"/>
    </row>
    <row r="351" spans="1:43" ht="15.75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  <c r="AA351" s="240"/>
      <c r="AB351" s="241"/>
      <c r="AC351" s="241"/>
      <c r="AD351" s="241"/>
      <c r="AE351" s="241"/>
      <c r="AF351" s="240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/>
      <c r="AQ351" s="240"/>
    </row>
    <row r="352" spans="1:43" ht="15.75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V352" s="240"/>
      <c r="W352" s="240"/>
      <c r="X352" s="240"/>
      <c r="Y352" s="240"/>
      <c r="Z352" s="240"/>
      <c r="AA352" s="240"/>
      <c r="AB352" s="241"/>
      <c r="AC352" s="241"/>
      <c r="AD352" s="241"/>
      <c r="AE352" s="241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/>
      <c r="AQ352" s="240"/>
    </row>
    <row r="353" spans="1:43" ht="15.75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V353" s="240"/>
      <c r="W353" s="240"/>
      <c r="X353" s="240"/>
      <c r="Y353" s="240"/>
      <c r="Z353" s="240"/>
      <c r="AA353" s="240"/>
      <c r="AB353" s="241"/>
      <c r="AC353" s="241"/>
      <c r="AD353" s="241"/>
      <c r="AE353" s="241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</row>
    <row r="354" spans="1:43" ht="15.75">
      <c r="AB354" s="241"/>
      <c r="AC354" s="241"/>
      <c r="AD354" s="241"/>
      <c r="AE354" s="241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</row>
    <row r="355" spans="1:43" ht="15.75">
      <c r="AB355" s="241"/>
      <c r="AC355" s="241"/>
      <c r="AD355" s="241"/>
      <c r="AE355" s="241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</row>
    <row r="356" spans="1:43" ht="15.75">
      <c r="AB356" s="241"/>
      <c r="AC356" s="241"/>
      <c r="AD356" s="241"/>
      <c r="AE356" s="241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</row>
    <row r="357" spans="1:43" ht="15.75">
      <c r="AB357" s="241"/>
      <c r="AC357" s="241"/>
      <c r="AD357" s="241"/>
      <c r="AE357" s="241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</row>
    <row r="358" spans="1:43"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</row>
    <row r="359" spans="1:43"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/>
      <c r="AQ359" s="240"/>
    </row>
    <row r="360" spans="1:43"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</row>
    <row r="361" spans="1:43"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</row>
    <row r="362" spans="1:43"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</row>
    <row r="363" spans="1:43"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</row>
    <row r="364" spans="1:43">
      <c r="AB364" s="240"/>
      <c r="AC364" s="240"/>
      <c r="AD364" s="240"/>
      <c r="AE364" s="240"/>
      <c r="AF364" s="240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/>
      <c r="AQ364" s="240"/>
    </row>
    <row r="365" spans="1:43">
      <c r="AB365" s="240"/>
      <c r="AC365" s="240"/>
      <c r="AD365" s="240"/>
      <c r="AE365" s="240"/>
      <c r="AF365" s="240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/>
      <c r="AQ365" s="240"/>
    </row>
    <row r="366" spans="1:43"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</row>
    <row r="367" spans="1:43"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</row>
    <row r="368" spans="1:43"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</row>
    <row r="369" spans="28:43"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</row>
    <row r="370" spans="28:43"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/>
    </row>
  </sheetData>
  <mergeCells count="5">
    <mergeCell ref="B1:M1"/>
    <mergeCell ref="P1:Y1"/>
    <mergeCell ref="AA5:AB5"/>
    <mergeCell ref="AA4:AD4"/>
    <mergeCell ref="AC5:AD5"/>
  </mergeCells>
  <pageMargins left="0.7" right="0.7" top="0.75" bottom="0.75" header="0.3" footer="0.3"/>
  <pageSetup orientation="portrait" r:id="rId1"/>
  <ignoredErrors>
    <ignoredError sqref="U20:W2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5BFD-3680-46E9-B2FB-856ED16297C1}">
  <dimension ref="C3:X39"/>
  <sheetViews>
    <sheetView showGridLines="0" topLeftCell="A6" zoomScale="80" zoomScaleNormal="80" workbookViewId="0">
      <selection activeCell="L15" sqref="L15"/>
    </sheetView>
  </sheetViews>
  <sheetFormatPr defaultColWidth="8.88671875" defaultRowHeight="15.75"/>
  <cols>
    <col min="1" max="16384" width="8.88671875" style="576"/>
  </cols>
  <sheetData>
    <row r="3" spans="3:24" ht="25.5">
      <c r="C3" s="581" t="s">
        <v>400</v>
      </c>
    </row>
    <row r="4" spans="3:24" ht="26.25">
      <c r="C4" s="580" t="s">
        <v>399</v>
      </c>
    </row>
    <row r="5" spans="3:24" ht="26.25">
      <c r="C5" s="580" t="s">
        <v>398</v>
      </c>
    </row>
    <row r="6" spans="3:24" ht="26.25">
      <c r="C6" s="580"/>
    </row>
    <row r="8" spans="3:24" ht="20.25">
      <c r="C8" s="579" t="s">
        <v>397</v>
      </c>
      <c r="D8" s="577"/>
      <c r="E8" s="577"/>
      <c r="F8" s="577"/>
      <c r="G8" s="577"/>
      <c r="H8" s="577"/>
      <c r="I8" s="577"/>
      <c r="J8" s="577"/>
      <c r="K8" s="577"/>
      <c r="N8" s="577"/>
      <c r="O8" s="579" t="s">
        <v>396</v>
      </c>
      <c r="P8" s="577"/>
      <c r="Q8" s="577"/>
      <c r="R8" s="577"/>
      <c r="S8" s="577"/>
      <c r="T8" s="577"/>
      <c r="U8" s="577"/>
      <c r="V8" s="577"/>
      <c r="W8" s="577"/>
      <c r="X8" s="577"/>
    </row>
    <row r="9" spans="3:24">
      <c r="C9" s="577"/>
      <c r="D9" s="577"/>
      <c r="E9" s="577"/>
      <c r="F9" s="577"/>
      <c r="G9" s="577"/>
      <c r="H9" s="577"/>
      <c r="I9" s="577"/>
      <c r="J9" s="577"/>
      <c r="K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</row>
    <row r="10" spans="3:24" ht="18.75">
      <c r="C10" s="578" t="s">
        <v>395</v>
      </c>
      <c r="D10" s="577"/>
      <c r="E10" s="577"/>
      <c r="F10" s="577"/>
      <c r="G10" s="577"/>
      <c r="H10" s="577"/>
      <c r="I10" s="577"/>
      <c r="J10" s="577"/>
      <c r="K10" s="577"/>
      <c r="N10" s="577"/>
      <c r="O10" s="578" t="s">
        <v>394</v>
      </c>
      <c r="P10" s="577"/>
      <c r="Q10" s="577"/>
      <c r="R10" s="577"/>
      <c r="S10" s="577"/>
      <c r="T10" s="577"/>
      <c r="U10" s="577"/>
      <c r="V10" s="577"/>
      <c r="W10" s="577"/>
      <c r="X10" s="577"/>
    </row>
    <row r="11" spans="3:24" ht="18.75">
      <c r="C11" s="578" t="s">
        <v>393</v>
      </c>
      <c r="D11" s="578"/>
      <c r="E11" s="577"/>
      <c r="F11" s="577"/>
      <c r="G11" s="577"/>
      <c r="H11" s="577"/>
      <c r="I11" s="577"/>
      <c r="J11" s="577"/>
      <c r="K11" s="577"/>
      <c r="N11" s="577"/>
      <c r="O11" s="578" t="s">
        <v>392</v>
      </c>
      <c r="P11" s="577"/>
      <c r="Q11" s="577"/>
      <c r="R11" s="577"/>
      <c r="S11" s="577"/>
      <c r="T11" s="577"/>
      <c r="U11" s="577"/>
      <c r="V11" s="577"/>
      <c r="W11" s="577"/>
      <c r="X11" s="577"/>
    </row>
    <row r="12" spans="3:24" ht="18.75">
      <c r="C12" s="578" t="s">
        <v>391</v>
      </c>
      <c r="D12" s="577"/>
      <c r="E12" s="577"/>
      <c r="F12" s="577"/>
      <c r="G12" s="577"/>
      <c r="H12" s="577"/>
      <c r="I12" s="577"/>
      <c r="J12" s="577"/>
      <c r="K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</row>
    <row r="13" spans="3:24" ht="18.75">
      <c r="C13" s="578" t="s">
        <v>390</v>
      </c>
      <c r="D13" s="577"/>
      <c r="E13" s="577"/>
      <c r="F13" s="577"/>
      <c r="G13" s="577"/>
      <c r="H13" s="577"/>
      <c r="I13" s="577"/>
      <c r="J13" s="577"/>
      <c r="K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</row>
    <row r="14" spans="3:24">
      <c r="C14" s="577"/>
      <c r="D14" s="577"/>
      <c r="E14" s="577"/>
      <c r="F14" s="577"/>
      <c r="G14" s="577"/>
      <c r="H14" s="577"/>
      <c r="I14" s="577"/>
      <c r="J14" s="577"/>
      <c r="K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</row>
    <row r="15" spans="3:24">
      <c r="C15" s="577"/>
      <c r="D15" s="577"/>
      <c r="E15" s="577"/>
      <c r="F15" s="577"/>
      <c r="G15" s="577"/>
      <c r="H15" s="577"/>
      <c r="I15" s="577"/>
      <c r="J15" s="577"/>
      <c r="K15" s="577"/>
      <c r="N15" s="577"/>
      <c r="O15" s="577"/>
      <c r="P15" s="577"/>
      <c r="Q15" s="577"/>
      <c r="R15" s="577"/>
      <c r="S15" s="577"/>
      <c r="T15" s="577"/>
      <c r="U15" s="577"/>
      <c r="V15" s="577"/>
      <c r="W15" s="577"/>
      <c r="X15" s="577"/>
    </row>
    <row r="16" spans="3:24">
      <c r="C16" s="577"/>
      <c r="D16" s="577"/>
      <c r="E16" s="577"/>
      <c r="F16" s="577"/>
      <c r="G16" s="577"/>
      <c r="H16" s="577"/>
      <c r="I16" s="577"/>
      <c r="J16" s="577"/>
      <c r="K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</row>
    <row r="17" spans="3:24">
      <c r="C17" s="577"/>
      <c r="D17" s="577"/>
      <c r="E17" s="577"/>
      <c r="F17" s="577"/>
      <c r="G17" s="577"/>
      <c r="H17" s="577"/>
      <c r="I17" s="577"/>
      <c r="J17" s="577"/>
      <c r="K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</row>
    <row r="18" spans="3:24">
      <c r="C18" s="577"/>
      <c r="D18" s="577"/>
      <c r="E18" s="577"/>
      <c r="F18" s="577"/>
      <c r="G18" s="577"/>
      <c r="H18" s="577"/>
      <c r="I18" s="577"/>
      <c r="J18" s="577"/>
      <c r="K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</row>
    <row r="19" spans="3:24">
      <c r="C19" s="577"/>
      <c r="D19" s="577"/>
      <c r="E19" s="577"/>
      <c r="F19" s="577"/>
      <c r="G19" s="577"/>
      <c r="H19" s="577"/>
      <c r="I19" s="577"/>
      <c r="J19" s="577"/>
      <c r="K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</row>
    <row r="20" spans="3:24">
      <c r="C20" s="577"/>
      <c r="D20" s="577"/>
      <c r="E20" s="577"/>
      <c r="F20" s="577"/>
      <c r="G20" s="577"/>
      <c r="H20" s="577"/>
      <c r="I20" s="577"/>
      <c r="J20" s="577"/>
      <c r="K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</row>
    <row r="21" spans="3:24">
      <c r="C21" s="577"/>
      <c r="D21" s="577"/>
      <c r="E21" s="577"/>
      <c r="F21" s="577"/>
      <c r="G21" s="577"/>
      <c r="H21" s="577"/>
      <c r="I21" s="577"/>
      <c r="J21" s="577"/>
      <c r="K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</row>
    <row r="22" spans="3:24">
      <c r="C22" s="577"/>
      <c r="D22" s="577"/>
      <c r="E22" s="577"/>
      <c r="F22" s="577"/>
      <c r="G22" s="577"/>
      <c r="H22" s="577"/>
      <c r="I22" s="577"/>
      <c r="J22" s="577"/>
      <c r="K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</row>
    <row r="23" spans="3:24">
      <c r="C23" s="577"/>
      <c r="D23" s="577"/>
      <c r="E23" s="577"/>
      <c r="F23" s="577"/>
      <c r="G23" s="577"/>
      <c r="H23" s="577"/>
      <c r="I23" s="577"/>
      <c r="J23" s="577"/>
      <c r="K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</row>
    <row r="24" spans="3:24">
      <c r="C24" s="577"/>
      <c r="D24" s="577"/>
      <c r="E24" s="577"/>
      <c r="F24" s="577"/>
      <c r="G24" s="577"/>
      <c r="H24" s="577"/>
      <c r="I24" s="577"/>
      <c r="J24" s="577"/>
      <c r="K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</row>
    <row r="25" spans="3:24">
      <c r="C25" s="577"/>
      <c r="D25" s="577"/>
      <c r="E25" s="577"/>
      <c r="F25" s="577"/>
      <c r="G25" s="577"/>
      <c r="H25" s="577"/>
      <c r="I25" s="577"/>
      <c r="J25" s="577"/>
      <c r="K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</row>
    <row r="26" spans="3:24">
      <c r="C26" s="577"/>
      <c r="D26" s="577"/>
      <c r="E26" s="577"/>
      <c r="F26" s="577"/>
      <c r="G26" s="577"/>
      <c r="H26" s="577"/>
      <c r="I26" s="577"/>
      <c r="J26" s="577"/>
      <c r="K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</row>
    <row r="27" spans="3:24">
      <c r="C27" s="577"/>
      <c r="D27" s="577"/>
      <c r="E27" s="577"/>
      <c r="F27" s="577"/>
      <c r="G27" s="577"/>
      <c r="H27" s="577"/>
      <c r="I27" s="577"/>
      <c r="J27" s="577"/>
      <c r="K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</row>
    <row r="28" spans="3:24">
      <c r="C28" s="577"/>
      <c r="D28" s="577"/>
      <c r="E28" s="577"/>
      <c r="F28" s="577"/>
      <c r="G28" s="577"/>
      <c r="H28" s="577"/>
      <c r="I28" s="577"/>
      <c r="J28" s="577"/>
      <c r="K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</row>
    <row r="29" spans="3:24">
      <c r="C29" s="577"/>
      <c r="D29" s="577"/>
      <c r="E29" s="577"/>
      <c r="F29" s="577"/>
      <c r="G29" s="577"/>
      <c r="H29" s="577"/>
      <c r="I29" s="577"/>
      <c r="J29" s="577"/>
      <c r="K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</row>
    <row r="30" spans="3:24">
      <c r="C30" s="577"/>
      <c r="D30" s="577"/>
      <c r="E30" s="577"/>
      <c r="F30" s="577"/>
      <c r="G30" s="577"/>
      <c r="H30" s="577"/>
      <c r="I30" s="577"/>
      <c r="J30" s="577"/>
      <c r="K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</row>
    <row r="31" spans="3:24">
      <c r="C31" s="577"/>
      <c r="D31" s="577"/>
      <c r="E31" s="577"/>
      <c r="F31" s="577"/>
      <c r="G31" s="577"/>
      <c r="H31" s="577"/>
      <c r="I31" s="577"/>
      <c r="J31" s="577"/>
      <c r="K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</row>
    <row r="32" spans="3:24">
      <c r="C32" s="577"/>
      <c r="D32" s="577"/>
      <c r="E32" s="577"/>
      <c r="F32" s="577"/>
      <c r="G32" s="577"/>
      <c r="H32" s="577"/>
      <c r="I32" s="577"/>
      <c r="J32" s="577"/>
      <c r="K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</row>
    <row r="33" spans="3:24">
      <c r="C33" s="577"/>
      <c r="D33" s="577"/>
      <c r="E33" s="577"/>
      <c r="F33" s="577"/>
      <c r="G33" s="577"/>
      <c r="H33" s="577"/>
      <c r="I33" s="577"/>
      <c r="J33" s="577"/>
      <c r="K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</row>
    <row r="34" spans="3:24">
      <c r="C34" s="577"/>
      <c r="D34" s="577"/>
      <c r="E34" s="577"/>
      <c r="F34" s="577"/>
      <c r="G34" s="577"/>
      <c r="H34" s="577"/>
      <c r="I34" s="577"/>
      <c r="J34" s="577"/>
      <c r="K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</row>
    <row r="35" spans="3:24">
      <c r="C35" s="577"/>
      <c r="D35" s="577"/>
      <c r="E35" s="577"/>
      <c r="F35" s="577"/>
      <c r="G35" s="577"/>
      <c r="H35" s="577"/>
      <c r="I35" s="577"/>
      <c r="J35" s="577"/>
      <c r="K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</row>
    <row r="36" spans="3:24">
      <c r="C36" s="577"/>
      <c r="D36" s="577"/>
      <c r="E36" s="577"/>
      <c r="F36" s="577"/>
      <c r="G36" s="577"/>
      <c r="H36" s="577"/>
      <c r="I36" s="577"/>
      <c r="J36" s="577"/>
      <c r="K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</row>
    <row r="37" spans="3:24">
      <c r="C37" s="577"/>
      <c r="D37" s="577"/>
      <c r="E37" s="577"/>
      <c r="F37" s="577"/>
      <c r="G37" s="577"/>
      <c r="H37" s="577"/>
      <c r="I37" s="577"/>
      <c r="J37" s="577"/>
      <c r="K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</row>
    <row r="38" spans="3:24">
      <c r="C38" s="577"/>
      <c r="D38" s="577"/>
      <c r="E38" s="577"/>
      <c r="F38" s="577"/>
      <c r="G38" s="577"/>
      <c r="H38" s="577"/>
      <c r="I38" s="577"/>
      <c r="J38" s="577"/>
      <c r="K38" s="577"/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</row>
    <row r="39" spans="3:24"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AT113"/>
  <sheetViews>
    <sheetView workbookViewId="0">
      <selection activeCell="C5" sqref="C5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11.3320312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557" t="s">
        <v>106</v>
      </c>
      <c r="C2" s="557"/>
      <c r="D2" s="43"/>
      <c r="E2" s="43"/>
      <c r="F2" s="169" t="s">
        <v>112</v>
      </c>
      <c r="G2" s="98"/>
      <c r="H2" s="98"/>
      <c r="I2" s="99" t="s">
        <v>123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558" t="s">
        <v>92</v>
      </c>
      <c r="AG2" s="559"/>
      <c r="AH2" s="559"/>
      <c r="AI2" s="560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575">
        <f>'Pro Forma IS'!P3</f>
        <v>358220.42499999999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>'Pro Forma IS'!V44</f>
        <v>233950.06173355138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416.05339096750276</v>
      </c>
      <c r="T6" s="118">
        <f>EXP(y_inter1-(slope*LN(+S6)))</f>
        <v>4.9506241969734281</v>
      </c>
      <c r="U6" s="119">
        <f>(+S6*T6/100)/100</f>
        <v>0.20597239845565649</v>
      </c>
      <c r="V6" s="119">
        <f>regDebt_weighted</f>
        <v>3.5860000000000003E-2</v>
      </c>
      <c r="W6" s="119">
        <f>+U6-V6</f>
        <v>0.17011239845565648</v>
      </c>
      <c r="X6" s="119">
        <f>+((W6*(1-0.34))-Pfd_weighted)/Equity_percent</f>
        <v>0.30838425285096882</v>
      </c>
      <c r="Y6" s="119">
        <f>X6*equityP</f>
        <v>0.18503055171058128</v>
      </c>
      <c r="Z6" s="119">
        <f>+Y6/(1-taxrate)</f>
        <v>0.23421588824124212</v>
      </c>
      <c r="AA6" s="119">
        <f>debtP*Debt_Rate</f>
        <v>2.6000000000000002E-2</v>
      </c>
      <c r="AB6" s="119">
        <f>AA6+Z6</f>
        <v>0.26021588824124214</v>
      </c>
      <c r="AC6" s="119">
        <f>AB6/(S6/100)</f>
        <v>6.2543869102022809E-2</v>
      </c>
      <c r="AD6" s="119">
        <f>1-AC6</f>
        <v>0.93745613089797719</v>
      </c>
      <c r="AE6" s="120">
        <f>expenses/(AD6)</f>
        <v>249558.41027937341</v>
      </c>
      <c r="AF6" s="121">
        <f>+AE6-Revenue</f>
        <v>-108662.01472062658</v>
      </c>
      <c r="AG6" s="122">
        <f ca="1">+AF6/$J$49</f>
        <v>-120680.73524959914</v>
      </c>
      <c r="AH6" s="122">
        <f ca="1">+AG6*$J$47</f>
        <v>-2727.3846166409407</v>
      </c>
      <c r="AI6" s="120">
        <f ca="1">ROUND(+AH6+AE6,5)</f>
        <v>246831.02566000001</v>
      </c>
    </row>
    <row r="7" spans="1:35" ht="15.75">
      <c r="A7" s="43"/>
      <c r="B7" s="134" t="s">
        <v>104</v>
      </c>
      <c r="C7" s="130">
        <f>Assets!P43</f>
        <v>86099.628744037807</v>
      </c>
      <c r="D7" s="116"/>
      <c r="E7" s="43"/>
      <c r="F7" s="141">
        <v>1</v>
      </c>
      <c r="G7" s="76"/>
      <c r="H7" s="79" t="s">
        <v>32</v>
      </c>
      <c r="I7" s="80">
        <f>IF(A65=TRUE,C5,0)</f>
        <v>358220.42499999999</v>
      </c>
      <c r="J7" s="80">
        <f ca="1">(+$I8/($R51))-I7</f>
        <v>-104975.6433527442</v>
      </c>
      <c r="K7" s="80">
        <f ca="1">+I7+J7</f>
        <v>253244.78164725579</v>
      </c>
      <c r="L7" s="80">
        <f ca="1">((+J7/J49*K35)-J7)</f>
        <v>-2634.857779311089</v>
      </c>
      <c r="M7" s="80">
        <f ca="1">IFERROR(+K7+L7,0.00001)</f>
        <v>250609.92386794469</v>
      </c>
      <c r="O7" s="49"/>
      <c r="P7" s="43"/>
      <c r="R7" s="35">
        <v>2</v>
      </c>
      <c r="S7" s="123">
        <f>Revenue/Investment*100</f>
        <v>416.05339096750276</v>
      </c>
      <c r="T7" s="6">
        <f>EXP(y_inter1-(slope*LN(+S7)))</f>
        <v>4.9506241969734281</v>
      </c>
      <c r="U7" s="4">
        <f>(+S7*T7/100)/100</f>
        <v>0.20597239845565649</v>
      </c>
      <c r="V7" s="4">
        <f>regDebt_weighted</f>
        <v>3.5860000000000003E-2</v>
      </c>
      <c r="W7" s="4">
        <f>+U7-V7</f>
        <v>0.17011239845565648</v>
      </c>
      <c r="X7" s="4">
        <f>+((W7*(1-0.34))-Pfd_weighted)/Equity_percent</f>
        <v>0.30838425285096882</v>
      </c>
      <c r="Y7" s="4">
        <f>X7*equityP</f>
        <v>0.18503055171058128</v>
      </c>
      <c r="Z7" s="4">
        <f>+Y7/(1-taxrate)</f>
        <v>0.23421588824124212</v>
      </c>
      <c r="AA7" s="4">
        <f>debtP*Debt_Rate</f>
        <v>2.6000000000000002E-2</v>
      </c>
      <c r="AB7" s="4">
        <f>AA7+Z7</f>
        <v>0.26021588824124214</v>
      </c>
      <c r="AC7" s="4">
        <f>AB7/(S7/100)</f>
        <v>6.2543869102022809E-2</v>
      </c>
      <c r="AD7" s="4">
        <f>1-AC7</f>
        <v>0.93745613089797719</v>
      </c>
      <c r="AE7" s="124">
        <f>expenses/(AD7)</f>
        <v>249558.41027937341</v>
      </c>
      <c r="AF7" s="125">
        <f>+AE7-Revenue</f>
        <v>-108662.01472062658</v>
      </c>
      <c r="AG7" s="126">
        <f ca="1">+AF7/$J$49</f>
        <v>-120680.73524959914</v>
      </c>
      <c r="AH7" s="126">
        <f ca="1">+AG7*$J$47</f>
        <v>-2727.3846166409407</v>
      </c>
      <c r="AI7" s="124">
        <f ca="1">ROUND(+AH7+AE7,5)</f>
        <v>246831.02566000001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>IF(A65=TRUE,C6,0)</f>
        <v>233950.06173355138</v>
      </c>
      <c r="J8" s="72"/>
      <c r="K8" s="80">
        <f>+I8</f>
        <v>233950.06173355138</v>
      </c>
      <c r="L8" s="80">
        <f ca="1">+L7</f>
        <v>-2634.857779311089</v>
      </c>
      <c r="M8" s="80">
        <f ca="1">IFERROR(+K8+L8,0.00001)</f>
        <v>231315.20395424031</v>
      </c>
      <c r="O8" s="49"/>
      <c r="P8" s="43"/>
      <c r="R8" s="5">
        <v>3</v>
      </c>
      <c r="S8" s="123">
        <f>Revenue/Investment*100</f>
        <v>416.05339096750276</v>
      </c>
      <c r="T8" s="6">
        <f>EXP(y_inter1-(slope*LN(+S8)))</f>
        <v>4.9506241969734281</v>
      </c>
      <c r="U8" s="4">
        <f>(+S8*T8/100)/100</f>
        <v>0.20597239845565649</v>
      </c>
      <c r="V8" s="4">
        <f>regDebt_weighted</f>
        <v>3.5860000000000003E-2</v>
      </c>
      <c r="W8" s="4">
        <f>+U8-V8</f>
        <v>0.17011239845565648</v>
      </c>
      <c r="X8" s="4">
        <f>+((W8*(1-0.34))-Pfd_weighted)/Equity_percent</f>
        <v>0.30838425285096882</v>
      </c>
      <c r="Y8" s="4">
        <f>X8*equityP</f>
        <v>0.18503055171058128</v>
      </c>
      <c r="Z8" s="4">
        <f>+Y8/(1-taxrate)</f>
        <v>0.23421588824124212</v>
      </c>
      <c r="AA8" s="4">
        <f>debtP*Debt_Rate</f>
        <v>2.6000000000000002E-2</v>
      </c>
      <c r="AB8" s="4">
        <f>AA8+Z8</f>
        <v>0.26021588824124214</v>
      </c>
      <c r="AC8" s="4">
        <f>AB8/(S8/100)</f>
        <v>6.2543869102022809E-2</v>
      </c>
      <c r="AD8" s="4">
        <f>1-AC8</f>
        <v>0.93745613089797719</v>
      </c>
      <c r="AE8" s="124">
        <f>expenses/(AD8)</f>
        <v>249558.41027937341</v>
      </c>
      <c r="AF8" s="125">
        <f>+AE8-Revenue</f>
        <v>-108662.01472062658</v>
      </c>
      <c r="AG8" s="126">
        <f ca="1">+AF8/$J$49</f>
        <v>-120680.73524959914</v>
      </c>
      <c r="AH8" s="126">
        <f ca="1">+AG8*$J$47</f>
        <v>-2727.3846166409407</v>
      </c>
      <c r="AI8" s="124">
        <f ca="1">ROUND(+AH8+AE8,5)</f>
        <v>246831.02566000001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0">+F8+1</f>
        <v>3</v>
      </c>
      <c r="G9" s="76"/>
      <c r="H9" s="79" t="s">
        <v>34</v>
      </c>
      <c r="I9" s="81">
        <f>+I7-I8</f>
        <v>124270.36326644861</v>
      </c>
      <c r="J9" s="72"/>
      <c r="K9" s="81">
        <f ca="1">+K7-K8</f>
        <v>19294.719913704408</v>
      </c>
      <c r="L9" s="76"/>
      <c r="M9" s="81">
        <f ca="1">+M7-M8</f>
        <v>19294.719913704379</v>
      </c>
      <c r="O9" s="49"/>
      <c r="P9" s="43"/>
      <c r="R9" s="7">
        <v>4</v>
      </c>
      <c r="S9" s="123">
        <f>Revenue/Investment*100</f>
        <v>416.05339096750276</v>
      </c>
      <c r="T9" s="6">
        <f>EXP(y_inter1-(slope*LN(+S9)))</f>
        <v>4.9506241969734281</v>
      </c>
      <c r="U9" s="4">
        <f>(+S9*T9/100)/100</f>
        <v>0.20597239845565649</v>
      </c>
      <c r="V9" s="4">
        <f>regDebt_weighted</f>
        <v>3.5860000000000003E-2</v>
      </c>
      <c r="W9" s="4">
        <f>+U9-V9</f>
        <v>0.17011239845565648</v>
      </c>
      <c r="X9" s="4">
        <f>+((W9*(1-0.34))-Pfd_weighted)/Equity_percent</f>
        <v>0.30838425285096882</v>
      </c>
      <c r="Y9" s="4">
        <f>X9*equityP</f>
        <v>0.18503055171058128</v>
      </c>
      <c r="Z9" s="4">
        <f>+Y9/(1-taxrate)</f>
        <v>0.23421588824124212</v>
      </c>
      <c r="AA9" s="4">
        <f>debtP*Debt_Rate</f>
        <v>2.6000000000000002E-2</v>
      </c>
      <c r="AB9" s="4">
        <f>AA9+Z9</f>
        <v>0.26021588824124214</v>
      </c>
      <c r="AC9" s="4">
        <f>AB9/(S9/100)</f>
        <v>6.2543869102022809E-2</v>
      </c>
      <c r="AD9" s="4">
        <f>1-AC9</f>
        <v>0.93745613089797719</v>
      </c>
      <c r="AE9" s="124">
        <f>expenses/(AD9)</f>
        <v>249558.41027937341</v>
      </c>
      <c r="AF9" s="125">
        <f>+AE9-Revenue</f>
        <v>-108662.01472062658</v>
      </c>
      <c r="AG9" s="126">
        <f ca="1">+AF9/$J$49</f>
        <v>-120680.73524959914</v>
      </c>
      <c r="AH9" s="126">
        <f ca="1">+AG9*$J$47</f>
        <v>-2727.3846166409407</v>
      </c>
      <c r="AI9" s="124">
        <f ca="1">ROUND(+AH9+AE9,5)</f>
        <v>246831.02566000001</v>
      </c>
    </row>
    <row r="10" spans="1:35" ht="15.75">
      <c r="A10" s="43"/>
      <c r="B10" s="197" t="s">
        <v>98</v>
      </c>
      <c r="C10" s="131">
        <v>0.21</v>
      </c>
      <c r="D10" s="116"/>
      <c r="E10" s="43"/>
      <c r="F10" s="142">
        <f t="shared" si="0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1.7500000000000002E-2</v>
      </c>
      <c r="D11" s="116"/>
      <c r="E11" s="43"/>
      <c r="F11" s="142">
        <f t="shared" si="0"/>
        <v>5</v>
      </c>
      <c r="G11" s="76"/>
      <c r="H11" s="79" t="s">
        <v>35</v>
      </c>
      <c r="I11" s="80">
        <f>+K11</f>
        <v>2238.5903473449835</v>
      </c>
      <c r="J11" s="72"/>
      <c r="K11" s="80">
        <f>+M27</f>
        <v>2238.5903473449835</v>
      </c>
      <c r="L11" s="76"/>
      <c r="M11" s="80">
        <f>+K11</f>
        <v>2238.5903473449835</v>
      </c>
      <c r="O11" s="49"/>
      <c r="P11" s="43"/>
      <c r="R11" s="3">
        <v>1</v>
      </c>
      <c r="S11" s="117">
        <f ca="1">IF((AI6/Investment*100)&gt;0,(AI6/Investment*100),0)</f>
        <v>286.68070845438166</v>
      </c>
      <c r="T11" s="118">
        <f ca="1">EXP(y_inter1-(slope*LN(S11)))</f>
        <v>6.3862216949249593</v>
      </c>
      <c r="U11" s="119">
        <f ca="1">(+S11*T11/100)/100</f>
        <v>0.18308065598478293</v>
      </c>
      <c r="V11" s="119">
        <f>regDebt_weighted</f>
        <v>3.5860000000000003E-2</v>
      </c>
      <c r="W11" s="119">
        <f ca="1">+U11-V11</f>
        <v>0.14722065598478293</v>
      </c>
      <c r="X11" s="119">
        <f ca="1">+((W11*(1-0.34))-Pfd_weighted)/Equity_percent</f>
        <v>0.26446404927313005</v>
      </c>
      <c r="Y11" s="119">
        <f ca="1">+X11*equityP</f>
        <v>0.15867842956387804</v>
      </c>
      <c r="Z11" s="119">
        <f ca="1">+Y11/(1-taxrate)</f>
        <v>0.20085877159984561</v>
      </c>
      <c r="AA11" s="119">
        <f>debtP*Debt_Rate</f>
        <v>2.6000000000000002E-2</v>
      </c>
      <c r="AB11" s="119">
        <f ca="1">+AA11+Z11</f>
        <v>0.2268587715998456</v>
      </c>
      <c r="AC11" s="119">
        <f ca="1">+AB11/(S11/100)</f>
        <v>7.9132904625127481E-2</v>
      </c>
      <c r="AD11" s="119">
        <f ca="1">1-AC11</f>
        <v>0.92086709537487255</v>
      </c>
      <c r="AE11" s="120">
        <f ca="1">expenses/(AD11)</f>
        <v>254054.10064990266</v>
      </c>
      <c r="AF11" s="121">
        <f ca="1">+AE11-Revenue</f>
        <v>-104166.32435009733</v>
      </c>
      <c r="AG11" s="122">
        <f ca="1">+AF11/$J$49</f>
        <v>-115687.79249251049</v>
      </c>
      <c r="AH11" s="122">
        <f ca="1">+AG11*$J$47</f>
        <v>-2614.5441103307371</v>
      </c>
      <c r="AI11" s="120">
        <f ca="1">ROUND(+AH11+AE11,5)</f>
        <v>251439.55653999999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0"/>
        <v>6</v>
      </c>
      <c r="G12" s="76"/>
      <c r="H12" s="79" t="s">
        <v>37</v>
      </c>
      <c r="I12" s="80">
        <v>0</v>
      </c>
      <c r="J12" s="80">
        <f ca="1">+K12-I12</f>
        <v>3581.7872089354792</v>
      </c>
      <c r="K12" s="80">
        <f ca="1">+(K9-K11)*taxrate</f>
        <v>3581.7872089354792</v>
      </c>
      <c r="L12" s="76"/>
      <c r="M12" s="80">
        <f ca="1">+K12</f>
        <v>3581.7872089354792</v>
      </c>
      <c r="O12" s="49"/>
      <c r="P12" s="43"/>
      <c r="R12" s="35">
        <v>2</v>
      </c>
      <c r="S12" s="123">
        <f ca="1">IF((AI7/Investment*100)&gt;0,(AI7/Investment*100),0)</f>
        <v>286.68070845438166</v>
      </c>
      <c r="T12" s="34">
        <f ca="1">EXP(y_inter2-(slope*LN(+S12)))</f>
        <v>6.2953597189564112</v>
      </c>
      <c r="U12" s="4">
        <f ca="1">(+S12*T12/100)/100</f>
        <v>0.18047581842056012</v>
      </c>
      <c r="V12" s="4">
        <f>regDebt_weighted</f>
        <v>3.5860000000000003E-2</v>
      </c>
      <c r="W12" s="4">
        <f ca="1">+U12-V12</f>
        <v>0.14461581842056012</v>
      </c>
      <c r="X12" s="4">
        <f ca="1">+((W12*(1-0.34))-Pfd_weighted)/Equity_percent</f>
        <v>0.25946639580688863</v>
      </c>
      <c r="Y12" s="4">
        <f ca="1">+X12*equityP</f>
        <v>0.15567983748413317</v>
      </c>
      <c r="Z12" s="4">
        <f ca="1">+Y12/(1-taxrate)</f>
        <v>0.19706308542295337</v>
      </c>
      <c r="AA12" s="4">
        <f>debtP*Debt_Rate</f>
        <v>2.6000000000000002E-2</v>
      </c>
      <c r="AB12" s="4">
        <f ca="1">+AA12+Z12</f>
        <v>0.22306308542295336</v>
      </c>
      <c r="AC12" s="4">
        <f ca="1">+AB12/(S12/100)</f>
        <v>7.780889290583308E-2</v>
      </c>
      <c r="AD12" s="4">
        <f ca="1">1-AC12</f>
        <v>0.92219110709416696</v>
      </c>
      <c r="AE12" s="124">
        <f ca="1">expenses/(AD12)</f>
        <v>253689.34913147261</v>
      </c>
      <c r="AF12" s="125">
        <f ca="1">+AE12-Revenue</f>
        <v>-104531.07586852738</v>
      </c>
      <c r="AG12" s="126">
        <f ca="1">+AF12/$J$49</f>
        <v>-116092.88788431523</v>
      </c>
      <c r="AH12" s="126">
        <f ca="1">+AG12*$J$47</f>
        <v>-2623.6992661855247</v>
      </c>
      <c r="AI12" s="124">
        <f ca="1">ROUND(+AH12+AE12,5)</f>
        <v>251065.64986999999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0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286.68070845438166</v>
      </c>
      <c r="T13" s="6">
        <f ca="1">EXP(y_inter3-(slope*LN(S13)))</f>
        <v>6.2341535335760092</v>
      </c>
      <c r="U13" s="4">
        <f ca="1">(+S13*T13/100)/100</f>
        <v>0.17872115516189571</v>
      </c>
      <c r="V13" s="4">
        <f>regDebt_weighted</f>
        <v>3.5860000000000003E-2</v>
      </c>
      <c r="W13" s="4">
        <f ca="1">+U13-V13</f>
        <v>0.14286115516189571</v>
      </c>
      <c r="X13" s="4">
        <f ca="1">+((W13*(1-0.34))-Pfd_weighted)/Equity_percent</f>
        <v>0.25609989071759059</v>
      </c>
      <c r="Y13" s="4">
        <f ca="1">+X13*equityP</f>
        <v>0.15365993443055434</v>
      </c>
      <c r="Z13" s="4">
        <f ca="1">+Y13/(1-taxrate)</f>
        <v>0.19450624611462575</v>
      </c>
      <c r="AA13" s="4">
        <f>debtP*Debt_Rate</f>
        <v>2.6000000000000002E-2</v>
      </c>
      <c r="AB13" s="4">
        <f ca="1">+AA13+Z13</f>
        <v>0.22050624611462574</v>
      </c>
      <c r="AC13" s="4">
        <f ca="1">+AB13/(S13/100)</f>
        <v>7.6917015903675293E-2</v>
      </c>
      <c r="AD13" s="4">
        <f ca="1">1-AC13</f>
        <v>0.92308298409632472</v>
      </c>
      <c r="AE13" s="124">
        <f ca="1">expenses/(AD13)</f>
        <v>253444.23607004594</v>
      </c>
      <c r="AF13" s="125">
        <f ca="1">+AE13-Revenue</f>
        <v>-104776.18892995405</v>
      </c>
      <c r="AG13" s="126">
        <f ca="1">+AF13/$J$49</f>
        <v>-116365.11203318919</v>
      </c>
      <c r="AH13" s="126">
        <f ca="1">+AG13*$J$47</f>
        <v>-2629.8515319500757</v>
      </c>
      <c r="AI13" s="124">
        <f ca="1">ROUND(+AH13+AE13,5)</f>
        <v>250814.38454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0"/>
        <v>8</v>
      </c>
      <c r="G14" s="76"/>
      <c r="H14" s="76" t="s">
        <v>38</v>
      </c>
      <c r="I14" s="106">
        <f>+I9-SUM(I11:I13)</f>
        <v>122031.77291910362</v>
      </c>
      <c r="J14" s="72"/>
      <c r="K14" s="106">
        <f ca="1">+K9-SUM(K11:K13)</f>
        <v>13474.342357423946</v>
      </c>
      <c r="L14" s="76"/>
      <c r="M14" s="106">
        <f ca="1">+M9-SUM(M11:M13)</f>
        <v>13474.342357423917</v>
      </c>
      <c r="O14" s="49"/>
      <c r="P14" s="43"/>
      <c r="R14" s="7">
        <v>4</v>
      </c>
      <c r="S14" s="123">
        <f ca="1">IF((AI9/Investment*100)&gt;0,(AI9/Investment*100),0)</f>
        <v>286.68070845438166</v>
      </c>
      <c r="T14" s="8">
        <f ca="1">EXP(y_inter4-(slope*LN(S14)))</f>
        <v>6.195001823694799</v>
      </c>
      <c r="U14" s="4">
        <f ca="1">(+S14*T14/100)/100</f>
        <v>0.17759875116930116</v>
      </c>
      <c r="V14" s="4">
        <f>regDebt_weighted</f>
        <v>3.5860000000000003E-2</v>
      </c>
      <c r="W14" s="4">
        <f ca="1">+U14-V14</f>
        <v>0.14173875116930115</v>
      </c>
      <c r="X14" s="4">
        <f ca="1">+((W14*(1-0.34))-Pfd_weighted)/Equity_percent</f>
        <v>0.25394644119691501</v>
      </c>
      <c r="Y14" s="4">
        <f ca="1">+X14*equityP</f>
        <v>0.152367864718149</v>
      </c>
      <c r="Z14" s="4">
        <f ca="1">+Y14/(1-taxrate)</f>
        <v>0.1928707148331</v>
      </c>
      <c r="AA14" s="4">
        <f>debtP*Debt_Rate</f>
        <v>2.6000000000000002E-2</v>
      </c>
      <c r="AB14" s="4">
        <f ca="1">+AA14+Z14</f>
        <v>0.2188707148331</v>
      </c>
      <c r="AC14" s="4">
        <f ca="1">+AB14/(S14/100)</f>
        <v>7.6346509680796329E-2</v>
      </c>
      <c r="AD14" s="4">
        <f ca="1">1-AC14</f>
        <v>0.92365349031920363</v>
      </c>
      <c r="AE14" s="124">
        <f ca="1">expenses/(AD14)</f>
        <v>253287.69304244281</v>
      </c>
      <c r="AF14" s="125">
        <f ca="1">+AE14-Revenue</f>
        <v>-104932.73195755717</v>
      </c>
      <c r="AG14" s="126">
        <f ca="1">+AF14/$J$49</f>
        <v>-116538.96973054473</v>
      </c>
      <c r="AH14" s="126">
        <f ca="1">+AG14*$J$47</f>
        <v>-2633.7807159103113</v>
      </c>
      <c r="AI14" s="124">
        <f ca="1">ROUND(+AH14+AE14,5)</f>
        <v>250653.91232999999</v>
      </c>
    </row>
    <row r="15" spans="1:35" ht="16.5" thickTop="1">
      <c r="A15" s="43"/>
      <c r="B15" s="561"/>
      <c r="C15" s="561"/>
      <c r="D15" s="43"/>
      <c r="E15" s="43"/>
      <c r="F15" s="142">
        <f t="shared" si="0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198" t="s">
        <v>124</v>
      </c>
      <c r="C16" s="562"/>
      <c r="D16" s="562"/>
      <c r="E16" s="43"/>
      <c r="F16" s="142">
        <f t="shared" si="0"/>
        <v>10</v>
      </c>
      <c r="G16" s="72"/>
      <c r="H16" s="180" t="s">
        <v>39</v>
      </c>
      <c r="I16" s="181">
        <f>+I8/I7</f>
        <v>0.65308967721076039</v>
      </c>
      <c r="J16" s="182"/>
      <c r="K16" s="181">
        <f ca="1">+K8/K7</f>
        <v>0.92381000000000002</v>
      </c>
      <c r="L16" s="183"/>
      <c r="M16" s="181">
        <f ca="1">+M8/M7</f>
        <v>0.92300895504891711</v>
      </c>
      <c r="O16" s="49"/>
      <c r="P16" s="43"/>
      <c r="R16" s="3">
        <v>1</v>
      </c>
      <c r="S16" s="117">
        <f ca="1">AI11/Investment*100</f>
        <v>292.03326449582579</v>
      </c>
      <c r="T16" s="118">
        <f ca="1">EXP(y_inter1-(slope*LN(+S16)))</f>
        <v>6.3059639800253864</v>
      </c>
      <c r="U16" s="119">
        <f ca="1">(+S16*T16/100)/100</f>
        <v>0.18415512468799039</v>
      </c>
      <c r="V16" s="119">
        <f>regDebt_weighted</f>
        <v>3.5860000000000003E-2</v>
      </c>
      <c r="W16" s="119">
        <f ca="1">+U16-V16</f>
        <v>0.14829512468799039</v>
      </c>
      <c r="X16" s="119">
        <f ca="1">+((W16*(1-0.34))-Pfd_weighted)/Equity_percent</f>
        <v>0.26652552992463274</v>
      </c>
      <c r="Y16" s="119">
        <f ca="1">+X16*equityP</f>
        <v>0.15991531795477965</v>
      </c>
      <c r="Z16" s="119">
        <f ca="1">+Y16/(1-taxrate)</f>
        <v>0.20242445310731599</v>
      </c>
      <c r="AA16" s="119">
        <f>debtP*Debt_Rate</f>
        <v>2.6000000000000002E-2</v>
      </c>
      <c r="AB16" s="119">
        <f ca="1">+AA16+Z16</f>
        <v>0.22842445310731599</v>
      </c>
      <c r="AC16" s="119">
        <f ca="1">+AB16/(S16/100)</f>
        <v>7.8218641804958147E-2</v>
      </c>
      <c r="AD16" s="119">
        <f ca="1">1-AC16</f>
        <v>0.92178135819504181</v>
      </c>
      <c r="AE16" s="120">
        <f ca="1">expenses/(AD16)</f>
        <v>253802.11874934594</v>
      </c>
      <c r="AF16" s="121">
        <f ca="1">+AE16-Revenue</f>
        <v>-104418.30625065404</v>
      </c>
      <c r="AG16" s="122">
        <f ca="1">+AF16/$J$49</f>
        <v>-115967.64521847879</v>
      </c>
      <c r="AH16" s="122">
        <f ca="1">+AG16*$J$47</f>
        <v>-2620.868781937621</v>
      </c>
      <c r="AI16" s="120">
        <f ca="1">ROUND(+AH16+AE16,5)</f>
        <v>251181.24997</v>
      </c>
    </row>
    <row r="17" spans="1:35" ht="15.75">
      <c r="A17" s="43"/>
      <c r="B17" s="563"/>
      <c r="C17" s="562"/>
      <c r="D17" s="43" t="s">
        <v>102</v>
      </c>
      <c r="E17" s="43"/>
      <c r="F17" s="142">
        <f t="shared" si="0"/>
        <v>11</v>
      </c>
      <c r="G17" s="72"/>
      <c r="H17" s="184"/>
      <c r="I17" s="184"/>
      <c r="J17" s="173"/>
      <c r="K17" s="184"/>
      <c r="L17" s="180"/>
      <c r="M17" s="180"/>
      <c r="N17" s="83"/>
      <c r="O17" s="43"/>
      <c r="P17" s="43"/>
      <c r="R17" s="35">
        <v>2</v>
      </c>
      <c r="S17" s="123">
        <f ca="1">AI12/Investment*100</f>
        <v>291.59899239099298</v>
      </c>
      <c r="T17" s="34">
        <f ca="1">EXP(y_inter2-(slope*LN(+S17)))</f>
        <v>6.2225716302824594</v>
      </c>
      <c r="U17" s="4">
        <f ca="1">(+S17*T17/100)/100</f>
        <v>0.18144956174711435</v>
      </c>
      <c r="V17" s="4">
        <f>regDebt_weighted</f>
        <v>3.5860000000000003E-2</v>
      </c>
      <c r="W17" s="4">
        <f ca="1">+U17-V17</f>
        <v>0.14558956174711435</v>
      </c>
      <c r="X17" s="4">
        <f ca="1">+((W17*(1-0.34))-Pfd_weighted)/Equity_percent</f>
        <v>0.26133462428225424</v>
      </c>
      <c r="Y17" s="4">
        <f ca="1">+X17*equityP</f>
        <v>0.15680077456935254</v>
      </c>
      <c r="Z17" s="4">
        <f ca="1">+Y17/(1-taxrate)</f>
        <v>0.1984819931257627</v>
      </c>
      <c r="AA17" s="4">
        <f>debtP*Debt_Rate</f>
        <v>2.6000000000000002E-2</v>
      </c>
      <c r="AB17" s="4">
        <f ca="1">+AA17+Z17</f>
        <v>0.2244819931257627</v>
      </c>
      <c r="AC17" s="4">
        <f ca="1">+AB17/(S17/100)</f>
        <v>7.6983116877428759E-2</v>
      </c>
      <c r="AD17" s="4">
        <f ca="1">1-AC17</f>
        <v>0.92301688312257124</v>
      </c>
      <c r="AE17" s="124">
        <f ca="1">expenses/(AD17)</f>
        <v>253462.38623728856</v>
      </c>
      <c r="AF17" s="125">
        <f ca="1">+AE17-Revenue</f>
        <v>-104758.03876271143</v>
      </c>
      <c r="AG17" s="126">
        <f ca="1">+AF17/$J$49</f>
        <v>-116344.95434024217</v>
      </c>
      <c r="AH17" s="126">
        <f ca="1">+AG17*$J$47</f>
        <v>-2629.3959680894732</v>
      </c>
      <c r="AI17" s="124">
        <f ca="1">ROUND(+AH17+AE17,5)</f>
        <v>250832.99027000001</v>
      </c>
    </row>
    <row r="18" spans="1:35" ht="15.75">
      <c r="A18" s="43"/>
      <c r="B18" s="556" t="s">
        <v>125</v>
      </c>
      <c r="C18" s="556"/>
      <c r="D18" s="43"/>
      <c r="E18" s="43"/>
      <c r="F18" s="142">
        <f t="shared" si="0"/>
        <v>12</v>
      </c>
      <c r="G18" s="72"/>
      <c r="H18" s="185" t="s">
        <v>83</v>
      </c>
      <c r="I18" s="186"/>
      <c r="J18" s="186"/>
      <c r="K18" s="186"/>
      <c r="L18" s="186"/>
      <c r="M18" s="187"/>
      <c r="N18" s="295">
        <f ca="1">N21/'Pro Forma IS'!U11</f>
        <v>2.5393717624711772E-2</v>
      </c>
      <c r="O18" s="43"/>
      <c r="P18" s="43"/>
      <c r="R18" s="5">
        <v>3</v>
      </c>
      <c r="S18" s="123">
        <f ca="1">AI13/Investment*100</f>
        <v>291.30716148107467</v>
      </c>
      <c r="T18" s="6">
        <f ca="1">EXP(y_inter3-(slope*LN(S18)))</f>
        <v>6.1662928523452925</v>
      </c>
      <c r="U18" s="4">
        <f ca="1">(+S18*T18/100)/100</f>
        <v>0.17962852676777466</v>
      </c>
      <c r="V18" s="4">
        <f>regDebt_weighted</f>
        <v>3.5860000000000003E-2</v>
      </c>
      <c r="W18" s="4">
        <f ca="1">+U18-V18</f>
        <v>0.14376852676777466</v>
      </c>
      <c r="X18" s="4">
        <f ca="1">+((W18*(1-0.34))-Pfd_weighted)/Equity_percent</f>
        <v>0.25784077810096295</v>
      </c>
      <c r="Y18" s="4">
        <f ca="1">+X18*equityP</f>
        <v>0.15470446686057776</v>
      </c>
      <c r="Z18" s="4">
        <f ca="1">+Y18/(1-taxrate)</f>
        <v>0.19582843906402247</v>
      </c>
      <c r="AA18" s="4">
        <f>debtP*Debt_Rate</f>
        <v>2.6000000000000002E-2</v>
      </c>
      <c r="AB18" s="4">
        <f ca="1">+AA18+Z18</f>
        <v>0.22182843906402247</v>
      </c>
      <c r="AC18" s="4">
        <f ca="1">+AB18/(S18/100)</f>
        <v>7.6149325658934744E-2</v>
      </c>
      <c r="AD18" s="4">
        <f ca="1">1-AC18</f>
        <v>0.92385067434106527</v>
      </c>
      <c r="AE18" s="124">
        <f ca="1">expenses/(AD18)</f>
        <v>253233.63204818335</v>
      </c>
      <c r="AF18" s="125">
        <f ca="1">+AE18-Revenue</f>
        <v>-104986.79295181663</v>
      </c>
      <c r="AG18" s="126">
        <f ca="1">+AF18/$J$49</f>
        <v>-116599.01021987609</v>
      </c>
      <c r="AH18" s="126">
        <f ca="1">+AG18*$J$47</f>
        <v>-2635.1376309692</v>
      </c>
      <c r="AI18" s="124">
        <f ca="1">ROUND(+AH18+AE18,5)</f>
        <v>250598.49442</v>
      </c>
    </row>
    <row r="19" spans="1:35" ht="16.5" thickBot="1">
      <c r="A19" s="43"/>
      <c r="B19" s="43"/>
      <c r="C19" s="43"/>
      <c r="D19" s="43"/>
      <c r="E19" s="43"/>
      <c r="F19" s="142">
        <f t="shared" si="0"/>
        <v>13</v>
      </c>
      <c r="G19" s="72"/>
      <c r="H19" s="188"/>
      <c r="I19" s="174" t="s">
        <v>122</v>
      </c>
      <c r="J19" s="175">
        <f>+Revenue</f>
        <v>358220.42499999999</v>
      </c>
      <c r="K19" s="176"/>
      <c r="L19" s="174" t="s">
        <v>126</v>
      </c>
      <c r="M19" s="189">
        <f ca="1">+J7</f>
        <v>-104975.6433527442</v>
      </c>
      <c r="O19" s="43"/>
      <c r="P19" s="43"/>
      <c r="R19" s="7">
        <v>4</v>
      </c>
      <c r="S19" s="123">
        <f ca="1">AI14/Investment*100</f>
        <v>291.12078180401812</v>
      </c>
      <c r="T19" s="8">
        <f ca="1">EXP(y_inter4-(slope*LN(S19)))</f>
        <v>6.1302490567119792</v>
      </c>
      <c r="U19" s="4">
        <f ca="1">(+S19*T19/100)/100</f>
        <v>0.17846428980433363</v>
      </c>
      <c r="V19" s="4">
        <f>regDebt_weighted</f>
        <v>3.5860000000000003E-2</v>
      </c>
      <c r="W19" s="4">
        <f ca="1">+U19-V19</f>
        <v>0.14260428980433362</v>
      </c>
      <c r="X19" s="4">
        <f ca="1">+((W19*(1-0.34))-Pfd_weighted)/Equity_percent</f>
        <v>0.25560706764784941</v>
      </c>
      <c r="Y19" s="4">
        <f ca="1">+X19*equityP</f>
        <v>0.15336424058870965</v>
      </c>
      <c r="Z19" s="4">
        <f ca="1">+Y19/(1-taxrate)</f>
        <v>0.19413195011229067</v>
      </c>
      <c r="AA19" s="4">
        <f>debtP*Debt_Rate</f>
        <v>2.6000000000000002E-2</v>
      </c>
      <c r="AB19" s="4">
        <f ca="1">+AA19+Z19</f>
        <v>0.22013195011229067</v>
      </c>
      <c r="AC19" s="4">
        <f ca="1">+AB19/(S19/100)</f>
        <v>7.5615333521769343E-2</v>
      </c>
      <c r="AD19" s="4">
        <f ca="1">1-AC19</f>
        <v>0.9243846664782307</v>
      </c>
      <c r="AE19" s="124">
        <f ca="1">expenses/(AD19)</f>
        <v>253087.34579605979</v>
      </c>
      <c r="AF19" s="125">
        <f ca="1">+AE19-Revenue</f>
        <v>-105133.0792039402</v>
      </c>
      <c r="AG19" s="126">
        <f ca="1">+AF19/$J$49</f>
        <v>-116761.47667614941</v>
      </c>
      <c r="AH19" s="126">
        <f ca="1">+AG19*$J$47</f>
        <v>-2638.8093728809768</v>
      </c>
      <c r="AI19" s="124">
        <f ca="1">ROUND(+AH19+AE19,5)</f>
        <v>250448.53641999999</v>
      </c>
    </row>
    <row r="20" spans="1:35" ht="15.75">
      <c r="A20" s="43"/>
      <c r="B20" s="115"/>
      <c r="C20" s="43"/>
      <c r="D20" s="43"/>
      <c r="E20" s="43"/>
      <c r="F20" s="142">
        <f t="shared" si="0"/>
        <v>14</v>
      </c>
      <c r="G20" s="72"/>
      <c r="H20" s="188"/>
      <c r="I20" s="174" t="s">
        <v>42</v>
      </c>
      <c r="J20" s="175">
        <f ca="1">+J21-J19</f>
        <v>-107610.5011320553</v>
      </c>
      <c r="K20" s="176"/>
      <c r="L20" s="174" t="s">
        <v>41</v>
      </c>
      <c r="M20" s="175">
        <f ca="1">+L8</f>
        <v>-2634.857779311089</v>
      </c>
      <c r="N20" s="482" t="s">
        <v>87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0"/>
        <v>15</v>
      </c>
      <c r="G21" s="72"/>
      <c r="H21" s="188"/>
      <c r="I21" s="190" t="s">
        <v>83</v>
      </c>
      <c r="J21" s="191">
        <f ca="1">+M7</f>
        <v>250609.92386794469</v>
      </c>
      <c r="K21" s="177"/>
      <c r="L21" s="190" t="s">
        <v>42</v>
      </c>
      <c r="M21" s="191">
        <f ca="1">+M19+M20</f>
        <v>-107610.50113205529</v>
      </c>
      <c r="N21" s="483">
        <f ca="1">M21+'Recycling LG 2019'!M21</f>
        <v>14438.336477869816</v>
      </c>
      <c r="O21" s="43"/>
      <c r="P21" s="43"/>
      <c r="R21" s="3">
        <v>1</v>
      </c>
      <c r="S21" s="117">
        <f ca="1">AI16/Investment*100</f>
        <v>291.7332555715505</v>
      </c>
      <c r="T21" s="118">
        <f ca="1">EXP(y_inter1-(slope*LN(+S21)))</f>
        <v>6.3103967544498678</v>
      </c>
      <c r="U21" s="119">
        <f ca="1">(+S21*T21/100)/100</f>
        <v>0.18409525891238063</v>
      </c>
      <c r="V21" s="119">
        <f>regDebt_weighted</f>
        <v>3.5860000000000003E-2</v>
      </c>
      <c r="W21" s="119">
        <f ca="1">+U21-V21</f>
        <v>0.14823525891238062</v>
      </c>
      <c r="X21" s="119">
        <f ca="1">+((W21*(1-0.34))-Pfd_weighted)/Equity_percent</f>
        <v>0.26641067116910233</v>
      </c>
      <c r="Y21" s="119">
        <f ca="1">+X21*equityP</f>
        <v>0.15984640270146139</v>
      </c>
      <c r="Z21" s="119">
        <f ca="1">+Y21/(1-taxrate)</f>
        <v>0.20233721860944479</v>
      </c>
      <c r="AA21" s="119">
        <f>debtP*Debt_Rate</f>
        <v>2.6000000000000002E-2</v>
      </c>
      <c r="AB21" s="119">
        <f ca="1">+AA21+Z21</f>
        <v>0.22833721860944478</v>
      </c>
      <c r="AC21" s="119">
        <f ca="1">+AB21/(S21/100)</f>
        <v>7.8269177150235028E-2</v>
      </c>
      <c r="AD21" s="119">
        <f ca="1">1-AC21</f>
        <v>0.92173082284976493</v>
      </c>
      <c r="AE21" s="120">
        <f ca="1">expenses/(AD21)</f>
        <v>253816.03385057184</v>
      </c>
      <c r="AF21" s="121">
        <f ca="1">+AE21-Revenue</f>
        <v>-104404.39114942815</v>
      </c>
      <c r="AG21" s="122">
        <f ca="1">+AF21/$J$49</f>
        <v>-115952.19101719851</v>
      </c>
      <c r="AH21" s="122">
        <f ca="1">+AG21*$J$47</f>
        <v>-2620.5195169886865</v>
      </c>
      <c r="AI21" s="120">
        <f ca="1">ROUND(+AH21+AE21,5)</f>
        <v>251195.51433000001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0"/>
        <v>16</v>
      </c>
      <c r="G22" s="72"/>
      <c r="H22" s="192"/>
      <c r="I22" s="193"/>
      <c r="J22" s="389" t="s">
        <v>347</v>
      </c>
      <c r="K22" s="388">
        <f ca="1">+(J21/J19)-1</f>
        <v>-0.30040303015121295</v>
      </c>
      <c r="L22" s="193"/>
      <c r="M22" s="193"/>
      <c r="N22" s="489"/>
      <c r="O22" s="43"/>
      <c r="P22" s="43"/>
      <c r="R22" s="35">
        <v>2</v>
      </c>
      <c r="S22" s="123">
        <f ca="1">AI17/Investment*100</f>
        <v>291.32877101676189</v>
      </c>
      <c r="T22" s="34">
        <f ca="1">EXP(y_inter2-(slope*LN(+S22)))</f>
        <v>6.2265170122663767</v>
      </c>
      <c r="U22" s="4">
        <f ca="1">(+S22*T22/100)/100</f>
        <v>0.18139635488985234</v>
      </c>
      <c r="V22" s="4">
        <f>regDebt_weighted</f>
        <v>3.5860000000000003E-2</v>
      </c>
      <c r="W22" s="4">
        <f ca="1">+U22-V22</f>
        <v>0.14553635488985234</v>
      </c>
      <c r="X22" s="4">
        <f ca="1">+((W22*(1-0.34))-Pfd_weighted)/Equity_percent</f>
        <v>0.2612325413584376</v>
      </c>
      <c r="Y22" s="4">
        <f ca="1">+X22*equityP</f>
        <v>0.15673952481506256</v>
      </c>
      <c r="Z22" s="4">
        <f ca="1">+Y22/(1-taxrate)</f>
        <v>0.19840446179121843</v>
      </c>
      <c r="AA22" s="4">
        <f>debtP*Debt_Rate</f>
        <v>2.6000000000000002E-2</v>
      </c>
      <c r="AB22" s="4">
        <f ca="1">+AA22+Z22</f>
        <v>0.22440446179121842</v>
      </c>
      <c r="AC22" s="4">
        <f ca="1">+AB22/(S22/100)</f>
        <v>7.7027909398727765E-2</v>
      </c>
      <c r="AD22" s="4">
        <f ca="1">1-AC22</f>
        <v>0.92297209060127228</v>
      </c>
      <c r="AE22" s="124">
        <f ca="1">expenses/(AD22)</f>
        <v>253474.68695520802</v>
      </c>
      <c r="AF22" s="125">
        <f ca="1">+AE22-Revenue</f>
        <v>-104745.73804479197</v>
      </c>
      <c r="AG22" s="126">
        <f ca="1">+AF22/$J$49</f>
        <v>-116331.29308348714</v>
      </c>
      <c r="AH22" s="126">
        <f ca="1">+AG22*$J$47</f>
        <v>-2629.0872236868095</v>
      </c>
      <c r="AI22" s="124">
        <f ca="1">ROUND(+AH22+AE22,5)</f>
        <v>250845.59972999999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0"/>
        <v>17</v>
      </c>
      <c r="H23" s="72"/>
      <c r="I23" s="72"/>
      <c r="J23" s="72"/>
      <c r="K23" s="72"/>
      <c r="L23" s="72"/>
      <c r="M23" s="72"/>
      <c r="N23" s="489"/>
      <c r="O23" s="43"/>
      <c r="P23" s="43"/>
      <c r="R23" s="5">
        <v>3</v>
      </c>
      <c r="S23" s="123">
        <f ca="1">AI18/Investment*100</f>
        <v>291.05641693879352</v>
      </c>
      <c r="T23" s="6">
        <f ca="1">EXP(y_inter3-(slope*LN(S23)))</f>
        <v>6.1699241832172822</v>
      </c>
      <c r="U23" s="4">
        <f ca="1">(+S23*T23/100)/100</f>
        <v>0.17957960255512342</v>
      </c>
      <c r="V23" s="4">
        <f>regDebt_weighted</f>
        <v>3.5860000000000003E-2</v>
      </c>
      <c r="W23" s="4">
        <f ca="1">+U23-V23</f>
        <v>0.14371960255512342</v>
      </c>
      <c r="X23" s="4">
        <f ca="1">+((W23*(1-0.34))-Pfd_weighted)/Equity_percent</f>
        <v>0.25774691187901588</v>
      </c>
      <c r="Y23" s="4">
        <f ca="1">+X23*equityP</f>
        <v>0.15464814712740951</v>
      </c>
      <c r="Z23" s="4">
        <f ca="1">+Y23/(1-taxrate)</f>
        <v>0.19575714826254367</v>
      </c>
      <c r="AA23" s="4">
        <f>debtP*Debt_Rate</f>
        <v>2.6000000000000002E-2</v>
      </c>
      <c r="AB23" s="4">
        <f ca="1">+AA23+Z23</f>
        <v>0.22175714826254367</v>
      </c>
      <c r="AC23" s="4">
        <f ca="1">+AB23/(S23/100)</f>
        <v>7.6190434347708322E-2</v>
      </c>
      <c r="AD23" s="4">
        <f ca="1">1-AC23</f>
        <v>0.92380956565229166</v>
      </c>
      <c r="AE23" s="124">
        <f ca="1">expenses/(AD23)</f>
        <v>253244.90071539997</v>
      </c>
      <c r="AF23" s="125">
        <f ca="1">+AE23-Revenue</f>
        <v>-104975.52428460002</v>
      </c>
      <c r="AG23" s="126">
        <f ca="1">+AF23/$J$49</f>
        <v>-116586.49516529623</v>
      </c>
      <c r="AH23" s="126">
        <f ca="1">+AG23*$J$47</f>
        <v>-2634.8547907356951</v>
      </c>
      <c r="AI23" s="124">
        <f ca="1">ROUND(+AH23+AE23,5)</f>
        <v>250610.04592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0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290.882248940409</v>
      </c>
      <c r="T24" s="8">
        <f ca="1">EXP(y_inter4-(slope*LN(S24)))</f>
        <v>6.133685422078992</v>
      </c>
      <c r="U24" s="4">
        <f ca="1">(+S24*T24/100)/100</f>
        <v>0.1784180209867339</v>
      </c>
      <c r="V24" s="4">
        <f>regDebt_weighted</f>
        <v>3.5860000000000003E-2</v>
      </c>
      <c r="W24" s="4">
        <f ca="1">+U24-V24</f>
        <v>0.1425580209867339</v>
      </c>
      <c r="X24" s="4">
        <f ca="1">+((W24*(1-0.34))-Pfd_weighted)/Equity_percent</f>
        <v>0.25551829607919874</v>
      </c>
      <c r="Y24" s="4">
        <f ca="1">+X24*equityP</f>
        <v>0.15331097764751925</v>
      </c>
      <c r="Z24" s="4">
        <f ca="1">+Y24/(1-taxrate)</f>
        <v>0.19406452866774587</v>
      </c>
      <c r="AA24" s="4">
        <f>debtP*Debt_Rate</f>
        <v>2.6000000000000002E-2</v>
      </c>
      <c r="AB24" s="4">
        <f ca="1">+AA24+Z24</f>
        <v>0.22006452866774587</v>
      </c>
      <c r="AC24" s="4">
        <f ca="1">+AB24/(S24/100)</f>
        <v>7.565416228366309E-2</v>
      </c>
      <c r="AD24" s="4">
        <f ca="1">1-AC24</f>
        <v>0.92434583771633694</v>
      </c>
      <c r="AE24" s="124">
        <f ca="1">expenses/(AD24)</f>
        <v>253097.97717220418</v>
      </c>
      <c r="AF24" s="125">
        <f ca="1">+AE24-Revenue</f>
        <v>-105122.44782779581</v>
      </c>
      <c r="AG24" s="126">
        <f ca="1">+AF24/$J$49</f>
        <v>-116749.66940114977</v>
      </c>
      <c r="AH24" s="126">
        <f ca="1">+AG24*$J$47</f>
        <v>-2638.542528465985</v>
      </c>
      <c r="AI24" s="124">
        <f ca="1">ROUND(+AH24+AE24,5)</f>
        <v>250459.43463999999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0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0"/>
        <v>20</v>
      </c>
      <c r="H26" s="79" t="s">
        <v>27</v>
      </c>
      <c r="I26" s="88">
        <f>1-I27</f>
        <v>0.6</v>
      </c>
      <c r="J26" s="87">
        <f>+I26*J28</f>
        <v>51659.77724642268</v>
      </c>
      <c r="K26" s="83">
        <f ca="1">+K34</f>
        <v>0.26082850286306614</v>
      </c>
      <c r="L26" s="88">
        <f ca="1">+K26*I26</f>
        <v>0.15649710171783968</v>
      </c>
      <c r="M26" s="80">
        <f ca="1">+J26*K26</f>
        <v>13474.342357423917</v>
      </c>
      <c r="O26" s="43"/>
      <c r="P26" s="43"/>
      <c r="R26" s="3">
        <v>1</v>
      </c>
      <c r="S26" s="117">
        <f ca="1">AI21/Investment*100</f>
        <v>291.74982284391638</v>
      </c>
      <c r="T26" s="118">
        <f ca="1">EXP(y_inter1-(slope*LN(+S26)))</f>
        <v>6.3101517649334307</v>
      </c>
      <c r="U26" s="119">
        <f ca="1">(+S26*T26/100)/100</f>
        <v>0.18409856595375548</v>
      </c>
      <c r="V26" s="119">
        <f>regDebt_weighted</f>
        <v>3.5860000000000003E-2</v>
      </c>
      <c r="W26" s="119">
        <f ca="1">+U26-V26</f>
        <v>0.14823856595375548</v>
      </c>
      <c r="X26" s="119">
        <f ca="1">+((W26*(1-0.34))-Pfd_weighted)/Equity_percent</f>
        <v>0.2664170160740657</v>
      </c>
      <c r="Y26" s="119">
        <f ca="1">+X26*equityP</f>
        <v>0.15985020964443941</v>
      </c>
      <c r="Z26" s="119">
        <f ca="1">+Y26/(1-taxrate)</f>
        <v>0.20234203752460683</v>
      </c>
      <c r="AA26" s="119">
        <f>debtP*Debt_Rate</f>
        <v>2.6000000000000002E-2</v>
      </c>
      <c r="AB26" s="119">
        <f ca="1">+AA26+Z26</f>
        <v>0.22834203752460683</v>
      </c>
      <c r="AC26" s="119">
        <f ca="1">+AB26/(S26/100)</f>
        <v>7.8266384294179273E-2</v>
      </c>
      <c r="AD26" s="119">
        <f ca="1">1-AC26</f>
        <v>0.92173361570582069</v>
      </c>
      <c r="AE26" s="120">
        <f ca="1">expenses/(AD26)</f>
        <v>253815.26478710806</v>
      </c>
      <c r="AF26" s="121">
        <f ca="1">+AE26-Revenue</f>
        <v>-104405.16021289193</v>
      </c>
      <c r="AG26" s="122">
        <f ca="1">+AF26/$J$49</f>
        <v>-115953.04514404773</v>
      </c>
      <c r="AH26" s="122">
        <f ca="1">+AG26*$J$47</f>
        <v>-2620.5388202554791</v>
      </c>
      <c r="AI26" s="120">
        <f ca="1">ROUND(+AH26+AE26,5)</f>
        <v>251194.72597</v>
      </c>
    </row>
    <row r="27" spans="1:35" ht="15.75">
      <c r="A27" s="43"/>
      <c r="B27" s="43"/>
      <c r="C27" s="43"/>
      <c r="D27" s="43"/>
      <c r="E27" s="43"/>
      <c r="F27" s="142">
        <f t="shared" si="0"/>
        <v>21</v>
      </c>
      <c r="H27" s="79" t="s">
        <v>29</v>
      </c>
      <c r="I27" s="88">
        <f>IF(A65=TRUE,C8,0)</f>
        <v>0.4</v>
      </c>
      <c r="J27" s="90">
        <f>+I27*J28</f>
        <v>34439.851497615127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2238.5903473449835</v>
      </c>
      <c r="O27" s="43"/>
      <c r="P27" s="43"/>
      <c r="R27" s="35">
        <v>2</v>
      </c>
      <c r="S27" s="123">
        <f ca="1">AI22/Investment*100</f>
        <v>291.34341621347636</v>
      </c>
      <c r="T27" s="34">
        <f ca="1">EXP(y_inter2-(slope*LN(+S27)))</f>
        <v>6.2263030263670629</v>
      </c>
      <c r="U27" s="4">
        <f ca="1">(+S27*T27/100)/100</f>
        <v>0.18139923940820868</v>
      </c>
      <c r="V27" s="4">
        <f>regDebt_weighted</f>
        <v>3.5860000000000003E-2</v>
      </c>
      <c r="W27" s="4">
        <f ca="1">+U27-V27</f>
        <v>0.14553923940820868</v>
      </c>
      <c r="X27" s="4">
        <f ca="1">+((W27*(1-0.34))-Pfd_weighted)/Equity_percent</f>
        <v>0.26123807560877244</v>
      </c>
      <c r="Y27" s="4">
        <f ca="1">+X27*equityP</f>
        <v>0.15674284536526345</v>
      </c>
      <c r="Z27" s="4">
        <f ca="1">+Y27/(1-taxrate)</f>
        <v>0.19840866501932081</v>
      </c>
      <c r="AA27" s="4">
        <f>debtP*Debt_Rate</f>
        <v>2.6000000000000002E-2</v>
      </c>
      <c r="AB27" s="4">
        <f ca="1">+AA27+Z27</f>
        <v>0.2244086650193208</v>
      </c>
      <c r="AC27" s="4">
        <f ca="1">+AB27/(S27/100)</f>
        <v>7.7025480079800271E-2</v>
      </c>
      <c r="AD27" s="4">
        <f ca="1">1-AC27</f>
        <v>0.92297451992019974</v>
      </c>
      <c r="AE27" s="124">
        <f ca="1">expenses/(AD27)</f>
        <v>253474.01979610301</v>
      </c>
      <c r="AF27" s="125">
        <f ca="1">+AE27-Revenue</f>
        <v>-104746.40520389698</v>
      </c>
      <c r="AG27" s="126">
        <f ca="1">+AF27/$J$49</f>
        <v>-116332.03403469743</v>
      </c>
      <c r="AH27" s="126">
        <f ca="1">+AG27*$J$47</f>
        <v>-2629.103969184162</v>
      </c>
      <c r="AI27" s="124">
        <f ca="1">ROUND(+AH27+AE27,5)</f>
        <v>250844.91583000001</v>
      </c>
    </row>
    <row r="28" spans="1:35" ht="16.5" thickBot="1">
      <c r="A28" s="43"/>
      <c r="B28" s="43"/>
      <c r="C28" s="43"/>
      <c r="D28" s="43"/>
      <c r="E28" s="43"/>
      <c r="F28" s="142">
        <f t="shared" si="0"/>
        <v>22</v>
      </c>
      <c r="H28" s="79" t="s">
        <v>103</v>
      </c>
      <c r="I28" s="91">
        <f>SUM(I26:I27)</f>
        <v>1</v>
      </c>
      <c r="J28" s="136">
        <f>IF(A65=TRUE,C7,0)</f>
        <v>86099.628744037807</v>
      </c>
      <c r="K28" s="144"/>
      <c r="L28" s="143">
        <f ca="1">SUM(L26:L27)</f>
        <v>0.18249710171783967</v>
      </c>
      <c r="M28" s="136">
        <f ca="1">SUM(M26:M27)</f>
        <v>15712.9327047689</v>
      </c>
      <c r="O28" s="43"/>
      <c r="P28" s="43"/>
      <c r="R28" s="5">
        <v>3</v>
      </c>
      <c r="S28" s="123">
        <f ca="1">AI23/Investment*100</f>
        <v>291.06983337295065</v>
      </c>
      <c r="T28" s="6">
        <f ca="1">EXP(y_inter3-(slope*LN(S28)))</f>
        <v>6.1697297504653275</v>
      </c>
      <c r="U28" s="4">
        <f ca="1">(+S28*T28/100)/100</f>
        <v>0.17958222104240792</v>
      </c>
      <c r="V28" s="4">
        <f>regDebt_weighted</f>
        <v>3.5860000000000003E-2</v>
      </c>
      <c r="W28" s="4">
        <f ca="1">+U28-V28</f>
        <v>0.14372222104240792</v>
      </c>
      <c r="X28" s="4">
        <f ca="1">+((W28*(1-0.34))-Pfd_weighted)/Equity_percent</f>
        <v>0.25775193572089888</v>
      </c>
      <c r="Y28" s="4">
        <f ca="1">+X28*equityP</f>
        <v>0.15465116143253932</v>
      </c>
      <c r="Z28" s="4">
        <f ca="1">+Y28/(1-taxrate)</f>
        <v>0.19576096383865735</v>
      </c>
      <c r="AA28" s="4">
        <f>debtP*Debt_Rate</f>
        <v>2.6000000000000002E-2</v>
      </c>
      <c r="AB28" s="4">
        <f ca="1">+AA28+Z28</f>
        <v>0.22176096383865734</v>
      </c>
      <c r="AC28" s="4">
        <f ca="1">+AB28/(S28/100)</f>
        <v>7.6188233342104131E-2</v>
      </c>
      <c r="AD28" s="4">
        <f ca="1">1-AC28</f>
        <v>0.92381176665789588</v>
      </c>
      <c r="AE28" s="124">
        <f ca="1">expenses/(AD28)</f>
        <v>253244.29735282567</v>
      </c>
      <c r="AF28" s="125">
        <f ca="1">+AE28-Revenue</f>
        <v>-104976.12764717432</v>
      </c>
      <c r="AG28" s="126">
        <f ca="1">+AF28/$J$49</f>
        <v>-116587.16526366756</v>
      </c>
      <c r="AH28" s="126">
        <f ca="1">+AG28*$J$47</f>
        <v>-2634.8699349588869</v>
      </c>
      <c r="AI28" s="124">
        <f ca="1">ROUND(+AH28+AE28,5)</f>
        <v>250609.42741999999</v>
      </c>
    </row>
    <row r="29" spans="1:35" ht="16.5" thickTop="1">
      <c r="A29" s="43"/>
      <c r="B29" s="43"/>
      <c r="C29" s="43"/>
      <c r="D29" s="43"/>
      <c r="E29" s="43"/>
      <c r="F29" s="142">
        <f t="shared" si="0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290.89490662564987</v>
      </c>
      <c r="T29" s="8">
        <f ca="1">EXP(y_inter4-(slope*LN(S29)))</f>
        <v>6.1335029530397325</v>
      </c>
      <c r="U29" s="4">
        <f ca="1">(+S29*T29/100)/100</f>
        <v>0.17842047688126406</v>
      </c>
      <c r="V29" s="4">
        <f>regDebt_weighted</f>
        <v>3.5860000000000003E-2</v>
      </c>
      <c r="W29" s="4">
        <f ca="1">+U29-V29</f>
        <v>0.14256047688126405</v>
      </c>
      <c r="X29" s="4">
        <f ca="1">+((W29*(1-0.34))-Pfd_weighted)/Equity_percent</f>
        <v>0.25552300796986704</v>
      </c>
      <c r="Y29" s="4">
        <f ca="1">+X29*equityP</f>
        <v>0.15331380478192022</v>
      </c>
      <c r="Z29" s="4">
        <f ca="1">+Y29/(1-taxrate)</f>
        <v>0.19406810731888635</v>
      </c>
      <c r="AA29" s="4">
        <f>debtP*Debt_Rate</f>
        <v>2.6000000000000002E-2</v>
      </c>
      <c r="AB29" s="4">
        <f ca="1">+AA29+Z29</f>
        <v>0.22006810731888635</v>
      </c>
      <c r="AC29" s="4">
        <f ca="1">+AB29/(S29/100)</f>
        <v>7.5652100571870814E-2</v>
      </c>
      <c r="AD29" s="4">
        <f ca="1">1-AC29</f>
        <v>0.92434789942812923</v>
      </c>
      <c r="AE29" s="124">
        <f ca="1">expenses/(AD29)</f>
        <v>253097.41264981549</v>
      </c>
      <c r="AF29" s="125">
        <f ca="1">+AE29-Revenue</f>
        <v>-105123.01235018449</v>
      </c>
      <c r="AG29" s="126">
        <f ca="1">+AF29/$J$49</f>
        <v>-116750.29636336013</v>
      </c>
      <c r="AH29" s="126">
        <f ca="1">+AG29*$J$47</f>
        <v>-2638.5566978119391</v>
      </c>
      <c r="AI29" s="124">
        <f ca="1">ROUND(+AH29+AE29,5)</f>
        <v>250458.85595</v>
      </c>
    </row>
    <row r="30" spans="1:35" ht="15.75">
      <c r="A30" s="43"/>
      <c r="B30" s="43"/>
      <c r="C30" s="43"/>
      <c r="D30" s="43"/>
      <c r="E30" s="43"/>
      <c r="F30" s="142">
        <f t="shared" si="0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0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291.74890720698329</v>
      </c>
      <c r="T31" s="118">
        <f ca="1">EXP(y_inter1-(slope*LN(+S31)))</f>
        <v>6.3101653043570325</v>
      </c>
      <c r="U31" s="119">
        <f ca="1">(+S31*T31/100)/100</f>
        <v>0.1840983831841585</v>
      </c>
      <c r="V31" s="119">
        <f>regDebt_weighted</f>
        <v>3.5860000000000003E-2</v>
      </c>
      <c r="W31" s="119">
        <f ca="1">+U31-V31</f>
        <v>0.1482383831841585</v>
      </c>
      <c r="X31" s="119">
        <f ca="1">+((W31*(1-0.34))-Pfd_weighted)/Equity_percent</f>
        <v>0.26641666541146686</v>
      </c>
      <c r="Y31" s="119">
        <f ca="1">+X31*equityP</f>
        <v>0.15984999924688012</v>
      </c>
      <c r="Z31" s="119">
        <f ca="1">+Y31/(1-taxrate)</f>
        <v>0.20234177119858243</v>
      </c>
      <c r="AA31" s="119">
        <f>debtP*Debt_Rate</f>
        <v>2.6000000000000002E-2</v>
      </c>
      <c r="AB31" s="119">
        <f ca="1">+AA31+Z31</f>
        <v>0.22834177119858243</v>
      </c>
      <c r="AC31" s="119">
        <f ca="1">+AB31/(S31/100)</f>
        <v>7.8266538642622493E-2</v>
      </c>
      <c r="AD31" s="119">
        <f ca="1">1-AC31</f>
        <v>0.92173346135737755</v>
      </c>
      <c r="AE31" s="120">
        <f ca="1">expenses/(AD31)</f>
        <v>253815.30728962383</v>
      </c>
      <c r="AF31" s="121">
        <f ca="1">+AE31-Revenue</f>
        <v>-104405.11771037616</v>
      </c>
      <c r="AG31" s="122">
        <f ca="1">+AF31/$J$49</f>
        <v>-115952.99794047924</v>
      </c>
      <c r="AH31" s="122">
        <f ca="1">+AG31*$J$47</f>
        <v>-2620.5377534548311</v>
      </c>
      <c r="AI31" s="120">
        <f ca="1">ROUND(+AH31+AE31,5)</f>
        <v>251194.76954000001</v>
      </c>
    </row>
    <row r="32" spans="1:35" ht="15.75">
      <c r="A32" s="43"/>
      <c r="B32" s="43"/>
      <c r="C32" s="43"/>
      <c r="D32" s="43"/>
      <c r="E32" s="43"/>
      <c r="F32" s="142">
        <f t="shared" si="0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291.34262190110832</v>
      </c>
      <c r="T32" s="34">
        <f ca="1">EXP(y_inter2-(slope*LN(+S32)))</f>
        <v>6.2263146318679743</v>
      </c>
      <c r="U32" s="4">
        <f ca="1">(+S32*T32/100)/100</f>
        <v>0.18139908296296497</v>
      </c>
      <c r="V32" s="4">
        <f>regDebt_weighted</f>
        <v>3.5860000000000003E-2</v>
      </c>
      <c r="W32" s="4">
        <f ca="1">+U32-V32</f>
        <v>0.14553908296296497</v>
      </c>
      <c r="X32" s="4">
        <f ca="1">+((W32*(1-0.34))-Pfd_weighted)/Equity_percent</f>
        <v>0.26123777545220023</v>
      </c>
      <c r="Y32" s="4">
        <f ca="1">+X32*equityP</f>
        <v>0.15674266527132014</v>
      </c>
      <c r="Z32" s="4">
        <f ca="1">+Y32/(1-taxrate)</f>
        <v>0.19840843705230396</v>
      </c>
      <c r="AA32" s="4">
        <f>debtP*Debt_Rate</f>
        <v>2.6000000000000002E-2</v>
      </c>
      <c r="AB32" s="4">
        <f ca="1">+AA32+Z32</f>
        <v>0.22440843705230396</v>
      </c>
      <c r="AC32" s="4">
        <f ca="1">+AB32/(S32/100)</f>
        <v>7.7025611833916929E-2</v>
      </c>
      <c r="AD32" s="4">
        <f ca="1">1-AC32</f>
        <v>0.92297438816608302</v>
      </c>
      <c r="AE32" s="124">
        <f ca="1">expenses/(AD32)</f>
        <v>253474.0559793883</v>
      </c>
      <c r="AF32" s="125">
        <f ca="1">+AE32-Revenue</f>
        <v>-104746.36902061169</v>
      </c>
      <c r="AG32" s="126">
        <f ca="1">+AF32/$J$49</f>
        <v>-116331.99384930712</v>
      </c>
      <c r="AH32" s="126">
        <f ca="1">+AG32*$J$47</f>
        <v>-2629.1030609943414</v>
      </c>
      <c r="AI32" s="124">
        <f ca="1">ROUND(+AH32+AE32,5)</f>
        <v>250844.95292000001</v>
      </c>
    </row>
    <row r="33" spans="1:46" ht="15.75">
      <c r="A33" s="43"/>
      <c r="B33" s="43"/>
      <c r="C33" s="43"/>
      <c r="D33" s="43"/>
      <c r="E33" s="43"/>
      <c r="F33" s="142">
        <f t="shared" si="0"/>
        <v>27</v>
      </c>
      <c r="G33" s="72"/>
      <c r="H33" s="76" t="s">
        <v>54</v>
      </c>
      <c r="I33" s="76"/>
      <c r="J33" s="89">
        <f ca="1">+K9/J28</f>
        <v>0.22409759711118987</v>
      </c>
      <c r="K33" s="89">
        <f ca="1">+(M14+M11)/J28</f>
        <v>0.18249710171783967</v>
      </c>
      <c r="L33" s="72"/>
      <c r="M33" s="72"/>
      <c r="N33" s="72"/>
      <c r="O33" s="43"/>
      <c r="P33" s="43"/>
      <c r="R33" s="5">
        <v>3</v>
      </c>
      <c r="S33" s="123">
        <f ca="1">AI28/Investment*100</f>
        <v>291.06911501909826</v>
      </c>
      <c r="T33" s="6">
        <f ca="1">EXP(y_inter3-(slope*LN(S33)))</f>
        <v>6.1697401605627675</v>
      </c>
      <c r="U33" s="4">
        <f ca="1">(+S33*T33/100)/100</f>
        <v>0.1795820808432794</v>
      </c>
      <c r="V33" s="4">
        <f>regDebt_weighted</f>
        <v>3.5860000000000003E-2</v>
      </c>
      <c r="W33" s="4">
        <f ca="1">+U33-V33</f>
        <v>0.14372208084327939</v>
      </c>
      <c r="X33" s="4">
        <f ca="1">+((W33*(1-0.34))-Pfd_weighted)/Equity_percent</f>
        <v>0.2577516667341988</v>
      </c>
      <c r="Y33" s="4">
        <f ca="1">+X33*equityP</f>
        <v>0.15465100004051927</v>
      </c>
      <c r="Z33" s="4">
        <f ca="1">+Y33/(1-taxrate)</f>
        <v>0.19576075954496108</v>
      </c>
      <c r="AA33" s="4">
        <f>debtP*Debt_Rate</f>
        <v>2.6000000000000002E-2</v>
      </c>
      <c r="AB33" s="4">
        <f ca="1">+AA33+Z33</f>
        <v>0.22176075954496108</v>
      </c>
      <c r="AC33" s="4">
        <f ca="1">+AB33/(S33/100)</f>
        <v>7.6188351186078404E-2</v>
      </c>
      <c r="AD33" s="4">
        <f ca="1">1-AC33</f>
        <v>0.92381164881392164</v>
      </c>
      <c r="AE33" s="124">
        <f ca="1">expenses/(AD33)</f>
        <v>253244.32965737011</v>
      </c>
      <c r="AF33" s="125">
        <f ca="1">+AE33-Revenue</f>
        <v>-104976.09534262988</v>
      </c>
      <c r="AG33" s="126">
        <f ca="1">+AF33/$J$49</f>
        <v>-116587.1293860319</v>
      </c>
      <c r="AH33" s="126">
        <f ca="1">+AG33*$J$47</f>
        <v>-2634.8691241243209</v>
      </c>
      <c r="AI33" s="124">
        <f ca="1">ROUND(+AH33+AE33,5)</f>
        <v>250609.46053000001</v>
      </c>
    </row>
    <row r="34" spans="1:46" ht="15.75">
      <c r="A34" s="43"/>
      <c r="B34" s="43"/>
      <c r="C34" s="43"/>
      <c r="D34" s="43"/>
      <c r="E34" s="43"/>
      <c r="F34" s="142">
        <f t="shared" si="0"/>
        <v>28</v>
      </c>
      <c r="G34" s="72"/>
      <c r="H34" s="76" t="s">
        <v>55</v>
      </c>
      <c r="I34" s="76"/>
      <c r="J34" s="89">
        <f ca="1">+(M9-M11)/J26</f>
        <v>0.33016266185198256</v>
      </c>
      <c r="K34" s="89">
        <f ca="1">+M14/J26</f>
        <v>0.26082850286306614</v>
      </c>
      <c r="L34" s="72"/>
      <c r="M34" s="72"/>
      <c r="N34" s="72"/>
      <c r="O34" s="46"/>
      <c r="P34" s="43"/>
      <c r="R34" s="7">
        <v>4</v>
      </c>
      <c r="S34" s="123">
        <f ca="1">AI29/Investment*100</f>
        <v>290.89423450893065</v>
      </c>
      <c r="T34" s="8">
        <f ca="1">EXP(y_inter4-(slope*LN(S34)))</f>
        <v>6.1335126417178598</v>
      </c>
      <c r="U34" s="4">
        <f ca="1">(+S34*T34/100)/100</f>
        <v>0.17842034647633662</v>
      </c>
      <c r="V34" s="4">
        <f>regDebt_weighted</f>
        <v>3.5860000000000003E-2</v>
      </c>
      <c r="W34" s="4">
        <f ca="1">+U34-V34</f>
        <v>0.14256034647633661</v>
      </c>
      <c r="X34" s="4">
        <f ca="1">+((W34*(1-0.34))-Pfd_weighted)/Equity_percent</f>
        <v>0.25552275777436673</v>
      </c>
      <c r="Y34" s="4">
        <f ca="1">+X34*equityP</f>
        <v>0.15331365466462002</v>
      </c>
      <c r="Z34" s="4">
        <f ca="1">+Y34/(1-taxrate)</f>
        <v>0.19406791729698736</v>
      </c>
      <c r="AA34" s="4">
        <f>debtP*Debt_Rate</f>
        <v>2.6000000000000002E-2</v>
      </c>
      <c r="AB34" s="4">
        <f ca="1">+AA34+Z34</f>
        <v>0.22006791729698735</v>
      </c>
      <c r="AC34" s="4">
        <f ca="1">+AB34/(S34/100)</f>
        <v>7.5652210044139301E-2</v>
      </c>
      <c r="AD34" s="4">
        <f ca="1">1-AC34</f>
        <v>0.92434778995586075</v>
      </c>
      <c r="AE34" s="124">
        <f ca="1">expenses/(AD34)</f>
        <v>253097.44262462392</v>
      </c>
      <c r="AF34" s="125">
        <f ca="1">+AE34-Revenue</f>
        <v>-105122.98237537607</v>
      </c>
      <c r="AG34" s="126">
        <f ca="1">+AF34/$J$49</f>
        <v>-116750.26307314434</v>
      </c>
      <c r="AH34" s="126">
        <f ca="1">+AG34*$J$47</f>
        <v>-2638.5559454530621</v>
      </c>
      <c r="AI34" s="124">
        <f ca="1">ROUND(+AH34+AE34,5)</f>
        <v>250458.88668</v>
      </c>
    </row>
    <row r="35" spans="1:46" ht="15.75">
      <c r="A35" s="43"/>
      <c r="B35" s="43"/>
      <c r="C35" s="43"/>
      <c r="D35" s="43"/>
      <c r="E35" s="43"/>
      <c r="F35" s="142">
        <f t="shared" si="0"/>
        <v>29</v>
      </c>
      <c r="G35" s="72"/>
      <c r="H35" s="92" t="s">
        <v>31</v>
      </c>
      <c r="I35" s="76"/>
      <c r="J35" s="89">
        <f ca="1">+K8/K7</f>
        <v>0.92381000000000002</v>
      </c>
      <c r="K35" s="89">
        <f ca="1">+M8/M7</f>
        <v>0.92300895504891711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0"/>
        <v>30</v>
      </c>
      <c r="G36" s="72"/>
      <c r="H36" s="76" t="s">
        <v>56</v>
      </c>
      <c r="I36" s="76"/>
      <c r="J36" s="89">
        <f ca="1">+K9/K7</f>
        <v>7.6189999999999952E-2</v>
      </c>
      <c r="K36" s="89">
        <f ca="1">+J36</f>
        <v>7.6189999999999952E-2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291.74895781115043</v>
      </c>
      <c r="T36" s="118">
        <f ca="1">EXP(y_inter1-(slope*LN(+S36)))</f>
        <v>6.3101645560768569</v>
      </c>
      <c r="U36" s="119">
        <f ca="1">(+S36*T36/100)/100</f>
        <v>0.18409839328522837</v>
      </c>
      <c r="V36" s="119">
        <f>regDebt_weighted</f>
        <v>3.5860000000000003E-2</v>
      </c>
      <c r="W36" s="119">
        <f ca="1">+U36-V36</f>
        <v>0.14823839328522836</v>
      </c>
      <c r="X36" s="119">
        <f ca="1">+((W36*(1-0.34))-Pfd_weighted)/Equity_percent</f>
        <v>0.26641668479142649</v>
      </c>
      <c r="Y36" s="119">
        <f ca="1">+X36*equityP</f>
        <v>0.1598500108748559</v>
      </c>
      <c r="Z36" s="119">
        <f ca="1">+Y36/(1-taxrate)</f>
        <v>0.2023417859175391</v>
      </c>
      <c r="AA36" s="119">
        <f>debtP*Debt_Rate</f>
        <v>2.6000000000000002E-2</v>
      </c>
      <c r="AB36" s="119">
        <f ca="1">+AA36+Z36</f>
        <v>0.22834178591753909</v>
      </c>
      <c r="AC36" s="119">
        <f ca="1">+AB36/(S36/100)</f>
        <v>7.82665301122841E-2</v>
      </c>
      <c r="AD36" s="119">
        <f ca="1">1-AC36</f>
        <v>0.92173346988771587</v>
      </c>
      <c r="AE36" s="120">
        <f ca="1">expenses/(AD36)</f>
        <v>253815.30494064713</v>
      </c>
      <c r="AF36" s="121">
        <f ca="1">+AE36-Revenue</f>
        <v>-104405.12005935286</v>
      </c>
      <c r="AG36" s="122">
        <f ca="1">+AF36/$J$49</f>
        <v>-115953.00054926793</v>
      </c>
      <c r="AH36" s="122">
        <f ca="1">+AG36*$J$47</f>
        <v>-2620.5378124134554</v>
      </c>
      <c r="AI36" s="120">
        <f ca="1">ROUND(+AH36+AE36,5)</f>
        <v>251194.76712999999</v>
      </c>
    </row>
    <row r="37" spans="1:46" ht="15.75">
      <c r="A37" s="43"/>
      <c r="B37" s="43"/>
      <c r="C37" s="43"/>
      <c r="D37" s="43"/>
      <c r="E37" s="43"/>
      <c r="F37" s="142">
        <f t="shared" si="0"/>
        <v>31</v>
      </c>
      <c r="G37" s="72"/>
      <c r="H37" s="76" t="s">
        <v>57</v>
      </c>
      <c r="I37" s="74"/>
      <c r="J37" s="93">
        <f ca="1">+S39/100</f>
        <v>2.908942702001414</v>
      </c>
      <c r="K37" s="93">
        <f ca="1">+J37</f>
        <v>2.908942702001414</v>
      </c>
      <c r="L37" s="72"/>
      <c r="M37" s="72"/>
      <c r="N37" s="72"/>
      <c r="O37" s="43"/>
      <c r="P37" s="43"/>
      <c r="R37" s="35">
        <v>2</v>
      </c>
      <c r="S37" s="123">
        <f ca="1">AI32/Investment*100</f>
        <v>291.34266497911051</v>
      </c>
      <c r="T37" s="34">
        <f ca="1">EXP(y_inter2-(slope*LN(+S37)))</f>
        <v>6.2263140024646031</v>
      </c>
      <c r="U37" s="4">
        <f ca="1">(+S37*T37/100)/100</f>
        <v>0.18139909144747893</v>
      </c>
      <c r="V37" s="4">
        <f>regDebt_weighted</f>
        <v>3.5860000000000003E-2</v>
      </c>
      <c r="W37" s="4">
        <f ca="1">+U37-V37</f>
        <v>0.14553909144747892</v>
      </c>
      <c r="X37" s="4">
        <f ca="1">+((W37*(1-0.34))-Pfd_weighted)/Equity_percent</f>
        <v>0.26123779173062817</v>
      </c>
      <c r="Y37" s="4">
        <f ca="1">+X37*equityP</f>
        <v>0.15674267503837688</v>
      </c>
      <c r="Z37" s="4">
        <f ca="1">+Y37/(1-taxrate)</f>
        <v>0.19840844941566693</v>
      </c>
      <c r="AA37" s="4">
        <f>debtP*Debt_Rate</f>
        <v>2.6000000000000002E-2</v>
      </c>
      <c r="AB37" s="4">
        <f ca="1">+AA37+Z37</f>
        <v>0.22440844941566693</v>
      </c>
      <c r="AC37" s="4">
        <f ca="1">+AB37/(S37/100)</f>
        <v>7.7025604688471278E-2</v>
      </c>
      <c r="AD37" s="4">
        <f ca="1">1-AC37</f>
        <v>0.92297439531152869</v>
      </c>
      <c r="AE37" s="124">
        <f ca="1">expenses/(AD37)</f>
        <v>253474.05401705313</v>
      </c>
      <c r="AF37" s="125">
        <f ca="1">+AE37-Revenue</f>
        <v>-104746.37098294686</v>
      </c>
      <c r="AG37" s="126">
        <f ca="1">+AF37/$J$49</f>
        <v>-116331.99602868923</v>
      </c>
      <c r="AH37" s="126">
        <f ca="1">+AG37*$J$47</f>
        <v>-2629.1031102483767</v>
      </c>
      <c r="AI37" s="124">
        <f ca="1">ROUND(+AH37+AE37,5)</f>
        <v>250844.95091000001</v>
      </c>
    </row>
    <row r="38" spans="1:46" ht="15.75">
      <c r="A38" s="43"/>
      <c r="B38" s="43"/>
      <c r="C38" s="43"/>
      <c r="D38" s="43"/>
      <c r="E38" s="43"/>
      <c r="F38" s="142">
        <f t="shared" si="0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291.06915347454867</v>
      </c>
      <c r="T38" s="6">
        <f ca="1">EXP(y_inter3-(slope*LN(S38)))</f>
        <v>6.1697396032806298</v>
      </c>
      <c r="U38" s="4">
        <f ca="1">(+S38*T38/100)/100</f>
        <v>0.17958208834852904</v>
      </c>
      <c r="V38" s="4">
        <f>regDebt_weighted</f>
        <v>3.5860000000000003E-2</v>
      </c>
      <c r="W38" s="4">
        <f ca="1">+U38-V38</f>
        <v>0.14372208834852904</v>
      </c>
      <c r="X38" s="4">
        <f ca="1">+((W38*(1-0.34))-Pfd_weighted)/Equity_percent</f>
        <v>0.2577516811338057</v>
      </c>
      <c r="Y38" s="4">
        <f ca="1">+X38*equityP</f>
        <v>0.15465100868028342</v>
      </c>
      <c r="Z38" s="4">
        <f ca="1">+Y38/(1-taxrate)</f>
        <v>0.19576077048137142</v>
      </c>
      <c r="AA38" s="4">
        <f>debtP*Debt_Rate</f>
        <v>2.6000000000000002E-2</v>
      </c>
      <c r="AB38" s="4">
        <f ca="1">+AA38+Z38</f>
        <v>0.22176077048137141</v>
      </c>
      <c r="AC38" s="4">
        <f ca="1">+AB38/(S38/100)</f>
        <v>7.6188344877555825E-2</v>
      </c>
      <c r="AD38" s="4">
        <f ca="1">1-AC38</f>
        <v>0.92381165512244423</v>
      </c>
      <c r="AE38" s="124">
        <f ca="1">expenses/(AD38)</f>
        <v>253244.32792801587</v>
      </c>
      <c r="AF38" s="125">
        <f ca="1">+AE38-Revenue</f>
        <v>-104976.09707198411</v>
      </c>
      <c r="AG38" s="126">
        <f ca="1">+AF38/$J$49</f>
        <v>-116587.13130666387</v>
      </c>
      <c r="AH38" s="126">
        <f ca="1">+AG38*$J$47</f>
        <v>-2634.8691675306036</v>
      </c>
      <c r="AI38" s="124">
        <f ca="1">ROUND(+AH38+AE38,5)</f>
        <v>250609.45876000001</v>
      </c>
    </row>
    <row r="39" spans="1:46" ht="15.75">
      <c r="A39" s="43"/>
      <c r="B39" s="43"/>
      <c r="C39" s="43"/>
      <c r="D39" s="43"/>
      <c r="E39" s="43"/>
      <c r="F39" s="142">
        <f t="shared" si="0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290.89427020014142</v>
      </c>
      <c r="T39" s="8">
        <f ca="1">EXP(y_inter4-(slope*LN(S39)))</f>
        <v>6.1335121272219686</v>
      </c>
      <c r="U39" s="4">
        <f ca="1">(+S39*T39/100)/100</f>
        <v>0.17842035340119516</v>
      </c>
      <c r="V39" s="4">
        <f>regDebt_weighted</f>
        <v>3.5860000000000003E-2</v>
      </c>
      <c r="W39" s="4">
        <f ca="1">+U39-V39</f>
        <v>0.14256035340119516</v>
      </c>
      <c r="X39" s="4">
        <f ca="1">+((W39*(1-0.34))-Pfd_weighted)/Equity_percent</f>
        <v>0.25552277106043259</v>
      </c>
      <c r="Y39" s="4">
        <f ca="1">+X39*equityP</f>
        <v>0.15331366263625953</v>
      </c>
      <c r="Z39" s="4">
        <f ca="1">+Y39/(1-taxrate)</f>
        <v>0.19406792738767029</v>
      </c>
      <c r="AA39" s="4">
        <f>debtP*Debt_Rate</f>
        <v>2.6000000000000002E-2</v>
      </c>
      <c r="AB39" s="4">
        <f ca="1">+AA39+Z39</f>
        <v>0.22006792738767028</v>
      </c>
      <c r="AC39" s="4">
        <f ca="1">+AB39/(S39/100)</f>
        <v>7.5652204230856418E-2</v>
      </c>
      <c r="AD39" s="4">
        <f ca="1">1-AC39</f>
        <v>0.92434779576914361</v>
      </c>
      <c r="AE39" s="124">
        <f ca="1">expenses/(AD39)</f>
        <v>253097.44103287777</v>
      </c>
      <c r="AF39" s="125">
        <f ca="1">+AE39-Revenue</f>
        <v>-105122.98396712221</v>
      </c>
      <c r="AG39" s="126">
        <f ca="1">+AF39/$J$49</f>
        <v>-116750.26484094789</v>
      </c>
      <c r="AH39" s="126">
        <f ca="1">+AG39*$J$47</f>
        <v>-2638.5559854054227</v>
      </c>
      <c r="AI39" s="124">
        <f ca="1">ROUND(+AH39+AE39,5)</f>
        <v>250458.88505000001</v>
      </c>
    </row>
    <row r="40" spans="1:46" ht="15.75">
      <c r="A40" s="43"/>
      <c r="B40" s="43"/>
      <c r="C40" s="43"/>
      <c r="D40" s="43"/>
      <c r="E40" s="43"/>
      <c r="F40" s="142">
        <f t="shared" si="0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0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0"/>
        <v>36</v>
      </c>
      <c r="G42" s="72"/>
      <c r="H42" s="72"/>
      <c r="I42" s="72"/>
      <c r="J42" s="108" t="s">
        <v>48</v>
      </c>
      <c r="K42" s="194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0"/>
        <v>37</v>
      </c>
      <c r="G43" s="72"/>
      <c r="H43" s="76" t="s">
        <v>62</v>
      </c>
      <c r="I43" s="75"/>
      <c r="J43" s="127">
        <f>IF($A$65=TRUE,C11,0)</f>
        <v>1.7500000000000002E-2</v>
      </c>
      <c r="K43" s="128">
        <f ca="1">+J43*($J$7/$J$49)</f>
        <v>-2040.2659795550562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7.6188344877555825E-2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0"/>
        <v>38</v>
      </c>
      <c r="G44" s="72"/>
      <c r="H44" s="76" t="s">
        <v>63</v>
      </c>
      <c r="I44" s="75"/>
      <c r="J44" s="127">
        <f>IF($A$65=TRUE,C12,0)</f>
        <v>5.1000000000000004E-3</v>
      </c>
      <c r="K44" s="128">
        <f ca="1">+J44*($J$7/$J$49)</f>
        <v>-594.59179975604502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0.92381000000000002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0"/>
        <v>39</v>
      </c>
      <c r="G45" s="72"/>
      <c r="H45" s="76" t="s">
        <v>66</v>
      </c>
      <c r="I45" s="75"/>
      <c r="J45" s="127">
        <f>IF($A$65=TRUE,C13,0)</f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-0.30040303015121295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0"/>
        <v>40</v>
      </c>
      <c r="G46" s="72"/>
      <c r="H46" s="76" t="s">
        <v>69</v>
      </c>
      <c r="I46" s="75"/>
      <c r="J46" s="127">
        <f>IF($A$65=TRUE,C14,0)</f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0"/>
        <v>41</v>
      </c>
      <c r="G47" s="72"/>
      <c r="H47" s="76" t="s">
        <v>71</v>
      </c>
      <c r="I47" s="74"/>
      <c r="J47" s="137">
        <f>SUM(J43:J46)</f>
        <v>2.2600000000000002E-2</v>
      </c>
      <c r="K47" s="136">
        <f ca="1">+K43+K44+K45+K46</f>
        <v>-2634.8577793111012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0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291.06915347454867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0"/>
        <v>43</v>
      </c>
      <c r="G49" s="178"/>
      <c r="H49" s="195" t="s">
        <v>73</v>
      </c>
      <c r="I49" s="100"/>
      <c r="J49" s="196">
        <f ca="1">((K35)-J47)</f>
        <v>0.90040895504891716</v>
      </c>
      <c r="K49" s="100"/>
      <c r="L49" s="100"/>
      <c r="M49" s="100"/>
      <c r="N49" s="100"/>
      <c r="O49" s="43"/>
      <c r="P49" s="43"/>
      <c r="R49" s="149">
        <f ca="1">VLOOKUP(S36,R43:S46,2)</f>
        <v>3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0.92381000000000002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Z68" ca="1" si="1">+J33</f>
        <v>0.22409759711118987</v>
      </c>
      <c r="Z63" s="20">
        <f ca="1">+K33</f>
        <v>0.18249710171783967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"/>
        <v>0.33016266185198256</v>
      </c>
      <c r="Z64" s="20">
        <f t="shared" ca="1" si="1"/>
        <v>0.26082850286306614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"/>
        <v>0.92381000000000002</v>
      </c>
      <c r="Z65" s="20">
        <f t="shared" ca="1" si="1"/>
        <v>0.92300895504891711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"/>
        <v>7.6189999999999952E-2</v>
      </c>
      <c r="Z66" s="20">
        <f t="shared" ca="1" si="1"/>
        <v>7.6189999999999952E-2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"/>
        <v>2.908942702001414</v>
      </c>
      <c r="Z67" s="20">
        <f t="shared" ca="1" si="1"/>
        <v>2.908942702001414</v>
      </c>
      <c r="AC67" s="13"/>
      <c r="AH67" s="10"/>
    </row>
    <row r="68" spans="1:38">
      <c r="O68" s="9"/>
      <c r="W68" s="25" t="s">
        <v>58</v>
      </c>
      <c r="X68" s="110"/>
      <c r="Y68" s="20">
        <f t="shared" si="1"/>
        <v>0.21</v>
      </c>
      <c r="Z68" s="20">
        <f t="shared" si="1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ignoredErrors>
    <ignoredError sqref="J26:J27" unlockedFormula="1"/>
    <ignoredError sqref="J12" evalError="1"/>
  </ignoredErrors>
  <drawing r:id="rId2"/>
  <legacyDrawing r:id="rId3"/>
  <controls>
    <mc:AlternateContent xmlns:mc="http://schemas.openxmlformats.org/markup-compatibility/2006">
      <mc:Choice Requires="x14">
        <control shapeId="38913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400050</xdr:colOff>
                <xdr:row>16</xdr:row>
                <xdr:rowOff>66675</xdr:rowOff>
              </to>
            </anchor>
          </controlPr>
        </control>
      </mc:Choice>
      <mc:Fallback>
        <control shapeId="38913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0.59999389629810485"/>
  </sheetPr>
  <dimension ref="A1:AT113"/>
  <sheetViews>
    <sheetView topLeftCell="A4" workbookViewId="0">
      <selection activeCell="C24" sqref="C24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10.3320312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557" t="s">
        <v>106</v>
      </c>
      <c r="C2" s="557"/>
      <c r="D2" s="43"/>
      <c r="E2" s="43"/>
      <c r="F2" s="169" t="s">
        <v>112</v>
      </c>
      <c r="G2" s="98"/>
      <c r="H2" s="98"/>
      <c r="I2" s="99" t="s">
        <v>123</v>
      </c>
      <c r="J2" s="98"/>
      <c r="K2" s="98"/>
      <c r="L2" s="98"/>
      <c r="M2" s="169" t="s">
        <v>112</v>
      </c>
      <c r="O2" s="43"/>
      <c r="P2" s="43"/>
      <c r="R2" s="36" t="s">
        <v>1</v>
      </c>
      <c r="S2" s="37"/>
      <c r="T2" s="38"/>
      <c r="AF2" s="558" t="s">
        <v>92</v>
      </c>
      <c r="AG2" s="559"/>
      <c r="AH2" s="559"/>
      <c r="AI2" s="560"/>
    </row>
    <row r="3" spans="1:35" ht="15.75">
      <c r="A3" s="43"/>
      <c r="B3" s="43"/>
      <c r="C3" s="43"/>
      <c r="D3" s="43"/>
      <c r="E3" s="43"/>
      <c r="F3" s="138"/>
      <c r="G3" s="72"/>
      <c r="K3" s="179" t="s">
        <v>121</v>
      </c>
      <c r="M3" s="179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3" t="s">
        <v>115</v>
      </c>
      <c r="C4" s="170"/>
      <c r="D4" s="116"/>
      <c r="E4" s="43"/>
      <c r="F4" s="178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4" t="s">
        <v>32</v>
      </c>
      <c r="C5" s="129">
        <f>'Pro Forma IS'!W11</f>
        <v>121334.40000000001</v>
      </c>
      <c r="D5" s="116"/>
      <c r="E5" s="43"/>
      <c r="F5" s="139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4" t="s">
        <v>33</v>
      </c>
      <c r="C6" s="130">
        <f>'Pro Forma IS'!W44</f>
        <v>227742.06792732392</v>
      </c>
      <c r="D6" s="116"/>
      <c r="E6" s="43"/>
      <c r="F6" s="140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255.11534352628172</v>
      </c>
      <c r="T6" s="118">
        <f>EXP(y_inter1-(slope*LN(+S6)))</f>
        <v>6.9163984519203314</v>
      </c>
      <c r="U6" s="119">
        <f>(+S6*T6/100)/100</f>
        <v>0.17644793670262984</v>
      </c>
      <c r="V6" s="119">
        <f>regDebt_weighted</f>
        <v>3.5860000000000003E-2</v>
      </c>
      <c r="W6" s="119">
        <f>+U6-V6</f>
        <v>0.14058793670262984</v>
      </c>
      <c r="X6" s="119">
        <f>+((W6*(1-0.34))-Pfd_weighted)/Equity_percent</f>
        <v>0.25173848320853398</v>
      </c>
      <c r="Y6" s="119">
        <f>X6*equityP</f>
        <v>0.15104308992512039</v>
      </c>
      <c r="Z6" s="119">
        <f>+Y6/(1-taxrate)</f>
        <v>0.19119378471534226</v>
      </c>
      <c r="AA6" s="119">
        <f>debtP*Debt_Rate</f>
        <v>2.6000000000000002E-2</v>
      </c>
      <c r="AB6" s="119">
        <f>AA6+Z6</f>
        <v>0.21719378471534226</v>
      </c>
      <c r="AC6" s="119">
        <f>AB6/(S6/100)</f>
        <v>8.5135524078334079E-2</v>
      </c>
      <c r="AD6" s="119">
        <f>1-AC6</f>
        <v>0.91486447592166598</v>
      </c>
      <c r="AE6" s="120">
        <f>expenses/(AD6)</f>
        <v>248935.30563408171</v>
      </c>
      <c r="AF6" s="121">
        <f>+AE6-Revenue</f>
        <v>127600.9056340817</v>
      </c>
      <c r="AG6" s="122">
        <f ca="1">+AF6/$J$49</f>
        <v>137933.04325041734</v>
      </c>
      <c r="AH6" s="122">
        <f ca="1">+AG6*$J$47</f>
        <v>3117.286777459432</v>
      </c>
      <c r="AI6" s="120">
        <f ca="1">ROUND(+AH6+AE6,5)</f>
        <v>252052.59241000001</v>
      </c>
    </row>
    <row r="7" spans="1:35" ht="15.75">
      <c r="A7" s="43"/>
      <c r="B7" s="134" t="s">
        <v>104</v>
      </c>
      <c r="C7" s="130">
        <f>Assets!Q43</f>
        <v>47560.604675077208</v>
      </c>
      <c r="D7" s="116"/>
      <c r="E7" s="43"/>
      <c r="F7" s="141">
        <v>1</v>
      </c>
      <c r="G7" s="76"/>
      <c r="H7" s="79" t="s">
        <v>32</v>
      </c>
      <c r="I7" s="80">
        <f>IF(A65=TRUE,C5,0)</f>
        <v>121334.40000000001</v>
      </c>
      <c r="J7" s="80">
        <f ca="1">(+$I8/($R51))-I7</f>
        <v>119138.29225532057</v>
      </c>
      <c r="K7" s="80">
        <f ca="1">+I7+J7</f>
        <v>240472.69225532058</v>
      </c>
      <c r="L7" s="80">
        <f ca="1">((+J7/J49*K35)-J7)</f>
        <v>2910.5453546045319</v>
      </c>
      <c r="M7" s="80">
        <f ca="1">IFERROR(+K7+L7,0.00001)</f>
        <v>243383.2376099251</v>
      </c>
      <c r="O7" s="49"/>
      <c r="P7" s="43"/>
      <c r="R7" s="35">
        <v>2</v>
      </c>
      <c r="S7" s="123">
        <f>Revenue/Investment*100</f>
        <v>255.11534352628172</v>
      </c>
      <c r="T7" s="6">
        <f>EXP(y_inter1-(slope*LN(+S7)))</f>
        <v>6.9163984519203314</v>
      </c>
      <c r="U7" s="4">
        <f>(+S7*T7/100)/100</f>
        <v>0.17644793670262984</v>
      </c>
      <c r="V7" s="4">
        <f>regDebt_weighted</f>
        <v>3.5860000000000003E-2</v>
      </c>
      <c r="W7" s="4">
        <f>+U7-V7</f>
        <v>0.14058793670262984</v>
      </c>
      <c r="X7" s="4">
        <f>+((W7*(1-0.34))-Pfd_weighted)/Equity_percent</f>
        <v>0.25173848320853398</v>
      </c>
      <c r="Y7" s="4">
        <f>X7*equityP</f>
        <v>0.15104308992512039</v>
      </c>
      <c r="Z7" s="4">
        <f>+Y7/(1-taxrate)</f>
        <v>0.19119378471534226</v>
      </c>
      <c r="AA7" s="4">
        <f>debtP*Debt_Rate</f>
        <v>2.6000000000000002E-2</v>
      </c>
      <c r="AB7" s="4">
        <f>AA7+Z7</f>
        <v>0.21719378471534226</v>
      </c>
      <c r="AC7" s="4">
        <f>AB7/(S7/100)</f>
        <v>8.5135524078334079E-2</v>
      </c>
      <c r="AD7" s="4">
        <f>1-AC7</f>
        <v>0.91486447592166598</v>
      </c>
      <c r="AE7" s="124">
        <f>expenses/(AD7)</f>
        <v>248935.30563408171</v>
      </c>
      <c r="AF7" s="125">
        <f>+AE7-Revenue</f>
        <v>127600.9056340817</v>
      </c>
      <c r="AG7" s="126">
        <f ca="1">+AF7/$J$49</f>
        <v>137933.04325041734</v>
      </c>
      <c r="AH7" s="126">
        <f ca="1">+AG7*$J$47</f>
        <v>3117.286777459432</v>
      </c>
      <c r="AI7" s="124">
        <f ca="1">ROUND(+AH7+AE7,5)</f>
        <v>252052.59241000001</v>
      </c>
    </row>
    <row r="8" spans="1:35" ht="15.75">
      <c r="A8" s="43"/>
      <c r="B8" s="134" t="s">
        <v>114</v>
      </c>
      <c r="C8" s="131">
        <v>0.4</v>
      </c>
      <c r="D8" s="116"/>
      <c r="E8" s="43"/>
      <c r="F8" s="142">
        <f>+F7+1</f>
        <v>2</v>
      </c>
      <c r="G8" s="76"/>
      <c r="H8" s="79" t="s">
        <v>33</v>
      </c>
      <c r="I8" s="80">
        <f>IF(A65=TRUE,C6,0)</f>
        <v>227742.06792732392</v>
      </c>
      <c r="J8" s="72"/>
      <c r="K8" s="80">
        <f>+I8</f>
        <v>227742.06792732392</v>
      </c>
      <c r="L8" s="80">
        <f ca="1">+L7</f>
        <v>2910.5453546045319</v>
      </c>
      <c r="M8" s="80">
        <f ca="1">IFERROR(+K8+L8,0.00001)</f>
        <v>230652.61328192847</v>
      </c>
      <c r="O8" s="49"/>
      <c r="P8" s="43"/>
      <c r="R8" s="5">
        <v>3</v>
      </c>
      <c r="S8" s="123">
        <f>Revenue/Investment*100</f>
        <v>255.11534352628172</v>
      </c>
      <c r="T8" s="6">
        <f>EXP(y_inter1-(slope*LN(+S8)))</f>
        <v>6.9163984519203314</v>
      </c>
      <c r="U8" s="4">
        <f>(+S8*T8/100)/100</f>
        <v>0.17644793670262984</v>
      </c>
      <c r="V8" s="4">
        <f>regDebt_weighted</f>
        <v>3.5860000000000003E-2</v>
      </c>
      <c r="W8" s="4">
        <f>+U8-V8</f>
        <v>0.14058793670262984</v>
      </c>
      <c r="X8" s="4">
        <f>+((W8*(1-0.34))-Pfd_weighted)/Equity_percent</f>
        <v>0.25173848320853398</v>
      </c>
      <c r="Y8" s="4">
        <f>X8*equityP</f>
        <v>0.15104308992512039</v>
      </c>
      <c r="Z8" s="4">
        <f>+Y8/(1-taxrate)</f>
        <v>0.19119378471534226</v>
      </c>
      <c r="AA8" s="4">
        <f>debtP*Debt_Rate</f>
        <v>2.6000000000000002E-2</v>
      </c>
      <c r="AB8" s="4">
        <f>AA8+Z8</f>
        <v>0.21719378471534226</v>
      </c>
      <c r="AC8" s="4">
        <f>AB8/(S8/100)</f>
        <v>8.5135524078334079E-2</v>
      </c>
      <c r="AD8" s="4">
        <f>1-AC8</f>
        <v>0.91486447592166598</v>
      </c>
      <c r="AE8" s="124">
        <f>expenses/(AD8)</f>
        <v>248935.30563408171</v>
      </c>
      <c r="AF8" s="125">
        <f>+AE8-Revenue</f>
        <v>127600.9056340817</v>
      </c>
      <c r="AG8" s="126">
        <f ca="1">+AF8/$J$49</f>
        <v>137933.04325041734</v>
      </c>
      <c r="AH8" s="126">
        <f ca="1">+AG8*$J$47</f>
        <v>3117.286777459432</v>
      </c>
      <c r="AI8" s="124">
        <f ca="1">ROUND(+AH8+AE8,5)</f>
        <v>252052.59241000001</v>
      </c>
    </row>
    <row r="9" spans="1:35" ht="15.75">
      <c r="A9" s="43"/>
      <c r="B9" s="134" t="s">
        <v>113</v>
      </c>
      <c r="C9" s="131">
        <v>6.5000000000000002E-2</v>
      </c>
      <c r="D9" s="116"/>
      <c r="E9" s="43"/>
      <c r="F9" s="142">
        <f t="shared" ref="F9:F49" si="0">+F8+1</f>
        <v>3</v>
      </c>
      <c r="G9" s="76"/>
      <c r="H9" s="79" t="s">
        <v>34</v>
      </c>
      <c r="I9" s="81">
        <f>+I7-I8</f>
        <v>-106407.66792732391</v>
      </c>
      <c r="J9" s="72"/>
      <c r="K9" s="81">
        <f ca="1">+K7-K8</f>
        <v>12730.624327996658</v>
      </c>
      <c r="L9" s="76"/>
      <c r="M9" s="82">
        <f ca="1">+M7-M8</f>
        <v>12730.624327996629</v>
      </c>
      <c r="O9" s="49"/>
      <c r="P9" s="43"/>
      <c r="R9" s="7">
        <v>4</v>
      </c>
      <c r="S9" s="123">
        <f>Revenue/Investment*100</f>
        <v>255.11534352628172</v>
      </c>
      <c r="T9" s="6">
        <f>EXP(y_inter1-(slope*LN(+S9)))</f>
        <v>6.9163984519203314</v>
      </c>
      <c r="U9" s="4">
        <f>(+S9*T9/100)/100</f>
        <v>0.17644793670262984</v>
      </c>
      <c r="V9" s="4">
        <f>regDebt_weighted</f>
        <v>3.5860000000000003E-2</v>
      </c>
      <c r="W9" s="4">
        <f>+U9-V9</f>
        <v>0.14058793670262984</v>
      </c>
      <c r="X9" s="4">
        <f>+((W9*(1-0.34))-Pfd_weighted)/Equity_percent</f>
        <v>0.25173848320853398</v>
      </c>
      <c r="Y9" s="4">
        <f>X9*equityP</f>
        <v>0.15104308992512039</v>
      </c>
      <c r="Z9" s="4">
        <f>+Y9/(1-taxrate)</f>
        <v>0.19119378471534226</v>
      </c>
      <c r="AA9" s="4">
        <f>debtP*Debt_Rate</f>
        <v>2.6000000000000002E-2</v>
      </c>
      <c r="AB9" s="4">
        <f>AA9+Z9</f>
        <v>0.21719378471534226</v>
      </c>
      <c r="AC9" s="4">
        <f>AB9/(S9/100)</f>
        <v>8.5135524078334079E-2</v>
      </c>
      <c r="AD9" s="4">
        <f>1-AC9</f>
        <v>0.91486447592166598</v>
      </c>
      <c r="AE9" s="124">
        <f>expenses/(AD9)</f>
        <v>248935.30563408171</v>
      </c>
      <c r="AF9" s="125">
        <f>+AE9-Revenue</f>
        <v>127600.9056340817</v>
      </c>
      <c r="AG9" s="126">
        <f ca="1">+AF9/$J$49</f>
        <v>137933.04325041734</v>
      </c>
      <c r="AH9" s="126">
        <f ca="1">+AG9*$J$47</f>
        <v>3117.286777459432</v>
      </c>
      <c r="AI9" s="124">
        <f ca="1">ROUND(+AH9+AE9,5)</f>
        <v>252052.59241000001</v>
      </c>
    </row>
    <row r="10" spans="1:35" ht="15.75">
      <c r="A10" s="43"/>
      <c r="B10" s="197" t="s">
        <v>98</v>
      </c>
      <c r="C10" s="131">
        <v>0.21</v>
      </c>
      <c r="D10" s="116"/>
      <c r="E10" s="43"/>
      <c r="F10" s="142">
        <f t="shared" si="0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4" t="s">
        <v>97</v>
      </c>
      <c r="C11" s="132">
        <v>1.7500000000000002E-2</v>
      </c>
      <c r="D11" s="116"/>
      <c r="E11" s="43"/>
      <c r="F11" s="142">
        <f t="shared" si="0"/>
        <v>5</v>
      </c>
      <c r="G11" s="76"/>
      <c r="H11" s="79" t="s">
        <v>35</v>
      </c>
      <c r="I11" s="80">
        <f>+K11</f>
        <v>1236.5757215520075</v>
      </c>
      <c r="J11" s="72"/>
      <c r="K11" s="80">
        <f>+M27</f>
        <v>1236.5757215520075</v>
      </c>
      <c r="L11" s="76"/>
      <c r="M11" s="80">
        <f>+K11</f>
        <v>1236.5757215520075</v>
      </c>
      <c r="O11" s="49"/>
      <c r="P11" s="43"/>
      <c r="R11" s="3">
        <v>1</v>
      </c>
      <c r="S11" s="117">
        <f ca="1">IF((AI6/Investment*100)&gt;0,(AI6/Investment*100),0)</f>
        <v>529.96086599815885</v>
      </c>
      <c r="T11" s="118">
        <f ca="1">EXP(y_inter1-(slope*LN(S11)))</f>
        <v>4.1957523128635712</v>
      </c>
      <c r="U11" s="119">
        <f ca="1">(+S11*T11/100)/100</f>
        <v>0.22235845292389564</v>
      </c>
      <c r="V11" s="119">
        <f>regDebt_weighted</f>
        <v>3.5860000000000003E-2</v>
      </c>
      <c r="W11" s="119">
        <f ca="1">+U11-V11</f>
        <v>0.18649845292389564</v>
      </c>
      <c r="X11" s="119">
        <f ca="1">+((W11*(1-0.34))-Pfd_weighted)/Equity_percent</f>
        <v>0.33982261316793927</v>
      </c>
      <c r="Y11" s="119">
        <f ca="1">+X11*equityP</f>
        <v>0.20389356790076354</v>
      </c>
      <c r="Z11" s="119">
        <f ca="1">+Y11/(1-taxrate)</f>
        <v>0.25809312392501715</v>
      </c>
      <c r="AA11" s="119">
        <f>debtP*Debt_Rate</f>
        <v>2.6000000000000002E-2</v>
      </c>
      <c r="AB11" s="119">
        <f ca="1">+AA11+Z11</f>
        <v>0.28409312392501718</v>
      </c>
      <c r="AC11" s="119">
        <f ca="1">+AB11/(S11/100)</f>
        <v>5.3606434390195926E-2</v>
      </c>
      <c r="AD11" s="119">
        <f ca="1">1-AC11</f>
        <v>0.94639356560980403</v>
      </c>
      <c r="AE11" s="120">
        <f ca="1">expenses/(AD11)</f>
        <v>240642.02907019918</v>
      </c>
      <c r="AF11" s="121">
        <f ca="1">+AE11-Revenue</f>
        <v>119307.62907019917</v>
      </c>
      <c r="AG11" s="122">
        <f ca="1">+AF11/$J$49</f>
        <v>128968.24108628483</v>
      </c>
      <c r="AH11" s="122">
        <f ca="1">+AG11*$J$47</f>
        <v>2914.6822485500375</v>
      </c>
      <c r="AI11" s="120">
        <f ca="1">ROUND(+AH11+AE11,5)</f>
        <v>243556.71132</v>
      </c>
    </row>
    <row r="12" spans="1:35" ht="15.75">
      <c r="A12" s="43"/>
      <c r="B12" s="134" t="s">
        <v>99</v>
      </c>
      <c r="C12" s="132">
        <v>5.1000000000000004E-3</v>
      </c>
      <c r="D12" s="116"/>
      <c r="E12" s="43"/>
      <c r="F12" s="142">
        <f t="shared" si="0"/>
        <v>6</v>
      </c>
      <c r="G12" s="76"/>
      <c r="H12" s="79" t="s">
        <v>37</v>
      </c>
      <c r="I12" s="291" t="e">
        <f ca="1">IF(I14&lt;0,0,+J38*I14)</f>
        <v>#DIV/0!</v>
      </c>
      <c r="J12" s="80" t="e">
        <f ca="1">+K12-I12</f>
        <v>#DIV/0!</v>
      </c>
      <c r="K12" s="80">
        <f ca="1">+(K9-K11)*taxrate</f>
        <v>2413.7502073533765</v>
      </c>
      <c r="L12" s="76"/>
      <c r="M12" s="80">
        <f ca="1">+K12</f>
        <v>2413.7502073533765</v>
      </c>
      <c r="O12" s="49"/>
      <c r="P12" s="43"/>
      <c r="R12" s="35">
        <v>2</v>
      </c>
      <c r="S12" s="123">
        <f ca="1">IF((AI7/Investment*100)&gt;0,(AI7/Investment*100),0)</f>
        <v>529.96086599815885</v>
      </c>
      <c r="T12" s="34">
        <f ca="1">EXP(y_inter2-(slope*LN(+S12)))</f>
        <v>4.1360559283606113</v>
      </c>
      <c r="U12" s="4">
        <f ca="1">(+S12*T12/100)/100</f>
        <v>0.21919477816108085</v>
      </c>
      <c r="V12" s="4">
        <f>regDebt_weighted</f>
        <v>3.5860000000000003E-2</v>
      </c>
      <c r="W12" s="4">
        <f ca="1">+U12-V12</f>
        <v>0.18333477816108085</v>
      </c>
      <c r="X12" s="4">
        <f ca="1">+((W12*(1-0.34))-Pfd_weighted)/Equity_percent</f>
        <v>0.3337527720532365</v>
      </c>
      <c r="Y12" s="4">
        <f ca="1">+X12*equityP</f>
        <v>0.20025166323194191</v>
      </c>
      <c r="Z12" s="4">
        <f ca="1">+Y12/(1-taxrate)</f>
        <v>0.2534831180151163</v>
      </c>
      <c r="AA12" s="4">
        <f>debtP*Debt_Rate</f>
        <v>2.6000000000000002E-2</v>
      </c>
      <c r="AB12" s="4">
        <f ca="1">+AA12+Z12</f>
        <v>0.27948311801511633</v>
      </c>
      <c r="AC12" s="4">
        <f ca="1">+AB12/(S12/100)</f>
        <v>5.2736557724639102E-2</v>
      </c>
      <c r="AD12" s="4">
        <f ca="1">1-AC12</f>
        <v>0.94726344227536086</v>
      </c>
      <c r="AE12" s="124">
        <f ca="1">expenses/(AD12)</f>
        <v>240421.04631450705</v>
      </c>
      <c r="AF12" s="125">
        <f ca="1">+AE12-Revenue</f>
        <v>119086.64631450704</v>
      </c>
      <c r="AG12" s="126">
        <f ca="1">+AF12/$J$49</f>
        <v>128729.3648506734</v>
      </c>
      <c r="AH12" s="126">
        <f ca="1">+AG12*$J$47</f>
        <v>2909.2836456252194</v>
      </c>
      <c r="AI12" s="124">
        <f ca="1">ROUND(+AH12+AE12,5)</f>
        <v>243330.32996</v>
      </c>
    </row>
    <row r="13" spans="1:35" ht="15.75">
      <c r="A13" s="43"/>
      <c r="B13" s="134" t="s">
        <v>100</v>
      </c>
      <c r="C13" s="132">
        <v>0</v>
      </c>
      <c r="D13" s="116"/>
      <c r="E13" s="43"/>
      <c r="F13" s="142">
        <f t="shared" si="0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529.96086599815885</v>
      </c>
      <c r="T13" s="6">
        <f ca="1">EXP(y_inter3-(slope*LN(S13)))</f>
        <v>4.0958434199105112</v>
      </c>
      <c r="U13" s="4">
        <f ca="1">(+S13*T13/100)/100</f>
        <v>0.21706367258086354</v>
      </c>
      <c r="V13" s="4">
        <f>regDebt_weighted</f>
        <v>3.5860000000000003E-2</v>
      </c>
      <c r="W13" s="4">
        <f ca="1">+U13-V13</f>
        <v>0.18120367258086353</v>
      </c>
      <c r="X13" s="4">
        <f ca="1">+((W13*(1-0.34))-Pfd_weighted)/Equity_percent</f>
        <v>0.32966402297491254</v>
      </c>
      <c r="Y13" s="4">
        <f ca="1">+X13*equityP</f>
        <v>0.19779841378494753</v>
      </c>
      <c r="Z13" s="4">
        <f ca="1">+Y13/(1-taxrate)</f>
        <v>0.25037773896828802</v>
      </c>
      <c r="AA13" s="4">
        <f>debtP*Debt_Rate</f>
        <v>2.6000000000000002E-2</v>
      </c>
      <c r="AB13" s="4">
        <f ca="1">+AA13+Z13</f>
        <v>0.27637773896828804</v>
      </c>
      <c r="AC13" s="4">
        <f ca="1">+AB13/(S13/100)</f>
        <v>5.2150593883520488E-2</v>
      </c>
      <c r="AD13" s="4">
        <f ca="1">1-AC13</f>
        <v>0.9478494061164795</v>
      </c>
      <c r="AE13" s="124">
        <f ca="1">expenses/(AD13)</f>
        <v>240272.4171769298</v>
      </c>
      <c r="AF13" s="125">
        <f ca="1">+AE13-Revenue</f>
        <v>118938.01717692979</v>
      </c>
      <c r="AG13" s="126">
        <f ca="1">+AF13/$J$49</f>
        <v>128568.70087137137</v>
      </c>
      <c r="AH13" s="126">
        <f ca="1">+AG13*$J$47</f>
        <v>2905.6526396929935</v>
      </c>
      <c r="AI13" s="124">
        <f ca="1">ROUND(+AH13+AE13,5)</f>
        <v>243178.06982</v>
      </c>
    </row>
    <row r="14" spans="1:35" ht="16.5" thickBot="1">
      <c r="A14" s="43"/>
      <c r="B14" s="135" t="s">
        <v>101</v>
      </c>
      <c r="C14" s="132">
        <v>0</v>
      </c>
      <c r="D14" s="116"/>
      <c r="E14" s="43"/>
      <c r="F14" s="142">
        <f t="shared" si="0"/>
        <v>8</v>
      </c>
      <c r="G14" s="76"/>
      <c r="H14" s="76" t="s">
        <v>38</v>
      </c>
      <c r="I14" s="106" t="e">
        <f ca="1">+I9-SUM(I11:I13)</f>
        <v>#DIV/0!</v>
      </c>
      <c r="J14" s="72"/>
      <c r="K14" s="106">
        <f ca="1">+K9-SUM(K11:K13)</f>
        <v>9080.2983990912744</v>
      </c>
      <c r="L14" s="76"/>
      <c r="M14" s="106">
        <f ca="1">+M9-SUM(M11:M13)</f>
        <v>9080.2983990912453</v>
      </c>
      <c r="O14" s="49"/>
      <c r="P14" s="43"/>
      <c r="R14" s="7">
        <v>4</v>
      </c>
      <c r="S14" s="123">
        <f ca="1">IF((AI9/Investment*100)&gt;0,(AI9/Investment*100),0)</f>
        <v>529.96086599815885</v>
      </c>
      <c r="T14" s="8">
        <f ca="1">EXP(y_inter4-(slope*LN(S14)))</f>
        <v>4.0701207179540173</v>
      </c>
      <c r="U14" s="4">
        <f ca="1">(+S14*T14/100)/100</f>
        <v>0.21570047004039586</v>
      </c>
      <c r="V14" s="4">
        <f>regDebt_weighted</f>
        <v>3.5860000000000003E-2</v>
      </c>
      <c r="W14" s="4">
        <f ca="1">+U14-V14</f>
        <v>0.17984047004039586</v>
      </c>
      <c r="X14" s="4">
        <f ca="1">+((W14*(1-0.34))-Pfd_weighted)/Equity_percent</f>
        <v>0.32704857624029438</v>
      </c>
      <c r="Y14" s="4">
        <f ca="1">+X14*equityP</f>
        <v>0.19622914574417663</v>
      </c>
      <c r="Z14" s="4">
        <f ca="1">+Y14/(1-taxrate)</f>
        <v>0.24839132372680586</v>
      </c>
      <c r="AA14" s="4">
        <f>debtP*Debt_Rate</f>
        <v>2.6000000000000002E-2</v>
      </c>
      <c r="AB14" s="4">
        <f ca="1">+AA14+Z14</f>
        <v>0.27439132372680586</v>
      </c>
      <c r="AC14" s="4">
        <f ca="1">+AB14/(S14/100)</f>
        <v>5.1775770878855633E-2</v>
      </c>
      <c r="AD14" s="4">
        <f ca="1">1-AC14</f>
        <v>0.94822422912114435</v>
      </c>
      <c r="AE14" s="124">
        <f ca="1">expenses/(AD14)</f>
        <v>240177.44003272857</v>
      </c>
      <c r="AF14" s="125">
        <f ca="1">+AE14-Revenue</f>
        <v>118843.04003272856</v>
      </c>
      <c r="AG14" s="126">
        <f ca="1">+AF14/$J$49</f>
        <v>128466.03321024617</v>
      </c>
      <c r="AH14" s="126">
        <f ca="1">+AG14*$J$47</f>
        <v>2903.3323505515636</v>
      </c>
      <c r="AI14" s="124">
        <f ca="1">ROUND(+AH14+AE14,5)</f>
        <v>243080.77238000001</v>
      </c>
    </row>
    <row r="15" spans="1:35" ht="16.5" thickTop="1">
      <c r="A15" s="43"/>
      <c r="B15" s="561"/>
      <c r="C15" s="561"/>
      <c r="D15" s="43"/>
      <c r="E15" s="43"/>
      <c r="F15" s="142">
        <f t="shared" si="0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198" t="s">
        <v>124</v>
      </c>
      <c r="C16" s="562"/>
      <c r="D16" s="562"/>
      <c r="E16" s="43"/>
      <c r="F16" s="142">
        <f t="shared" si="0"/>
        <v>10</v>
      </c>
      <c r="G16" s="72"/>
      <c r="H16" s="180" t="s">
        <v>39</v>
      </c>
      <c r="I16" s="181">
        <f>+I8/I7</f>
        <v>1.8769785644246306</v>
      </c>
      <c r="J16" s="182"/>
      <c r="K16" s="181">
        <f ca="1">+K8/K7</f>
        <v>0.94706000000000001</v>
      </c>
      <c r="L16" s="183"/>
      <c r="M16" s="181">
        <f ca="1">+M8/M7</f>
        <v>0.94769309319321227</v>
      </c>
      <c r="O16" s="49"/>
      <c r="P16" s="43"/>
      <c r="R16" s="3">
        <v>1</v>
      </c>
      <c r="S16" s="117">
        <f ca="1">AI11/Investment*100</f>
        <v>512.09759208050821</v>
      </c>
      <c r="T16" s="118">
        <f ca="1">EXP(y_inter1-(slope*LN(+S16)))</f>
        <v>4.2952695049393084</v>
      </c>
      <c r="U16" s="119">
        <f ca="1">(+S16*T16/100)/100</f>
        <v>0.21995971708162565</v>
      </c>
      <c r="V16" s="119">
        <f>regDebt_weighted</f>
        <v>3.5860000000000003E-2</v>
      </c>
      <c r="W16" s="119">
        <f ca="1">+U16-V16</f>
        <v>0.18409971708162565</v>
      </c>
      <c r="X16" s="119">
        <f ca="1">+((W16*(1-0.34))-Pfd_weighted)/Equity_percent</f>
        <v>0.33522038742404919</v>
      </c>
      <c r="Y16" s="119">
        <f ca="1">+X16*equityP</f>
        <v>0.20113223245442952</v>
      </c>
      <c r="Z16" s="119">
        <f ca="1">+Y16/(1-taxrate)</f>
        <v>0.25459776260054368</v>
      </c>
      <c r="AA16" s="119">
        <f>debtP*Debt_Rate</f>
        <v>2.6000000000000002E-2</v>
      </c>
      <c r="AB16" s="119">
        <f ca="1">+AA16+Z16</f>
        <v>0.2805977626005437</v>
      </c>
      <c r="AC16" s="119">
        <f ca="1">+AB16/(S16/100)</f>
        <v>5.4793806286132694E-2</v>
      </c>
      <c r="AD16" s="119">
        <f ca="1">1-AC16</f>
        <v>0.94520619371386727</v>
      </c>
      <c r="AE16" s="120">
        <f ca="1">expenses/(AD16)</f>
        <v>240944.32457376173</v>
      </c>
      <c r="AF16" s="121">
        <f ca="1">+AE16-Revenue</f>
        <v>119609.92457376172</v>
      </c>
      <c r="AG16" s="122">
        <f ca="1">+AF16/$J$49</f>
        <v>129295.0141492196</v>
      </c>
      <c r="AH16" s="122">
        <f ca="1">+AG16*$J$47</f>
        <v>2922.0673197723631</v>
      </c>
      <c r="AI16" s="120">
        <f ca="1">ROUND(+AH16+AE16,5)</f>
        <v>243866.39189</v>
      </c>
    </row>
    <row r="17" spans="1:35" ht="15.75">
      <c r="A17" s="43"/>
      <c r="B17" s="563"/>
      <c r="C17" s="562"/>
      <c r="D17" s="43" t="s">
        <v>102</v>
      </c>
      <c r="E17" s="43"/>
      <c r="F17" s="142">
        <f t="shared" si="0"/>
        <v>11</v>
      </c>
      <c r="G17" s="72"/>
      <c r="H17" s="184"/>
      <c r="I17" s="184"/>
      <c r="J17" s="173"/>
      <c r="K17" s="184"/>
      <c r="L17" s="180"/>
      <c r="M17" s="180"/>
      <c r="N17" s="83"/>
      <c r="O17" s="43"/>
      <c r="P17" s="43"/>
      <c r="R17" s="35">
        <v>2</v>
      </c>
      <c r="S17" s="123">
        <f ca="1">AI12/Investment*100</f>
        <v>511.6216070472089</v>
      </c>
      <c r="T17" s="34">
        <f ca="1">EXP(y_inter2-(slope*LN(+S17)))</f>
        <v>4.2368499459296798</v>
      </c>
      <c r="U17" s="4">
        <f ca="1">(+S17*T17/100)/100</f>
        <v>0.21676639781544227</v>
      </c>
      <c r="V17" s="4">
        <f>regDebt_weighted</f>
        <v>3.5860000000000003E-2</v>
      </c>
      <c r="W17" s="4">
        <f ca="1">+U17-V17</f>
        <v>0.18090639781544227</v>
      </c>
      <c r="X17" s="4">
        <f ca="1">+((W17*(1-0.34))-Pfd_weighted)/Equity_percent</f>
        <v>0.32909367022730202</v>
      </c>
      <c r="Y17" s="4">
        <f ca="1">+X17*equityP</f>
        <v>0.19745620213638121</v>
      </c>
      <c r="Z17" s="4">
        <f ca="1">+Y17/(1-taxrate)</f>
        <v>0.24994455966630533</v>
      </c>
      <c r="AA17" s="4">
        <f>debtP*Debt_Rate</f>
        <v>2.6000000000000002E-2</v>
      </c>
      <c r="AB17" s="4">
        <f ca="1">+AA17+Z17</f>
        <v>0.27594455966630532</v>
      </c>
      <c r="AC17" s="4">
        <f ca="1">+AB17/(S17/100)</f>
        <v>5.393528261226134E-2</v>
      </c>
      <c r="AD17" s="4">
        <f ca="1">1-AC17</f>
        <v>0.94606471738773867</v>
      </c>
      <c r="AE17" s="124">
        <f ca="1">expenses/(AD17)</f>
        <v>240725.67525418589</v>
      </c>
      <c r="AF17" s="125">
        <f ca="1">+AE17-Revenue</f>
        <v>119391.27525418588</v>
      </c>
      <c r="AG17" s="126">
        <f ca="1">+AF17/$J$49</f>
        <v>129058.66029339185</v>
      </c>
      <c r="AH17" s="126">
        <f ca="1">+AG17*$J$47</f>
        <v>2916.725722630656</v>
      </c>
      <c r="AI17" s="124">
        <f ca="1">ROUND(+AH17+AE17,5)</f>
        <v>243642.40098000001</v>
      </c>
    </row>
    <row r="18" spans="1:35" ht="15.75">
      <c r="A18" s="43"/>
      <c r="B18" s="556" t="s">
        <v>125</v>
      </c>
      <c r="C18" s="556"/>
      <c r="D18" s="43"/>
      <c r="E18" s="43"/>
      <c r="F18" s="142">
        <f t="shared" si="0"/>
        <v>12</v>
      </c>
      <c r="G18" s="72"/>
      <c r="H18" s="185" t="s">
        <v>83</v>
      </c>
      <c r="I18" s="186"/>
      <c r="J18" s="186"/>
      <c r="K18" s="186"/>
      <c r="L18" s="186"/>
      <c r="M18" s="187"/>
      <c r="N18" s="173"/>
      <c r="O18" s="43"/>
      <c r="P18" s="43"/>
      <c r="R18" s="5">
        <v>3</v>
      </c>
      <c r="S18" s="123">
        <f ca="1">AI13/Investment*100</f>
        <v>511.30146784578329</v>
      </c>
      <c r="T18" s="6">
        <f ca="1">EXP(y_inter3-(slope*LN(S18)))</f>
        <v>4.1974533054423011</v>
      </c>
      <c r="U18" s="4">
        <f ca="1">(+S18*T18/100)/100</f>
        <v>0.21461640362867831</v>
      </c>
      <c r="V18" s="4">
        <f>regDebt_weighted</f>
        <v>3.5860000000000003E-2</v>
      </c>
      <c r="W18" s="4">
        <f ca="1">+U18-V18</f>
        <v>0.17875640362867831</v>
      </c>
      <c r="X18" s="4">
        <f ca="1">+((W18*(1-0.34))-Pfd_weighted)/Equity_percent</f>
        <v>0.3249686813806037</v>
      </c>
      <c r="Y18" s="4">
        <f ca="1">+X18*equityP</f>
        <v>0.1949812088283622</v>
      </c>
      <c r="Z18" s="4">
        <f ca="1">+Y18/(1-taxrate)</f>
        <v>0.24681165674476227</v>
      </c>
      <c r="AA18" s="4">
        <f>debtP*Debt_Rate</f>
        <v>2.6000000000000002E-2</v>
      </c>
      <c r="AB18" s="4">
        <f ca="1">+AA18+Z18</f>
        <v>0.27281165674476227</v>
      </c>
      <c r="AC18" s="4">
        <f ca="1">+AB18/(S18/100)</f>
        <v>5.3356321837716027E-2</v>
      </c>
      <c r="AD18" s="4">
        <f ca="1">1-AC18</f>
        <v>0.94664367816228401</v>
      </c>
      <c r="AE18" s="124">
        <f ca="1">expenses/(AD18)</f>
        <v>240578.44908386099</v>
      </c>
      <c r="AF18" s="125">
        <f ca="1">+AE18-Revenue</f>
        <v>119244.04908386098</v>
      </c>
      <c r="AG18" s="126">
        <f ca="1">+AF18/$J$49</f>
        <v>128899.51288281428</v>
      </c>
      <c r="AH18" s="126">
        <f ca="1">+AG18*$J$47</f>
        <v>2913.1289911516028</v>
      </c>
      <c r="AI18" s="124">
        <f ca="1">ROUND(+AH18+AE18,5)</f>
        <v>243491.57808000001</v>
      </c>
    </row>
    <row r="19" spans="1:35" ht="16.5" thickBot="1">
      <c r="A19" s="43"/>
      <c r="B19" s="43"/>
      <c r="C19" s="43"/>
      <c r="D19" s="43"/>
      <c r="E19" s="43"/>
      <c r="F19" s="142">
        <f t="shared" si="0"/>
        <v>13</v>
      </c>
      <c r="G19" s="72"/>
      <c r="H19" s="188"/>
      <c r="I19" s="174" t="s">
        <v>122</v>
      </c>
      <c r="J19" s="175">
        <f>+Revenue</f>
        <v>121334.40000000001</v>
      </c>
      <c r="K19" s="176"/>
      <c r="L19" s="174" t="s">
        <v>126</v>
      </c>
      <c r="M19" s="189">
        <f ca="1">+J7</f>
        <v>119138.29225532057</v>
      </c>
      <c r="O19" s="43"/>
      <c r="P19" s="43"/>
      <c r="R19" s="7">
        <v>4</v>
      </c>
      <c r="S19" s="123">
        <f ca="1">AI14/Investment*100</f>
        <v>511.09689214565356</v>
      </c>
      <c r="T19" s="8">
        <f ca="1">EXP(y_inter4-(slope*LN(S19)))</f>
        <v>4.1722338255658826</v>
      </c>
      <c r="U19" s="4">
        <f ca="1">(+S19*T19/100)/100</f>
        <v>0.21324157415516931</v>
      </c>
      <c r="V19" s="4">
        <f>regDebt_weighted</f>
        <v>3.5860000000000003E-2</v>
      </c>
      <c r="W19" s="4">
        <f ca="1">+U19-V19</f>
        <v>0.17738157415516931</v>
      </c>
      <c r="X19" s="4">
        <f ca="1">+((W19*(1-0.34))-Pfd_weighted)/Equity_percent</f>
        <v>0.32233092715817363</v>
      </c>
      <c r="Y19" s="4">
        <f ca="1">+X19*equityP</f>
        <v>0.19339855629490418</v>
      </c>
      <c r="Z19" s="4">
        <f ca="1">+Y19/(1-taxrate)</f>
        <v>0.24480829910747365</v>
      </c>
      <c r="AA19" s="4">
        <f>debtP*Debt_Rate</f>
        <v>2.6000000000000002E-2</v>
      </c>
      <c r="AB19" s="4">
        <f ca="1">+AA19+Z19</f>
        <v>0.27080829910747367</v>
      </c>
      <c r="AC19" s="4">
        <f ca="1">+AB19/(S19/100)</f>
        <v>5.2985706481325674E-2</v>
      </c>
      <c r="AD19" s="4">
        <f ca="1">1-AC19</f>
        <v>0.94701429351867428</v>
      </c>
      <c r="AE19" s="124">
        <f ca="1">expenses/(AD19)</f>
        <v>240484.29837435504</v>
      </c>
      <c r="AF19" s="125">
        <f ca="1">+AE19-Revenue</f>
        <v>119149.89837435503</v>
      </c>
      <c r="AG19" s="126">
        <f ca="1">+AF19/$J$49</f>
        <v>128797.7385746947</v>
      </c>
      <c r="AH19" s="126">
        <f ca="1">+AG19*$J$47</f>
        <v>2910.8288917881005</v>
      </c>
      <c r="AI19" s="124">
        <f ca="1">ROUND(+AH19+AE19,5)</f>
        <v>243395.12727</v>
      </c>
    </row>
    <row r="20" spans="1:35" ht="15.75">
      <c r="A20" s="43"/>
      <c r="B20" s="115"/>
      <c r="C20" s="43"/>
      <c r="D20" s="43"/>
      <c r="E20" s="43"/>
      <c r="F20" s="142">
        <f t="shared" si="0"/>
        <v>14</v>
      </c>
      <c r="G20" s="72"/>
      <c r="H20" s="188"/>
      <c r="I20" s="174" t="s">
        <v>42</v>
      </c>
      <c r="J20" s="175">
        <f ca="1">+J21-J19</f>
        <v>122048.83760992509</v>
      </c>
      <c r="K20" s="176"/>
      <c r="L20" s="174" t="s">
        <v>41</v>
      </c>
      <c r="M20" s="175">
        <f ca="1">+L8</f>
        <v>2910.5453546045319</v>
      </c>
      <c r="N20" s="482" t="s">
        <v>103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2">
        <f t="shared" si="0"/>
        <v>15</v>
      </c>
      <c r="G21" s="72"/>
      <c r="H21" s="188"/>
      <c r="I21" s="190" t="s">
        <v>83</v>
      </c>
      <c r="J21" s="191">
        <f ca="1">+M7</f>
        <v>243383.2376099251</v>
      </c>
      <c r="K21" s="177"/>
      <c r="L21" s="190" t="s">
        <v>42</v>
      </c>
      <c r="M21" s="191">
        <f ca="1">+M19+M20</f>
        <v>122048.8376099251</v>
      </c>
      <c r="N21" s="483">
        <f ca="1">M21+'Garbage LG 2019 '!M21</f>
        <v>14438.336477869816</v>
      </c>
      <c r="O21" s="43"/>
      <c r="P21" s="43"/>
      <c r="R21" s="3">
        <v>1</v>
      </c>
      <c r="S21" s="117">
        <f ca="1">AI16/Investment*100</f>
        <v>512.74872040849243</v>
      </c>
      <c r="T21" s="118">
        <f ca="1">EXP(y_inter1-(slope*LN(+S21)))</f>
        <v>4.2915396991842076</v>
      </c>
      <c r="U21" s="119">
        <f ca="1">(+S21*T21/100)/100</f>
        <v>0.2200481489338949</v>
      </c>
      <c r="V21" s="119">
        <f>regDebt_weighted</f>
        <v>3.5860000000000003E-2</v>
      </c>
      <c r="W21" s="119">
        <f ca="1">+U21-V21</f>
        <v>0.1841881489338949</v>
      </c>
      <c r="X21" s="119">
        <f ca="1">+((W21*(1-0.34))-Pfd_weighted)/Equity_percent</f>
        <v>0.33539005318712389</v>
      </c>
      <c r="Y21" s="119">
        <f ca="1">+X21*equityP</f>
        <v>0.20123403191227432</v>
      </c>
      <c r="Z21" s="119">
        <f ca="1">+Y21/(1-taxrate)</f>
        <v>0.25472662267376495</v>
      </c>
      <c r="AA21" s="119">
        <f>debtP*Debt_Rate</f>
        <v>2.6000000000000002E-2</v>
      </c>
      <c r="AB21" s="119">
        <f ca="1">+AA21+Z21</f>
        <v>0.28072662267376497</v>
      </c>
      <c r="AC21" s="119">
        <f ca="1">+AB21/(S21/100)</f>
        <v>5.4749356068625188E-2</v>
      </c>
      <c r="AD21" s="119">
        <f ca="1">1-AC21</f>
        <v>0.94525064393137481</v>
      </c>
      <c r="AE21" s="120">
        <f ca="1">expenses/(AD21)</f>
        <v>240932.99421635518</v>
      </c>
      <c r="AF21" s="121">
        <f ca="1">+AE21-Revenue</f>
        <v>119598.59421635517</v>
      </c>
      <c r="AG21" s="122">
        <f ca="1">+AF21/$J$49</f>
        <v>129282.76634682014</v>
      </c>
      <c r="AH21" s="122">
        <f ca="1">+AG21*$J$47</f>
        <v>2921.7905194381351</v>
      </c>
      <c r="AI21" s="120">
        <f ca="1">ROUND(+AH21+AE21,5)</f>
        <v>243854.78474</v>
      </c>
    </row>
    <row r="22" spans="1:35" ht="16.5" thickTop="1">
      <c r="A22" s="43"/>
      <c r="B22" s="43" t="s">
        <v>109</v>
      </c>
      <c r="C22" s="43"/>
      <c r="D22" s="43"/>
      <c r="E22" s="43"/>
      <c r="F22" s="142">
        <f t="shared" si="0"/>
        <v>16</v>
      </c>
      <c r="G22" s="72"/>
      <c r="H22" s="192"/>
      <c r="I22" s="193"/>
      <c r="J22" s="389" t="s">
        <v>347</v>
      </c>
      <c r="K22" s="388">
        <f ca="1">+(J21/J19)-1</f>
        <v>1.0058881702956874</v>
      </c>
      <c r="L22" s="193"/>
      <c r="M22" s="193"/>
      <c r="N22" s="489"/>
      <c r="O22" s="43"/>
      <c r="P22" s="43"/>
      <c r="R22" s="35">
        <v>2</v>
      </c>
      <c r="S22" s="123">
        <f ca="1">AI17/Investment*100</f>
        <v>512.27776148875148</v>
      </c>
      <c r="T22" s="34">
        <f ca="1">EXP(y_inter2-(slope*LN(+S22)))</f>
        <v>4.2331390549218897</v>
      </c>
      <c r="U22" s="4">
        <f ca="1">(+S22*T22/100)/100</f>
        <v>0.21685429991259947</v>
      </c>
      <c r="V22" s="4">
        <f>regDebt_weighted</f>
        <v>3.5860000000000003E-2</v>
      </c>
      <c r="W22" s="4">
        <f ca="1">+U22-V22</f>
        <v>0.18099429991259947</v>
      </c>
      <c r="X22" s="4">
        <f ca="1">+((W22*(1-0.34))-Pfd_weighted)/Equity_percent</f>
        <v>0.32926231959975477</v>
      </c>
      <c r="Y22" s="4">
        <f ca="1">+X22*equityP</f>
        <v>0.19755739175985285</v>
      </c>
      <c r="Z22" s="4">
        <f ca="1">+Y22/(1-taxrate)</f>
        <v>0.25007264779728205</v>
      </c>
      <c r="AA22" s="4">
        <f>debtP*Debt_Rate</f>
        <v>2.6000000000000002E-2</v>
      </c>
      <c r="AB22" s="4">
        <f ca="1">+AA22+Z22</f>
        <v>0.27607264779728208</v>
      </c>
      <c r="AC22" s="4">
        <f ca="1">+AB22/(S22/100)</f>
        <v>5.3891202888639168E-2</v>
      </c>
      <c r="AD22" s="4">
        <f ca="1">1-AC22</f>
        <v>0.94610879711136087</v>
      </c>
      <c r="AE22" s="124">
        <f ca="1">expenses/(AD22)</f>
        <v>240714.45971400026</v>
      </c>
      <c r="AF22" s="125">
        <f ca="1">+AE22-Revenue</f>
        <v>119380.05971400025</v>
      </c>
      <c r="AG22" s="126">
        <f ca="1">+AF22/$J$49</f>
        <v>129046.53660522668</v>
      </c>
      <c r="AH22" s="126">
        <f ca="1">+AG22*$J$47</f>
        <v>2916.4517272781231</v>
      </c>
      <c r="AI22" s="124">
        <f ca="1">ROUND(+AH22+AE22,5)</f>
        <v>243630.91144</v>
      </c>
    </row>
    <row r="23" spans="1:35" ht="15.75">
      <c r="A23" s="43"/>
      <c r="B23" s="43" t="s">
        <v>108</v>
      </c>
      <c r="C23" s="43"/>
      <c r="D23" s="43"/>
      <c r="E23" s="43"/>
      <c r="F23" s="142">
        <f t="shared" si="0"/>
        <v>17</v>
      </c>
      <c r="H23" s="72"/>
      <c r="I23" s="72"/>
      <c r="J23" s="72"/>
      <c r="K23" s="72"/>
      <c r="L23" s="72"/>
      <c r="M23" s="72"/>
      <c r="N23" s="489"/>
      <c r="O23" s="43"/>
      <c r="P23" s="43"/>
      <c r="R23" s="5">
        <v>3</v>
      </c>
      <c r="S23" s="123">
        <f ca="1">AI18/Investment*100</f>
        <v>511.96064420012488</v>
      </c>
      <c r="T23" s="6">
        <f ca="1">EXP(y_inter3-(slope*LN(S23)))</f>
        <v>4.1937576972329014</v>
      </c>
      <c r="U23" s="4">
        <f ca="1">(+S23*T23/100)/100</f>
        <v>0.21470388922945888</v>
      </c>
      <c r="V23" s="4">
        <f>regDebt_weighted</f>
        <v>3.5860000000000003E-2</v>
      </c>
      <c r="W23" s="4">
        <f ca="1">+U23-V23</f>
        <v>0.17884388922945887</v>
      </c>
      <c r="X23" s="4">
        <f ca="1">+((W23*(1-0.34))-Pfd_weighted)/Equity_percent</f>
        <v>0.32513653166117107</v>
      </c>
      <c r="Y23" s="4">
        <f ca="1">+X23*equityP</f>
        <v>0.19508191899670263</v>
      </c>
      <c r="Z23" s="4">
        <f ca="1">+Y23/(1-taxrate)</f>
        <v>0.24693913797050965</v>
      </c>
      <c r="AA23" s="4">
        <f>debtP*Debt_Rate</f>
        <v>2.6000000000000002E-2</v>
      </c>
      <c r="AB23" s="4">
        <f ca="1">+AA23+Z23</f>
        <v>0.27293913797050967</v>
      </c>
      <c r="AC23" s="4">
        <f ca="1">+AB23/(S23/100)</f>
        <v>5.3312523347755228E-2</v>
      </c>
      <c r="AD23" s="4">
        <f ca="1">1-AC23</f>
        <v>0.94668747665224473</v>
      </c>
      <c r="AE23" s="124">
        <f ca="1">expenses/(AD23)</f>
        <v>240567.31872347611</v>
      </c>
      <c r="AF23" s="125">
        <f ca="1">+AE23-Revenue</f>
        <v>119232.9187234761</v>
      </c>
      <c r="AG23" s="126">
        <f ca="1">+AF23/$J$49</f>
        <v>128887.48127165344</v>
      </c>
      <c r="AH23" s="126">
        <f ca="1">+AG23*$J$47</f>
        <v>2912.857076739368</v>
      </c>
      <c r="AI23" s="124">
        <f ca="1">ROUND(+AH23+AE23,5)</f>
        <v>243480.1758</v>
      </c>
    </row>
    <row r="24" spans="1:35" ht="15.75">
      <c r="A24" s="43"/>
      <c r="B24" s="43" t="s">
        <v>110</v>
      </c>
      <c r="C24" s="43"/>
      <c r="D24" s="43"/>
      <c r="E24" s="43"/>
      <c r="F24" s="142">
        <f t="shared" si="0"/>
        <v>18</v>
      </c>
      <c r="H24" s="100"/>
      <c r="J24" s="145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511.75784860772461</v>
      </c>
      <c r="T24" s="8">
        <f ca="1">EXP(y_inter4-(slope*LN(S24)))</f>
        <v>4.1685490396444722</v>
      </c>
      <c r="U24" s="4">
        <f ca="1">(+S24*T24/100)/100</f>
        <v>0.2133287688344252</v>
      </c>
      <c r="V24" s="4">
        <f>regDebt_weighted</f>
        <v>3.5860000000000003E-2</v>
      </c>
      <c r="W24" s="4">
        <f ca="1">+U24-V24</f>
        <v>0.17746876883442519</v>
      </c>
      <c r="X24" s="4">
        <f ca="1">+((W24*(1-0.34))-Pfd_weighted)/Equity_percent</f>
        <v>0.32249821927535066</v>
      </c>
      <c r="Y24" s="4">
        <f ca="1">+X24*equityP</f>
        <v>0.19349893156521039</v>
      </c>
      <c r="Z24" s="4">
        <f ca="1">+Y24/(1-taxrate)</f>
        <v>0.2449353564116587</v>
      </c>
      <c r="AA24" s="4">
        <f>debtP*Debt_Rate</f>
        <v>2.6000000000000002E-2</v>
      </c>
      <c r="AB24" s="4">
        <f ca="1">+AA24+Z24</f>
        <v>0.27093535641165872</v>
      </c>
      <c r="AC24" s="4">
        <f ca="1">+AB24/(S24/100)</f>
        <v>5.2942100868361583E-2</v>
      </c>
      <c r="AD24" s="4">
        <f ca="1">1-AC24</f>
        <v>0.9470578991316384</v>
      </c>
      <c r="AE24" s="124">
        <f ca="1">expenses/(AD24)</f>
        <v>240473.22569838827</v>
      </c>
      <c r="AF24" s="125">
        <f ca="1">+AE24-Revenue</f>
        <v>119138.82569838826</v>
      </c>
      <c r="AG24" s="126">
        <f ca="1">+AF24/$J$49</f>
        <v>128785.76931879143</v>
      </c>
      <c r="AH24" s="126">
        <f ca="1">+AG24*$J$47</f>
        <v>2910.5583866046863</v>
      </c>
      <c r="AI24" s="124">
        <f ca="1">ROUND(+AH24+AE24,5)</f>
        <v>243383.78408000001</v>
      </c>
    </row>
    <row r="25" spans="1:35" ht="15.75">
      <c r="A25" s="43"/>
      <c r="B25" s="43" t="s">
        <v>111</v>
      </c>
      <c r="C25" s="43"/>
      <c r="D25" s="43"/>
      <c r="E25" s="43"/>
      <c r="F25" s="142">
        <f t="shared" si="0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2">
        <f t="shared" si="0"/>
        <v>20</v>
      </c>
      <c r="H26" s="79" t="s">
        <v>27</v>
      </c>
      <c r="I26" s="88">
        <f>1-I27</f>
        <v>0.6</v>
      </c>
      <c r="J26" s="87">
        <f>+I26*J28</f>
        <v>28536.362805046323</v>
      </c>
      <c r="K26" s="83">
        <f ca="1">+K34</f>
        <v>0.31820097260206898</v>
      </c>
      <c r="L26" s="88">
        <f ca="1">+K26*I26</f>
        <v>0.19092058356124139</v>
      </c>
      <c r="M26" s="80">
        <f ca="1">+J26*K26</f>
        <v>9080.2983990912453</v>
      </c>
      <c r="O26" s="43"/>
      <c r="P26" s="43"/>
      <c r="R26" s="3">
        <v>1</v>
      </c>
      <c r="S26" s="117">
        <f ca="1">AI21/Investment*100</f>
        <v>512.72431544123162</v>
      </c>
      <c r="T26" s="118">
        <f ca="1">EXP(y_inter1-(slope*LN(+S26)))</f>
        <v>4.2916793523237251</v>
      </c>
      <c r="U26" s="119">
        <f ca="1">(+S26*T26/100)/100</f>
        <v>0.22004483580134501</v>
      </c>
      <c r="V26" s="119">
        <f>regDebt_weighted</f>
        <v>3.5860000000000003E-2</v>
      </c>
      <c r="W26" s="119">
        <f ca="1">+U26-V26</f>
        <v>0.18418483580134501</v>
      </c>
      <c r="X26" s="119">
        <f ca="1">+((W26*(1-0.34))-Pfd_weighted)/Equity_percent</f>
        <v>0.33538369659560374</v>
      </c>
      <c r="Y26" s="119">
        <f ca="1">+X26*equityP</f>
        <v>0.20123021795736223</v>
      </c>
      <c r="Z26" s="119">
        <f ca="1">+Y26/(1-taxrate)</f>
        <v>0.254721794882737</v>
      </c>
      <c r="AA26" s="119">
        <f>debtP*Debt_Rate</f>
        <v>2.6000000000000002E-2</v>
      </c>
      <c r="AB26" s="119">
        <f ca="1">+AA26+Z26</f>
        <v>0.28072179488273702</v>
      </c>
      <c r="AC26" s="119">
        <f ca="1">+AB26/(S26/100)</f>
        <v>5.4751020466263282E-2</v>
      </c>
      <c r="AD26" s="119">
        <f ca="1">1-AC26</f>
        <v>0.94524897953373677</v>
      </c>
      <c r="AE26" s="120">
        <f ca="1">expenses/(AD26)</f>
        <v>240933.41845199591</v>
      </c>
      <c r="AF26" s="121">
        <f ca="1">+AE26-Revenue</f>
        <v>119599.0184519959</v>
      </c>
      <c r="AG26" s="122">
        <f ca="1">+AF26/$J$49</f>
        <v>129283.22493379246</v>
      </c>
      <c r="AH26" s="122">
        <f ca="1">+AG26*$J$47</f>
        <v>2921.8008835037099</v>
      </c>
      <c r="AI26" s="120">
        <f ca="1">ROUND(+AH26+AE26,5)</f>
        <v>243855.21934000001</v>
      </c>
    </row>
    <row r="27" spans="1:35" ht="15.75">
      <c r="A27" s="43"/>
      <c r="B27" s="43"/>
      <c r="C27" s="43"/>
      <c r="D27" s="43"/>
      <c r="E27" s="43"/>
      <c r="F27" s="142">
        <f t="shared" si="0"/>
        <v>21</v>
      </c>
      <c r="H27" s="79" t="s">
        <v>29</v>
      </c>
      <c r="I27" s="88">
        <f>IF(A65=TRUE,C8,0)</f>
        <v>0.4</v>
      </c>
      <c r="J27" s="90">
        <f>+I27*J28</f>
        <v>19024.241870030884</v>
      </c>
      <c r="K27" s="83">
        <f>IF(A65=TRUE,C9,0)</f>
        <v>6.5000000000000002E-2</v>
      </c>
      <c r="L27" s="88">
        <f>+K27*I27</f>
        <v>2.6000000000000002E-2</v>
      </c>
      <c r="M27" s="105">
        <f>+K27*J27</f>
        <v>1236.5757215520075</v>
      </c>
      <c r="O27" s="43"/>
      <c r="P27" s="43"/>
      <c r="R27" s="35">
        <v>2</v>
      </c>
      <c r="S27" s="123">
        <f ca="1">AI22/Investment*100</f>
        <v>512.2536038059834</v>
      </c>
      <c r="T27" s="34">
        <f ca="1">EXP(y_inter2-(slope*LN(+S27)))</f>
        <v>4.2332755371394146</v>
      </c>
      <c r="U27" s="4">
        <f ca="1">(+S27*T27/100)/100</f>
        <v>0.21685106498033752</v>
      </c>
      <c r="V27" s="4">
        <f>regDebt_weighted</f>
        <v>3.5860000000000003E-2</v>
      </c>
      <c r="W27" s="4">
        <f ca="1">+U27-V27</f>
        <v>0.18099106498033751</v>
      </c>
      <c r="X27" s="4">
        <f ca="1">+((W27*(1-0.34))-Pfd_weighted)/Equity_percent</f>
        <v>0.32925611304367075</v>
      </c>
      <c r="Y27" s="4">
        <f ca="1">+X27*equityP</f>
        <v>0.19755366782620246</v>
      </c>
      <c r="Z27" s="4">
        <f ca="1">+Y27/(1-taxrate)</f>
        <v>0.25006793395721827</v>
      </c>
      <c r="AA27" s="4">
        <f>debtP*Debt_Rate</f>
        <v>2.6000000000000002E-2</v>
      </c>
      <c r="AB27" s="4">
        <f ca="1">+AA27+Z27</f>
        <v>0.27606793395721829</v>
      </c>
      <c r="AC27" s="4">
        <f ca="1">+AB27/(S27/100)</f>
        <v>5.3892824160936374E-2</v>
      </c>
      <c r="AD27" s="4">
        <f ca="1">1-AC27</f>
        <v>0.94610717583906367</v>
      </c>
      <c r="AE27" s="124">
        <f ca="1">expenses/(AD27)</f>
        <v>240714.87220816058</v>
      </c>
      <c r="AF27" s="125">
        <f ca="1">+AE27-Revenue</f>
        <v>119380.47220816057</v>
      </c>
      <c r="AG27" s="126">
        <f ca="1">+AF27/$J$49</f>
        <v>129046.98249998403</v>
      </c>
      <c r="AH27" s="126">
        <f ca="1">+AG27*$J$47</f>
        <v>2916.4618044996396</v>
      </c>
      <c r="AI27" s="124">
        <f ca="1">ROUND(+AH27+AE27,5)</f>
        <v>243631.33400999999</v>
      </c>
    </row>
    <row r="28" spans="1:35" ht="16.5" thickBot="1">
      <c r="A28" s="43"/>
      <c r="B28" s="43"/>
      <c r="C28" s="43"/>
      <c r="D28" s="43"/>
      <c r="E28" s="43"/>
      <c r="F28" s="142">
        <f t="shared" si="0"/>
        <v>22</v>
      </c>
      <c r="H28" s="79" t="s">
        <v>103</v>
      </c>
      <c r="I28" s="91">
        <f>SUM(I26:I27)</f>
        <v>1</v>
      </c>
      <c r="J28" s="136">
        <f>IF(A65=TRUE,C7,0)</f>
        <v>47560.604675077208</v>
      </c>
      <c r="K28" s="144"/>
      <c r="L28" s="143">
        <f ca="1">SUM(L26:L27)</f>
        <v>0.21692058356124139</v>
      </c>
      <c r="M28" s="136">
        <f ca="1">SUM(M26:M27)</f>
        <v>10316.874120643253</v>
      </c>
      <c r="O28" s="43"/>
      <c r="P28" s="43"/>
      <c r="R28" s="5">
        <v>3</v>
      </c>
      <c r="S28" s="123">
        <f ca="1">AI23/Investment*100</f>
        <v>511.93666998853126</v>
      </c>
      <c r="T28" s="6">
        <f ca="1">EXP(y_inter3-(slope*LN(S28)))</f>
        <v>4.1938919659180094</v>
      </c>
      <c r="U28" s="4">
        <f ca="1">(+S28*T28/100)/100</f>
        <v>0.21470070873237204</v>
      </c>
      <c r="V28" s="4">
        <f>regDebt_weighted</f>
        <v>3.5860000000000003E-2</v>
      </c>
      <c r="W28" s="4">
        <f ca="1">+U28-V28</f>
        <v>0.17884070873237204</v>
      </c>
      <c r="X28" s="4">
        <f ca="1">+((W28*(1-0.34))-Pfd_weighted)/Equity_percent</f>
        <v>0.32513042954466725</v>
      </c>
      <c r="Y28" s="4">
        <f ca="1">+X28*equityP</f>
        <v>0.19507825772680035</v>
      </c>
      <c r="Z28" s="4">
        <f ca="1">+Y28/(1-taxrate)</f>
        <v>0.246934503451646</v>
      </c>
      <c r="AA28" s="4">
        <f>debtP*Debt_Rate</f>
        <v>2.6000000000000002E-2</v>
      </c>
      <c r="AB28" s="4">
        <f ca="1">+AA28+Z28</f>
        <v>0.27293450345164599</v>
      </c>
      <c r="AC28" s="4">
        <f ca="1">+AB28/(S28/100)</f>
        <v>5.3314114704414599E-2</v>
      </c>
      <c r="AD28" s="4">
        <f ca="1">1-AC28</f>
        <v>0.94668588529558539</v>
      </c>
      <c r="AE28" s="124">
        <f ca="1">expenses/(AD28)</f>
        <v>240567.7231114686</v>
      </c>
      <c r="AF28" s="125">
        <f ca="1">+AE28-Revenue</f>
        <v>119233.32311146859</v>
      </c>
      <c r="AG28" s="126">
        <f ca="1">+AF28/$J$49</f>
        <v>128887.91840386798</v>
      </c>
      <c r="AH28" s="126">
        <f ca="1">+AG28*$J$47</f>
        <v>2912.8669559274167</v>
      </c>
      <c r="AI28" s="124">
        <f ca="1">ROUND(+AH28+AE28,5)</f>
        <v>243480.59007000001</v>
      </c>
    </row>
    <row r="29" spans="1:35" ht="16.5" thickTop="1">
      <c r="A29" s="43"/>
      <c r="B29" s="43"/>
      <c r="C29" s="43"/>
      <c r="D29" s="43"/>
      <c r="E29" s="43"/>
      <c r="F29" s="142">
        <f t="shared" si="0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511.73399863761279</v>
      </c>
      <c r="T29" s="8">
        <f ca="1">EXP(y_inter4-(slope*LN(S29)))</f>
        <v>4.1686818621915576</v>
      </c>
      <c r="U29" s="4">
        <f ca="1">(+S29*T29/100)/100</f>
        <v>0.21332562383873757</v>
      </c>
      <c r="V29" s="4">
        <f>regDebt_weighted</f>
        <v>3.5860000000000003E-2</v>
      </c>
      <c r="W29" s="4">
        <f ca="1">+U29-V29</f>
        <v>0.17746562383873757</v>
      </c>
      <c r="X29" s="4">
        <f ca="1">+((W29*(1-0.34))-Pfd_weighted)/Equity_percent</f>
        <v>0.32249218527199647</v>
      </c>
      <c r="Y29" s="4">
        <f ca="1">+X29*equityP</f>
        <v>0.19349531116319788</v>
      </c>
      <c r="Z29" s="4">
        <f ca="1">+Y29/(1-taxrate)</f>
        <v>0.2449307736243011</v>
      </c>
      <c r="AA29" s="4">
        <f>debtP*Debt_Rate</f>
        <v>2.6000000000000002E-2</v>
      </c>
      <c r="AB29" s="4">
        <f ca="1">+AA29+Z29</f>
        <v>0.27093077362430112</v>
      </c>
      <c r="AC29" s="4">
        <f ca="1">+AB29/(S29/100)</f>
        <v>5.2943672756861758E-2</v>
      </c>
      <c r="AD29" s="4">
        <f ca="1">1-AC29</f>
        <v>0.94705632724313826</v>
      </c>
      <c r="AE29" s="124">
        <f ca="1">expenses/(AD29)</f>
        <v>240473.62482681093</v>
      </c>
      <c r="AF29" s="125">
        <f ca="1">+AE29-Revenue</f>
        <v>119139.22482681093</v>
      </c>
      <c r="AG29" s="126">
        <f ca="1">+AF29/$J$49</f>
        <v>128786.20076555673</v>
      </c>
      <c r="AH29" s="126">
        <f ca="1">+AG29*$J$47</f>
        <v>2910.5681373015823</v>
      </c>
      <c r="AI29" s="124">
        <f ca="1">ROUND(+AH29+AE29,5)</f>
        <v>243384.19295999999</v>
      </c>
    </row>
    <row r="30" spans="1:35" ht="15.75">
      <c r="A30" s="43"/>
      <c r="B30" s="43"/>
      <c r="C30" s="43"/>
      <c r="D30" s="43"/>
      <c r="E30" s="43"/>
      <c r="F30" s="142">
        <f t="shared" si="0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2">
        <f t="shared" si="0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512.7252292227173</v>
      </c>
      <c r="T31" s="118">
        <f ca="1">EXP(y_inter1-(slope*LN(+S31)))</f>
        <v>4.2916741231679616</v>
      </c>
      <c r="U31" s="119">
        <f ca="1">(+S31*T31/100)/100</f>
        <v>0.22004495985504974</v>
      </c>
      <c r="V31" s="119">
        <f>regDebt_weighted</f>
        <v>3.5860000000000003E-2</v>
      </c>
      <c r="W31" s="119">
        <f ca="1">+U31-V31</f>
        <v>0.18418495985504973</v>
      </c>
      <c r="X31" s="119">
        <f ca="1">+((W31*(1-0.34))-Pfd_weighted)/Equity_percent</f>
        <v>0.33538393460561866</v>
      </c>
      <c r="Y31" s="119">
        <f ca="1">+X31*equityP</f>
        <v>0.2012303607633712</v>
      </c>
      <c r="Z31" s="119">
        <f ca="1">+Y31/(1-taxrate)</f>
        <v>0.25472197564983695</v>
      </c>
      <c r="AA31" s="119">
        <f>debtP*Debt_Rate</f>
        <v>2.6000000000000002E-2</v>
      </c>
      <c r="AB31" s="119">
        <f ca="1">+AA31+Z31</f>
        <v>0.28072197564983697</v>
      </c>
      <c r="AC31" s="119">
        <f ca="1">+AB31/(S31/100)</f>
        <v>5.4750958144854062E-2</v>
      </c>
      <c r="AD31" s="119">
        <f ca="1">1-AC31</f>
        <v>0.94524904185514591</v>
      </c>
      <c r="AE31" s="120">
        <f ca="1">expenses/(AD31)</f>
        <v>240933.40256696512</v>
      </c>
      <c r="AF31" s="121">
        <f ca="1">+AE31-Revenue</f>
        <v>119599.00256696511</v>
      </c>
      <c r="AG31" s="122">
        <f ca="1">+AF31/$J$49</f>
        <v>129283.20776251434</v>
      </c>
      <c r="AH31" s="122">
        <f ca="1">+AG31*$J$47</f>
        <v>2921.8004954328244</v>
      </c>
      <c r="AI31" s="120">
        <f ca="1">ROUND(+AH31+AE31,5)</f>
        <v>243855.20306</v>
      </c>
    </row>
    <row r="32" spans="1:35" ht="15.75">
      <c r="A32" s="43"/>
      <c r="B32" s="43"/>
      <c r="C32" s="43"/>
      <c r="D32" s="43"/>
      <c r="E32" s="43"/>
      <c r="F32" s="142">
        <f t="shared" si="0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512.25449229342553</v>
      </c>
      <c r="T32" s="34">
        <f ca="1">EXP(y_inter2-(slope*LN(+S32)))</f>
        <v>4.2332705173130227</v>
      </c>
      <c r="U32" s="4">
        <f ca="1">(+S32*T32/100)/100</f>
        <v>0.21685118395869094</v>
      </c>
      <c r="V32" s="4">
        <f>regDebt_weighted</f>
        <v>3.5860000000000003E-2</v>
      </c>
      <c r="W32" s="4">
        <f ca="1">+U32-V32</f>
        <v>0.18099118395869093</v>
      </c>
      <c r="X32" s="4">
        <f ca="1">+((W32*(1-0.34))-Pfd_weighted)/Equity_percent</f>
        <v>0.32925634131609305</v>
      </c>
      <c r="Y32" s="4">
        <f ca="1">+X32*equityP</f>
        <v>0.19755380478965581</v>
      </c>
      <c r="Z32" s="4">
        <f ca="1">+Y32/(1-taxrate)</f>
        <v>0.25006810732867824</v>
      </c>
      <c r="AA32" s="4">
        <f>debtP*Debt_Rate</f>
        <v>2.6000000000000002E-2</v>
      </c>
      <c r="AB32" s="4">
        <f ca="1">+AA32+Z32</f>
        <v>0.27606810732867826</v>
      </c>
      <c r="AC32" s="4">
        <f ca="1">+AB32/(S32/100)</f>
        <v>5.3892764530514475E-2</v>
      </c>
      <c r="AD32" s="4">
        <f ca="1">1-AC32</f>
        <v>0.9461072354694855</v>
      </c>
      <c r="AE32" s="124">
        <f ca="1">expenses/(AD32)</f>
        <v>240714.85703659352</v>
      </c>
      <c r="AF32" s="125">
        <f ca="1">+AE32-Revenue</f>
        <v>119380.45703659351</v>
      </c>
      <c r="AG32" s="126">
        <f ca="1">+AF32/$J$49</f>
        <v>129046.96609994043</v>
      </c>
      <c r="AH32" s="126">
        <f ca="1">+AG32*$J$47</f>
        <v>2916.4614338586539</v>
      </c>
      <c r="AI32" s="124">
        <f ca="1">ROUND(+AH32+AE32,5)</f>
        <v>243631.31847</v>
      </c>
    </row>
    <row r="33" spans="1:46" ht="15.75">
      <c r="A33" s="43"/>
      <c r="B33" s="43"/>
      <c r="C33" s="43"/>
      <c r="D33" s="43"/>
      <c r="E33" s="43"/>
      <c r="F33" s="142">
        <f t="shared" si="0"/>
        <v>27</v>
      </c>
      <c r="G33" s="72"/>
      <c r="H33" s="76" t="s">
        <v>54</v>
      </c>
      <c r="I33" s="76"/>
      <c r="J33" s="89">
        <f ca="1">+K9/J28</f>
        <v>0.26767162476106582</v>
      </c>
      <c r="K33" s="89">
        <f ca="1">+(M14+M11)/J28</f>
        <v>0.21692058356124139</v>
      </c>
      <c r="L33" s="72"/>
      <c r="M33" s="72"/>
      <c r="N33" s="72"/>
      <c r="O33" s="43"/>
      <c r="P33" s="43"/>
      <c r="R33" s="5">
        <v>3</v>
      </c>
      <c r="S33" s="123">
        <f ca="1">AI28/Investment*100</f>
        <v>511.93754102455546</v>
      </c>
      <c r="T33" s="6">
        <f ca="1">EXP(y_inter3-(slope*LN(S33)))</f>
        <v>4.1938870874549883</v>
      </c>
      <c r="U33" s="4">
        <f ca="1">(+S33*T33/100)/100</f>
        <v>0.21470082428863418</v>
      </c>
      <c r="V33" s="4">
        <f>regDebt_weighted</f>
        <v>3.5860000000000003E-2</v>
      </c>
      <c r="W33" s="4">
        <f ca="1">+U33-V33</f>
        <v>0.17884082428863418</v>
      </c>
      <c r="X33" s="4">
        <f ca="1">+((W33*(1-0.34))-Pfd_weighted)/Equity_percent</f>
        <v>0.3251306512514493</v>
      </c>
      <c r="Y33" s="4">
        <f ca="1">+X33*equityP</f>
        <v>0.19507839075086958</v>
      </c>
      <c r="Z33" s="4">
        <f ca="1">+Y33/(1-taxrate)</f>
        <v>0.24693467183654377</v>
      </c>
      <c r="AA33" s="4">
        <f>debtP*Debt_Rate</f>
        <v>2.6000000000000002E-2</v>
      </c>
      <c r="AB33" s="4">
        <f ca="1">+AA33+Z33</f>
        <v>0.2729346718365438</v>
      </c>
      <c r="AC33" s="4">
        <f ca="1">+AB33/(S33/100)</f>
        <v>5.3314056884812881E-2</v>
      </c>
      <c r="AD33" s="4">
        <f ca="1">1-AC33</f>
        <v>0.94668594311518717</v>
      </c>
      <c r="AE33" s="124">
        <f ca="1">expenses/(AD33)</f>
        <v>240567.70841860236</v>
      </c>
      <c r="AF33" s="125">
        <f ca="1">+AE33-Revenue</f>
        <v>119233.30841860235</v>
      </c>
      <c r="AG33" s="126">
        <f ca="1">+AF33/$J$49</f>
        <v>128887.90252128671</v>
      </c>
      <c r="AH33" s="126">
        <f ca="1">+AG33*$J$47</f>
        <v>2912.86659698108</v>
      </c>
      <c r="AI33" s="124">
        <f ca="1">ROUND(+AH33+AE33,5)</f>
        <v>243480.57501999999</v>
      </c>
    </row>
    <row r="34" spans="1:46" ht="15.75">
      <c r="A34" s="43"/>
      <c r="B34" s="43"/>
      <c r="C34" s="43"/>
      <c r="D34" s="43"/>
      <c r="E34" s="43"/>
      <c r="F34" s="142">
        <f t="shared" si="0"/>
        <v>28</v>
      </c>
      <c r="G34" s="72"/>
      <c r="H34" s="76" t="s">
        <v>55</v>
      </c>
      <c r="I34" s="76"/>
      <c r="J34" s="89">
        <f ca="1">+(M9-M11)/J26</f>
        <v>0.40278604126844197</v>
      </c>
      <c r="K34" s="89">
        <f ca="1">+M14/J26</f>
        <v>0.31820097260206898</v>
      </c>
      <c r="L34" s="72"/>
      <c r="M34" s="72"/>
      <c r="N34" s="72"/>
      <c r="O34" s="46"/>
      <c r="P34" s="43"/>
      <c r="R34" s="7">
        <v>4</v>
      </c>
      <c r="S34" s="123">
        <f ca="1">AI29/Investment*100</f>
        <v>511.73485834072795</v>
      </c>
      <c r="T34" s="8">
        <f ca="1">EXP(y_inter4-(slope*LN(S34)))</f>
        <v>4.1686770742494526</v>
      </c>
      <c r="U34" s="4">
        <f ca="1">(+S34*T34/100)/100</f>
        <v>0.2133257372059284</v>
      </c>
      <c r="V34" s="4">
        <f>regDebt_weighted</f>
        <v>3.5860000000000003E-2</v>
      </c>
      <c r="W34" s="4">
        <f ca="1">+U34-V34</f>
        <v>0.1774657372059284</v>
      </c>
      <c r="X34" s="4">
        <f ca="1">+((W34*(1-0.34))-Pfd_weighted)/Equity_percent</f>
        <v>0.32249240277881608</v>
      </c>
      <c r="Y34" s="4">
        <f ca="1">+X34*equityP</f>
        <v>0.19349544166728963</v>
      </c>
      <c r="Z34" s="4">
        <f ca="1">+Y34/(1-taxrate)</f>
        <v>0.24493093881935396</v>
      </c>
      <c r="AA34" s="4">
        <f>debtP*Debt_Rate</f>
        <v>2.6000000000000002E-2</v>
      </c>
      <c r="AB34" s="4">
        <f ca="1">+AA34+Z34</f>
        <v>0.27093093881935398</v>
      </c>
      <c r="AC34" s="4">
        <f ca="1">+AB34/(S34/100)</f>
        <v>5.2943616094051633E-2</v>
      </c>
      <c r="AD34" s="4">
        <f ca="1">1-AC34</f>
        <v>0.94705638390594837</v>
      </c>
      <c r="AE34" s="124">
        <f ca="1">expenses/(AD34)</f>
        <v>240473.61043916564</v>
      </c>
      <c r="AF34" s="125">
        <f ca="1">+AE34-Revenue</f>
        <v>119139.21043916563</v>
      </c>
      <c r="AG34" s="126">
        <f ca="1">+AF34/$J$49</f>
        <v>128786.18521291084</v>
      </c>
      <c r="AH34" s="126">
        <f ca="1">+AG34*$J$47</f>
        <v>2910.5677858117851</v>
      </c>
      <c r="AI34" s="124">
        <f ca="1">ROUND(+AH34+AE34,5)</f>
        <v>243384.17822</v>
      </c>
    </row>
    <row r="35" spans="1:46" ht="15.75">
      <c r="A35" s="43"/>
      <c r="B35" s="43"/>
      <c r="C35" s="43"/>
      <c r="D35" s="43"/>
      <c r="E35" s="43"/>
      <c r="F35" s="142">
        <f t="shared" si="0"/>
        <v>29</v>
      </c>
      <c r="G35" s="72"/>
      <c r="H35" s="92" t="s">
        <v>31</v>
      </c>
      <c r="I35" s="76"/>
      <c r="J35" s="89">
        <f ca="1">+K8/K7</f>
        <v>0.94706000000000001</v>
      </c>
      <c r="K35" s="89">
        <f ca="1">+M8/M7</f>
        <v>0.94769309319321227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2">
        <f t="shared" si="0"/>
        <v>30</v>
      </c>
      <c r="G36" s="72"/>
      <c r="H36" s="76" t="s">
        <v>56</v>
      </c>
      <c r="I36" s="76"/>
      <c r="J36" s="89">
        <f ca="1">+K9/K7</f>
        <v>5.2939999999999945E-2</v>
      </c>
      <c r="K36" s="89">
        <f ca="1">+J36</f>
        <v>5.2939999999999945E-2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512.72519499270675</v>
      </c>
      <c r="T36" s="118">
        <f ca="1">EXP(y_inter1-(slope*LN(+S36)))</f>
        <v>4.2916743190504558</v>
      </c>
      <c r="U36" s="119">
        <f ca="1">(+S36*T36/100)/100</f>
        <v>0.22004495520803372</v>
      </c>
      <c r="V36" s="119">
        <f>regDebt_weighted</f>
        <v>3.5860000000000003E-2</v>
      </c>
      <c r="W36" s="119">
        <f ca="1">+U36-V36</f>
        <v>0.18418495520803371</v>
      </c>
      <c r="X36" s="119">
        <f ca="1">+((W36*(1-0.34))-Pfd_weighted)/Equity_percent</f>
        <v>0.33538392568983211</v>
      </c>
      <c r="Y36" s="119">
        <f ca="1">+X36*equityP</f>
        <v>0.20123035541389925</v>
      </c>
      <c r="Z36" s="119">
        <f ca="1">+Y36/(1-taxrate)</f>
        <v>0.25472196887835347</v>
      </c>
      <c r="AA36" s="119">
        <f>debtP*Debt_Rate</f>
        <v>2.6000000000000002E-2</v>
      </c>
      <c r="AB36" s="119">
        <f ca="1">+AA36+Z36</f>
        <v>0.28072196887835349</v>
      </c>
      <c r="AC36" s="119">
        <f ca="1">+AB36/(S36/100)</f>
        <v>5.4750960479394151E-2</v>
      </c>
      <c r="AD36" s="119">
        <f ca="1">1-AC36</f>
        <v>0.9452490395206059</v>
      </c>
      <c r="AE36" s="120">
        <f ca="1">expenses/(AD36)</f>
        <v>240933.40316201324</v>
      </c>
      <c r="AF36" s="121">
        <f ca="1">+AE36-Revenue</f>
        <v>119599.00316201324</v>
      </c>
      <c r="AG36" s="122">
        <f ca="1">+AF36/$J$49</f>
        <v>129283.20840574488</v>
      </c>
      <c r="AH36" s="122">
        <f ca="1">+AG36*$J$47</f>
        <v>2921.8005099698344</v>
      </c>
      <c r="AI36" s="120">
        <f ca="1">ROUND(+AH36+AE36,5)</f>
        <v>243855.20366999999</v>
      </c>
    </row>
    <row r="37" spans="1:46" ht="15.75">
      <c r="A37" s="43"/>
      <c r="B37" s="43"/>
      <c r="C37" s="43"/>
      <c r="D37" s="43"/>
      <c r="E37" s="43"/>
      <c r="F37" s="142">
        <f t="shared" si="0"/>
        <v>31</v>
      </c>
      <c r="G37" s="72"/>
      <c r="H37" s="76" t="s">
        <v>57</v>
      </c>
      <c r="I37" s="74"/>
      <c r="J37" s="93">
        <f ca="1">+S39/100</f>
        <v>5.1173482734869138</v>
      </c>
      <c r="K37" s="93">
        <f ca="1">+J37</f>
        <v>5.1173482734869138</v>
      </c>
      <c r="L37" s="72"/>
      <c r="M37" s="72"/>
      <c r="N37" s="72"/>
      <c r="O37" s="43"/>
      <c r="P37" s="43"/>
      <c r="R37" s="35">
        <v>2</v>
      </c>
      <c r="S37" s="123">
        <f ca="1">AI32/Investment*100</f>
        <v>512.25445961932462</v>
      </c>
      <c r="T37" s="34">
        <f ca="1">EXP(y_inter2-(slope*LN(+S37)))</f>
        <v>4.2332707019167382</v>
      </c>
      <c r="U37" s="4">
        <f ca="1">(+S37*T37/100)/100</f>
        <v>0.21685117958326777</v>
      </c>
      <c r="V37" s="4">
        <f>regDebt_weighted</f>
        <v>3.5860000000000003E-2</v>
      </c>
      <c r="W37" s="4">
        <f ca="1">+U37-V37</f>
        <v>0.18099117958326777</v>
      </c>
      <c r="X37" s="4">
        <f ca="1">+((W37*(1-0.34))-Pfd_weighted)/Equity_percent</f>
        <v>0.32925633292138579</v>
      </c>
      <c r="Y37" s="4">
        <f ca="1">+X37*equityP</f>
        <v>0.19755379975283147</v>
      </c>
      <c r="Z37" s="4">
        <f ca="1">+Y37/(1-taxrate)</f>
        <v>0.25006810095295123</v>
      </c>
      <c r="AA37" s="4">
        <f>debtP*Debt_Rate</f>
        <v>2.6000000000000002E-2</v>
      </c>
      <c r="AB37" s="4">
        <f ca="1">+AA37+Z37</f>
        <v>0.27606810095295126</v>
      </c>
      <c r="AC37" s="4">
        <f ca="1">+AB37/(S37/100)</f>
        <v>5.3892766723418618E-2</v>
      </c>
      <c r="AD37" s="4">
        <f ca="1">1-AC37</f>
        <v>0.94610723327658142</v>
      </c>
      <c r="AE37" s="124">
        <f ca="1">expenses/(AD37)</f>
        <v>240714.85759452666</v>
      </c>
      <c r="AF37" s="125">
        <f ca="1">+AE37-Revenue</f>
        <v>119380.45759452666</v>
      </c>
      <c r="AG37" s="126">
        <f ca="1">+AF37/$J$49</f>
        <v>129046.96670305071</v>
      </c>
      <c r="AH37" s="126">
        <f ca="1">+AG37*$J$47</f>
        <v>2916.4614474889463</v>
      </c>
      <c r="AI37" s="124">
        <f ca="1">ROUND(+AH37+AE37,5)</f>
        <v>243631.31904</v>
      </c>
    </row>
    <row r="38" spans="1:46" ht="15.75">
      <c r="A38" s="43"/>
      <c r="B38" s="43"/>
      <c r="C38" s="43"/>
      <c r="D38" s="43"/>
      <c r="E38" s="43"/>
      <c r="F38" s="142">
        <f t="shared" si="0"/>
        <v>32</v>
      </c>
      <c r="G38" s="72"/>
      <c r="H38" s="76" t="s">
        <v>58</v>
      </c>
      <c r="I38" s="72"/>
      <c r="J38" s="89">
        <f>+C10</f>
        <v>0.21</v>
      </c>
      <c r="K38" s="89">
        <f>+J38</f>
        <v>0.21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511.93750938071884</v>
      </c>
      <c r="T38" s="6">
        <f ca="1">EXP(y_inter3-(slope*LN(S38)))</f>
        <v>4.1938872646842533</v>
      </c>
      <c r="U38" s="4">
        <f ca="1">(+S38*T38/100)/100</f>
        <v>0.21470082009059721</v>
      </c>
      <c r="V38" s="4">
        <f>regDebt_weighted</f>
        <v>3.5860000000000003E-2</v>
      </c>
      <c r="W38" s="4">
        <f ca="1">+U38-V38</f>
        <v>0.17884082009059721</v>
      </c>
      <c r="X38" s="4">
        <f ca="1">+((W38*(1-0.34))-Pfd_weighted)/Equity_percent</f>
        <v>0.32513064319707602</v>
      </c>
      <c r="Y38" s="4">
        <f ca="1">+X38*equityP</f>
        <v>0.19507838591824561</v>
      </c>
      <c r="Z38" s="4">
        <f ca="1">+Y38/(1-taxrate)</f>
        <v>0.24693466571929823</v>
      </c>
      <c r="AA38" s="4">
        <f>debtP*Debt_Rate</f>
        <v>2.6000000000000002E-2</v>
      </c>
      <c r="AB38" s="4">
        <f ca="1">+AA38+Z38</f>
        <v>0.27293466571929825</v>
      </c>
      <c r="AC38" s="4">
        <f ca="1">+AB38/(S38/100)</f>
        <v>5.3314058985336352E-2</v>
      </c>
      <c r="AD38" s="4">
        <f ca="1">1-AC38</f>
        <v>0.94668594101466363</v>
      </c>
      <c r="AE38" s="124">
        <f ca="1">expenses/(AD38)</f>
        <v>240567.70895237825</v>
      </c>
      <c r="AF38" s="125">
        <f ca="1">+AE38-Revenue</f>
        <v>119233.30895237824</v>
      </c>
      <c r="AG38" s="126">
        <f ca="1">+AF38/$J$49</f>
        <v>128887.90309828366</v>
      </c>
      <c r="AH38" s="126">
        <f ca="1">+AG38*$J$47</f>
        <v>2912.8666100212108</v>
      </c>
      <c r="AI38" s="124">
        <f ca="1">ROUND(+AH38+AE38,5)</f>
        <v>243480.57556</v>
      </c>
    </row>
    <row r="39" spans="1:46" ht="15.75">
      <c r="A39" s="43"/>
      <c r="B39" s="43"/>
      <c r="C39" s="43"/>
      <c r="D39" s="43"/>
      <c r="E39" s="43"/>
      <c r="F39" s="142">
        <f t="shared" si="0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511.7348273486914</v>
      </c>
      <c r="T39" s="8">
        <f ca="1">EXP(y_inter4-(slope*LN(S39)))</f>
        <v>4.1686772468530764</v>
      </c>
      <c r="U39" s="4">
        <f ca="1">(+S39*T39/100)/100</f>
        <v>0.21332573311907774</v>
      </c>
      <c r="V39" s="4">
        <f>regDebt_weighted</f>
        <v>3.5860000000000003E-2</v>
      </c>
      <c r="W39" s="4">
        <f ca="1">+U39-V39</f>
        <v>0.17746573311907773</v>
      </c>
      <c r="X39" s="4">
        <f ca="1">+((W39*(1-0.34))-Pfd_weighted)/Equity_percent</f>
        <v>0.32249239493776544</v>
      </c>
      <c r="Y39" s="4">
        <f ca="1">+X39*equityP</f>
        <v>0.19349543696265925</v>
      </c>
      <c r="Z39" s="4">
        <f ca="1">+Y39/(1-taxrate)</f>
        <v>0.24493093286412562</v>
      </c>
      <c r="AA39" s="4">
        <f>debtP*Debt_Rate</f>
        <v>2.6000000000000002E-2</v>
      </c>
      <c r="AB39" s="4">
        <f ca="1">+AA39+Z39</f>
        <v>0.27093093286412562</v>
      </c>
      <c r="AC39" s="4">
        <f ca="1">+AB39/(S39/100)</f>
        <v>5.2943618136726073E-2</v>
      </c>
      <c r="AD39" s="4">
        <f ca="1">1-AC39</f>
        <v>0.9470563818632739</v>
      </c>
      <c r="AE39" s="124">
        <f ca="1">expenses/(AD39)</f>
        <v>240473.61095783519</v>
      </c>
      <c r="AF39" s="125">
        <f ca="1">+AE39-Revenue</f>
        <v>119139.21095783518</v>
      </c>
      <c r="AG39" s="126">
        <f ca="1">+AF39/$J$49</f>
        <v>128786.18577357825</v>
      </c>
      <c r="AH39" s="126">
        <f ca="1">+AG39*$J$47</f>
        <v>2910.567798482869</v>
      </c>
      <c r="AI39" s="124">
        <f ca="1">ROUND(+AH39+AE39,5)</f>
        <v>243384.17876000001</v>
      </c>
    </row>
    <row r="40" spans="1:46" ht="15.75">
      <c r="A40" s="43"/>
      <c r="B40" s="43"/>
      <c r="C40" s="43"/>
      <c r="D40" s="43"/>
      <c r="E40" s="43"/>
      <c r="F40" s="142">
        <f t="shared" si="0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2">
        <f t="shared" si="0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2">
        <f t="shared" si="0"/>
        <v>36</v>
      </c>
      <c r="G42" s="72"/>
      <c r="H42" s="72"/>
      <c r="I42" s="72"/>
      <c r="J42" s="108" t="s">
        <v>48</v>
      </c>
      <c r="K42" s="194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2">
        <f t="shared" si="0"/>
        <v>37</v>
      </c>
      <c r="G43" s="72"/>
      <c r="H43" s="76" t="s">
        <v>62</v>
      </c>
      <c r="I43" s="75"/>
      <c r="J43" s="127">
        <f>IF($A$65=TRUE,C11,0)</f>
        <v>1.7500000000000002E-2</v>
      </c>
      <c r="K43" s="128">
        <f ca="1">+J43*($J$7/$J$49)</f>
        <v>2253.7408719282912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5.2943618136726073E-2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2">
        <f t="shared" si="0"/>
        <v>38</v>
      </c>
      <c r="G44" s="72"/>
      <c r="H44" s="76" t="s">
        <v>63</v>
      </c>
      <c r="I44" s="75"/>
      <c r="J44" s="127">
        <f>IF($A$65=TRUE,C12,0)</f>
        <v>5.1000000000000004E-3</v>
      </c>
      <c r="K44" s="128">
        <f ca="1">+J44*($J$7/$J$49)</f>
        <v>656.80448267624479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0.94706000000000001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2">
        <f t="shared" si="0"/>
        <v>39</v>
      </c>
      <c r="G45" s="72"/>
      <c r="H45" s="76" t="s">
        <v>66</v>
      </c>
      <c r="I45" s="75"/>
      <c r="J45" s="127">
        <f>IF($A$65=TRUE,C13,0)</f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51" t="s">
        <v>107</v>
      </c>
      <c r="V45" s="168">
        <f ca="1">+M7/Revenue-1</f>
        <v>1.0058881702956874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2">
        <f t="shared" si="0"/>
        <v>40</v>
      </c>
      <c r="G46" s="72"/>
      <c r="H46" s="76" t="s">
        <v>69</v>
      </c>
      <c r="I46" s="75"/>
      <c r="J46" s="127">
        <f>IF($A$65=TRUE,C14,0)</f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2">
        <f t="shared" si="0"/>
        <v>41</v>
      </c>
      <c r="G47" s="72"/>
      <c r="H47" s="76" t="s">
        <v>71</v>
      </c>
      <c r="I47" s="74"/>
      <c r="J47" s="137">
        <f>SUM(J43:J46)</f>
        <v>2.2600000000000002E-2</v>
      </c>
      <c r="K47" s="136">
        <f ca="1">+K43+K44+K45+K46</f>
        <v>2910.545354604536</v>
      </c>
      <c r="L47" s="72"/>
      <c r="M47" s="72"/>
      <c r="N47" s="72"/>
      <c r="O47" s="43"/>
      <c r="P47" s="43"/>
      <c r="R47" s="5"/>
      <c r="S47" s="172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2">
        <f t="shared" si="0"/>
        <v>42</v>
      </c>
      <c r="G48" s="72"/>
      <c r="H48" s="76"/>
      <c r="I48" s="74"/>
      <c r="J48" s="171"/>
      <c r="K48" s="105"/>
      <c r="L48" s="72"/>
      <c r="M48" s="72"/>
      <c r="N48" s="72"/>
      <c r="O48" s="43"/>
      <c r="P48" s="43"/>
      <c r="R48" s="147">
        <f ca="1">VLOOKUP(R49,R36:S39,2)</f>
        <v>511.7348273486914</v>
      </c>
      <c r="S48" s="148" t="s">
        <v>64</v>
      </c>
      <c r="T48" s="16"/>
      <c r="V48" s="163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2">
        <f t="shared" si="0"/>
        <v>43</v>
      </c>
      <c r="G49" s="178"/>
      <c r="H49" s="195" t="s">
        <v>73</v>
      </c>
      <c r="I49" s="100"/>
      <c r="J49" s="196">
        <f ca="1">((K35)-J47)</f>
        <v>0.92509309319321231</v>
      </c>
      <c r="K49" s="100"/>
      <c r="L49" s="100"/>
      <c r="M49" s="100"/>
      <c r="N49" s="100"/>
      <c r="O49" s="43"/>
      <c r="P49" s="43"/>
      <c r="R49" s="149">
        <f ca="1">VLOOKUP(S36,R43:S46,2)</f>
        <v>4</v>
      </c>
      <c r="S49" s="150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9"/>
      <c r="S50" s="151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2">
        <f ca="1">+V44</f>
        <v>0.94706000000000001</v>
      </c>
      <c r="S51" s="146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6" t="s">
        <v>46</v>
      </c>
      <c r="T55" s="166" t="s">
        <v>76</v>
      </c>
      <c r="U55" s="167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4">
        <v>0.56200000000000006</v>
      </c>
      <c r="T56" s="164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4">
        <v>9.4E-2</v>
      </c>
      <c r="T57" s="164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5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5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4" t="s">
        <v>51</v>
      </c>
      <c r="X61" s="155"/>
      <c r="Y61" s="163" t="s">
        <v>52</v>
      </c>
      <c r="Z61" s="153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6"/>
      <c r="X62" s="109"/>
      <c r="Y62" s="109"/>
      <c r="Z62" s="157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Y68" ca="1" si="1">+J33</f>
        <v>0.26767162476106582</v>
      </c>
      <c r="Z63" s="20">
        <f t="shared" ref="Z63:Z68" ca="1" si="2">+K33</f>
        <v>0.21692058356124139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"/>
        <v>0.40278604126844197</v>
      </c>
      <c r="Z64" s="20">
        <f t="shared" ca="1" si="2"/>
        <v>0.31820097260206898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"/>
        <v>0.94706000000000001</v>
      </c>
      <c r="Z65" s="20">
        <f t="shared" ca="1" si="2"/>
        <v>0.94769309319321227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"/>
        <v>5.2939999999999945E-2</v>
      </c>
      <c r="Z66" s="20">
        <f t="shared" ca="1" si="2"/>
        <v>5.2939999999999945E-2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9"/>
      <c r="Y67" s="20">
        <f t="shared" ca="1" si="1"/>
        <v>5.1173482734869138</v>
      </c>
      <c r="Z67" s="20">
        <f t="shared" ca="1" si="2"/>
        <v>5.1173482734869138</v>
      </c>
      <c r="AC67" s="13"/>
      <c r="AH67" s="10"/>
    </row>
    <row r="68" spans="1:38">
      <c r="O68" s="9"/>
      <c r="W68" s="25" t="s">
        <v>58</v>
      </c>
      <c r="X68" s="110"/>
      <c r="Y68" s="20">
        <f t="shared" si="1"/>
        <v>0.21</v>
      </c>
      <c r="Z68" s="20">
        <f t="shared" si="2"/>
        <v>0.21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8"/>
      <c r="AC69" s="13"/>
      <c r="AD69" s="13"/>
      <c r="AE69" s="10"/>
      <c r="AF69" s="9"/>
      <c r="AH69" s="10"/>
    </row>
    <row r="70" spans="1:38">
      <c r="O70" s="9"/>
      <c r="W70" s="27"/>
      <c r="X70" s="160"/>
      <c r="Y70" s="161"/>
      <c r="Z70" s="162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AF2:AI2"/>
    <mergeCell ref="B2:C2"/>
    <mergeCell ref="B17:C17"/>
    <mergeCell ref="B18:C18"/>
    <mergeCell ref="B15:C15"/>
    <mergeCell ref="C16:D16"/>
  </mergeCells>
  <pageMargins left="0.25" right="0.25" top="0.3" bottom="0.44" header="0.23" footer="0.21"/>
  <pageSetup scale="99" orientation="portrait" r:id="rId1"/>
  <headerFooter alignWithMargins="0"/>
  <ignoredErrors>
    <ignoredError sqref="K43:K47" unlockedFormula="1"/>
  </ignoredErrors>
  <drawing r:id="rId2"/>
  <legacyDrawing r:id="rId3"/>
  <controls>
    <mc:AlternateContent xmlns:mc="http://schemas.openxmlformats.org/markup-compatibility/2006">
      <mc:Choice Requires="x14">
        <control shapeId="2051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28575</xdr:rowOff>
              </to>
            </anchor>
          </controlPr>
        </control>
      </mc:Choice>
      <mc:Fallback>
        <control shapeId="2051" r:id="rId4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R68"/>
  <sheetViews>
    <sheetView topLeftCell="A36" workbookViewId="0">
      <selection activeCell="D50" sqref="D50"/>
    </sheetView>
  </sheetViews>
  <sheetFormatPr defaultColWidth="8.88671875" defaultRowHeight="12.75"/>
  <cols>
    <col min="1" max="1" width="7" style="203" customWidth="1"/>
    <col min="2" max="2" width="8.88671875" style="203"/>
    <col min="3" max="3" width="24.77734375" style="203" customWidth="1"/>
    <col min="4" max="4" width="32.109375" style="203" customWidth="1"/>
    <col min="5" max="5" width="6.33203125" style="203" customWidth="1"/>
    <col min="6" max="6" width="12.21875" style="203" customWidth="1"/>
    <col min="7" max="7" width="6.5546875" style="203" customWidth="1"/>
    <col min="8" max="8" width="8.88671875" style="203"/>
    <col min="9" max="9" width="13.109375" style="203" customWidth="1"/>
    <col min="10" max="10" width="11.88671875" style="203" customWidth="1"/>
    <col min="11" max="14" width="9.33203125" style="203" customWidth="1"/>
    <col min="15" max="15" width="10.77734375" style="203" customWidth="1"/>
    <col min="16" max="16" width="10.21875" style="203" customWidth="1"/>
    <col min="17" max="17" width="10.77734375" style="203" customWidth="1"/>
    <col min="18" max="18" width="9.5546875" style="203" bestFit="1" customWidth="1"/>
    <col min="19" max="16384" width="8.88671875" style="203"/>
  </cols>
  <sheetData>
    <row r="1" spans="1:17">
      <c r="A1" s="203" t="s">
        <v>199</v>
      </c>
    </row>
    <row r="2" spans="1:17">
      <c r="A2" s="203">
        <v>2019</v>
      </c>
    </row>
    <row r="3" spans="1:17">
      <c r="A3" s="231" t="s">
        <v>229</v>
      </c>
    </row>
    <row r="5" spans="1:17" ht="15.75" customHeight="1">
      <c r="B5" s="230"/>
      <c r="C5" s="230"/>
      <c r="D5" s="230"/>
      <c r="E5" s="230"/>
      <c r="F5" s="230"/>
      <c r="G5" s="564" t="s">
        <v>225</v>
      </c>
      <c r="H5" s="261" t="s">
        <v>168</v>
      </c>
      <c r="I5" s="230"/>
      <c r="J5" s="230"/>
      <c r="K5" s="566"/>
      <c r="L5" s="566"/>
      <c r="M5" s="567" t="s">
        <v>144</v>
      </c>
      <c r="N5" s="568"/>
      <c r="O5" s="230"/>
      <c r="P5" s="567" t="s">
        <v>104</v>
      </c>
      <c r="Q5" s="568"/>
    </row>
    <row r="6" spans="1:17" ht="15">
      <c r="B6" s="262"/>
      <c r="C6" s="263" t="s">
        <v>186</v>
      </c>
      <c r="D6" s="264" t="s">
        <v>203</v>
      </c>
      <c r="E6" s="265" t="s">
        <v>224</v>
      </c>
      <c r="F6" s="265" t="s">
        <v>103</v>
      </c>
      <c r="G6" s="565"/>
      <c r="H6" s="263" t="s">
        <v>227</v>
      </c>
      <c r="I6" s="263" t="s">
        <v>235</v>
      </c>
      <c r="J6" s="263" t="s">
        <v>228</v>
      </c>
      <c r="K6" s="263" t="s">
        <v>166</v>
      </c>
      <c r="L6" s="263" t="s">
        <v>167</v>
      </c>
      <c r="M6" s="263" t="s">
        <v>166</v>
      </c>
      <c r="N6" s="263" t="s">
        <v>167</v>
      </c>
      <c r="O6" s="263" t="s">
        <v>104</v>
      </c>
      <c r="P6" s="263" t="s">
        <v>166</v>
      </c>
      <c r="Q6" s="266" t="s">
        <v>167</v>
      </c>
    </row>
    <row r="7" spans="1:17" ht="15">
      <c r="B7" s="267"/>
      <c r="C7" s="358" t="s">
        <v>187</v>
      </c>
      <c r="D7" s="358" t="s">
        <v>187</v>
      </c>
      <c r="E7" s="358" t="s">
        <v>222</v>
      </c>
      <c r="F7" s="359" t="s">
        <v>223</v>
      </c>
      <c r="G7" s="358" t="s">
        <v>222</v>
      </c>
      <c r="H7" s="358" t="s">
        <v>226</v>
      </c>
      <c r="I7" s="358" t="s">
        <v>76</v>
      </c>
      <c r="J7" s="358" t="s">
        <v>144</v>
      </c>
      <c r="K7" s="358" t="s">
        <v>226</v>
      </c>
      <c r="L7" s="358" t="s">
        <v>226</v>
      </c>
      <c r="M7" s="358"/>
      <c r="N7" s="358"/>
      <c r="O7" s="358"/>
      <c r="P7" s="358"/>
      <c r="Q7" s="360"/>
    </row>
    <row r="8" spans="1:17" ht="15">
      <c r="B8" s="309"/>
      <c r="C8" s="309" t="s">
        <v>188</v>
      </c>
      <c r="D8" s="309" t="s">
        <v>204</v>
      </c>
      <c r="E8" s="310">
        <v>2019</v>
      </c>
      <c r="F8" s="311"/>
      <c r="G8" s="309">
        <v>5</v>
      </c>
      <c r="H8" s="342">
        <v>1</v>
      </c>
      <c r="I8" s="311">
        <f>F8*H8</f>
        <v>0</v>
      </c>
      <c r="J8" s="311">
        <f t="shared" ref="J8:J19" si="0">I8/G8</f>
        <v>0</v>
      </c>
      <c r="K8" s="343">
        <v>1</v>
      </c>
      <c r="L8" s="344">
        <v>0</v>
      </c>
      <c r="M8" s="345">
        <f>J8*K8</f>
        <v>0</v>
      </c>
      <c r="N8" s="345">
        <f>J8*L8</f>
        <v>0</v>
      </c>
      <c r="O8" s="345">
        <f>I8-M8</f>
        <v>0</v>
      </c>
      <c r="P8" s="345">
        <f>K8*O8</f>
        <v>0</v>
      </c>
      <c r="Q8" s="345">
        <f>O8*L8</f>
        <v>0</v>
      </c>
    </row>
    <row r="9" spans="1:17" ht="15">
      <c r="B9" s="309"/>
      <c r="C9" s="309" t="s">
        <v>188</v>
      </c>
      <c r="D9" s="309" t="s">
        <v>363</v>
      </c>
      <c r="E9" s="310">
        <v>2019</v>
      </c>
      <c r="F9" s="311"/>
      <c r="G9" s="309">
        <v>5</v>
      </c>
      <c r="H9" s="342">
        <v>1</v>
      </c>
      <c r="I9" s="311">
        <v>0</v>
      </c>
      <c r="J9" s="311">
        <v>0</v>
      </c>
      <c r="K9" s="343">
        <v>1</v>
      </c>
      <c r="L9" s="344">
        <v>0</v>
      </c>
      <c r="M9" s="345">
        <v>0</v>
      </c>
      <c r="N9" s="345">
        <v>0</v>
      </c>
      <c r="O9" s="345">
        <v>0</v>
      </c>
      <c r="P9" s="345">
        <v>0</v>
      </c>
      <c r="Q9" s="345">
        <v>0</v>
      </c>
    </row>
    <row r="10" spans="1:17" ht="15">
      <c r="B10" s="309"/>
      <c r="C10" s="309" t="s">
        <v>189</v>
      </c>
      <c r="D10" s="309" t="s">
        <v>205</v>
      </c>
      <c r="E10" s="310">
        <v>2019</v>
      </c>
      <c r="F10" s="311"/>
      <c r="G10" s="309">
        <v>5</v>
      </c>
      <c r="H10" s="342">
        <v>1</v>
      </c>
      <c r="I10" s="311">
        <f t="shared" ref="I10:I32" si="1">F10*H10</f>
        <v>0</v>
      </c>
      <c r="J10" s="311">
        <f t="shared" si="0"/>
        <v>0</v>
      </c>
      <c r="K10" s="343">
        <v>0</v>
      </c>
      <c r="L10" s="344">
        <v>1</v>
      </c>
      <c r="M10" s="345">
        <f t="shared" ref="M10:M32" si="2">J10*K10</f>
        <v>0</v>
      </c>
      <c r="N10" s="345">
        <f t="shared" ref="N10:N32" si="3">J10*L10</f>
        <v>0</v>
      </c>
      <c r="O10" s="345">
        <f>I10-J10</f>
        <v>0</v>
      </c>
      <c r="P10" s="345">
        <f t="shared" ref="P10:P32" si="4">K10*O10</f>
        <v>0</v>
      </c>
      <c r="Q10" s="345">
        <f t="shared" ref="Q10:Q32" si="5">O10*L10</f>
        <v>0</v>
      </c>
    </row>
    <row r="11" spans="1:17" ht="15">
      <c r="B11" s="309"/>
      <c r="C11" s="309" t="s">
        <v>189</v>
      </c>
      <c r="D11" s="309" t="s">
        <v>369</v>
      </c>
      <c r="E11" s="310">
        <v>2019</v>
      </c>
      <c r="F11" s="362">
        <v>11000</v>
      </c>
      <c r="G11" s="309">
        <v>5</v>
      </c>
      <c r="H11" s="342">
        <v>1</v>
      </c>
      <c r="I11" s="311">
        <v>11000</v>
      </c>
      <c r="J11" s="311">
        <v>2200</v>
      </c>
      <c r="K11" s="343">
        <v>1</v>
      </c>
      <c r="L11" s="344">
        <v>0</v>
      </c>
      <c r="M11" s="345">
        <v>2200</v>
      </c>
      <c r="N11" s="345">
        <v>0</v>
      </c>
      <c r="O11" s="345">
        <v>0</v>
      </c>
      <c r="P11" s="345">
        <v>0</v>
      </c>
      <c r="Q11" s="345">
        <v>0</v>
      </c>
    </row>
    <row r="12" spans="1:17" ht="15">
      <c r="B12" s="309"/>
      <c r="C12" s="309" t="s">
        <v>189</v>
      </c>
      <c r="D12" s="309" t="s">
        <v>206</v>
      </c>
      <c r="E12" s="310">
        <v>2017</v>
      </c>
      <c r="F12" s="362">
        <f>'Asset Verification'!E9</f>
        <v>9835</v>
      </c>
      <c r="G12" s="309">
        <v>5</v>
      </c>
      <c r="H12" s="342">
        <v>1</v>
      </c>
      <c r="I12" s="311">
        <f t="shared" si="1"/>
        <v>9835</v>
      </c>
      <c r="J12" s="311">
        <f t="shared" si="0"/>
        <v>1967</v>
      </c>
      <c r="K12" s="343">
        <v>1</v>
      </c>
      <c r="L12" s="344">
        <v>0</v>
      </c>
      <c r="M12" s="345">
        <f>J12*K12</f>
        <v>1967</v>
      </c>
      <c r="N12" s="345">
        <f t="shared" si="3"/>
        <v>0</v>
      </c>
      <c r="O12" s="345">
        <f>I12-(($A$2-E12)*J12)</f>
        <v>5901</v>
      </c>
      <c r="P12" s="345">
        <f>K12*O12</f>
        <v>5901</v>
      </c>
      <c r="Q12" s="345">
        <f t="shared" si="5"/>
        <v>0</v>
      </c>
    </row>
    <row r="13" spans="1:17" ht="15">
      <c r="B13" s="309"/>
      <c r="C13" s="309" t="s">
        <v>189</v>
      </c>
      <c r="D13" s="309" t="s">
        <v>207</v>
      </c>
      <c r="E13" s="310">
        <v>2018</v>
      </c>
      <c r="F13" s="362">
        <v>16000</v>
      </c>
      <c r="G13" s="309">
        <v>5</v>
      </c>
      <c r="H13" s="342">
        <v>1</v>
      </c>
      <c r="I13" s="311">
        <f t="shared" si="1"/>
        <v>16000</v>
      </c>
      <c r="J13" s="311">
        <f t="shared" si="0"/>
        <v>3200</v>
      </c>
      <c r="K13" s="343">
        <v>0</v>
      </c>
      <c r="L13" s="344">
        <v>1</v>
      </c>
      <c r="M13" s="345">
        <f>J13*K13</f>
        <v>0</v>
      </c>
      <c r="N13" s="345">
        <f t="shared" si="3"/>
        <v>3200</v>
      </c>
      <c r="O13" s="345">
        <f>I13-(($A$2-E13)*J13)</f>
        <v>12800</v>
      </c>
      <c r="P13" s="345">
        <f t="shared" si="4"/>
        <v>0</v>
      </c>
      <c r="Q13" s="345">
        <f t="shared" si="5"/>
        <v>12800</v>
      </c>
    </row>
    <row r="14" spans="1:17" ht="15">
      <c r="B14" s="309"/>
      <c r="C14" s="309" t="s">
        <v>189</v>
      </c>
      <c r="D14" s="309" t="s">
        <v>323</v>
      </c>
      <c r="E14" s="310">
        <v>2019</v>
      </c>
      <c r="F14" s="362">
        <f>'Asset Verification'!E28</f>
        <v>47569</v>
      </c>
      <c r="G14" s="309">
        <v>5</v>
      </c>
      <c r="H14" s="342">
        <v>1</v>
      </c>
      <c r="I14" s="311">
        <f t="shared" si="1"/>
        <v>47569</v>
      </c>
      <c r="J14" s="311">
        <f t="shared" si="0"/>
        <v>9513.7999999999993</v>
      </c>
      <c r="K14" s="343">
        <v>1</v>
      </c>
      <c r="L14" s="344">
        <v>0</v>
      </c>
      <c r="M14" s="345">
        <f t="shared" si="2"/>
        <v>9513.7999999999993</v>
      </c>
      <c r="N14" s="345">
        <f t="shared" si="3"/>
        <v>0</v>
      </c>
      <c r="O14" s="345">
        <f>I14-J14</f>
        <v>38055.199999999997</v>
      </c>
      <c r="P14" s="345">
        <f>K14*O14</f>
        <v>38055.199999999997</v>
      </c>
      <c r="Q14" s="345">
        <f t="shared" si="5"/>
        <v>0</v>
      </c>
    </row>
    <row r="15" spans="1:17" ht="15">
      <c r="B15" s="309"/>
      <c r="C15" s="309" t="s">
        <v>189</v>
      </c>
      <c r="D15" s="309" t="s">
        <v>324</v>
      </c>
      <c r="E15" s="310">
        <v>2019</v>
      </c>
      <c r="F15" s="362">
        <f>'Asset Verification'!E29</f>
        <v>12018</v>
      </c>
      <c r="G15" s="309">
        <v>5</v>
      </c>
      <c r="H15" s="342">
        <v>1</v>
      </c>
      <c r="I15" s="311">
        <f t="shared" si="1"/>
        <v>12018</v>
      </c>
      <c r="J15" s="311">
        <f t="shared" si="0"/>
        <v>2403.6</v>
      </c>
      <c r="K15" s="343">
        <v>1</v>
      </c>
      <c r="L15" s="344">
        <v>0</v>
      </c>
      <c r="M15" s="345">
        <f t="shared" si="2"/>
        <v>2403.6</v>
      </c>
      <c r="N15" s="345">
        <f t="shared" si="3"/>
        <v>0</v>
      </c>
      <c r="O15" s="345">
        <f>I15-J15</f>
        <v>9614.4</v>
      </c>
      <c r="P15" s="345">
        <f t="shared" si="4"/>
        <v>9614.4</v>
      </c>
      <c r="Q15" s="345">
        <f t="shared" si="5"/>
        <v>0</v>
      </c>
    </row>
    <row r="16" spans="1:17" ht="15">
      <c r="B16" s="309"/>
      <c r="C16" s="309" t="s">
        <v>190</v>
      </c>
      <c r="D16" s="309" t="s">
        <v>209</v>
      </c>
      <c r="E16" s="310">
        <v>2018</v>
      </c>
      <c r="F16" s="362">
        <v>3777</v>
      </c>
      <c r="G16" s="309">
        <v>10</v>
      </c>
      <c r="H16" s="342">
        <v>1</v>
      </c>
      <c r="I16" s="311">
        <f t="shared" si="1"/>
        <v>3777</v>
      </c>
      <c r="J16" s="311">
        <f t="shared" si="0"/>
        <v>377.7</v>
      </c>
      <c r="K16" s="343">
        <v>1</v>
      </c>
      <c r="L16" s="344">
        <v>0</v>
      </c>
      <c r="M16" s="345">
        <f t="shared" si="2"/>
        <v>377.7</v>
      </c>
      <c r="N16" s="345">
        <f t="shared" si="3"/>
        <v>0</v>
      </c>
      <c r="O16" s="345">
        <f>I16-(($A$2-E16)*J16)</f>
        <v>3399.3</v>
      </c>
      <c r="P16" s="345">
        <f t="shared" si="4"/>
        <v>3399.3</v>
      </c>
      <c r="Q16" s="345">
        <f t="shared" si="5"/>
        <v>0</v>
      </c>
    </row>
    <row r="17" spans="1:18" ht="15">
      <c r="B17" s="309"/>
      <c r="C17" s="309" t="s">
        <v>191</v>
      </c>
      <c r="D17" s="309" t="s">
        <v>210</v>
      </c>
      <c r="E17" s="310">
        <v>2017</v>
      </c>
      <c r="F17" s="362">
        <f>'Asset Verification'!E21</f>
        <v>3945</v>
      </c>
      <c r="G17" s="309">
        <v>10</v>
      </c>
      <c r="H17" s="342">
        <v>1</v>
      </c>
      <c r="I17" s="311">
        <f t="shared" si="1"/>
        <v>3945</v>
      </c>
      <c r="J17" s="311">
        <f t="shared" si="0"/>
        <v>394.5</v>
      </c>
      <c r="K17" s="343">
        <v>1</v>
      </c>
      <c r="L17" s="344">
        <v>0</v>
      </c>
      <c r="M17" s="345">
        <f>J17*K17</f>
        <v>394.5</v>
      </c>
      <c r="N17" s="345">
        <f t="shared" si="3"/>
        <v>0</v>
      </c>
      <c r="O17" s="345">
        <f>I17-(($A$2-E17)*J17)</f>
        <v>3156</v>
      </c>
      <c r="P17" s="345">
        <f>K17*O17</f>
        <v>3156</v>
      </c>
      <c r="Q17" s="345">
        <f t="shared" si="5"/>
        <v>0</v>
      </c>
    </row>
    <row r="18" spans="1:18" ht="15">
      <c r="B18" s="309"/>
      <c r="C18" s="309" t="s">
        <v>190</v>
      </c>
      <c r="D18" s="309" t="s">
        <v>211</v>
      </c>
      <c r="E18" s="310">
        <v>2019</v>
      </c>
      <c r="F18" s="362">
        <v>17185.48</v>
      </c>
      <c r="G18" s="309">
        <v>10</v>
      </c>
      <c r="H18" s="342">
        <v>1</v>
      </c>
      <c r="I18" s="311">
        <f t="shared" si="1"/>
        <v>17185.48</v>
      </c>
      <c r="J18" s="311">
        <f t="shared" si="0"/>
        <v>1718.548</v>
      </c>
      <c r="K18" s="343">
        <v>1</v>
      </c>
      <c r="L18" s="344">
        <v>0</v>
      </c>
      <c r="M18" s="345">
        <f t="shared" si="2"/>
        <v>1718.548</v>
      </c>
      <c r="N18" s="345">
        <f t="shared" si="3"/>
        <v>0</v>
      </c>
      <c r="O18" s="345">
        <f>I18-J18</f>
        <v>15466.931999999999</v>
      </c>
      <c r="P18" s="345">
        <f t="shared" si="4"/>
        <v>15466.931999999999</v>
      </c>
      <c r="Q18" s="345">
        <f t="shared" si="5"/>
        <v>0</v>
      </c>
    </row>
    <row r="19" spans="1:18" ht="15">
      <c r="B19" s="309"/>
      <c r="C19" s="309" t="s">
        <v>192</v>
      </c>
      <c r="D19" s="309" t="s">
        <v>212</v>
      </c>
      <c r="E19" s="310">
        <v>2019</v>
      </c>
      <c r="F19" s="362">
        <f>'Asset Verification'!E13</f>
        <v>3189</v>
      </c>
      <c r="G19" s="309">
        <v>3</v>
      </c>
      <c r="H19" s="342">
        <f>'Drive Hours Recap'!$J$27</f>
        <v>0.6864434547851086</v>
      </c>
      <c r="I19" s="311">
        <f>F19*H19</f>
        <v>2189.0681773097112</v>
      </c>
      <c r="J19" s="311">
        <f t="shared" si="0"/>
        <v>729.68939243657042</v>
      </c>
      <c r="K19" s="343">
        <f>'Drive Hours Recap'!$E$32</f>
        <v>0.50156027946704529</v>
      </c>
      <c r="L19" s="344">
        <f>'Drive Hours Recap'!E33</f>
        <v>0.49843972053295477</v>
      </c>
      <c r="M19" s="345">
        <f>J19*K19</f>
        <v>365.98321559462477</v>
      </c>
      <c r="N19" s="345">
        <f t="shared" si="3"/>
        <v>363.70617684194571</v>
      </c>
      <c r="O19" s="345">
        <f>I19-J19</f>
        <v>1459.3787848731408</v>
      </c>
      <c r="P19" s="345">
        <f>K19*O19</f>
        <v>731.96643118924953</v>
      </c>
      <c r="Q19" s="345">
        <f t="shared" si="5"/>
        <v>727.41235368389141</v>
      </c>
      <c r="R19" s="231" t="s">
        <v>242</v>
      </c>
    </row>
    <row r="20" spans="1:18" ht="15">
      <c r="B20" s="309"/>
      <c r="C20" s="309" t="s">
        <v>192</v>
      </c>
      <c r="D20" s="309" t="s">
        <v>213</v>
      </c>
      <c r="E20" s="310">
        <v>2017</v>
      </c>
      <c r="F20" s="362">
        <v>4395</v>
      </c>
      <c r="G20" s="309">
        <v>3</v>
      </c>
      <c r="H20" s="342">
        <f>'Drive Hours Recap'!$J$27</f>
        <v>0.6864434547851086</v>
      </c>
      <c r="I20" s="311">
        <f>F20*H20</f>
        <v>3016.9189837805525</v>
      </c>
      <c r="J20" s="311">
        <f>I20/G20</f>
        <v>1005.6396612601842</v>
      </c>
      <c r="K20" s="343">
        <f>'Drive Hours Recap'!$E$32</f>
        <v>0.50156027946704529</v>
      </c>
      <c r="L20" s="344">
        <f>'Drive Hours Recap'!$E$33</f>
        <v>0.49843972053295477</v>
      </c>
      <c r="M20" s="345">
        <f>J20*K20</f>
        <v>504.38890954480274</v>
      </c>
      <c r="N20" s="345">
        <f>J20*L20</f>
        <v>501.25075171538151</v>
      </c>
      <c r="O20" s="345">
        <f>I20-(($A$2-E20)*J20)</f>
        <v>1005.6396612601841</v>
      </c>
      <c r="P20" s="345">
        <f>K20*O20</f>
        <v>504.38890954480269</v>
      </c>
      <c r="Q20" s="345">
        <f>O20*L20</f>
        <v>501.25075171538145</v>
      </c>
      <c r="R20" s="505" t="s">
        <v>242</v>
      </c>
    </row>
    <row r="21" spans="1:18" ht="15">
      <c r="B21" s="309"/>
      <c r="C21" s="203" t="s">
        <v>192</v>
      </c>
      <c r="D21" s="203" t="s">
        <v>212</v>
      </c>
      <c r="E21" s="203">
        <v>2019</v>
      </c>
      <c r="F21" s="362">
        <v>3203</v>
      </c>
      <c r="G21" s="203">
        <v>3</v>
      </c>
      <c r="H21" s="342">
        <f>'Drive Hours Recap'!$J$27</f>
        <v>0.6864434547851086</v>
      </c>
      <c r="I21" s="311">
        <f t="shared" ref="I21:I22" si="6">F21*H21</f>
        <v>2198.6783856767029</v>
      </c>
      <c r="J21" s="311">
        <f t="shared" ref="J21:J22" si="7">I21/G21</f>
        <v>732.89279522556762</v>
      </c>
      <c r="K21" s="343">
        <f>'Drive Hours Recap'!$E$32</f>
        <v>0.50156027946704529</v>
      </c>
      <c r="L21" s="344">
        <f>'Drive Hours Recap'!$E$33</f>
        <v>0.49843972053295477</v>
      </c>
      <c r="M21" s="345">
        <f t="shared" ref="M21:M22" si="8">J21*K21</f>
        <v>367.58991519271967</v>
      </c>
      <c r="N21" s="345">
        <f t="shared" ref="N21:N22" si="9">J21*L21</f>
        <v>365.30288003284795</v>
      </c>
      <c r="O21" s="345">
        <f t="shared" ref="O21:O22" si="10">I21-(($A$2-E21)*J21)</f>
        <v>2198.6783856767029</v>
      </c>
      <c r="P21" s="345">
        <f t="shared" ref="P21:P22" si="11">K21*O21</f>
        <v>1102.769745578159</v>
      </c>
      <c r="Q21" s="345">
        <f t="shared" ref="Q21:Q22" si="12">O21*L21</f>
        <v>1095.9086400985439</v>
      </c>
      <c r="R21" s="231" t="s">
        <v>242</v>
      </c>
    </row>
    <row r="22" spans="1:18" ht="15">
      <c r="B22" s="309"/>
      <c r="C22" s="203" t="s">
        <v>192</v>
      </c>
      <c r="D22" s="203" t="s">
        <v>371</v>
      </c>
      <c r="E22" s="203">
        <v>2019</v>
      </c>
      <c r="F22" s="362">
        <v>1652</v>
      </c>
      <c r="G22" s="203">
        <v>5</v>
      </c>
      <c r="H22" s="342">
        <f>'Drive Hours Recap'!$J$27</f>
        <v>0.6864434547851086</v>
      </c>
      <c r="I22" s="311">
        <f t="shared" si="6"/>
        <v>1134.0045873049994</v>
      </c>
      <c r="J22" s="311">
        <f t="shared" si="7"/>
        <v>226.80091746099987</v>
      </c>
      <c r="K22" s="343">
        <f>'Drive Hours Recap'!$E$32</f>
        <v>0.50156027946704529</v>
      </c>
      <c r="L22" s="344">
        <f>'Drive Hours Recap'!$E$33</f>
        <v>0.49843972053295477</v>
      </c>
      <c r="M22" s="345">
        <f t="shared" si="8"/>
        <v>113.75433154512136</v>
      </c>
      <c r="N22" s="345">
        <f t="shared" si="9"/>
        <v>113.04658591587851</v>
      </c>
      <c r="O22" s="345">
        <f t="shared" si="10"/>
        <v>1134.0045873049994</v>
      </c>
      <c r="P22" s="345">
        <f t="shared" si="11"/>
        <v>568.77165772560681</v>
      </c>
      <c r="Q22" s="345">
        <f t="shared" si="12"/>
        <v>565.23292957939259</v>
      </c>
      <c r="R22" s="505" t="s">
        <v>242</v>
      </c>
    </row>
    <row r="23" spans="1:18" ht="15">
      <c r="B23" s="309"/>
      <c r="C23" s="309" t="s">
        <v>193</v>
      </c>
      <c r="D23" s="309" t="s">
        <v>325</v>
      </c>
      <c r="E23" s="310">
        <v>2017</v>
      </c>
      <c r="F23" s="361">
        <v>41848</v>
      </c>
      <c r="G23" s="378">
        <v>5</v>
      </c>
      <c r="H23" s="363">
        <v>0</v>
      </c>
      <c r="I23" s="361"/>
      <c r="J23" s="361"/>
      <c r="K23" s="364"/>
      <c r="L23" s="365"/>
      <c r="M23" s="366"/>
      <c r="N23" s="366"/>
      <c r="O23" s="366"/>
      <c r="P23" s="366"/>
      <c r="Q23" s="366"/>
      <c r="R23" s="231" t="s">
        <v>241</v>
      </c>
    </row>
    <row r="24" spans="1:18" ht="15">
      <c r="B24" s="309"/>
      <c r="C24" s="309" t="s">
        <v>193</v>
      </c>
      <c r="D24" s="309" t="s">
        <v>326</v>
      </c>
      <c r="E24" s="310">
        <v>2017</v>
      </c>
      <c r="F24" s="361">
        <v>8599</v>
      </c>
      <c r="G24" s="378">
        <v>5</v>
      </c>
      <c r="H24" s="363">
        <v>0</v>
      </c>
      <c r="I24" s="361"/>
      <c r="J24" s="361"/>
      <c r="K24" s="364"/>
      <c r="L24" s="365"/>
      <c r="M24" s="366"/>
      <c r="N24" s="366"/>
      <c r="O24" s="366"/>
      <c r="P24" s="366"/>
      <c r="Q24" s="366"/>
      <c r="R24" s="231" t="s">
        <v>241</v>
      </c>
    </row>
    <row r="25" spans="1:18" ht="15">
      <c r="B25" s="309"/>
      <c r="C25" s="309" t="s">
        <v>194</v>
      </c>
      <c r="D25" s="309" t="s">
        <v>327</v>
      </c>
      <c r="E25" s="310">
        <v>2017</v>
      </c>
      <c r="F25" s="361">
        <v>1886</v>
      </c>
      <c r="G25" s="378">
        <v>5</v>
      </c>
      <c r="H25" s="363">
        <v>0</v>
      </c>
      <c r="I25" s="361"/>
      <c r="J25" s="361"/>
      <c r="K25" s="364"/>
      <c r="L25" s="365"/>
      <c r="M25" s="366"/>
      <c r="N25" s="366"/>
      <c r="O25" s="366"/>
      <c r="P25" s="366"/>
      <c r="Q25" s="366"/>
      <c r="R25" s="231" t="s">
        <v>242</v>
      </c>
    </row>
    <row r="26" spans="1:18" ht="15">
      <c r="B26" s="309"/>
      <c r="C26" s="309" t="s">
        <v>195</v>
      </c>
      <c r="D26" s="309" t="s">
        <v>217</v>
      </c>
      <c r="E26" s="310">
        <v>2017</v>
      </c>
      <c r="F26" s="362">
        <v>3283</v>
      </c>
      <c r="G26" s="309">
        <v>10</v>
      </c>
      <c r="H26" s="342">
        <v>1</v>
      </c>
      <c r="I26" s="311">
        <f t="shared" si="1"/>
        <v>3283</v>
      </c>
      <c r="J26" s="311">
        <f t="shared" ref="J26:J32" si="13">I26/G26</f>
        <v>328.3</v>
      </c>
      <c r="K26" s="343">
        <v>1</v>
      </c>
      <c r="L26" s="344">
        <v>0</v>
      </c>
      <c r="M26" s="345">
        <f t="shared" si="2"/>
        <v>328.3</v>
      </c>
      <c r="N26" s="345">
        <f t="shared" si="3"/>
        <v>0</v>
      </c>
      <c r="O26" s="345">
        <f>I26-(($A$2-E26)*J26)</f>
        <v>2626.4</v>
      </c>
      <c r="P26" s="345">
        <f t="shared" si="4"/>
        <v>2626.4</v>
      </c>
      <c r="Q26" s="345">
        <f t="shared" si="5"/>
        <v>0</v>
      </c>
    </row>
    <row r="27" spans="1:18" ht="15">
      <c r="A27" s="230"/>
      <c r="B27" s="309"/>
      <c r="C27" s="309" t="s">
        <v>196</v>
      </c>
      <c r="D27" s="309" t="s">
        <v>357</v>
      </c>
      <c r="E27" s="310">
        <v>2017</v>
      </c>
      <c r="F27" s="362">
        <v>3493</v>
      </c>
      <c r="G27" s="309">
        <v>5</v>
      </c>
      <c r="H27" s="342">
        <v>1</v>
      </c>
      <c r="I27" s="311">
        <f t="shared" si="1"/>
        <v>3493</v>
      </c>
      <c r="J27" s="311">
        <f t="shared" si="13"/>
        <v>698.6</v>
      </c>
      <c r="K27" s="343">
        <v>0</v>
      </c>
      <c r="L27" s="344">
        <v>1</v>
      </c>
      <c r="M27" s="345">
        <f t="shared" si="2"/>
        <v>0</v>
      </c>
      <c r="N27" s="345">
        <f t="shared" si="3"/>
        <v>698.6</v>
      </c>
      <c r="O27" s="345">
        <f>I27-(($A$2-E27)*J27)</f>
        <v>2095.8000000000002</v>
      </c>
      <c r="P27" s="345">
        <f t="shared" si="4"/>
        <v>0</v>
      </c>
      <c r="Q27" s="345">
        <f t="shared" si="5"/>
        <v>2095.8000000000002</v>
      </c>
    </row>
    <row r="28" spans="1:18" ht="15">
      <c r="A28" s="230"/>
      <c r="B28" s="309"/>
      <c r="C28" s="309" t="s">
        <v>196</v>
      </c>
      <c r="D28" s="309" t="s">
        <v>357</v>
      </c>
      <c r="E28" s="310">
        <v>2019</v>
      </c>
      <c r="F28" s="362">
        <v>26202.75</v>
      </c>
      <c r="G28" s="309">
        <v>5</v>
      </c>
      <c r="H28" s="342">
        <v>1</v>
      </c>
      <c r="I28" s="311">
        <f t="shared" si="1"/>
        <v>26202.75</v>
      </c>
      <c r="J28" s="311">
        <f t="shared" si="13"/>
        <v>5240.55</v>
      </c>
      <c r="K28" s="343">
        <v>0</v>
      </c>
      <c r="L28" s="344">
        <v>1</v>
      </c>
      <c r="M28" s="345">
        <f t="shared" si="2"/>
        <v>0</v>
      </c>
      <c r="N28" s="345">
        <f t="shared" si="3"/>
        <v>5240.55</v>
      </c>
      <c r="O28" s="345">
        <f>I28-J28</f>
        <v>20962.2</v>
      </c>
      <c r="P28" s="345">
        <f t="shared" si="4"/>
        <v>0</v>
      </c>
      <c r="Q28" s="345">
        <f t="shared" si="5"/>
        <v>20962.2</v>
      </c>
    </row>
    <row r="29" spans="1:18" ht="15">
      <c r="A29" s="230"/>
      <c r="B29" s="309"/>
      <c r="C29" s="309" t="s">
        <v>196</v>
      </c>
      <c r="D29" s="309" t="s">
        <v>370</v>
      </c>
      <c r="E29" s="310">
        <v>2019</v>
      </c>
      <c r="F29" s="362">
        <v>8386.2099999999991</v>
      </c>
      <c r="G29" s="309">
        <v>5</v>
      </c>
      <c r="H29" s="342">
        <v>1</v>
      </c>
      <c r="I29" s="311">
        <v>8386.2099999999991</v>
      </c>
      <c r="J29" s="311">
        <v>1644.24</v>
      </c>
      <c r="K29" s="343">
        <v>0</v>
      </c>
      <c r="L29" s="344">
        <v>1</v>
      </c>
      <c r="M29" s="345">
        <v>0</v>
      </c>
      <c r="N29" s="345">
        <v>1644.24</v>
      </c>
      <c r="O29" s="345"/>
      <c r="P29" s="345"/>
      <c r="Q29" s="345"/>
    </row>
    <row r="30" spans="1:18" ht="15">
      <c r="B30" s="309"/>
      <c r="C30" s="309" t="s">
        <v>197</v>
      </c>
      <c r="D30" s="309" t="s">
        <v>210</v>
      </c>
      <c r="E30" s="310">
        <v>2018</v>
      </c>
      <c r="F30" s="362">
        <v>3945</v>
      </c>
      <c r="G30" s="309">
        <v>10</v>
      </c>
      <c r="H30" s="342">
        <v>1</v>
      </c>
      <c r="I30" s="311">
        <f t="shared" si="1"/>
        <v>3945</v>
      </c>
      <c r="J30" s="311">
        <f t="shared" si="13"/>
        <v>394.5</v>
      </c>
      <c r="K30" s="343">
        <v>1</v>
      </c>
      <c r="L30" s="344">
        <v>0</v>
      </c>
      <c r="M30" s="345">
        <f>J30*K30</f>
        <v>394.5</v>
      </c>
      <c r="N30" s="345">
        <f t="shared" si="3"/>
        <v>0</v>
      </c>
      <c r="O30" s="345">
        <f>I30-(($A$2-E30)*J30)</f>
        <v>3550.5</v>
      </c>
      <c r="P30" s="345">
        <f t="shared" si="4"/>
        <v>3550.5</v>
      </c>
      <c r="Q30" s="345">
        <f t="shared" si="5"/>
        <v>0</v>
      </c>
    </row>
    <row r="31" spans="1:18" ht="15">
      <c r="B31" s="309"/>
      <c r="C31" s="309" t="s">
        <v>198</v>
      </c>
      <c r="D31" s="309" t="s">
        <v>328</v>
      </c>
      <c r="E31" s="310">
        <v>2018</v>
      </c>
      <c r="F31" s="361">
        <v>2710</v>
      </c>
      <c r="G31" s="378">
        <v>5</v>
      </c>
      <c r="H31" s="363">
        <v>0</v>
      </c>
      <c r="I31" s="361"/>
      <c r="J31" s="361"/>
      <c r="K31" s="364"/>
      <c r="L31" s="365"/>
      <c r="M31" s="366"/>
      <c r="N31" s="366"/>
      <c r="O31" s="366"/>
      <c r="P31" s="366"/>
      <c r="Q31" s="366"/>
      <c r="R31" s="231" t="s">
        <v>241</v>
      </c>
    </row>
    <row r="32" spans="1:18" ht="15">
      <c r="B32" s="309"/>
      <c r="C32" s="309" t="s">
        <v>197</v>
      </c>
      <c r="D32" s="309" t="s">
        <v>220</v>
      </c>
      <c r="E32" s="310">
        <v>2018</v>
      </c>
      <c r="F32" s="362">
        <v>1580</v>
      </c>
      <c r="G32" s="309">
        <v>10</v>
      </c>
      <c r="H32" s="342">
        <v>1</v>
      </c>
      <c r="I32" s="311">
        <f t="shared" si="1"/>
        <v>1580</v>
      </c>
      <c r="J32" s="311">
        <f t="shared" si="13"/>
        <v>158</v>
      </c>
      <c r="K32" s="343">
        <v>1</v>
      </c>
      <c r="L32" s="344">
        <v>0</v>
      </c>
      <c r="M32" s="345">
        <f t="shared" si="2"/>
        <v>158</v>
      </c>
      <c r="N32" s="345">
        <f t="shared" si="3"/>
        <v>0</v>
      </c>
      <c r="O32" s="345">
        <f>I32-(($A$2-E32)*J32)</f>
        <v>1422</v>
      </c>
      <c r="P32" s="345">
        <f t="shared" si="4"/>
        <v>1422</v>
      </c>
      <c r="Q32" s="345">
        <f t="shared" si="5"/>
        <v>0</v>
      </c>
    </row>
    <row r="33" spans="2:18" ht="15">
      <c r="B33" s="309"/>
      <c r="C33" s="309" t="s">
        <v>190</v>
      </c>
      <c r="D33" s="309" t="s">
        <v>330</v>
      </c>
      <c r="E33" s="310">
        <v>2018</v>
      </c>
      <c r="F33" s="361">
        <v>2270</v>
      </c>
      <c r="G33" s="378">
        <v>10</v>
      </c>
      <c r="H33" s="363">
        <v>0</v>
      </c>
      <c r="I33" s="361"/>
      <c r="J33" s="361"/>
      <c r="K33" s="364"/>
      <c r="L33" s="365"/>
      <c r="M33" s="366"/>
      <c r="N33" s="366"/>
      <c r="O33" s="366"/>
      <c r="P33" s="366"/>
      <c r="Q33" s="366"/>
      <c r="R33" s="231" t="s">
        <v>242</v>
      </c>
    </row>
    <row r="34" spans="2:18" ht="15">
      <c r="B34" s="309"/>
      <c r="C34" s="309" t="s">
        <v>190</v>
      </c>
      <c r="D34" s="309" t="s">
        <v>329</v>
      </c>
      <c r="E34" s="310">
        <v>2019</v>
      </c>
      <c r="F34" s="361">
        <v>3576.23</v>
      </c>
      <c r="G34" s="378">
        <v>10</v>
      </c>
      <c r="H34" s="363">
        <v>0</v>
      </c>
      <c r="I34" s="361"/>
      <c r="J34" s="361"/>
      <c r="K34" s="364"/>
      <c r="L34" s="365"/>
      <c r="M34" s="366"/>
      <c r="N34" s="366"/>
      <c r="O34" s="366"/>
      <c r="P34" s="366"/>
      <c r="Q34" s="366"/>
      <c r="R34" s="231"/>
    </row>
    <row r="35" spans="2:18" ht="15">
      <c r="B35" s="307"/>
      <c r="C35" s="309" t="s">
        <v>190</v>
      </c>
      <c r="D35" s="307" t="s">
        <v>311</v>
      </c>
      <c r="E35" s="308">
        <v>2019</v>
      </c>
      <c r="F35" s="367">
        <f>'Asset Verification'!E30</f>
        <v>11016</v>
      </c>
      <c r="G35" s="307">
        <v>5</v>
      </c>
      <c r="H35" s="347">
        <v>1</v>
      </c>
      <c r="I35" s="311">
        <f t="shared" ref="I35" si="14">F35*H35</f>
        <v>11016</v>
      </c>
      <c r="J35" s="311">
        <f t="shared" ref="J35" si="15">I35/G35</f>
        <v>2203.1999999999998</v>
      </c>
      <c r="K35" s="343">
        <v>0</v>
      </c>
      <c r="L35" s="344">
        <v>1</v>
      </c>
      <c r="M35" s="345">
        <f t="shared" ref="M35" si="16">J35*K35</f>
        <v>0</v>
      </c>
      <c r="N35" s="345">
        <f t="shared" ref="N35" si="17">J35*L35</f>
        <v>2203.1999999999998</v>
      </c>
      <c r="O35" s="345">
        <f>I35-J35</f>
        <v>8812.7999999999993</v>
      </c>
      <c r="P35" s="345">
        <f t="shared" ref="P35" si="18">K35*O35</f>
        <v>0</v>
      </c>
      <c r="Q35" s="345">
        <f t="shared" ref="Q35" si="19">O35*L35</f>
        <v>8812.7999999999993</v>
      </c>
      <c r="R35" s="231"/>
    </row>
    <row r="36" spans="2:18" ht="15">
      <c r="B36" s="307"/>
      <c r="C36" s="307"/>
      <c r="D36" s="307"/>
      <c r="E36" s="308"/>
      <c r="F36" s="346"/>
      <c r="G36" s="307"/>
      <c r="H36" s="347"/>
      <c r="I36" s="346"/>
      <c r="J36" s="346"/>
      <c r="K36" s="348"/>
      <c r="L36" s="349"/>
      <c r="M36" s="350"/>
      <c r="N36" s="350"/>
      <c r="O36" s="350"/>
      <c r="P36" s="350"/>
      <c r="Q36" s="350"/>
      <c r="R36" s="231"/>
    </row>
    <row r="37" spans="2:18" ht="15">
      <c r="B37" s="307"/>
      <c r="C37" s="307"/>
      <c r="D37" s="307"/>
      <c r="E37" s="308"/>
      <c r="F37" s="346"/>
      <c r="G37" s="307"/>
      <c r="H37" s="347"/>
      <c r="I37" s="346"/>
      <c r="J37" s="346"/>
      <c r="K37" s="348"/>
      <c r="L37" s="349"/>
      <c r="M37" s="350"/>
      <c r="N37" s="350"/>
      <c r="O37" s="350"/>
      <c r="P37" s="350"/>
      <c r="Q37" s="350"/>
      <c r="R37" s="231"/>
    </row>
    <row r="38" spans="2:18" ht="15">
      <c r="B38" s="351"/>
      <c r="C38" s="351"/>
      <c r="D38" s="351"/>
      <c r="E38" s="352"/>
      <c r="F38" s="353"/>
      <c r="G38" s="351"/>
      <c r="H38" s="354"/>
      <c r="I38" s="353"/>
      <c r="J38" s="353"/>
      <c r="K38" s="355"/>
      <c r="L38" s="356"/>
      <c r="M38" s="357"/>
      <c r="N38" s="357"/>
      <c r="O38" s="357"/>
      <c r="P38" s="357"/>
      <c r="Q38" s="357"/>
      <c r="R38" s="231"/>
    </row>
    <row r="39" spans="2:18" ht="13.5" customHeight="1">
      <c r="F39" s="297">
        <f>SUM(F8:F38)</f>
        <v>252563.66999999998</v>
      </c>
      <c r="J39" s="297">
        <f>SUM(J8:J38)</f>
        <v>35137.560766383322</v>
      </c>
      <c r="M39" s="298">
        <f>SUM(M8:M38)</f>
        <v>20807.664371877265</v>
      </c>
      <c r="N39" s="298">
        <f>SUM(N8:N38)</f>
        <v>14329.896394506053</v>
      </c>
      <c r="O39" s="298">
        <f t="shared" ref="O39" si="20">SUM(O8:O38)</f>
        <v>133660.23341911501</v>
      </c>
      <c r="P39" s="298">
        <f>SUM(P8:P38)</f>
        <v>86099.628744037807</v>
      </c>
      <c r="Q39" s="298">
        <f>SUM(Q8:Q38)</f>
        <v>47560.604675077208</v>
      </c>
    </row>
    <row r="41" spans="2:18">
      <c r="B41" s="231" t="s">
        <v>230</v>
      </c>
      <c r="M41" s="569" t="s">
        <v>259</v>
      </c>
      <c r="N41" s="569"/>
      <c r="P41" s="569" t="s">
        <v>104</v>
      </c>
      <c r="Q41" s="569"/>
    </row>
    <row r="42" spans="2:18">
      <c r="B42" s="231" t="s">
        <v>231</v>
      </c>
      <c r="M42" s="259" t="s">
        <v>166</v>
      </c>
      <c r="N42" s="259" t="s">
        <v>167</v>
      </c>
      <c r="O42" s="268"/>
      <c r="P42" s="259" t="s">
        <v>166</v>
      </c>
      <c r="Q42" s="259" t="s">
        <v>167</v>
      </c>
    </row>
    <row r="43" spans="2:18">
      <c r="L43" s="270" t="s">
        <v>256</v>
      </c>
      <c r="M43" s="260">
        <f>M39</f>
        <v>20807.664371877265</v>
      </c>
      <c r="N43" s="260">
        <f>N39</f>
        <v>14329.896394506053</v>
      </c>
      <c r="O43" s="269"/>
      <c r="P43" s="260">
        <f>P39</f>
        <v>86099.628744037807</v>
      </c>
      <c r="Q43" s="260">
        <f>Q39</f>
        <v>47560.604675077208</v>
      </c>
      <c r="R43" s="237">
        <f>P43+Q43</f>
        <v>133660.23341911501</v>
      </c>
    </row>
    <row r="44" spans="2:18">
      <c r="C44" s="236" t="s">
        <v>170</v>
      </c>
      <c r="N44" s="237"/>
    </row>
    <row r="45" spans="2:18" ht="15">
      <c r="C45" s="235" t="s">
        <v>243</v>
      </c>
      <c r="I45" s="237"/>
      <c r="L45" s="270" t="s">
        <v>331</v>
      </c>
      <c r="M45" s="237">
        <f>M43/2</f>
        <v>10403.832185938632</v>
      </c>
      <c r="N45" s="237">
        <f>N43/2</f>
        <v>7164.9481972530266</v>
      </c>
      <c r="O45" s="237">
        <f>M45+N45</f>
        <v>17568.780383191661</v>
      </c>
    </row>
    <row r="46" spans="2:18" ht="15">
      <c r="C46" s="232" t="s">
        <v>244</v>
      </c>
      <c r="L46" s="368"/>
      <c r="M46" s="368"/>
      <c r="N46" s="368"/>
      <c r="O46" s="368"/>
      <c r="P46" s="368"/>
      <c r="Q46" s="368"/>
    </row>
    <row r="47" spans="2:18">
      <c r="L47" s="369"/>
      <c r="M47" s="370"/>
      <c r="N47" s="370"/>
      <c r="O47" s="368"/>
      <c r="P47" s="370"/>
      <c r="Q47" s="370"/>
    </row>
    <row r="48" spans="2:18">
      <c r="L48" s="369"/>
      <c r="M48" s="370"/>
      <c r="N48" s="370"/>
      <c r="O48" s="368"/>
      <c r="P48" s="370"/>
      <c r="Q48" s="370"/>
    </row>
    <row r="49" spans="3:17">
      <c r="L49" s="369"/>
      <c r="M49" s="370"/>
      <c r="N49" s="370"/>
      <c r="O49" s="368"/>
      <c r="P49" s="370"/>
      <c r="Q49" s="370"/>
    </row>
    <row r="50" spans="3:17">
      <c r="L50" s="369"/>
      <c r="M50" s="368"/>
      <c r="N50" s="368"/>
      <c r="O50" s="368"/>
      <c r="P50" s="368"/>
      <c r="Q50" s="368"/>
    </row>
    <row r="51" spans="3:17">
      <c r="L51" s="369"/>
      <c r="M51" s="370"/>
      <c r="N51" s="370"/>
      <c r="O51" s="368"/>
      <c r="P51" s="370"/>
      <c r="Q51" s="370"/>
    </row>
    <row r="52" spans="3:17" ht="30">
      <c r="C52" s="230" t="s">
        <v>348</v>
      </c>
      <c r="D52" s="230"/>
      <c r="E52" s="230"/>
      <c r="F52" s="230"/>
      <c r="G52" s="564" t="s">
        <v>225</v>
      </c>
      <c r="H52" s="261" t="s">
        <v>240</v>
      </c>
      <c r="I52" s="230"/>
      <c r="J52" s="230"/>
      <c r="K52" s="566"/>
      <c r="L52" s="566"/>
      <c r="M52" s="567" t="s">
        <v>144</v>
      </c>
      <c r="N52" s="568"/>
      <c r="O52" s="230"/>
      <c r="P52" s="567" t="s">
        <v>104</v>
      </c>
      <c r="Q52" s="568"/>
    </row>
    <row r="53" spans="3:17" ht="15" customHeight="1">
      <c r="C53" s="263" t="s">
        <v>186</v>
      </c>
      <c r="D53" s="264" t="s">
        <v>203</v>
      </c>
      <c r="E53" s="265" t="s">
        <v>224</v>
      </c>
      <c r="F53" s="265" t="s">
        <v>103</v>
      </c>
      <c r="G53" s="565"/>
      <c r="H53" s="263" t="s">
        <v>227</v>
      </c>
      <c r="I53" s="263" t="s">
        <v>235</v>
      </c>
      <c r="J53" s="263" t="s">
        <v>228</v>
      </c>
      <c r="K53" s="263" t="s">
        <v>166</v>
      </c>
      <c r="L53" s="263" t="s">
        <v>167</v>
      </c>
      <c r="M53" s="263" t="s">
        <v>166</v>
      </c>
      <c r="N53" s="263" t="s">
        <v>167</v>
      </c>
      <c r="O53" s="263" t="s">
        <v>104</v>
      </c>
      <c r="P53" s="263" t="s">
        <v>166</v>
      </c>
      <c r="Q53" s="377" t="s">
        <v>167</v>
      </c>
    </row>
    <row r="54" spans="3:17" ht="15">
      <c r="C54" s="358" t="s">
        <v>187</v>
      </c>
      <c r="D54" s="358" t="s">
        <v>187</v>
      </c>
      <c r="E54" s="358" t="s">
        <v>222</v>
      </c>
      <c r="F54" s="359" t="s">
        <v>223</v>
      </c>
      <c r="G54" s="358" t="s">
        <v>222</v>
      </c>
      <c r="H54" s="358" t="s">
        <v>226</v>
      </c>
      <c r="I54" s="358" t="s">
        <v>76</v>
      </c>
      <c r="J54" s="358" t="s">
        <v>144</v>
      </c>
      <c r="K54" s="358" t="s">
        <v>226</v>
      </c>
      <c r="L54" s="358" t="s">
        <v>226</v>
      </c>
      <c r="M54" s="358"/>
      <c r="N54" s="358"/>
      <c r="O54" s="358"/>
      <c r="P54" s="358"/>
      <c r="Q54" s="360"/>
    </row>
    <row r="55" spans="3:17" ht="15">
      <c r="C55" s="309" t="s">
        <v>193</v>
      </c>
      <c r="D55" s="309" t="s">
        <v>325</v>
      </c>
      <c r="E55" s="310">
        <v>2017</v>
      </c>
      <c r="F55" s="361">
        <v>41848</v>
      </c>
      <c r="G55" s="378">
        <v>5</v>
      </c>
      <c r="H55" s="363">
        <v>1</v>
      </c>
      <c r="I55" s="361">
        <f t="shared" ref="I55:I56" si="21">F55*H55</f>
        <v>41848</v>
      </c>
      <c r="J55" s="361">
        <f t="shared" ref="J55:J56" si="22">I55/G55</f>
        <v>8369.6</v>
      </c>
      <c r="K55" s="364">
        <f>'Drive Hours Recap'!$E$32</f>
        <v>0.50156027946704529</v>
      </c>
      <c r="L55" s="365">
        <f>'Drive Hours Recap'!$E$33</f>
        <v>0.49843972053295477</v>
      </c>
      <c r="M55" s="366">
        <f t="shared" ref="M55:M56" si="23">J55*K55</f>
        <v>4197.8589150273829</v>
      </c>
      <c r="N55" s="366">
        <f t="shared" ref="N55:N56" si="24">J55*L55</f>
        <v>4171.7410849726184</v>
      </c>
      <c r="O55" s="366">
        <f>I55-(($A$2-E55)*J55)</f>
        <v>25108.799999999999</v>
      </c>
      <c r="P55" s="366">
        <f t="shared" ref="P55:P56" si="25">K55*O55</f>
        <v>12593.576745082146</v>
      </c>
      <c r="Q55" s="366">
        <f t="shared" ref="Q55:Q56" si="26">O55*L55</f>
        <v>12515.223254917853</v>
      </c>
    </row>
    <row r="56" spans="3:17" ht="15">
      <c r="C56" s="309" t="s">
        <v>193</v>
      </c>
      <c r="D56" s="309" t="s">
        <v>326</v>
      </c>
      <c r="E56" s="310">
        <v>2017</v>
      </c>
      <c r="F56" s="361">
        <v>8599</v>
      </c>
      <c r="G56" s="378">
        <v>5</v>
      </c>
      <c r="H56" s="363">
        <v>1</v>
      </c>
      <c r="I56" s="361">
        <f t="shared" si="21"/>
        <v>8599</v>
      </c>
      <c r="J56" s="361">
        <f t="shared" si="22"/>
        <v>1719.8</v>
      </c>
      <c r="K56" s="364">
        <f>'Drive Hours Recap'!$E$32</f>
        <v>0.50156027946704529</v>
      </c>
      <c r="L56" s="365">
        <f>'Drive Hours Recap'!$E$33</f>
        <v>0.49843972053295477</v>
      </c>
      <c r="M56" s="366">
        <f t="shared" si="23"/>
        <v>862.58336862742442</v>
      </c>
      <c r="N56" s="366">
        <f t="shared" si="24"/>
        <v>857.21663137257553</v>
      </c>
      <c r="O56" s="366">
        <f t="shared" ref="O56" si="27">I56-(($A$2-E56)*J56)</f>
        <v>5159.3999999999996</v>
      </c>
      <c r="P56" s="366">
        <f t="shared" si="25"/>
        <v>2587.7501058822731</v>
      </c>
      <c r="Q56" s="366">
        <f t="shared" si="26"/>
        <v>2571.6498941177265</v>
      </c>
    </row>
    <row r="57" spans="3:17" ht="15">
      <c r="C57" s="309" t="s">
        <v>194</v>
      </c>
      <c r="D57" s="309" t="s">
        <v>327</v>
      </c>
      <c r="E57" s="310">
        <v>2017</v>
      </c>
      <c r="F57" s="361">
        <v>1886</v>
      </c>
      <c r="G57" s="378">
        <v>5</v>
      </c>
      <c r="H57" s="363">
        <v>1</v>
      </c>
      <c r="I57" s="361">
        <f t="shared" ref="I57" si="28">F57*H57</f>
        <v>1886</v>
      </c>
      <c r="J57" s="361">
        <f t="shared" ref="J57" si="29">I57/G57</f>
        <v>377.2</v>
      </c>
      <c r="K57" s="364">
        <f>'Drive Hours Recap'!$E$32</f>
        <v>0.50156027946704529</v>
      </c>
      <c r="L57" s="365">
        <f>'Drive Hours Recap'!$E$33</f>
        <v>0.49843972053295477</v>
      </c>
      <c r="M57" s="366">
        <f t="shared" ref="M57" si="30">J57*K57</f>
        <v>189.18853741496949</v>
      </c>
      <c r="N57" s="366">
        <f t="shared" ref="N57" si="31">J57*L57</f>
        <v>188.01146258503053</v>
      </c>
      <c r="O57" s="366">
        <f>I57-(($A$2-E57)*J57)</f>
        <v>1131.5999999999999</v>
      </c>
      <c r="P57" s="366">
        <f>K57*O57</f>
        <v>567.56561224490838</v>
      </c>
      <c r="Q57" s="366">
        <f t="shared" ref="Q57" si="32">O57*L57</f>
        <v>564.03438775509153</v>
      </c>
    </row>
    <row r="58" spans="3:17" ht="15">
      <c r="C58" s="309" t="s">
        <v>198</v>
      </c>
      <c r="D58" s="309" t="s">
        <v>328</v>
      </c>
      <c r="E58" s="310">
        <v>2018</v>
      </c>
      <c r="F58" s="361">
        <v>2710</v>
      </c>
      <c r="G58" s="378">
        <v>5</v>
      </c>
      <c r="H58" s="363">
        <v>1</v>
      </c>
      <c r="I58" s="361">
        <f t="shared" ref="I58:I60" si="33">F58*H58</f>
        <v>2710</v>
      </c>
      <c r="J58" s="361">
        <f t="shared" ref="J58:J64" si="34">I58/G58</f>
        <v>542</v>
      </c>
      <c r="K58" s="364">
        <f>'Drive Hours Recap'!$E$32</f>
        <v>0.50156027946704529</v>
      </c>
      <c r="L58" s="365">
        <f>'Drive Hours Recap'!$E$33</f>
        <v>0.49843972053295477</v>
      </c>
      <c r="M58" s="366">
        <f t="shared" ref="M58:M60" si="35">J58*K58</f>
        <v>271.84567147113853</v>
      </c>
      <c r="N58" s="366">
        <f t="shared" ref="N58:N64" si="36">J58*L58</f>
        <v>270.15432852886147</v>
      </c>
      <c r="O58" s="366">
        <f t="shared" ref="O58:O60" si="37">I58-(($A$2-E58)*J58)</f>
        <v>2168</v>
      </c>
      <c r="P58" s="366">
        <f t="shared" ref="P58:P60" si="38">K58*O58</f>
        <v>1087.3826858845541</v>
      </c>
      <c r="Q58" s="366">
        <f t="shared" ref="Q58:Q64" si="39">O58*L58</f>
        <v>1080.6173141154459</v>
      </c>
    </row>
    <row r="59" spans="3:17" ht="15">
      <c r="C59" s="309" t="s">
        <v>190</v>
      </c>
      <c r="D59" s="309" t="s">
        <v>330</v>
      </c>
      <c r="E59" s="310">
        <v>2018</v>
      </c>
      <c r="F59" s="361">
        <v>2270</v>
      </c>
      <c r="G59" s="378">
        <v>10</v>
      </c>
      <c r="H59" s="363">
        <v>1</v>
      </c>
      <c r="I59" s="361">
        <f t="shared" si="33"/>
        <v>2270</v>
      </c>
      <c r="J59" s="361">
        <f t="shared" si="34"/>
        <v>227</v>
      </c>
      <c r="K59" s="364">
        <f>'Drive Hours Recap'!$E$32</f>
        <v>0.50156027946704529</v>
      </c>
      <c r="L59" s="365">
        <f>'Drive Hours Recap'!$E$33</f>
        <v>0.49843972053295477</v>
      </c>
      <c r="M59" s="366">
        <f t="shared" si="35"/>
        <v>113.85418343901928</v>
      </c>
      <c r="N59" s="366">
        <f t="shared" si="36"/>
        <v>113.14581656098073</v>
      </c>
      <c r="O59" s="366">
        <f t="shared" si="37"/>
        <v>2043</v>
      </c>
      <c r="P59" s="366">
        <f t="shared" si="38"/>
        <v>1024.6876509511735</v>
      </c>
      <c r="Q59" s="366">
        <f t="shared" si="39"/>
        <v>1018.3123490488266</v>
      </c>
    </row>
    <row r="60" spans="3:17" ht="15">
      <c r="C60" s="309" t="s">
        <v>190</v>
      </c>
      <c r="D60" s="309" t="s">
        <v>329</v>
      </c>
      <c r="E60" s="310">
        <v>2019</v>
      </c>
      <c r="F60" s="361">
        <v>3576.23</v>
      </c>
      <c r="G60" s="378">
        <v>10</v>
      </c>
      <c r="H60" s="363">
        <v>1</v>
      </c>
      <c r="I60" s="361">
        <f t="shared" si="33"/>
        <v>3576.23</v>
      </c>
      <c r="J60" s="361">
        <f t="shared" si="34"/>
        <v>357.62299999999999</v>
      </c>
      <c r="K60" s="364">
        <f>'Drive Hours Recap'!$E$32</f>
        <v>0.50156027946704529</v>
      </c>
      <c r="L60" s="365">
        <f>'Drive Hours Recap'!$E$33</f>
        <v>0.49843972053295477</v>
      </c>
      <c r="M60" s="366">
        <f t="shared" si="35"/>
        <v>179.36949182384313</v>
      </c>
      <c r="N60" s="366">
        <f t="shared" si="36"/>
        <v>178.25350817615688</v>
      </c>
      <c r="O60" s="366">
        <f t="shared" si="37"/>
        <v>3576.23</v>
      </c>
      <c r="P60" s="366">
        <f t="shared" si="38"/>
        <v>1793.6949182384315</v>
      </c>
      <c r="Q60" s="366">
        <f t="shared" si="39"/>
        <v>1782.5350817615688</v>
      </c>
    </row>
    <row r="61" spans="3:17" ht="15">
      <c r="C61" s="309" t="s">
        <v>192</v>
      </c>
      <c r="D61" s="309" t="s">
        <v>212</v>
      </c>
      <c r="E61" s="310">
        <v>2019</v>
      </c>
      <c r="F61" s="362">
        <f>F19</f>
        <v>3189</v>
      </c>
      <c r="G61" s="309">
        <v>3</v>
      </c>
      <c r="H61" s="342">
        <f>1-H19</f>
        <v>0.3135565452148914</v>
      </c>
      <c r="I61" s="311">
        <f>F61*H61</f>
        <v>999.93182269028864</v>
      </c>
      <c r="J61" s="311">
        <f t="shared" si="34"/>
        <v>333.31060756342953</v>
      </c>
      <c r="K61" s="343">
        <f>'Drive Hours Recap'!$E$32</f>
        <v>0.50156027946704529</v>
      </c>
      <c r="L61" s="344">
        <f>'Drive Hours Recap'!E33</f>
        <v>0.49843972053295477</v>
      </c>
      <c r="M61" s="345">
        <f>J61*K61</f>
        <v>167.17536147884437</v>
      </c>
      <c r="N61" s="345">
        <f t="shared" si="36"/>
        <v>166.13524608458516</v>
      </c>
      <c r="O61" s="345">
        <f>I61-J61</f>
        <v>666.62121512685917</v>
      </c>
      <c r="P61" s="345">
        <f>K61*O61</f>
        <v>334.35072295768879</v>
      </c>
      <c r="Q61" s="345">
        <f t="shared" si="39"/>
        <v>332.27049216917038</v>
      </c>
    </row>
    <row r="62" spans="3:17" ht="15">
      <c r="C62" s="309" t="s">
        <v>192</v>
      </c>
      <c r="D62" s="309" t="s">
        <v>212</v>
      </c>
      <c r="E62" s="310">
        <v>2019</v>
      </c>
      <c r="F62" s="362">
        <v>3203</v>
      </c>
      <c r="G62" s="309">
        <v>3</v>
      </c>
      <c r="H62" s="342">
        <f>1-H20</f>
        <v>0.3135565452148914</v>
      </c>
      <c r="I62" s="311">
        <f t="shared" ref="I62:I64" si="40">F62*H62</f>
        <v>1004.3216143232971</v>
      </c>
      <c r="J62" s="311">
        <f t="shared" si="34"/>
        <v>334.77387144109906</v>
      </c>
      <c r="K62" s="343">
        <f>'Drive Hours Recap'!$E$32</f>
        <v>0.50156027946704529</v>
      </c>
      <c r="L62" s="344">
        <f>'Drive Hours Recap'!E34</f>
        <v>1</v>
      </c>
      <c r="M62" s="345">
        <f t="shared" ref="M62:M64" si="41">J62*K62</f>
        <v>167.90927651826235</v>
      </c>
      <c r="N62" s="345">
        <f t="shared" si="36"/>
        <v>334.77387144109906</v>
      </c>
      <c r="O62" s="345">
        <f t="shared" ref="O62:O64" si="42">I62-J62</f>
        <v>669.54774288219801</v>
      </c>
      <c r="P62" s="345">
        <f t="shared" ref="P62:P64" si="43">K62*O62</f>
        <v>335.81855303652463</v>
      </c>
      <c r="Q62" s="345">
        <f t="shared" si="39"/>
        <v>669.54774288219801</v>
      </c>
    </row>
    <row r="63" spans="3:17" ht="15">
      <c r="C63" s="309" t="s">
        <v>192</v>
      </c>
      <c r="D63" s="309" t="s">
        <v>371</v>
      </c>
      <c r="E63" s="310">
        <v>2019</v>
      </c>
      <c r="F63" s="362">
        <v>1651.88</v>
      </c>
      <c r="G63" s="309">
        <v>5</v>
      </c>
      <c r="H63" s="342">
        <f>1-H21</f>
        <v>0.3135565452148914</v>
      </c>
      <c r="I63" s="311">
        <f t="shared" si="40"/>
        <v>517.9577859095748</v>
      </c>
      <c r="J63" s="311">
        <f t="shared" si="34"/>
        <v>103.59155718191496</v>
      </c>
      <c r="K63" s="343">
        <f>'Drive Hours Recap'!$E$32</f>
        <v>0.50156027946704529</v>
      </c>
      <c r="L63" s="344">
        <f>'Drive Hours Recap'!E35</f>
        <v>0</v>
      </c>
      <c r="M63" s="345">
        <f t="shared" si="41"/>
        <v>51.957410370587674</v>
      </c>
      <c r="N63" s="345">
        <f t="shared" si="36"/>
        <v>0</v>
      </c>
      <c r="O63" s="345">
        <f t="shared" si="42"/>
        <v>414.36622872765986</v>
      </c>
      <c r="P63" s="345">
        <f t="shared" si="43"/>
        <v>207.8296414823507</v>
      </c>
      <c r="Q63" s="345">
        <f t="shared" si="39"/>
        <v>0</v>
      </c>
    </row>
    <row r="64" spans="3:17" ht="15">
      <c r="C64" s="309" t="s">
        <v>192</v>
      </c>
      <c r="D64" s="309" t="s">
        <v>213</v>
      </c>
      <c r="E64" s="310">
        <v>2017</v>
      </c>
      <c r="F64" s="362">
        <v>4395</v>
      </c>
      <c r="G64" s="309">
        <v>3</v>
      </c>
      <c r="H64" s="342">
        <f t="shared" ref="H64" si="44">1-H23</f>
        <v>1</v>
      </c>
      <c r="I64" s="311">
        <f t="shared" si="40"/>
        <v>4395</v>
      </c>
      <c r="J64" s="311">
        <f t="shared" si="34"/>
        <v>1465</v>
      </c>
      <c r="K64" s="343">
        <f>'Drive Hours Recap'!$E$32</f>
        <v>0.50156027946704529</v>
      </c>
      <c r="L64" s="344">
        <f>'Drive Hours Recap'!E36</f>
        <v>0</v>
      </c>
      <c r="M64" s="345">
        <f t="shared" si="41"/>
        <v>734.78580941922132</v>
      </c>
      <c r="N64" s="345">
        <f t="shared" si="36"/>
        <v>0</v>
      </c>
      <c r="O64" s="390">
        <f t="shared" si="42"/>
        <v>2930</v>
      </c>
      <c r="P64" s="345">
        <f t="shared" si="43"/>
        <v>1469.5716188384426</v>
      </c>
      <c r="Q64" s="345">
        <f t="shared" si="39"/>
        <v>0</v>
      </c>
    </row>
    <row r="65" spans="10:15">
      <c r="J65" s="237">
        <f>SUM(J55:J64)</f>
        <v>13829.899036186443</v>
      </c>
      <c r="O65" s="237">
        <f>SUM(O55:O64)</f>
        <v>43867.565186736712</v>
      </c>
    </row>
    <row r="67" spans="10:15">
      <c r="J67" s="237">
        <f>J65/2</f>
        <v>6914.9495180932217</v>
      </c>
    </row>
    <row r="68" spans="10:15">
      <c r="M68" s="237"/>
    </row>
  </sheetData>
  <mergeCells count="10">
    <mergeCell ref="G52:G53"/>
    <mergeCell ref="K52:L52"/>
    <mergeCell ref="M52:N52"/>
    <mergeCell ref="P52:Q52"/>
    <mergeCell ref="K5:L5"/>
    <mergeCell ref="M5:N5"/>
    <mergeCell ref="P5:Q5"/>
    <mergeCell ref="G5:G6"/>
    <mergeCell ref="M41:N41"/>
    <mergeCell ref="P41:Q4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'https://stateofwa-my.sharepoint.com/Users/myoung215/AppData/Local/Microsoft/Windows/INetCache/Content.Outlook/BZZ6GHZH/[Staff Gary''s Garbage rate case 3.xlsx]Depn  Summary'!#REF!</xm:f>
          </x14:formula1>
          <xm:sqref>C8:C38 C55:C64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2:G40"/>
  <sheetViews>
    <sheetView workbookViewId="0">
      <selection activeCell="C51" sqref="C51"/>
    </sheetView>
  </sheetViews>
  <sheetFormatPr defaultRowHeight="15"/>
  <cols>
    <col min="1" max="1" width="8.88671875" style="312"/>
    <col min="2" max="2" width="31" style="312" customWidth="1"/>
    <col min="3" max="3" width="30.5546875" style="312" customWidth="1"/>
    <col min="4" max="4" width="8.88671875" style="312"/>
    <col min="5" max="5" width="14.109375" style="312" customWidth="1"/>
    <col min="6" max="6" width="2.44140625" style="312" customWidth="1"/>
    <col min="7" max="7" width="46.33203125" style="312" customWidth="1"/>
    <col min="8" max="16384" width="8.88671875" style="312"/>
  </cols>
  <sheetData>
    <row r="2" spans="1:7">
      <c r="B2" s="313" t="s">
        <v>240</v>
      </c>
    </row>
    <row r="3" spans="1:7">
      <c r="B3" s="314" t="s">
        <v>313</v>
      </c>
    </row>
    <row r="4" spans="1:7">
      <c r="B4" s="315" t="s">
        <v>314</v>
      </c>
    </row>
    <row r="5" spans="1:7">
      <c r="B5" s="316" t="s">
        <v>315</v>
      </c>
    </row>
    <row r="6" spans="1:7" ht="30">
      <c r="B6" s="312" t="s">
        <v>306</v>
      </c>
      <c r="C6" s="312" t="s">
        <v>307</v>
      </c>
      <c r="D6" s="312" t="s">
        <v>224</v>
      </c>
      <c r="E6" s="317" t="s">
        <v>312</v>
      </c>
      <c r="G6" s="312" t="s">
        <v>309</v>
      </c>
    </row>
    <row r="7" spans="1:7">
      <c r="A7" s="318" t="s">
        <v>201</v>
      </c>
      <c r="B7" s="319" t="s">
        <v>189</v>
      </c>
      <c r="C7" s="319" t="s">
        <v>207</v>
      </c>
      <c r="D7" s="320">
        <v>2018</v>
      </c>
      <c r="E7" s="321">
        <v>16000</v>
      </c>
      <c r="F7" s="322"/>
    </row>
    <row r="8" spans="1:7">
      <c r="A8" s="324" t="s">
        <v>200</v>
      </c>
      <c r="B8" s="319" t="s">
        <v>189</v>
      </c>
      <c r="C8" s="319" t="s">
        <v>208</v>
      </c>
      <c r="D8" s="320">
        <v>2019</v>
      </c>
      <c r="E8" s="325">
        <v>0</v>
      </c>
      <c r="F8" s="322"/>
      <c r="G8" s="312" t="s">
        <v>318</v>
      </c>
    </row>
    <row r="9" spans="1:7">
      <c r="A9" s="324" t="s">
        <v>202</v>
      </c>
      <c r="B9" s="319" t="s">
        <v>189</v>
      </c>
      <c r="C9" s="319" t="s">
        <v>206</v>
      </c>
      <c r="D9" s="320">
        <v>2019</v>
      </c>
      <c r="E9" s="321">
        <f>5750+4085</f>
        <v>9835</v>
      </c>
      <c r="F9" s="322"/>
    </row>
    <row r="10" spans="1:7">
      <c r="A10" s="324" t="s">
        <v>202</v>
      </c>
      <c r="B10" s="319" t="s">
        <v>190</v>
      </c>
      <c r="C10" s="319" t="s">
        <v>209</v>
      </c>
      <c r="D10" s="320">
        <v>2018</v>
      </c>
      <c r="E10" s="321">
        <v>3777</v>
      </c>
      <c r="F10" s="322"/>
    </row>
    <row r="11" spans="1:7">
      <c r="A11" s="318" t="s">
        <v>201</v>
      </c>
      <c r="B11" s="319" t="s">
        <v>191</v>
      </c>
      <c r="C11" s="319" t="s">
        <v>210</v>
      </c>
      <c r="D11" s="320">
        <v>2017</v>
      </c>
      <c r="E11" s="321">
        <v>3875</v>
      </c>
      <c r="F11" s="322"/>
    </row>
    <row r="12" spans="1:7">
      <c r="A12" s="324" t="s">
        <v>202</v>
      </c>
      <c r="B12" s="319" t="s">
        <v>190</v>
      </c>
      <c r="C12" s="319" t="s">
        <v>211</v>
      </c>
      <c r="D12" s="320">
        <v>2019</v>
      </c>
      <c r="E12" s="321">
        <v>17185.48</v>
      </c>
      <c r="F12" s="322"/>
    </row>
    <row r="13" spans="1:7">
      <c r="A13" s="324" t="s">
        <v>200</v>
      </c>
      <c r="B13" s="319" t="s">
        <v>192</v>
      </c>
      <c r="C13" s="319" t="s">
        <v>212</v>
      </c>
      <c r="D13" s="320">
        <v>2019</v>
      </c>
      <c r="E13" s="321">
        <v>3189</v>
      </c>
      <c r="F13" s="322"/>
    </row>
    <row r="14" spans="1:7">
      <c r="A14" s="326" t="s">
        <v>201</v>
      </c>
      <c r="B14" s="319" t="s">
        <v>192</v>
      </c>
      <c r="C14" s="319" t="s">
        <v>213</v>
      </c>
      <c r="D14" s="320">
        <v>2017</v>
      </c>
      <c r="E14" s="321">
        <v>4395</v>
      </c>
      <c r="F14" s="322"/>
    </row>
    <row r="15" spans="1:7">
      <c r="A15" s="327" t="s">
        <v>201</v>
      </c>
      <c r="B15" s="328" t="s">
        <v>193</v>
      </c>
      <c r="C15" s="328" t="s">
        <v>214</v>
      </c>
      <c r="D15" s="329">
        <v>2017</v>
      </c>
      <c r="E15" s="330">
        <v>41848</v>
      </c>
      <c r="F15" s="330"/>
      <c r="G15" s="313"/>
    </row>
    <row r="16" spans="1:7">
      <c r="A16" s="327" t="s">
        <v>201</v>
      </c>
      <c r="B16" s="328" t="s">
        <v>193</v>
      </c>
      <c r="C16" s="328" t="s">
        <v>215</v>
      </c>
      <c r="D16" s="329">
        <v>2017</v>
      </c>
      <c r="E16" s="330">
        <v>8599</v>
      </c>
      <c r="F16" s="330"/>
      <c r="G16" s="313"/>
    </row>
    <row r="17" spans="1:7">
      <c r="A17" s="326" t="s">
        <v>201</v>
      </c>
      <c r="B17" s="319" t="s">
        <v>194</v>
      </c>
      <c r="C17" s="319" t="s">
        <v>216</v>
      </c>
      <c r="D17" s="320">
        <v>2017</v>
      </c>
      <c r="E17" s="325">
        <v>1886</v>
      </c>
      <c r="F17" s="325"/>
      <c r="G17" s="331" t="s">
        <v>319</v>
      </c>
    </row>
    <row r="18" spans="1:7">
      <c r="A18" s="318" t="s">
        <v>201</v>
      </c>
      <c r="B18" s="319" t="s">
        <v>195</v>
      </c>
      <c r="C18" s="319" t="s">
        <v>217</v>
      </c>
      <c r="D18" s="320">
        <v>2017</v>
      </c>
      <c r="E18" s="321">
        <v>3283</v>
      </c>
      <c r="F18" s="322"/>
    </row>
    <row r="19" spans="1:7">
      <c r="A19" s="318" t="s">
        <v>201</v>
      </c>
      <c r="B19" s="319" t="s">
        <v>196</v>
      </c>
      <c r="C19" s="319" t="s">
        <v>218</v>
      </c>
      <c r="D19" s="320">
        <v>2017</v>
      </c>
      <c r="E19" s="321">
        <v>3493</v>
      </c>
      <c r="F19" s="322"/>
    </row>
    <row r="20" spans="1:7">
      <c r="A20" s="324" t="s">
        <v>202</v>
      </c>
      <c r="B20" s="319" t="s">
        <v>196</v>
      </c>
      <c r="C20" s="319" t="s">
        <v>320</v>
      </c>
      <c r="D20" s="320">
        <v>2019</v>
      </c>
      <c r="E20" s="321">
        <v>26202.75</v>
      </c>
      <c r="F20" s="322"/>
    </row>
    <row r="21" spans="1:7">
      <c r="A21" s="318" t="s">
        <v>201</v>
      </c>
      <c r="B21" s="319" t="s">
        <v>197</v>
      </c>
      <c r="C21" s="319" t="s">
        <v>210</v>
      </c>
      <c r="D21" s="320">
        <v>2018</v>
      </c>
      <c r="E21" s="321">
        <v>3945</v>
      </c>
      <c r="F21" s="322"/>
    </row>
    <row r="22" spans="1:7">
      <c r="A22" s="332" t="s">
        <v>201</v>
      </c>
      <c r="B22" s="328" t="s">
        <v>198</v>
      </c>
      <c r="C22" s="328" t="s">
        <v>219</v>
      </c>
      <c r="D22" s="329">
        <v>2018</v>
      </c>
      <c r="E22" s="330">
        <v>2710</v>
      </c>
      <c r="F22" s="330"/>
      <c r="G22" s="313"/>
    </row>
    <row r="23" spans="1:7">
      <c r="A23" s="318" t="s">
        <v>201</v>
      </c>
      <c r="B23" s="319" t="s">
        <v>197</v>
      </c>
      <c r="C23" s="319" t="s">
        <v>220</v>
      </c>
      <c r="D23" s="320">
        <v>2018</v>
      </c>
      <c r="E23" s="321">
        <v>1580</v>
      </c>
      <c r="F23" s="322"/>
    </row>
    <row r="24" spans="1:7">
      <c r="A24" s="326" t="s">
        <v>201</v>
      </c>
      <c r="B24" s="319" t="s">
        <v>190</v>
      </c>
      <c r="C24" s="319" t="s">
        <v>221</v>
      </c>
      <c r="D24" s="320">
        <v>2018</v>
      </c>
      <c r="E24" s="325">
        <v>2270</v>
      </c>
      <c r="F24" s="325"/>
      <c r="G24" s="331" t="s">
        <v>319</v>
      </c>
    </row>
    <row r="25" spans="1:7">
      <c r="A25" s="333"/>
      <c r="B25" s="319" t="s">
        <v>190</v>
      </c>
      <c r="C25" s="319" t="s">
        <v>300</v>
      </c>
      <c r="D25" s="320">
        <v>2019</v>
      </c>
      <c r="E25" s="325">
        <v>3576.23</v>
      </c>
      <c r="F25" s="325"/>
      <c r="G25" s="331" t="s">
        <v>319</v>
      </c>
    </row>
    <row r="26" spans="1:7">
      <c r="A26" s="334"/>
      <c r="E26" s="323"/>
      <c r="F26" s="323"/>
    </row>
    <row r="27" spans="1:7">
      <c r="A27" s="334"/>
      <c r="B27" s="335" t="s">
        <v>358</v>
      </c>
      <c r="E27" s="323"/>
      <c r="F27" s="323"/>
    </row>
    <row r="28" spans="1:7">
      <c r="B28" s="319" t="s">
        <v>189</v>
      </c>
      <c r="C28" s="319" t="s">
        <v>308</v>
      </c>
      <c r="D28" s="320">
        <v>2018</v>
      </c>
      <c r="E28" s="336">
        <f>43480+4089</f>
        <v>47569</v>
      </c>
      <c r="F28" s="337"/>
      <c r="G28" s="312" t="s">
        <v>322</v>
      </c>
    </row>
    <row r="29" spans="1:7">
      <c r="B29" s="319" t="s">
        <v>189</v>
      </c>
      <c r="C29" s="312" t="s">
        <v>310</v>
      </c>
      <c r="D29" s="312">
        <v>2019</v>
      </c>
      <c r="E29" s="336">
        <v>12018</v>
      </c>
      <c r="F29" s="337"/>
      <c r="G29" s="312" t="s">
        <v>321</v>
      </c>
    </row>
    <row r="30" spans="1:7">
      <c r="B30" s="312" t="s">
        <v>196</v>
      </c>
      <c r="C30" s="312" t="s">
        <v>311</v>
      </c>
      <c r="D30" s="312">
        <v>2019</v>
      </c>
      <c r="E30" s="336">
        <v>11016</v>
      </c>
      <c r="F30" s="337"/>
    </row>
    <row r="31" spans="1:7">
      <c r="E31" s="337"/>
      <c r="F31" s="337"/>
    </row>
    <row r="32" spans="1:7">
      <c r="B32" s="338" t="s">
        <v>359</v>
      </c>
      <c r="E32" s="337"/>
      <c r="F32" s="337"/>
    </row>
    <row r="33" spans="1:6">
      <c r="A33" s="513" t="s">
        <v>372</v>
      </c>
      <c r="B33" s="334" t="s">
        <v>188</v>
      </c>
      <c r="C33" s="501" t="s">
        <v>360</v>
      </c>
      <c r="D33" s="339">
        <v>2019</v>
      </c>
      <c r="E33" s="340">
        <v>34085.61</v>
      </c>
      <c r="F33" s="337"/>
    </row>
    <row r="34" spans="1:6">
      <c r="A34" s="513" t="s">
        <v>372</v>
      </c>
      <c r="B34" s="334" t="s">
        <v>189</v>
      </c>
      <c r="C34" s="334" t="s">
        <v>205</v>
      </c>
      <c r="D34" s="339">
        <v>2019</v>
      </c>
      <c r="E34" s="340">
        <v>11000</v>
      </c>
      <c r="F34" s="337"/>
    </row>
    <row r="35" spans="1:6">
      <c r="E35" s="337"/>
      <c r="F35" s="337"/>
    </row>
    <row r="36" spans="1:6">
      <c r="E36" s="337"/>
      <c r="F36" s="337"/>
    </row>
    <row r="37" spans="1:6">
      <c r="E37" s="337"/>
      <c r="F37" s="337"/>
    </row>
    <row r="38" spans="1:6">
      <c r="E38" s="337"/>
      <c r="F38" s="341"/>
    </row>
    <row r="39" spans="1:6">
      <c r="E39" s="337"/>
      <c r="F39" s="341"/>
    </row>
    <row r="40" spans="1:6">
      <c r="E40" s="337"/>
      <c r="F40" s="34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0000000}">
          <x14:formula1>
            <xm:f>'https://stateofwa-my.sharepoint.com/Users/myoung215/AppData/Local/Microsoft/Windows/INetCache/Content.Outlook/BZZ6GHZH/[Staff Gary''s Garbage rate case 3.xlsx]Depn  Summary'!#REF!</xm:f>
          </x14:formula1>
          <xm:sqref>B28:B29 B7:B25</xm:sqref>
        </x14:dataValidation>
        <x14:dataValidation type="list" allowBlank="1" showInputMessage="1" showErrorMessage="1" xr:uid="{00000000-0002-0000-0600-000001000000}">
          <x14:formula1>
            <xm:f>'https://stateofwa-my.sharepoint.com/Users/myoung215/AppData/Local/Microsoft/Windows/INetCache/Content.Outlook/BZZ6GHZH/[Staff Gary''s Garbage rate case 3.xlsx]Depn  Summary'!#REF!</xm:f>
          </x14:formula1>
          <xm:sqref>B33:B34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AA46"/>
  <sheetViews>
    <sheetView workbookViewId="0">
      <selection activeCell="X16" sqref="X16"/>
    </sheetView>
  </sheetViews>
  <sheetFormatPr defaultColWidth="8.88671875" defaultRowHeight="15"/>
  <cols>
    <col min="1" max="1" width="9.109375" style="207" bestFit="1" customWidth="1"/>
    <col min="2" max="2" width="0.6640625" style="210" customWidth="1"/>
    <col min="3" max="3" width="8.44140625" style="207" bestFit="1" customWidth="1"/>
    <col min="4" max="4" width="11.6640625" style="207" customWidth="1"/>
    <col min="5" max="5" width="9.33203125" style="207" customWidth="1"/>
    <col min="6" max="6" width="11.6640625" style="207" customWidth="1"/>
    <col min="7" max="7" width="8.21875" style="207" bestFit="1" customWidth="1"/>
    <col min="8" max="8" width="8.44140625" style="207" bestFit="1" customWidth="1"/>
    <col min="9" max="9" width="0.6640625" style="207" customWidth="1"/>
    <col min="10" max="10" width="12.33203125" style="207" customWidth="1"/>
    <col min="11" max="11" width="9.88671875" style="207" customWidth="1"/>
    <col min="12" max="12" width="8.44140625" style="207" bestFit="1" customWidth="1"/>
    <col min="13" max="14" width="7.6640625" style="207" bestFit="1" customWidth="1"/>
    <col min="15" max="15" width="8.44140625" style="207" bestFit="1" customWidth="1"/>
    <col min="16" max="16" width="6.77734375" style="207" customWidth="1"/>
    <col min="17" max="18" width="9" style="207" bestFit="1" customWidth="1"/>
    <col min="19" max="19" width="0.6640625" style="207" customWidth="1"/>
    <col min="20" max="20" width="10" style="207" customWidth="1"/>
    <col min="21" max="22" width="8.88671875" style="207"/>
    <col min="23" max="24" width="9.77734375" style="207" bestFit="1" customWidth="1"/>
    <col min="25" max="25" width="9" style="207" bestFit="1" customWidth="1"/>
    <col min="26" max="16384" width="8.88671875" style="207"/>
  </cols>
  <sheetData>
    <row r="1" spans="1:27" ht="15.75" thickTop="1">
      <c r="A1" s="204"/>
      <c r="B1" s="205"/>
      <c r="C1" s="204"/>
      <c r="D1" s="204"/>
      <c r="E1" s="204" t="s">
        <v>168</v>
      </c>
      <c r="F1" s="204"/>
      <c r="G1" s="204"/>
      <c r="H1" s="204"/>
      <c r="I1" s="205"/>
      <c r="J1" s="204"/>
      <c r="K1" s="204"/>
      <c r="L1" s="204" t="s">
        <v>169</v>
      </c>
      <c r="M1" s="204"/>
      <c r="N1" s="204"/>
      <c r="O1" s="204"/>
      <c r="P1" s="205"/>
      <c r="Q1" s="204"/>
      <c r="R1" s="204" t="s">
        <v>170</v>
      </c>
      <c r="S1" s="204"/>
      <c r="T1" s="206"/>
    </row>
    <row r="2" spans="1:27">
      <c r="A2" s="208"/>
      <c r="B2" s="209"/>
      <c r="H2" s="209"/>
      <c r="I2" s="209"/>
      <c r="N2" s="507"/>
      <c r="P2" s="209"/>
      <c r="Q2" s="507"/>
      <c r="R2" s="507"/>
      <c r="S2" s="211"/>
      <c r="T2" s="212"/>
    </row>
    <row r="3" spans="1:27">
      <c r="A3" s="208"/>
      <c r="B3" s="209"/>
      <c r="C3" s="213" t="s">
        <v>171</v>
      </c>
      <c r="D3" s="213" t="s">
        <v>172</v>
      </c>
      <c r="E3" s="213" t="s">
        <v>173</v>
      </c>
      <c r="F3" s="213" t="s">
        <v>174</v>
      </c>
      <c r="G3" s="213" t="s">
        <v>175</v>
      </c>
      <c r="H3" s="214" t="s">
        <v>143</v>
      </c>
      <c r="I3" s="214"/>
      <c r="J3" s="490" t="s">
        <v>179</v>
      </c>
      <c r="K3" s="213" t="s">
        <v>176</v>
      </c>
      <c r="L3" s="213" t="s">
        <v>176</v>
      </c>
      <c r="M3" s="213" t="s">
        <v>176</v>
      </c>
      <c r="N3" s="213" t="s">
        <v>177</v>
      </c>
      <c r="O3" s="213" t="s">
        <v>143</v>
      </c>
      <c r="P3" s="214"/>
      <c r="Q3" s="213" t="s">
        <v>178</v>
      </c>
      <c r="R3" s="213" t="s">
        <v>178</v>
      </c>
      <c r="S3" s="214"/>
      <c r="T3" s="215" t="s">
        <v>143</v>
      </c>
    </row>
    <row r="4" spans="1:27" ht="51" customHeight="1">
      <c r="A4" s="208"/>
      <c r="B4" s="209"/>
      <c r="H4" s="209"/>
      <c r="I4" s="209"/>
      <c r="J4" s="490" t="s">
        <v>316</v>
      </c>
      <c r="K4" s="392" t="s">
        <v>349</v>
      </c>
      <c r="L4" s="506" t="s">
        <v>367</v>
      </c>
      <c r="M4" s="506" t="s">
        <v>364</v>
      </c>
      <c r="N4" s="506" t="s">
        <v>366</v>
      </c>
      <c r="O4" s="213"/>
      <c r="P4" s="209"/>
      <c r="Q4" s="510" t="s">
        <v>368</v>
      </c>
      <c r="R4" s="507" t="s">
        <v>365</v>
      </c>
      <c r="S4" s="209"/>
      <c r="T4" s="212"/>
    </row>
    <row r="5" spans="1:27">
      <c r="A5" s="502">
        <v>43647</v>
      </c>
      <c r="B5" s="209"/>
      <c r="C5" s="220">
        <v>109.25</v>
      </c>
      <c r="D5" s="220">
        <v>69</v>
      </c>
      <c r="E5" s="220">
        <v>66</v>
      </c>
      <c r="F5" s="220">
        <v>69.25</v>
      </c>
      <c r="G5" s="220">
        <v>12.75</v>
      </c>
      <c r="H5" s="508">
        <f>SUM(C5:G5)</f>
        <v>326.25</v>
      </c>
      <c r="I5" s="508"/>
      <c r="J5" s="220">
        <v>49</v>
      </c>
      <c r="K5" s="220">
        <v>65.5</v>
      </c>
      <c r="L5" s="220">
        <v>45</v>
      </c>
      <c r="M5" s="220">
        <v>24</v>
      </c>
      <c r="N5" s="220">
        <v>26.75</v>
      </c>
      <c r="O5" s="284">
        <f>SUM(J5:N5)</f>
        <v>210.25</v>
      </c>
      <c r="P5" s="508"/>
      <c r="Q5" s="220">
        <v>168.25</v>
      </c>
      <c r="R5" s="509">
        <v>173.333</v>
      </c>
      <c r="S5" s="209"/>
      <c r="T5" s="512">
        <f>H5+O5+Q5+R5</f>
        <v>878.08299999999997</v>
      </c>
      <c r="X5" s="207" t="s">
        <v>168</v>
      </c>
      <c r="Y5" s="207" t="s">
        <v>240</v>
      </c>
    </row>
    <row r="6" spans="1:27">
      <c r="A6" s="502">
        <v>43678</v>
      </c>
      <c r="B6" s="209"/>
      <c r="C6" s="220">
        <v>102</v>
      </c>
      <c r="D6" s="220">
        <v>44.25</v>
      </c>
      <c r="E6" s="220">
        <v>50.75</v>
      </c>
      <c r="F6" s="220">
        <v>43.75</v>
      </c>
      <c r="G6" s="220">
        <v>15.5</v>
      </c>
      <c r="H6" s="508">
        <f t="shared" ref="H6:H16" si="0">SUM(C6:G6)</f>
        <v>256.25</v>
      </c>
      <c r="I6" s="209"/>
      <c r="J6" s="220">
        <v>50.25</v>
      </c>
      <c r="K6" s="220">
        <v>20.25</v>
      </c>
      <c r="L6" s="220">
        <v>50.5</v>
      </c>
      <c r="M6" s="220">
        <v>26</v>
      </c>
      <c r="N6" s="220">
        <v>13.5</v>
      </c>
      <c r="O6" s="284">
        <f t="shared" ref="O6:O16" si="1">SUM(J6:N6)</f>
        <v>160.5</v>
      </c>
      <c r="P6" s="209"/>
      <c r="Q6" s="220">
        <v>182.8</v>
      </c>
      <c r="R6" s="509">
        <v>173.333</v>
      </c>
      <c r="S6" s="209"/>
      <c r="T6" s="512">
        <f t="shared" ref="T6:T16" si="2">H6+O6+Q6+R6</f>
        <v>772.88299999999992</v>
      </c>
      <c r="V6" s="207" t="s">
        <v>166</v>
      </c>
      <c r="W6" s="273">
        <f>C21+E21+G21</f>
        <v>35357.5</v>
      </c>
      <c r="X6" s="273">
        <f>W6</f>
        <v>35357.5</v>
      </c>
      <c r="Y6" s="273">
        <f>X6-W6</f>
        <v>0</v>
      </c>
    </row>
    <row r="7" spans="1:27">
      <c r="A7" s="502">
        <v>43709</v>
      </c>
      <c r="B7" s="209"/>
      <c r="C7" s="220">
        <v>90</v>
      </c>
      <c r="D7" s="220">
        <v>43.5</v>
      </c>
      <c r="E7" s="220">
        <v>58.75</v>
      </c>
      <c r="F7" s="220">
        <v>42.5</v>
      </c>
      <c r="G7" s="220">
        <v>5.25</v>
      </c>
      <c r="H7" s="508">
        <f t="shared" si="0"/>
        <v>240</v>
      </c>
      <c r="I7" s="209"/>
      <c r="J7" s="220">
        <v>50.5</v>
      </c>
      <c r="K7" s="220">
        <v>92.75</v>
      </c>
      <c r="L7" s="220">
        <v>42</v>
      </c>
      <c r="M7" s="220">
        <v>31.5</v>
      </c>
      <c r="N7" s="220">
        <v>27</v>
      </c>
      <c r="O7" s="284">
        <f t="shared" si="1"/>
        <v>243.75</v>
      </c>
      <c r="P7" s="209"/>
      <c r="Q7" s="220">
        <v>170.75</v>
      </c>
      <c r="R7" s="509">
        <v>173.333</v>
      </c>
      <c r="S7" s="209"/>
      <c r="T7" s="512">
        <f t="shared" si="2"/>
        <v>827.83299999999997</v>
      </c>
      <c r="V7" s="207" t="s">
        <v>167</v>
      </c>
      <c r="W7" s="273">
        <f>D21+F21+J21+K21</f>
        <v>40982.125</v>
      </c>
      <c r="X7" s="273">
        <f>D21+F21+J21*J23+K21*K23</f>
        <v>36733.398943220724</v>
      </c>
      <c r="Y7" s="273">
        <f>W7-X7</f>
        <v>4248.7260567792764</v>
      </c>
    </row>
    <row r="8" spans="1:27">
      <c r="A8" s="502">
        <v>43739</v>
      </c>
      <c r="B8" s="209"/>
      <c r="C8" s="220">
        <f>42+31.25+4</f>
        <v>77.25</v>
      </c>
      <c r="D8" s="220">
        <f>18.75+48.25</f>
        <v>67</v>
      </c>
      <c r="E8" s="220">
        <f>26+26.75</f>
        <v>52.75</v>
      </c>
      <c r="F8" s="220">
        <f>18+16.5+0.5</f>
        <v>35</v>
      </c>
      <c r="G8" s="220">
        <v>12.5</v>
      </c>
      <c r="H8" s="508">
        <f t="shared" si="0"/>
        <v>244.5</v>
      </c>
      <c r="I8" s="209"/>
      <c r="J8" s="220">
        <f>18+8.5+11.75</f>
        <v>38.25</v>
      </c>
      <c r="K8" s="220">
        <v>71.5</v>
      </c>
      <c r="L8" s="220">
        <v>39.75</v>
      </c>
      <c r="M8" s="220">
        <v>36</v>
      </c>
      <c r="N8" s="220">
        <v>31.75</v>
      </c>
      <c r="O8" s="284">
        <f t="shared" si="1"/>
        <v>217.25</v>
      </c>
      <c r="P8" s="209"/>
      <c r="Q8" s="220">
        <f>72.5+70.25+26+2</f>
        <v>170.75</v>
      </c>
      <c r="R8" s="509">
        <v>173.333</v>
      </c>
      <c r="S8" s="209"/>
      <c r="T8" s="512">
        <f t="shared" si="2"/>
        <v>805.83299999999997</v>
      </c>
      <c r="V8" s="207" t="s">
        <v>354</v>
      </c>
      <c r="W8" s="273">
        <f>L21+M21+N21</f>
        <v>28389.75</v>
      </c>
      <c r="X8" s="273">
        <v>0</v>
      </c>
      <c r="Y8" s="273">
        <f>W8-X8</f>
        <v>28389.75</v>
      </c>
      <c r="Z8" s="484" t="s">
        <v>166</v>
      </c>
      <c r="AA8" s="484" t="s">
        <v>167</v>
      </c>
    </row>
    <row r="9" spans="1:27">
      <c r="A9" s="502">
        <v>43770</v>
      </c>
      <c r="B9" s="209"/>
      <c r="C9" s="220">
        <f>28.75+1.5+24.5+1</f>
        <v>55.75</v>
      </c>
      <c r="D9" s="220">
        <f>21.5+25+1.5</f>
        <v>48</v>
      </c>
      <c r="E9" s="220">
        <v>60.75</v>
      </c>
      <c r="F9" s="220">
        <v>36</v>
      </c>
      <c r="G9" s="220">
        <v>15.75</v>
      </c>
      <c r="H9" s="508">
        <f t="shared" si="0"/>
        <v>216.25</v>
      </c>
      <c r="I9" s="209"/>
      <c r="J9" s="220">
        <f>6.5+5.25</f>
        <v>11.75</v>
      </c>
      <c r="K9" s="220">
        <f>3.25+24.5+1.75+12.5+1.75+14.25-16</f>
        <v>42</v>
      </c>
      <c r="L9" s="220">
        <f>2.5+27-6</f>
        <v>23.5</v>
      </c>
      <c r="M9" s="220">
        <v>24</v>
      </c>
      <c r="N9" s="220">
        <v>32</v>
      </c>
      <c r="O9" s="284">
        <f t="shared" si="1"/>
        <v>133.25</v>
      </c>
      <c r="P9" s="209"/>
      <c r="Q9" s="220">
        <f>77.75+24</f>
        <v>101.75</v>
      </c>
      <c r="R9" s="509">
        <v>173.333</v>
      </c>
      <c r="S9" s="209"/>
      <c r="T9" s="512">
        <f t="shared" si="2"/>
        <v>624.58299999999997</v>
      </c>
      <c r="V9" s="207" t="s">
        <v>178</v>
      </c>
      <c r="W9" s="274">
        <f>Q21+R21</f>
        <v>112805.20055000001</v>
      </c>
      <c r="X9" s="274">
        <f>(Q21+R21)*J27</f>
        <v>77434.39158326904</v>
      </c>
      <c r="Y9" s="274">
        <f>W9-X9</f>
        <v>35370.808966730969</v>
      </c>
      <c r="Z9" s="485">
        <f>X9*F27</f>
        <v>38838.015082865037</v>
      </c>
      <c r="AA9" s="485">
        <f>X9*F28</f>
        <v>38596.376500404003</v>
      </c>
    </row>
    <row r="10" spans="1:27">
      <c r="A10" s="502">
        <v>43800</v>
      </c>
      <c r="B10" s="209"/>
      <c r="C10" s="220">
        <v>74.75</v>
      </c>
      <c r="D10" s="220">
        <v>54.25</v>
      </c>
      <c r="E10" s="220">
        <v>56</v>
      </c>
      <c r="F10" s="220">
        <v>40.75</v>
      </c>
      <c r="G10" s="220">
        <v>6.25</v>
      </c>
      <c r="H10" s="508">
        <f t="shared" si="0"/>
        <v>232</v>
      </c>
      <c r="I10" s="209"/>
      <c r="J10" s="220">
        <f>24.5</f>
        <v>24.5</v>
      </c>
      <c r="K10" s="220">
        <f>41+18.25</f>
        <v>59.25</v>
      </c>
      <c r="L10" s="220">
        <f>21+13.25</f>
        <v>34.25</v>
      </c>
      <c r="M10" s="220">
        <v>35.5</v>
      </c>
      <c r="N10" s="220">
        <v>27</v>
      </c>
      <c r="O10" s="284">
        <f t="shared" si="1"/>
        <v>180.5</v>
      </c>
      <c r="P10" s="209"/>
      <c r="Q10" s="220">
        <f>75.5+66.75+13</f>
        <v>155.25</v>
      </c>
      <c r="R10" s="509">
        <v>173.333</v>
      </c>
      <c r="S10" s="209"/>
      <c r="T10" s="512">
        <f t="shared" si="2"/>
        <v>741.08299999999997</v>
      </c>
      <c r="W10" s="273">
        <f>SUM(W6:W9)</f>
        <v>217534.57555000001</v>
      </c>
      <c r="X10" s="273">
        <f t="shared" ref="X10:Y10" si="3">SUM(X6:X9)</f>
        <v>149525.29052648979</v>
      </c>
      <c r="Y10" s="273">
        <f t="shared" si="3"/>
        <v>68009.285023510252</v>
      </c>
    </row>
    <row r="11" spans="1:27">
      <c r="A11" s="502">
        <v>43831</v>
      </c>
      <c r="B11" s="209"/>
      <c r="C11" s="220">
        <v>62.5</v>
      </c>
      <c r="D11" s="220">
        <f>20.25+18</f>
        <v>38.25</v>
      </c>
      <c r="E11" s="220">
        <f>5.25+10.75+22</f>
        <v>38</v>
      </c>
      <c r="F11" s="220">
        <f>13+6.5+6.25+16.5</f>
        <v>42.25</v>
      </c>
      <c r="G11" s="220">
        <v>5.75</v>
      </c>
      <c r="H11" s="508">
        <f t="shared" si="0"/>
        <v>186.75</v>
      </c>
      <c r="I11" s="209"/>
      <c r="J11" s="220">
        <v>20.75</v>
      </c>
      <c r="K11" s="220">
        <v>53</v>
      </c>
      <c r="L11" s="220">
        <v>45</v>
      </c>
      <c r="M11" s="220">
        <v>32</v>
      </c>
      <c r="N11" s="220">
        <f>7+8.25</f>
        <v>15.25</v>
      </c>
      <c r="O11" s="284">
        <f t="shared" si="1"/>
        <v>166</v>
      </c>
      <c r="P11" s="209"/>
      <c r="Q11" s="220">
        <v>203</v>
      </c>
      <c r="R11" s="511">
        <v>173.333</v>
      </c>
      <c r="S11" s="209"/>
      <c r="T11" s="512">
        <f t="shared" si="2"/>
        <v>729.08299999999997</v>
      </c>
    </row>
    <row r="12" spans="1:27">
      <c r="A12" s="502">
        <v>43862</v>
      </c>
      <c r="B12" s="209"/>
      <c r="C12" s="220">
        <v>50.25</v>
      </c>
      <c r="D12" s="220">
        <v>47.5</v>
      </c>
      <c r="E12" s="220">
        <v>44.5</v>
      </c>
      <c r="F12" s="220">
        <v>34.25</v>
      </c>
      <c r="G12" s="220">
        <v>9.5</v>
      </c>
      <c r="H12" s="508">
        <f t="shared" si="0"/>
        <v>186</v>
      </c>
      <c r="I12" s="209"/>
      <c r="J12" s="220">
        <v>21.5</v>
      </c>
      <c r="K12" s="220">
        <f>7.25+22.5</f>
        <v>29.75</v>
      </c>
      <c r="L12" s="220">
        <v>34.5</v>
      </c>
      <c r="M12" s="220">
        <v>37.5</v>
      </c>
      <c r="N12" s="220">
        <v>34.75</v>
      </c>
      <c r="O12" s="284">
        <f t="shared" si="1"/>
        <v>158</v>
      </c>
      <c r="P12" s="209"/>
      <c r="Q12" s="220">
        <v>168</v>
      </c>
      <c r="R12" s="511">
        <v>173.333</v>
      </c>
      <c r="S12" s="209"/>
      <c r="T12" s="512">
        <f t="shared" si="2"/>
        <v>685.33299999999997</v>
      </c>
      <c r="Y12" s="275"/>
    </row>
    <row r="13" spans="1:27">
      <c r="A13" s="502">
        <v>43891</v>
      </c>
      <c r="B13" s="209"/>
      <c r="C13" s="220">
        <v>56.5</v>
      </c>
      <c r="D13" s="220">
        <v>55.5</v>
      </c>
      <c r="E13" s="220">
        <v>48.75</v>
      </c>
      <c r="F13" s="220">
        <v>36.5</v>
      </c>
      <c r="G13" s="220">
        <v>16.75</v>
      </c>
      <c r="H13" s="508">
        <f t="shared" si="0"/>
        <v>214</v>
      </c>
      <c r="I13" s="209"/>
      <c r="J13" s="220">
        <v>23</v>
      </c>
      <c r="K13" s="220">
        <v>54.75</v>
      </c>
      <c r="L13" s="220">
        <v>49.5</v>
      </c>
      <c r="M13" s="220">
        <v>43.75</v>
      </c>
      <c r="N13" s="220">
        <v>33.75</v>
      </c>
      <c r="O13" s="284">
        <f t="shared" si="1"/>
        <v>204.75</v>
      </c>
      <c r="P13" s="209"/>
      <c r="Q13" s="220">
        <v>217</v>
      </c>
      <c r="R13" s="511">
        <v>173.333</v>
      </c>
      <c r="S13" s="209"/>
      <c r="T13" s="512">
        <f t="shared" si="2"/>
        <v>809.08299999999997</v>
      </c>
      <c r="X13" s="207" t="s">
        <v>168</v>
      </c>
    </row>
    <row r="14" spans="1:27">
      <c r="A14" s="502">
        <v>43922</v>
      </c>
      <c r="B14" s="209">
        <v>0</v>
      </c>
      <c r="C14" s="220">
        <v>57</v>
      </c>
      <c r="D14" s="220">
        <v>48.5</v>
      </c>
      <c r="E14" s="220">
        <v>53</v>
      </c>
      <c r="F14" s="220">
        <v>44</v>
      </c>
      <c r="G14" s="220">
        <v>3.25</v>
      </c>
      <c r="H14" s="508">
        <f t="shared" si="0"/>
        <v>205.75</v>
      </c>
      <c r="I14" s="209"/>
      <c r="J14" s="207">
        <v>45</v>
      </c>
      <c r="K14" s="207">
        <v>30</v>
      </c>
      <c r="L14" s="220">
        <v>58.25</v>
      </c>
      <c r="M14" s="220">
        <v>45</v>
      </c>
      <c r="N14" s="220">
        <v>31</v>
      </c>
      <c r="O14" s="284">
        <f t="shared" si="1"/>
        <v>209.25</v>
      </c>
      <c r="P14" s="209"/>
      <c r="Q14" s="220">
        <v>200.75</v>
      </c>
      <c r="R14" s="511">
        <v>173.333</v>
      </c>
      <c r="S14" s="209"/>
      <c r="T14" s="512">
        <f t="shared" si="2"/>
        <v>789.08299999999997</v>
      </c>
      <c r="W14" s="207" t="s">
        <v>166</v>
      </c>
      <c r="X14" s="485">
        <f>X6+Z9</f>
        <v>74195.515082865037</v>
      </c>
    </row>
    <row r="15" spans="1:27">
      <c r="A15" s="502">
        <v>43952</v>
      </c>
      <c r="B15" s="209"/>
      <c r="C15" s="220">
        <v>49</v>
      </c>
      <c r="D15" s="220">
        <v>48.5</v>
      </c>
      <c r="E15" s="220">
        <v>38.5</v>
      </c>
      <c r="F15" s="220">
        <v>45.25</v>
      </c>
      <c r="G15" s="220">
        <v>30</v>
      </c>
      <c r="H15" s="508">
        <f t="shared" si="0"/>
        <v>211.25</v>
      </c>
      <c r="I15" s="209"/>
      <c r="J15" s="220">
        <v>17</v>
      </c>
      <c r="K15" s="220">
        <v>18.5</v>
      </c>
      <c r="L15" s="220">
        <v>49</v>
      </c>
      <c r="M15" s="220">
        <v>45</v>
      </c>
      <c r="N15" s="220">
        <v>36</v>
      </c>
      <c r="O15" s="284">
        <f t="shared" si="1"/>
        <v>165.5</v>
      </c>
      <c r="P15" s="209"/>
      <c r="Q15" s="220">
        <v>230.5</v>
      </c>
      <c r="R15" s="511">
        <v>122.98</v>
      </c>
      <c r="S15" s="209"/>
      <c r="T15" s="512">
        <f t="shared" si="2"/>
        <v>730.23</v>
      </c>
      <c r="W15" s="207" t="s">
        <v>167</v>
      </c>
      <c r="X15" s="539">
        <f>X7+AA9</f>
        <v>75329.775443624734</v>
      </c>
    </row>
    <row r="16" spans="1:27">
      <c r="A16" s="502">
        <v>43983</v>
      </c>
      <c r="B16" s="209"/>
      <c r="C16" s="220">
        <v>61.25</v>
      </c>
      <c r="D16" s="220">
        <v>53.75</v>
      </c>
      <c r="E16" s="220">
        <v>40.5</v>
      </c>
      <c r="F16" s="220">
        <v>53.5</v>
      </c>
      <c r="G16" s="220">
        <v>33.5</v>
      </c>
      <c r="H16" s="508">
        <f t="shared" si="0"/>
        <v>242.5</v>
      </c>
      <c r="I16" s="209"/>
      <c r="J16" s="220">
        <v>1</v>
      </c>
      <c r="K16" s="220">
        <v>23</v>
      </c>
      <c r="L16" s="220">
        <v>51.75</v>
      </c>
      <c r="M16" s="220">
        <v>41.5</v>
      </c>
      <c r="N16" s="220">
        <v>33.5</v>
      </c>
      <c r="O16" s="284">
        <f t="shared" si="1"/>
        <v>150.75</v>
      </c>
      <c r="P16" s="209"/>
      <c r="Q16" s="220">
        <v>201.2</v>
      </c>
      <c r="R16" s="511">
        <v>173.333</v>
      </c>
      <c r="S16" s="209"/>
      <c r="T16" s="512">
        <f t="shared" si="2"/>
        <v>767.78300000000002</v>
      </c>
      <c r="X16" s="485">
        <f>X14+X15</f>
        <v>149525.29052648979</v>
      </c>
    </row>
    <row r="17" spans="1:24">
      <c r="A17" s="208"/>
      <c r="B17" s="209"/>
      <c r="H17" s="209"/>
      <c r="I17" s="209"/>
      <c r="P17" s="209"/>
      <c r="R17" s="221"/>
      <c r="S17" s="209"/>
      <c r="T17" s="212"/>
    </row>
    <row r="18" spans="1:24">
      <c r="A18" s="208"/>
      <c r="B18" s="209"/>
      <c r="H18" s="209"/>
      <c r="I18" s="209"/>
      <c r="P18" s="209"/>
      <c r="S18" s="209"/>
      <c r="T18" s="212"/>
    </row>
    <row r="19" spans="1:24" ht="15.75" thickBot="1">
      <c r="A19" s="216"/>
      <c r="B19" s="217"/>
      <c r="C19" s="216">
        <f>SUM(C5:C18)</f>
        <v>845.5</v>
      </c>
      <c r="D19" s="216">
        <f>SUM(D5:D18)</f>
        <v>618</v>
      </c>
      <c r="E19" s="216">
        <f>SUM(E5:E16)</f>
        <v>608.25</v>
      </c>
      <c r="F19" s="216">
        <f>SUM(F5:F16)</f>
        <v>523</v>
      </c>
      <c r="G19" s="216">
        <f>SUM(G5:G16)</f>
        <v>166.75</v>
      </c>
      <c r="H19" s="217"/>
      <c r="I19" s="217"/>
      <c r="J19" s="216">
        <f>SUM(J5:J10)</f>
        <v>224.25</v>
      </c>
      <c r="K19" s="216">
        <f>SUM(K5:K12)</f>
        <v>434</v>
      </c>
      <c r="L19" s="216">
        <f>SUM(L5:L16)</f>
        <v>523</v>
      </c>
      <c r="M19" s="216">
        <f>SUM(M5:M16)</f>
        <v>421.75</v>
      </c>
      <c r="N19" s="216">
        <f>SUM(N5:N16)</f>
        <v>342.25</v>
      </c>
      <c r="O19" s="216"/>
      <c r="P19" s="217"/>
      <c r="Q19" s="216">
        <f>SUM(Q5:Q16)</f>
        <v>2170</v>
      </c>
      <c r="R19" s="222">
        <f>SUM(R5:R16)</f>
        <v>2029.6430000000005</v>
      </c>
      <c r="S19" s="217"/>
      <c r="T19" s="218"/>
      <c r="V19" s="207" t="s">
        <v>388</v>
      </c>
      <c r="W19" s="207" t="s">
        <v>168</v>
      </c>
      <c r="X19" s="207" t="s">
        <v>240</v>
      </c>
    </row>
    <row r="20" spans="1:24" ht="15.75" thickTop="1">
      <c r="A20" s="207" t="s">
        <v>48</v>
      </c>
      <c r="C20" s="219">
        <v>22.5</v>
      </c>
      <c r="D20" s="219">
        <v>25</v>
      </c>
      <c r="E20" s="219">
        <v>20</v>
      </c>
      <c r="F20" s="219">
        <v>20.5</v>
      </c>
      <c r="G20" s="219">
        <v>25</v>
      </c>
      <c r="H20" s="219"/>
      <c r="I20" s="219">
        <v>25</v>
      </c>
      <c r="J20" s="219">
        <v>22.5</v>
      </c>
      <c r="K20" s="219">
        <v>22.5</v>
      </c>
      <c r="L20" s="219">
        <v>20</v>
      </c>
      <c r="M20" s="219">
        <v>27.5</v>
      </c>
      <c r="N20" s="219">
        <v>18.5</v>
      </c>
      <c r="O20" s="219"/>
      <c r="P20" s="219"/>
      <c r="Q20" s="219">
        <v>25</v>
      </c>
      <c r="R20" s="219">
        <v>28.85</v>
      </c>
      <c r="V20" s="207" t="s">
        <v>166</v>
      </c>
    </row>
    <row r="21" spans="1:24">
      <c r="C21" s="223">
        <f>SUM(C19*C20)</f>
        <v>19023.75</v>
      </c>
      <c r="D21" s="224">
        <f>SUM(D19*D20)</f>
        <v>15450</v>
      </c>
      <c r="E21" s="223">
        <f>SUM(E19*E20)</f>
        <v>12165</v>
      </c>
      <c r="F21" s="224">
        <f>SUM(F19*F20)</f>
        <v>10721.5</v>
      </c>
      <c r="G21" s="225">
        <f>SUM(G19*G20)</f>
        <v>4168.75</v>
      </c>
      <c r="H21" s="219">
        <f>SUM(C21:G21)</f>
        <v>61529</v>
      </c>
      <c r="J21" s="226">
        <f>SUM(J19*J20)</f>
        <v>5045.625</v>
      </c>
      <c r="K21" s="226">
        <f>SUM(K19*K20)</f>
        <v>9765</v>
      </c>
      <c r="L21" s="227">
        <f>SUM(L19*L20)</f>
        <v>10460</v>
      </c>
      <c r="M21" s="227">
        <f>SUM(M19*M20)</f>
        <v>11598.125</v>
      </c>
      <c r="N21" s="227">
        <f>SUM(N19*N20)</f>
        <v>6331.625</v>
      </c>
      <c r="O21" s="219">
        <f>SUM(J21:N21)</f>
        <v>43200.375</v>
      </c>
      <c r="Q21" s="548">
        <f>SUM(Q19*Q20)</f>
        <v>54250</v>
      </c>
      <c r="R21" s="548">
        <f>SUM(R19*R20)</f>
        <v>58555.200550000016</v>
      </c>
      <c r="T21" s="219">
        <f>SUM(Q21:S21)</f>
        <v>112805.20055000001</v>
      </c>
      <c r="U21" s="219">
        <f>H21+O21+T21</f>
        <v>217534.57555000001</v>
      </c>
      <c r="V21" s="207" t="s">
        <v>167</v>
      </c>
    </row>
    <row r="22" spans="1:24">
      <c r="C22" s="398"/>
      <c r="D22" s="398"/>
      <c r="E22" s="398"/>
      <c r="F22" s="398"/>
      <c r="G22" s="398"/>
      <c r="H22" s="398"/>
      <c r="I22" s="284"/>
      <c r="J22" s="398"/>
      <c r="K22" s="398"/>
      <c r="L22" s="398"/>
      <c r="M22" s="398"/>
      <c r="N22" s="398"/>
      <c r="O22" s="398"/>
      <c r="P22" s="284"/>
      <c r="Q22" s="398"/>
      <c r="R22" s="398"/>
      <c r="T22" s="219"/>
      <c r="U22" s="219"/>
    </row>
    <row r="23" spans="1:24" ht="15.75" thickBot="1">
      <c r="J23" s="538">
        <f>'Tonnage and Disposal June 2020'!J26</f>
        <v>0.71312986070612949</v>
      </c>
      <c r="K23" s="538">
        <f>J23</f>
        <v>0.71312986070612949</v>
      </c>
      <c r="L23" s="207" t="s">
        <v>351</v>
      </c>
    </row>
    <row r="24" spans="1:24" ht="15.75" thickBot="1">
      <c r="J24" s="394">
        <f>J19*J23</f>
        <v>159.91937126334955</v>
      </c>
      <c r="K24" s="395">
        <f>K19*K23</f>
        <v>309.49835954646022</v>
      </c>
      <c r="L24" s="396" t="s">
        <v>350</v>
      </c>
      <c r="M24" s="397"/>
    </row>
    <row r="25" spans="1:24">
      <c r="J25" s="393"/>
      <c r="K25" s="393"/>
    </row>
    <row r="26" spans="1:24">
      <c r="D26" s="207" t="s">
        <v>266</v>
      </c>
      <c r="G26" s="371" t="s">
        <v>267</v>
      </c>
      <c r="H26" s="371"/>
      <c r="I26" s="371"/>
      <c r="J26" s="371"/>
    </row>
    <row r="27" spans="1:24" ht="15.75">
      <c r="D27" s="207" t="s">
        <v>166</v>
      </c>
      <c r="E27" s="536">
        <f>C19+E19+G19</f>
        <v>1620.5</v>
      </c>
      <c r="F27" s="373">
        <f>E27/E29</f>
        <v>0.50156027946704529</v>
      </c>
      <c r="G27" s="371" t="s">
        <v>168</v>
      </c>
      <c r="H27" s="372">
        <f>SUM(C19:G19)+J24+K24</f>
        <v>3230.9177308098097</v>
      </c>
      <c r="I27" s="371"/>
      <c r="J27" s="373">
        <f>H27/H29</f>
        <v>0.6864434547851086</v>
      </c>
      <c r="Q27" s="219">
        <f>Q21*J27</f>
        <v>37239.557422092141</v>
      </c>
      <c r="R27" s="219">
        <f>R21*J27</f>
        <v>40194.834161176899</v>
      </c>
    </row>
    <row r="28" spans="1:24" ht="15.75">
      <c r="D28" s="207" t="s">
        <v>167</v>
      </c>
      <c r="E28" s="537">
        <f>D19+F19+J24+K24</f>
        <v>1610.4177308098099</v>
      </c>
      <c r="F28" s="373">
        <f>E28/E29</f>
        <v>0.49843972053295477</v>
      </c>
      <c r="G28" s="371" t="s">
        <v>240</v>
      </c>
      <c r="H28" s="372">
        <f>SUM(L19:N19)+J19-J24+K19-K24</f>
        <v>1475.8322691901901</v>
      </c>
      <c r="I28" s="371"/>
      <c r="J28" s="373">
        <f>H28/H29</f>
        <v>0.3135565452148914</v>
      </c>
    </row>
    <row r="29" spans="1:24">
      <c r="D29" s="207" t="s">
        <v>267</v>
      </c>
      <c r="E29" s="285">
        <f>SUM(E27:E28)</f>
        <v>3230.9177308098097</v>
      </c>
      <c r="G29" s="371" t="s">
        <v>267</v>
      </c>
      <c r="H29" s="372">
        <f>SUM(H27:H28)</f>
        <v>4706.75</v>
      </c>
      <c r="I29" s="371"/>
      <c r="J29" s="371"/>
      <c r="T29" s="219"/>
    </row>
    <row r="30" spans="1:24">
      <c r="E30" s="284"/>
      <c r="G30" s="371"/>
      <c r="H30" s="371"/>
      <c r="I30" s="371"/>
      <c r="J30" s="371"/>
      <c r="T30" s="219"/>
    </row>
    <row r="31" spans="1:24">
      <c r="E31" s="228" t="s">
        <v>180</v>
      </c>
      <c r="F31" s="228" t="s">
        <v>181</v>
      </c>
      <c r="G31" s="228" t="s">
        <v>247</v>
      </c>
      <c r="L31" s="210"/>
      <c r="M31" s="210"/>
      <c r="N31" s="210"/>
      <c r="O31" s="210"/>
    </row>
    <row r="32" spans="1:24">
      <c r="C32" s="228" t="s">
        <v>166</v>
      </c>
      <c r="D32" s="229">
        <f>SUM(C21+E21)+G21</f>
        <v>35357.5</v>
      </c>
      <c r="E32" s="493">
        <f>E27/E29</f>
        <v>0.50156027946704529</v>
      </c>
      <c r="F32" s="229">
        <f>E32*($Q$21+$R$21)</f>
        <v>56578.607913194093</v>
      </c>
      <c r="G32" s="238">
        <f>J27*F32</f>
        <v>38838.015082865037</v>
      </c>
      <c r="H32" s="219">
        <f>D32+G32</f>
        <v>74195.515082865037</v>
      </c>
      <c r="L32" s="210"/>
      <c r="M32" s="494"/>
      <c r="N32" s="495"/>
      <c r="O32" s="495"/>
    </row>
    <row r="33" spans="3:20">
      <c r="C33" s="228" t="s">
        <v>167</v>
      </c>
      <c r="D33" s="229">
        <f>SUM(D21+F21)+J21</f>
        <v>31217.125</v>
      </c>
      <c r="E33" s="493">
        <f>E28/E29</f>
        <v>0.49843972053295477</v>
      </c>
      <c r="F33" s="229">
        <f>E33*($Q$21+$R$21)</f>
        <v>56226.592636805923</v>
      </c>
      <c r="G33" s="238">
        <f>F33*J27</f>
        <v>38596.376500404003</v>
      </c>
      <c r="H33" s="219">
        <f>D33+G33</f>
        <v>69813.501500404003</v>
      </c>
      <c r="K33" s="233"/>
      <c r="L33" s="210"/>
      <c r="M33" s="494"/>
      <c r="N33" s="495"/>
      <c r="O33" s="495"/>
    </row>
    <row r="34" spans="3:20">
      <c r="E34" s="234">
        <f>SUM(E32:E33)</f>
        <v>1</v>
      </c>
      <c r="K34" s="374"/>
      <c r="L34" s="210"/>
      <c r="M34" s="210"/>
      <c r="N34" s="495"/>
      <c r="O34" s="495"/>
    </row>
    <row r="37" spans="3:20">
      <c r="C37" s="233" t="s">
        <v>182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</row>
    <row r="38" spans="3:20">
      <c r="C38" s="233" t="s">
        <v>183</v>
      </c>
      <c r="D38" s="233"/>
      <c r="E38" s="233"/>
      <c r="F38" s="233"/>
      <c r="G38" s="233"/>
      <c r="H38" s="233"/>
      <c r="I38" s="233"/>
      <c r="J38" s="233"/>
      <c r="K38" s="374"/>
      <c r="L38" s="374"/>
      <c r="M38" s="374"/>
    </row>
    <row r="39" spans="3:20">
      <c r="C39" s="233" t="s">
        <v>184</v>
      </c>
      <c r="D39" s="233"/>
      <c r="E39" s="233"/>
      <c r="F39" s="233"/>
      <c r="G39" s="233"/>
      <c r="H39" s="233"/>
      <c r="I39" s="233"/>
      <c r="J39" s="233"/>
      <c r="K39" s="374"/>
      <c r="L39" s="374"/>
      <c r="M39" s="374"/>
      <c r="N39" s="374"/>
      <c r="P39" s="272"/>
      <c r="Q39" s="273"/>
      <c r="R39" s="273"/>
      <c r="T39" s="275"/>
    </row>
    <row r="40" spans="3:20">
      <c r="C40" s="233"/>
      <c r="D40" s="233"/>
      <c r="E40" s="233"/>
      <c r="F40" s="233"/>
      <c r="G40" s="233"/>
      <c r="H40" s="233"/>
      <c r="I40" s="233"/>
      <c r="J40" s="233"/>
      <c r="K40" s="374"/>
      <c r="L40" s="375"/>
      <c r="M40" s="374"/>
      <c r="N40" s="374"/>
    </row>
    <row r="41" spans="3:20">
      <c r="C41" s="233"/>
      <c r="D41" s="233"/>
      <c r="E41" s="491"/>
      <c r="F41" s="491"/>
      <c r="G41" s="233"/>
      <c r="H41" s="233"/>
      <c r="I41" s="233"/>
      <c r="J41" s="233"/>
      <c r="K41" s="374"/>
      <c r="L41" s="374"/>
      <c r="M41" s="374"/>
      <c r="N41" s="374"/>
    </row>
    <row r="42" spans="3:20">
      <c r="C42" s="233"/>
      <c r="D42" s="233"/>
      <c r="E42" s="491"/>
      <c r="F42" s="492"/>
      <c r="G42" s="491"/>
      <c r="H42" s="233"/>
      <c r="I42" s="233"/>
      <c r="J42" s="233"/>
      <c r="K42" s="374"/>
      <c r="L42" s="376"/>
      <c r="M42" s="374"/>
      <c r="N42" s="374"/>
    </row>
    <row r="43" spans="3:20">
      <c r="C43" s="233"/>
      <c r="D43" s="233"/>
      <c r="E43" s="491"/>
      <c r="F43" s="492"/>
      <c r="G43" s="491"/>
      <c r="H43" s="233"/>
      <c r="I43" s="233"/>
      <c r="J43" s="233"/>
      <c r="K43" s="374"/>
      <c r="L43" s="374"/>
      <c r="M43" s="374"/>
      <c r="N43" s="374"/>
    </row>
    <row r="44" spans="3:20">
      <c r="C44" s="233"/>
      <c r="D44" s="233"/>
      <c r="E44" s="491"/>
      <c r="F44" s="491"/>
      <c r="G44" s="491"/>
      <c r="H44" s="233"/>
      <c r="I44" s="233"/>
      <c r="J44" s="233"/>
      <c r="K44" s="233"/>
      <c r="L44" s="233"/>
      <c r="M44" s="233"/>
      <c r="N44" s="233"/>
    </row>
    <row r="45" spans="3:20">
      <c r="E45" s="210"/>
      <c r="F45" s="210"/>
      <c r="G45" s="210"/>
    </row>
    <row r="46" spans="3:20">
      <c r="G46" s="219"/>
    </row>
  </sheetData>
  <pageMargins left="0.7" right="0.7" top="0.75" bottom="0.75" header="0.3" footer="0.3"/>
  <pageSetup orientation="portrait" r:id="rId1"/>
  <ignoredErrors>
    <ignoredError sqref="H14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W84"/>
  <sheetViews>
    <sheetView workbookViewId="0">
      <selection activeCell="K48" sqref="K48"/>
    </sheetView>
  </sheetViews>
  <sheetFormatPr defaultRowHeight="15"/>
  <cols>
    <col min="1" max="1" width="5.21875" customWidth="1"/>
    <col min="2" max="2" width="6.88671875" bestFit="1" customWidth="1"/>
    <col min="3" max="3" width="5" customWidth="1"/>
    <col min="4" max="4" width="31.44140625" customWidth="1"/>
    <col min="5" max="5" width="11" bestFit="1" customWidth="1"/>
    <col min="6" max="6" width="11.5546875" customWidth="1"/>
    <col min="8" max="8" width="9" customWidth="1"/>
    <col min="9" max="9" width="14.6640625" customWidth="1"/>
    <col min="10" max="10" width="11.33203125" customWidth="1"/>
    <col min="11" max="11" width="11.5546875" bestFit="1" customWidth="1"/>
    <col min="12" max="12" width="9.5546875" bestFit="1" customWidth="1"/>
    <col min="14" max="14" width="13.44140625" customWidth="1"/>
  </cols>
  <sheetData>
    <row r="1" spans="1:23" ht="15.75">
      <c r="A1" s="399"/>
      <c r="B1" s="399"/>
      <c r="C1" s="399"/>
      <c r="D1" s="400" t="s">
        <v>127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40"/>
      <c r="Q1" s="240"/>
      <c r="R1" s="240"/>
      <c r="S1" s="240"/>
      <c r="T1" s="240"/>
      <c r="U1" s="240"/>
      <c r="V1" s="240"/>
      <c r="W1" s="240"/>
    </row>
    <row r="2" spans="1:23" ht="15.75">
      <c r="A2" s="399"/>
      <c r="B2" s="399"/>
      <c r="C2" s="399"/>
      <c r="D2" s="400" t="s">
        <v>128</v>
      </c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40"/>
      <c r="Q2" s="240"/>
      <c r="R2" s="240"/>
      <c r="S2" s="240"/>
      <c r="T2" s="240"/>
      <c r="U2" s="240"/>
      <c r="V2" s="240"/>
      <c r="W2" s="240"/>
    </row>
    <row r="3" spans="1:23" ht="15.75">
      <c r="A3" s="399"/>
      <c r="B3" s="399"/>
      <c r="C3" s="399"/>
      <c r="D3" s="400" t="s">
        <v>129</v>
      </c>
      <c r="E3" s="399"/>
      <c r="F3" s="399"/>
      <c r="G3" s="399"/>
      <c r="H3" s="399"/>
      <c r="I3" s="399" t="s">
        <v>377</v>
      </c>
      <c r="J3" s="401">
        <f ca="1">'Garbage LG 2019 '!K22</f>
        <v>-0.30040303015121295</v>
      </c>
      <c r="K3" s="399"/>
      <c r="L3" s="399"/>
      <c r="M3" s="399"/>
      <c r="N3" s="399"/>
      <c r="O3" s="399"/>
      <c r="P3" s="240"/>
      <c r="Q3" s="240"/>
      <c r="R3" s="240"/>
      <c r="S3" s="240"/>
      <c r="T3" s="240"/>
      <c r="U3" s="240"/>
      <c r="V3" s="240"/>
      <c r="W3" s="240"/>
    </row>
    <row r="4" spans="1:23" ht="15.75">
      <c r="A4" s="399"/>
      <c r="B4" s="399"/>
      <c r="C4" s="399"/>
      <c r="D4" s="399"/>
      <c r="E4" s="399"/>
      <c r="F4" s="399"/>
      <c r="G4" s="399"/>
      <c r="H4" s="399"/>
      <c r="I4" s="399" t="s">
        <v>378</v>
      </c>
      <c r="J4" s="522">
        <f ca="1">'Recycling LG 2019'!K22</f>
        <v>1.0058881702956874</v>
      </c>
      <c r="K4" s="399"/>
      <c r="L4" s="399"/>
      <c r="M4" s="399"/>
      <c r="N4" s="399"/>
      <c r="O4" s="399"/>
      <c r="P4" s="240"/>
      <c r="Q4" s="240"/>
      <c r="R4" s="240"/>
      <c r="S4" s="240"/>
      <c r="T4" s="240"/>
      <c r="U4" s="240"/>
      <c r="V4" s="240"/>
      <c r="W4" s="240"/>
    </row>
    <row r="5" spans="1:23" ht="47.25">
      <c r="A5" s="402"/>
      <c r="B5" s="403" t="s">
        <v>130</v>
      </c>
      <c r="C5" s="403" t="s">
        <v>131</v>
      </c>
      <c r="D5" s="404" t="s">
        <v>132</v>
      </c>
      <c r="E5" s="403" t="s">
        <v>133</v>
      </c>
      <c r="F5" s="403" t="s">
        <v>134</v>
      </c>
      <c r="G5" s="402" t="s">
        <v>135</v>
      </c>
      <c r="H5" s="405" t="s">
        <v>293</v>
      </c>
      <c r="I5" s="405" t="s">
        <v>373</v>
      </c>
      <c r="J5" s="405" t="s">
        <v>290</v>
      </c>
      <c r="K5" s="405" t="s">
        <v>294</v>
      </c>
      <c r="L5" s="405" t="s">
        <v>295</v>
      </c>
      <c r="M5" s="405" t="s">
        <v>246</v>
      </c>
      <c r="N5" s="406"/>
      <c r="O5" s="399"/>
      <c r="P5" s="240"/>
      <c r="Q5" s="240"/>
      <c r="R5" s="240"/>
      <c r="S5" s="240"/>
      <c r="T5" s="240"/>
      <c r="U5" s="240"/>
      <c r="V5" s="240"/>
      <c r="W5" s="240"/>
    </row>
    <row r="6" spans="1:23" ht="15.75">
      <c r="A6" s="570" t="s">
        <v>136</v>
      </c>
      <c r="B6" s="407">
        <v>100</v>
      </c>
      <c r="C6" s="408">
        <v>24</v>
      </c>
      <c r="D6" s="199" t="s">
        <v>268</v>
      </c>
      <c r="E6" s="409">
        <v>0</v>
      </c>
      <c r="F6" s="409">
        <v>4.333333333333333</v>
      </c>
      <c r="G6" s="410">
        <f>E6*F6*12</f>
        <v>0</v>
      </c>
      <c r="H6" s="411">
        <v>20.85</v>
      </c>
      <c r="I6" s="412">
        <f>E6*H6*12</f>
        <v>0</v>
      </c>
      <c r="J6" s="413">
        <f ca="1">($J$3*H6)</f>
        <v>-6.2634031786527906</v>
      </c>
      <c r="K6" s="414">
        <f ca="1">H6+J6</f>
        <v>14.586596821347211</v>
      </c>
      <c r="L6" s="412">
        <f ca="1">K6*E6*6</f>
        <v>0</v>
      </c>
      <c r="M6" s="412">
        <f ca="1">L6-I6</f>
        <v>0</v>
      </c>
      <c r="N6" s="415"/>
      <c r="O6" s="399"/>
      <c r="P6" s="524"/>
      <c r="Q6" s="525"/>
      <c r="R6" s="379"/>
      <c r="S6" s="240"/>
      <c r="T6" s="240"/>
      <c r="U6" s="240"/>
      <c r="V6" s="240"/>
      <c r="W6" s="240"/>
    </row>
    <row r="7" spans="1:23" ht="15.75">
      <c r="A7" s="570"/>
      <c r="B7" s="407">
        <v>100</v>
      </c>
      <c r="C7" s="408">
        <v>24</v>
      </c>
      <c r="D7" s="199" t="s">
        <v>287</v>
      </c>
      <c r="E7" s="409">
        <v>90</v>
      </c>
      <c r="F7" s="409">
        <v>2.1666666666666665</v>
      </c>
      <c r="G7" s="410">
        <f t="shared" ref="G7:G8" si="0">E7*F7*12</f>
        <v>2340</v>
      </c>
      <c r="H7" s="523">
        <f>22.6-H9</f>
        <v>10.920000000000002</v>
      </c>
      <c r="I7" s="412">
        <f t="shared" ref="I7:I9" si="1">E7*H7*12</f>
        <v>11793.600000000002</v>
      </c>
      <c r="J7" s="413">
        <f ca="1">($J$3*H7)</f>
        <v>-3.2804010892512458</v>
      </c>
      <c r="K7" s="414">
        <f t="shared" ref="K7:K9" ca="1" si="2">H7+J7</f>
        <v>7.6395989107487559</v>
      </c>
      <c r="L7" s="412">
        <f ca="1">K7*E7*12</f>
        <v>8250.7668236086556</v>
      </c>
      <c r="M7" s="412">
        <f ca="1">L7-I7</f>
        <v>-3542.8331763913466</v>
      </c>
      <c r="N7" s="415"/>
      <c r="O7" s="476"/>
      <c r="P7" s="524"/>
      <c r="Q7" s="525"/>
      <c r="R7" s="379"/>
      <c r="S7" s="240"/>
      <c r="T7" s="240"/>
      <c r="U7" s="240"/>
      <c r="V7" s="240"/>
      <c r="W7" s="240"/>
    </row>
    <row r="8" spans="1:23" ht="15.75">
      <c r="A8" s="570"/>
      <c r="B8" s="407">
        <v>100</v>
      </c>
      <c r="C8" s="408">
        <v>24</v>
      </c>
      <c r="D8" s="199" t="s">
        <v>137</v>
      </c>
      <c r="E8" s="409">
        <v>0</v>
      </c>
      <c r="F8" s="409">
        <v>2.1666666666666665</v>
      </c>
      <c r="G8" s="410">
        <f t="shared" si="0"/>
        <v>0</v>
      </c>
      <c r="H8" s="411">
        <v>11.68</v>
      </c>
      <c r="I8" s="412">
        <f t="shared" si="1"/>
        <v>0</v>
      </c>
      <c r="J8" s="413">
        <f ca="1">($J$3*H8)</f>
        <v>-3.5087073921661673</v>
      </c>
      <c r="K8" s="414">
        <f t="shared" ca="1" si="2"/>
        <v>8.1712926078338324</v>
      </c>
      <c r="L8" s="412">
        <f t="shared" ref="L8" ca="1" si="3">K8*E8*6</f>
        <v>0</v>
      </c>
      <c r="M8" s="412">
        <f ca="1">L8-I8</f>
        <v>0</v>
      </c>
      <c r="N8" s="415"/>
      <c r="P8" s="524"/>
      <c r="Q8" s="525"/>
      <c r="R8" s="379"/>
      <c r="S8" s="240"/>
      <c r="T8" s="240"/>
      <c r="U8" s="240"/>
      <c r="V8" s="240"/>
      <c r="W8" s="240"/>
    </row>
    <row r="9" spans="1:23" ht="15.75">
      <c r="A9" s="570"/>
      <c r="B9" s="407">
        <v>100</v>
      </c>
      <c r="C9" s="408">
        <v>24</v>
      </c>
      <c r="D9" s="199" t="s">
        <v>271</v>
      </c>
      <c r="E9" s="409">
        <v>1915</v>
      </c>
      <c r="F9" s="409">
        <v>2.1666666666666665</v>
      </c>
      <c r="G9" s="410">
        <f>E9*F9*12</f>
        <v>49789.999999999993</v>
      </c>
      <c r="H9" s="411">
        <v>11.68</v>
      </c>
      <c r="I9" s="412">
        <f t="shared" si="1"/>
        <v>268406.40000000002</v>
      </c>
      <c r="J9" s="413">
        <f ca="1">($J$3*H9)</f>
        <v>-3.5087073921661673</v>
      </c>
      <c r="K9" s="414">
        <f t="shared" ca="1" si="2"/>
        <v>8.1712926078338324</v>
      </c>
      <c r="L9" s="412">
        <f ca="1">K9*E9*12</f>
        <v>187776.30412802147</v>
      </c>
      <c r="M9" s="412">
        <f ca="1">L9-I9</f>
        <v>-80630.095871978556</v>
      </c>
      <c r="N9" s="415"/>
      <c r="O9" s="399"/>
      <c r="P9" s="524"/>
      <c r="Q9" s="525"/>
      <c r="R9" s="379"/>
      <c r="S9" s="240"/>
      <c r="T9" s="240"/>
      <c r="U9" s="240"/>
      <c r="V9" s="240"/>
      <c r="W9" s="240"/>
    </row>
    <row r="10" spans="1:23" ht="15.75">
      <c r="A10" s="572"/>
      <c r="B10" s="416"/>
      <c r="C10" s="417"/>
      <c r="D10" s="418" t="s">
        <v>296</v>
      </c>
      <c r="E10" s="419">
        <f>SUM(E6:E9)</f>
        <v>2005</v>
      </c>
      <c r="F10" s="419"/>
      <c r="G10" s="419">
        <f>SUM(G6:G9)</f>
        <v>52129.999999999993</v>
      </c>
      <c r="H10" s="419"/>
      <c r="I10" s="419">
        <f>SUM(I6:I9)</f>
        <v>280200</v>
      </c>
      <c r="J10" s="419"/>
      <c r="K10" s="419"/>
      <c r="L10" s="419">
        <f ca="1">SUM(L6:L9)</f>
        <v>196027.07095163013</v>
      </c>
      <c r="M10" s="420">
        <f ca="1">SUM(M6:M9)</f>
        <v>-84172.929048369901</v>
      </c>
      <c r="N10" s="379"/>
      <c r="O10" s="399"/>
      <c r="P10" s="240"/>
      <c r="Q10" s="240"/>
      <c r="R10" s="379"/>
      <c r="S10" s="240"/>
      <c r="T10" s="240"/>
      <c r="U10" s="240"/>
      <c r="V10" s="240"/>
      <c r="W10" s="240"/>
    </row>
    <row r="11" spans="1:23" ht="15.75">
      <c r="A11" s="573" t="s">
        <v>139</v>
      </c>
      <c r="B11" s="421"/>
      <c r="C11" s="422">
        <v>38</v>
      </c>
      <c r="D11" s="423" t="s">
        <v>238</v>
      </c>
      <c r="E11" s="424"/>
      <c r="F11" s="425"/>
      <c r="G11" s="410">
        <v>226</v>
      </c>
      <c r="H11" s="411">
        <v>8.65</v>
      </c>
      <c r="I11" s="426">
        <f>G11*H11</f>
        <v>1954.9</v>
      </c>
      <c r="J11" s="427">
        <f ca="1">($J$3*H11)</f>
        <v>-2.5984862108079922</v>
      </c>
      <c r="K11" s="428">
        <f ca="1">H11+J11</f>
        <v>6.0515137891920077</v>
      </c>
      <c r="L11" s="426">
        <f ca="1">K11*G11</f>
        <v>1367.6421163573937</v>
      </c>
      <c r="M11" s="426">
        <f t="shared" ref="M11:M32" ca="1" si="4">L11-I11</f>
        <v>-587.25788364260643</v>
      </c>
      <c r="N11" s="429"/>
      <c r="O11" s="399"/>
      <c r="P11" s="240"/>
      <c r="Q11" s="240"/>
      <c r="R11" s="379"/>
      <c r="S11" s="240"/>
      <c r="T11" s="240"/>
      <c r="U11" s="240"/>
      <c r="V11" s="240"/>
      <c r="W11" s="240"/>
    </row>
    <row r="12" spans="1:23" ht="15.75">
      <c r="A12" s="570"/>
      <c r="B12" s="407">
        <v>240</v>
      </c>
      <c r="C12" s="408">
        <v>38</v>
      </c>
      <c r="D12" s="199" t="s">
        <v>275</v>
      </c>
      <c r="E12" s="430"/>
      <c r="F12" s="409"/>
      <c r="G12" s="496">
        <v>734</v>
      </c>
      <c r="H12" s="411">
        <v>41.5</v>
      </c>
      <c r="I12" s="412">
        <f>G12*H12</f>
        <v>30461</v>
      </c>
      <c r="J12" s="413">
        <f ca="1">($J$3*H12)</f>
        <v>-12.466725751275337</v>
      </c>
      <c r="K12" s="414">
        <f t="shared" ref="K12:K14" ca="1" si="5">H12+J12</f>
        <v>29.033274248724663</v>
      </c>
      <c r="L12" s="412">
        <f ca="1">K12*G12</f>
        <v>21310.423298563903</v>
      </c>
      <c r="M12" s="412">
        <f t="shared" ca="1" si="4"/>
        <v>-9150.5767014360972</v>
      </c>
      <c r="N12" s="399"/>
      <c r="O12" s="399"/>
      <c r="P12" s="240"/>
      <c r="Q12" s="240"/>
      <c r="R12" s="379"/>
      <c r="S12" s="240"/>
      <c r="T12" s="240"/>
      <c r="U12" s="240"/>
      <c r="V12" s="240"/>
      <c r="W12" s="240"/>
    </row>
    <row r="13" spans="1:23" ht="15.75">
      <c r="A13" s="570"/>
      <c r="B13" s="407"/>
      <c r="C13" s="408">
        <v>38</v>
      </c>
      <c r="D13" s="199" t="s">
        <v>274</v>
      </c>
      <c r="E13" s="430"/>
      <c r="F13" s="409"/>
      <c r="G13" s="410"/>
      <c r="H13" s="411">
        <v>41.5</v>
      </c>
      <c r="I13" s="412">
        <f>G13*H13</f>
        <v>0</v>
      </c>
      <c r="J13" s="413">
        <f ca="1">($J$3*H13)</f>
        <v>-12.466725751275337</v>
      </c>
      <c r="K13" s="414">
        <f t="shared" ca="1" si="5"/>
        <v>29.033274248724663</v>
      </c>
      <c r="L13" s="412">
        <f ca="1">K13*G13</f>
        <v>0</v>
      </c>
      <c r="M13" s="412">
        <f t="shared" ca="1" si="4"/>
        <v>0</v>
      </c>
      <c r="N13" s="399"/>
      <c r="O13" s="431"/>
      <c r="P13" s="240"/>
      <c r="Q13" s="240"/>
      <c r="R13" s="379"/>
      <c r="S13" s="240"/>
      <c r="T13" s="240"/>
      <c r="U13" s="240"/>
      <c r="V13" s="240"/>
      <c r="W13" s="240"/>
    </row>
    <row r="14" spans="1:23" ht="18">
      <c r="A14" s="570"/>
      <c r="B14" s="432"/>
      <c r="C14" s="433">
        <v>38</v>
      </c>
      <c r="D14" s="200" t="s">
        <v>276</v>
      </c>
      <c r="E14" s="434"/>
      <c r="F14" s="435"/>
      <c r="G14" s="410"/>
      <c r="H14" s="413">
        <v>14</v>
      </c>
      <c r="I14" s="412">
        <f>G14*H14</f>
        <v>0</v>
      </c>
      <c r="J14" s="436">
        <f ca="1">($J$3*H14)</f>
        <v>-4.2056424221169815</v>
      </c>
      <c r="K14" s="437">
        <f t="shared" ca="1" si="5"/>
        <v>9.7943575778830194</v>
      </c>
      <c r="L14" s="438">
        <f ca="1">K14*G14</f>
        <v>0</v>
      </c>
      <c r="M14" s="438">
        <f t="shared" ca="1" si="4"/>
        <v>0</v>
      </c>
      <c r="N14" s="399"/>
      <c r="O14" s="439"/>
      <c r="P14" s="240"/>
      <c r="Q14" s="240"/>
      <c r="R14" s="379"/>
      <c r="S14" s="240"/>
      <c r="T14" s="240"/>
      <c r="U14" s="240"/>
      <c r="V14" s="240"/>
      <c r="W14" s="240"/>
    </row>
    <row r="15" spans="1:23" ht="15.75">
      <c r="A15" s="572"/>
      <c r="B15" s="440"/>
      <c r="C15" s="402"/>
      <c r="D15" s="287" t="s">
        <v>298</v>
      </c>
      <c r="E15" s="441">
        <f>SUM(E11:E14)</f>
        <v>0</v>
      </c>
      <c r="F15" s="435"/>
      <c r="G15" s="442">
        <f>SUM(G11:G14)</f>
        <v>960</v>
      </c>
      <c r="H15" s="443"/>
      <c r="I15" s="444">
        <f>SUM(I11:I14)</f>
        <v>32415.9</v>
      </c>
      <c r="J15" s="436"/>
      <c r="K15" s="435"/>
      <c r="L15" s="445">
        <f ca="1">SUM(L11:L14)</f>
        <v>22678.065414921297</v>
      </c>
      <c r="M15" s="446">
        <f t="shared" ca="1" si="4"/>
        <v>-9737.8345850787045</v>
      </c>
      <c r="N15" s="399"/>
      <c r="O15" s="399"/>
      <c r="P15" s="240"/>
      <c r="Q15" s="240"/>
      <c r="R15" s="379"/>
      <c r="S15" s="240"/>
      <c r="T15" s="240"/>
      <c r="U15" s="240"/>
      <c r="V15" s="240"/>
      <c r="W15" s="240"/>
    </row>
    <row r="16" spans="1:23" ht="15.75">
      <c r="A16" s="573" t="s">
        <v>277</v>
      </c>
      <c r="B16" s="447"/>
      <c r="C16" s="429">
        <v>42</v>
      </c>
      <c r="D16" s="199" t="s">
        <v>282</v>
      </c>
      <c r="E16" s="448"/>
      <c r="F16" s="409"/>
      <c r="G16" s="410">
        <f>285</f>
        <v>285</v>
      </c>
      <c r="H16" s="449">
        <v>1.62</v>
      </c>
      <c r="I16" s="415">
        <f>G16*H16</f>
        <v>461.70000000000005</v>
      </c>
      <c r="J16" s="427">
        <f ca="1">($J$3*H16)</f>
        <v>-0.48665290884496498</v>
      </c>
      <c r="K16" s="409">
        <f ca="1">H16+J16</f>
        <v>1.1333470911550352</v>
      </c>
      <c r="L16" s="415">
        <f ca="1">G16*K16</f>
        <v>323.00392097918501</v>
      </c>
      <c r="M16" s="412">
        <f t="shared" ca="1" si="4"/>
        <v>-138.69607902081503</v>
      </c>
      <c r="N16" s="399"/>
      <c r="O16" s="399"/>
      <c r="P16" s="240"/>
      <c r="Q16" s="240"/>
      <c r="R16" s="379"/>
      <c r="S16" s="240"/>
      <c r="T16" s="240"/>
      <c r="U16" s="240"/>
      <c r="V16" s="240"/>
      <c r="W16" s="240"/>
    </row>
    <row r="17" spans="1:23" ht="15.75">
      <c r="A17" s="570"/>
      <c r="B17" s="447"/>
      <c r="C17" s="429">
        <v>42</v>
      </c>
      <c r="D17" s="199" t="s">
        <v>279</v>
      </c>
      <c r="E17" s="448"/>
      <c r="F17" s="409"/>
      <c r="G17" s="410">
        <v>28</v>
      </c>
      <c r="H17" s="449">
        <v>27.03</v>
      </c>
      <c r="I17" s="415">
        <f t="shared" ref="I17:I25" si="6">G17*H17</f>
        <v>756.84</v>
      </c>
      <c r="J17" s="413">
        <f t="shared" ref="J17:J25" ca="1" si="7">($J$3*H17)</f>
        <v>-8.1198939049872862</v>
      </c>
      <c r="K17" s="409">
        <f t="shared" ref="K17:K25" ca="1" si="8">H17+J17</f>
        <v>18.910106095012715</v>
      </c>
      <c r="L17" s="415">
        <f t="shared" ref="L17:L25" ca="1" si="9">G17*K17</f>
        <v>529.48297066035605</v>
      </c>
      <c r="M17" s="412">
        <f t="shared" ca="1" si="4"/>
        <v>-227.35702933964399</v>
      </c>
      <c r="N17" s="399"/>
      <c r="O17" s="399"/>
      <c r="P17" s="240"/>
      <c r="Q17" s="240"/>
      <c r="R17" s="379"/>
      <c r="S17" s="240"/>
      <c r="T17" s="240"/>
      <c r="U17" s="240"/>
      <c r="V17" s="240"/>
      <c r="W17" s="240"/>
    </row>
    <row r="18" spans="1:23" ht="15.75">
      <c r="A18" s="570"/>
      <c r="B18" s="447"/>
      <c r="C18" s="429">
        <v>42</v>
      </c>
      <c r="D18" s="199" t="s">
        <v>280</v>
      </c>
      <c r="E18" s="448"/>
      <c r="F18" s="409"/>
      <c r="G18" s="410">
        <v>27</v>
      </c>
      <c r="H18" s="449">
        <v>48.65</v>
      </c>
      <c r="I18" s="415">
        <f t="shared" si="6"/>
        <v>1313.55</v>
      </c>
      <c r="J18" s="413">
        <f t="shared" ca="1" si="7"/>
        <v>-14.61460741685651</v>
      </c>
      <c r="K18" s="409">
        <f t="shared" ca="1" si="8"/>
        <v>34.035392583143491</v>
      </c>
      <c r="L18" s="415">
        <f t="shared" ca="1" si="9"/>
        <v>918.95559974487423</v>
      </c>
      <c r="M18" s="412">
        <f t="shared" ca="1" si="4"/>
        <v>-394.59440025512572</v>
      </c>
      <c r="N18" s="399"/>
      <c r="O18" s="399"/>
      <c r="P18" s="240"/>
      <c r="Q18" s="240"/>
      <c r="R18" s="379"/>
      <c r="S18" s="240"/>
      <c r="T18" s="240"/>
      <c r="U18" s="240"/>
      <c r="V18" s="240"/>
      <c r="W18" s="240"/>
    </row>
    <row r="19" spans="1:23" ht="15.75">
      <c r="A19" s="570"/>
      <c r="B19" s="447"/>
      <c r="C19" s="429">
        <v>42</v>
      </c>
      <c r="D19" s="199" t="s">
        <v>281</v>
      </c>
      <c r="E19" s="448"/>
      <c r="F19" s="409"/>
      <c r="G19" s="410">
        <v>441</v>
      </c>
      <c r="H19" s="449">
        <v>2.7</v>
      </c>
      <c r="I19" s="415">
        <f t="shared" si="6"/>
        <v>1190.7</v>
      </c>
      <c r="J19" s="413">
        <f t="shared" ca="1" si="7"/>
        <v>-0.81108818140827499</v>
      </c>
      <c r="K19" s="409">
        <f t="shared" ca="1" si="8"/>
        <v>1.8889118185917253</v>
      </c>
      <c r="L19" s="415">
        <f t="shared" ca="1" si="9"/>
        <v>833.01011199895083</v>
      </c>
      <c r="M19" s="412">
        <f t="shared" ca="1" si="4"/>
        <v>-357.68988800104921</v>
      </c>
      <c r="N19" s="399"/>
      <c r="O19" s="399"/>
      <c r="P19" s="240"/>
      <c r="Q19" s="240"/>
      <c r="R19" s="379"/>
      <c r="S19" s="240"/>
      <c r="T19" s="240"/>
      <c r="U19" s="240"/>
      <c r="V19" s="240"/>
      <c r="W19" s="240"/>
    </row>
    <row r="20" spans="1:23" ht="15.75">
      <c r="A20" s="570"/>
      <c r="B20" s="447"/>
      <c r="C20" s="429">
        <v>42</v>
      </c>
      <c r="D20" s="199" t="s">
        <v>283</v>
      </c>
      <c r="E20" s="448"/>
      <c r="F20" s="409"/>
      <c r="G20" s="410">
        <v>62</v>
      </c>
      <c r="H20" s="449">
        <v>27.03</v>
      </c>
      <c r="I20" s="415">
        <f t="shared" si="6"/>
        <v>1675.8600000000001</v>
      </c>
      <c r="J20" s="413">
        <f t="shared" ca="1" si="7"/>
        <v>-8.1198939049872862</v>
      </c>
      <c r="K20" s="409">
        <f t="shared" ca="1" si="8"/>
        <v>18.910106095012715</v>
      </c>
      <c r="L20" s="415">
        <f t="shared" ca="1" si="9"/>
        <v>1172.4265778907884</v>
      </c>
      <c r="M20" s="412">
        <f t="shared" ca="1" si="4"/>
        <v>-503.43342210921173</v>
      </c>
      <c r="N20" s="399"/>
      <c r="O20" s="399"/>
      <c r="P20" s="240"/>
      <c r="Q20" s="240"/>
      <c r="R20" s="379"/>
      <c r="S20" s="240"/>
      <c r="T20" s="240"/>
      <c r="U20" s="240"/>
      <c r="V20" s="240"/>
      <c r="W20" s="240"/>
    </row>
    <row r="21" spans="1:23" ht="15.75">
      <c r="A21" s="570"/>
      <c r="B21" s="447"/>
      <c r="C21" s="429">
        <v>42</v>
      </c>
      <c r="D21" s="199" t="s">
        <v>284</v>
      </c>
      <c r="E21" s="448"/>
      <c r="F21" s="409"/>
      <c r="G21" s="410">
        <v>63</v>
      </c>
      <c r="H21" s="449">
        <v>48.65</v>
      </c>
      <c r="I21" s="415">
        <f t="shared" si="6"/>
        <v>3064.95</v>
      </c>
      <c r="J21" s="413">
        <f t="shared" ca="1" si="7"/>
        <v>-14.61460741685651</v>
      </c>
      <c r="K21" s="409">
        <f t="shared" ca="1" si="8"/>
        <v>34.035392583143491</v>
      </c>
      <c r="L21" s="415">
        <f t="shared" ca="1" si="9"/>
        <v>2144.2297327380397</v>
      </c>
      <c r="M21" s="412">
        <f t="shared" ca="1" si="4"/>
        <v>-920.72026726196009</v>
      </c>
      <c r="N21" s="399"/>
      <c r="O21" s="399"/>
      <c r="P21" s="240"/>
      <c r="Q21" s="240"/>
      <c r="R21" s="379"/>
      <c r="S21" s="240"/>
      <c r="T21" s="240"/>
      <c r="U21" s="240"/>
      <c r="V21" s="240"/>
      <c r="W21" s="240"/>
    </row>
    <row r="22" spans="1:23" ht="15.75">
      <c r="A22" s="570"/>
      <c r="B22" s="447"/>
      <c r="C22" s="429">
        <v>42</v>
      </c>
      <c r="D22" s="199" t="s">
        <v>285</v>
      </c>
      <c r="E22" s="448"/>
      <c r="F22" s="409"/>
      <c r="G22" s="410">
        <v>165</v>
      </c>
      <c r="H22" s="449">
        <v>3.78</v>
      </c>
      <c r="I22" s="415">
        <f t="shared" si="6"/>
        <v>623.69999999999993</v>
      </c>
      <c r="J22" s="413">
        <f t="shared" ca="1" si="7"/>
        <v>-1.1355234539715848</v>
      </c>
      <c r="K22" s="409">
        <f t="shared" ca="1" si="8"/>
        <v>2.644476546028415</v>
      </c>
      <c r="L22" s="415">
        <f t="shared" ca="1" si="9"/>
        <v>436.33863009468848</v>
      </c>
      <c r="M22" s="412">
        <f t="shared" ca="1" si="4"/>
        <v>-187.36136990531145</v>
      </c>
      <c r="N22" s="399"/>
      <c r="O22" s="399"/>
      <c r="P22" s="240"/>
      <c r="Q22" s="240"/>
      <c r="R22" s="379"/>
      <c r="S22" s="240"/>
      <c r="T22" s="240"/>
      <c r="U22" s="240"/>
      <c r="V22" s="240"/>
      <c r="W22" s="240"/>
    </row>
    <row r="23" spans="1:23" ht="15.75">
      <c r="A23" s="570"/>
      <c r="B23" s="447"/>
      <c r="C23" s="429">
        <v>42</v>
      </c>
      <c r="D23" s="199" t="s">
        <v>352</v>
      </c>
      <c r="E23" s="448"/>
      <c r="F23" s="409"/>
      <c r="G23" s="410">
        <v>31</v>
      </c>
      <c r="H23" s="449">
        <v>27.03</v>
      </c>
      <c r="I23" s="415">
        <f t="shared" si="6"/>
        <v>837.93000000000006</v>
      </c>
      <c r="J23" s="413">
        <f t="shared" ca="1" si="7"/>
        <v>-8.1198939049872862</v>
      </c>
      <c r="K23" s="409">
        <f t="shared" ca="1" si="8"/>
        <v>18.910106095012715</v>
      </c>
      <c r="L23" s="415">
        <f t="shared" ca="1" si="9"/>
        <v>586.2132889453942</v>
      </c>
      <c r="M23" s="412">
        <f t="shared" ca="1" si="4"/>
        <v>-251.71671105460587</v>
      </c>
      <c r="N23" s="399"/>
      <c r="O23" s="399"/>
      <c r="P23" s="240"/>
      <c r="Q23" s="240"/>
      <c r="R23" s="379"/>
      <c r="S23" s="240"/>
      <c r="T23" s="240"/>
      <c r="U23" s="240"/>
      <c r="V23" s="240"/>
      <c r="W23" s="240"/>
    </row>
    <row r="24" spans="1:23" ht="15.75">
      <c r="A24" s="570"/>
      <c r="B24" s="447"/>
      <c r="C24" s="429">
        <v>42</v>
      </c>
      <c r="D24" s="199" t="s">
        <v>286</v>
      </c>
      <c r="E24" s="448"/>
      <c r="F24" s="409"/>
      <c r="G24" s="410">
        <v>32</v>
      </c>
      <c r="H24" s="449">
        <v>48.65</v>
      </c>
      <c r="I24" s="415">
        <f t="shared" si="6"/>
        <v>1556.8</v>
      </c>
      <c r="J24" s="413">
        <f t="shared" ca="1" si="7"/>
        <v>-14.61460741685651</v>
      </c>
      <c r="K24" s="409">
        <f t="shared" ca="1" si="8"/>
        <v>34.035392583143491</v>
      </c>
      <c r="L24" s="415">
        <f t="shared" ca="1" si="9"/>
        <v>1089.1325626605917</v>
      </c>
      <c r="M24" s="412">
        <f t="shared" ca="1" si="4"/>
        <v>-467.66743733940825</v>
      </c>
      <c r="N24" s="399"/>
      <c r="O24" s="399"/>
      <c r="P24" s="240"/>
      <c r="Q24" s="240"/>
      <c r="R24" s="379"/>
      <c r="S24" s="240"/>
      <c r="T24" s="240"/>
      <c r="U24" s="240"/>
      <c r="V24" s="240"/>
      <c r="W24" s="240"/>
    </row>
    <row r="25" spans="1:23" ht="15.75">
      <c r="A25" s="572"/>
      <c r="B25" s="447"/>
      <c r="C25" s="429">
        <v>42</v>
      </c>
      <c r="D25" s="199" t="s">
        <v>353</v>
      </c>
      <c r="E25" s="448"/>
      <c r="F25" s="409"/>
      <c r="G25" s="410">
        <v>239015</v>
      </c>
      <c r="H25" s="449">
        <v>0.13500000000000001</v>
      </c>
      <c r="I25" s="415">
        <f t="shared" si="6"/>
        <v>32267.025000000001</v>
      </c>
      <c r="J25" s="413">
        <f t="shared" ca="1" si="7"/>
        <v>-4.0554409070413751E-2</v>
      </c>
      <c r="K25" s="409">
        <f t="shared" ca="1" si="8"/>
        <v>9.4445590929586265E-2</v>
      </c>
      <c r="L25" s="415">
        <f t="shared" ca="1" si="9"/>
        <v>22573.91291603506</v>
      </c>
      <c r="M25" s="412">
        <f t="shared" ca="1" si="4"/>
        <v>-9693.1120839649411</v>
      </c>
      <c r="N25" s="399"/>
      <c r="O25" s="399"/>
      <c r="P25" s="240"/>
      <c r="Q25" s="240"/>
      <c r="R25" s="379"/>
      <c r="S25" s="240"/>
      <c r="T25" s="240"/>
      <c r="U25" s="240"/>
      <c r="V25" s="240"/>
      <c r="W25" s="240"/>
    </row>
    <row r="26" spans="1:23" ht="15.75">
      <c r="A26" s="574" t="s">
        <v>297</v>
      </c>
      <c r="B26" s="574"/>
      <c r="C26" s="574"/>
      <c r="D26" s="574"/>
      <c r="E26" s="450"/>
      <c r="F26" s="450"/>
      <c r="G26" s="442">
        <f>SUM(G16:G25)</f>
        <v>240149</v>
      </c>
      <c r="H26" s="451"/>
      <c r="I26" s="444">
        <f>SUM(I16:I25)</f>
        <v>43749.055</v>
      </c>
      <c r="J26" s="452"/>
      <c r="K26" s="451"/>
      <c r="L26" s="444">
        <f ca="1">SUM(L16:L25)</f>
        <v>30606.70631174793</v>
      </c>
      <c r="M26" s="444">
        <f t="shared" ca="1" si="4"/>
        <v>-13142.34868825207</v>
      </c>
      <c r="N26" s="399"/>
      <c r="O26" s="399"/>
      <c r="P26" s="240"/>
      <c r="Q26" s="240"/>
      <c r="R26" s="379"/>
      <c r="S26" s="240"/>
      <c r="T26" s="240"/>
      <c r="U26" s="240"/>
      <c r="V26" s="240"/>
      <c r="W26" s="240"/>
    </row>
    <row r="27" spans="1:23" ht="15.75">
      <c r="A27" s="573" t="s">
        <v>136</v>
      </c>
      <c r="B27" s="407">
        <v>100</v>
      </c>
      <c r="C27" s="408">
        <v>25</v>
      </c>
      <c r="D27" s="199" t="s">
        <v>140</v>
      </c>
      <c r="E27" s="430"/>
      <c r="F27" s="409"/>
      <c r="G27" s="410">
        <v>107</v>
      </c>
      <c r="H27" s="411">
        <v>4.99</v>
      </c>
      <c r="I27" s="412">
        <f t="shared" ref="I27:I32" si="10">H27*G27</f>
        <v>533.93000000000006</v>
      </c>
      <c r="J27" s="413">
        <f t="shared" ref="J27:J32" ca="1" si="11">($J$3*H27)</f>
        <v>-1.4990111204545526</v>
      </c>
      <c r="K27" s="414">
        <f t="shared" ref="K27:K32" ca="1" si="12">J27+H27</f>
        <v>3.4909888795454478</v>
      </c>
      <c r="L27" s="412">
        <f t="shared" ref="L27:L32" ca="1" si="13">K27*G27</f>
        <v>373.53581011136293</v>
      </c>
      <c r="M27" s="412">
        <f t="shared" ca="1" si="4"/>
        <v>-160.39418988863713</v>
      </c>
      <c r="N27" s="399"/>
      <c r="O27" s="399"/>
      <c r="P27" s="240"/>
      <c r="Q27" s="240"/>
      <c r="R27" s="379"/>
      <c r="S27" s="240"/>
      <c r="T27" s="240"/>
      <c r="U27" s="240"/>
      <c r="V27" s="240"/>
      <c r="W27" s="240"/>
    </row>
    <row r="28" spans="1:23" ht="15.75">
      <c r="A28" s="570"/>
      <c r="B28" s="407">
        <v>100</v>
      </c>
      <c r="C28" s="408">
        <v>24</v>
      </c>
      <c r="D28" s="199" t="s">
        <v>141</v>
      </c>
      <c r="E28" s="453"/>
      <c r="F28" s="454"/>
      <c r="G28" s="410"/>
      <c r="H28" s="411">
        <v>6.65</v>
      </c>
      <c r="I28" s="412">
        <f t="shared" si="10"/>
        <v>0</v>
      </c>
      <c r="J28" s="413">
        <f t="shared" ca="1" si="11"/>
        <v>-1.9976801505055661</v>
      </c>
      <c r="K28" s="414">
        <f t="shared" ca="1" si="12"/>
        <v>4.6523198494944342</v>
      </c>
      <c r="L28" s="412">
        <f t="shared" ca="1" si="13"/>
        <v>0</v>
      </c>
      <c r="M28" s="412">
        <f t="shared" ca="1" si="4"/>
        <v>0</v>
      </c>
      <c r="N28" s="399"/>
      <c r="O28" s="399"/>
      <c r="P28" s="240"/>
      <c r="Q28" s="240"/>
      <c r="R28" s="379"/>
      <c r="S28" s="240"/>
      <c r="T28" s="240"/>
      <c r="U28" s="240"/>
      <c r="V28" s="240"/>
      <c r="W28" s="240"/>
    </row>
    <row r="29" spans="1:23" ht="15.75">
      <c r="A29" s="570"/>
      <c r="B29" s="407"/>
      <c r="C29" s="408">
        <v>24</v>
      </c>
      <c r="D29" s="199" t="s">
        <v>272</v>
      </c>
      <c r="E29" s="453"/>
      <c r="F29" s="454"/>
      <c r="G29" s="410"/>
      <c r="H29" s="411">
        <v>4.9000000000000004</v>
      </c>
      <c r="I29" s="412">
        <f t="shared" si="10"/>
        <v>0</v>
      </c>
      <c r="J29" s="413">
        <f t="shared" ca="1" si="11"/>
        <v>-1.4719748477409436</v>
      </c>
      <c r="K29" s="414">
        <f t="shared" ca="1" si="12"/>
        <v>3.4280251522590568</v>
      </c>
      <c r="L29" s="412">
        <f t="shared" ca="1" si="13"/>
        <v>0</v>
      </c>
      <c r="M29" s="412">
        <f t="shared" ca="1" si="4"/>
        <v>0</v>
      </c>
      <c r="N29" s="399"/>
      <c r="O29" s="399"/>
      <c r="P29" s="240"/>
      <c r="Q29" s="240"/>
      <c r="R29" s="379"/>
      <c r="S29" s="240"/>
      <c r="T29" s="240"/>
      <c r="U29" s="240"/>
      <c r="V29" s="240"/>
      <c r="W29" s="240"/>
    </row>
    <row r="30" spans="1:23" ht="15.75">
      <c r="A30" s="570"/>
      <c r="B30" s="407">
        <v>55</v>
      </c>
      <c r="C30" s="408">
        <v>19</v>
      </c>
      <c r="D30" s="199" t="s">
        <v>142</v>
      </c>
      <c r="E30" s="453"/>
      <c r="F30" s="454"/>
      <c r="G30" s="410">
        <v>96</v>
      </c>
      <c r="H30" s="411">
        <v>4.99</v>
      </c>
      <c r="I30" s="412">
        <f t="shared" si="10"/>
        <v>479.04</v>
      </c>
      <c r="J30" s="413">
        <f t="shared" ca="1" si="11"/>
        <v>-1.4990111204545526</v>
      </c>
      <c r="K30" s="414">
        <f t="shared" ca="1" si="12"/>
        <v>3.4909888795454478</v>
      </c>
      <c r="L30" s="412">
        <f t="shared" ca="1" si="13"/>
        <v>335.13493243636299</v>
      </c>
      <c r="M30" s="412">
        <f t="shared" ca="1" si="4"/>
        <v>-143.90506756363703</v>
      </c>
      <c r="N30" s="399"/>
      <c r="P30" s="240"/>
      <c r="Q30" s="240"/>
      <c r="R30" s="379"/>
      <c r="S30" s="240"/>
      <c r="T30" s="240"/>
      <c r="U30" s="240"/>
      <c r="V30" s="240"/>
      <c r="W30" s="240"/>
    </row>
    <row r="31" spans="1:23" ht="15.75">
      <c r="A31" s="570"/>
      <c r="B31" s="407">
        <v>100</v>
      </c>
      <c r="C31" s="408">
        <v>25</v>
      </c>
      <c r="D31" s="199" t="s">
        <v>270</v>
      </c>
      <c r="E31" s="453"/>
      <c r="F31" s="454"/>
      <c r="G31" s="410"/>
      <c r="H31" s="411">
        <v>3.94</v>
      </c>
      <c r="I31" s="412">
        <f t="shared" si="10"/>
        <v>0</v>
      </c>
      <c r="J31" s="413">
        <f t="shared" ca="1" si="11"/>
        <v>-1.1835879387957791</v>
      </c>
      <c r="K31" s="414">
        <f t="shared" ca="1" si="12"/>
        <v>2.7564120612042209</v>
      </c>
      <c r="L31" s="412">
        <f t="shared" ca="1" si="13"/>
        <v>0</v>
      </c>
      <c r="M31" s="412">
        <f t="shared" ca="1" si="4"/>
        <v>0</v>
      </c>
      <c r="N31" s="399"/>
      <c r="P31" s="240"/>
      <c r="Q31" s="240"/>
      <c r="R31" s="379"/>
      <c r="S31" s="240"/>
      <c r="T31" s="240"/>
      <c r="U31" s="240"/>
      <c r="V31" s="240"/>
      <c r="W31" s="240"/>
    </row>
    <row r="32" spans="1:23" ht="15.75">
      <c r="A32" s="572"/>
      <c r="B32" s="432">
        <v>100</v>
      </c>
      <c r="C32" s="433">
        <v>19</v>
      </c>
      <c r="D32" s="200" t="s">
        <v>269</v>
      </c>
      <c r="E32" s="403"/>
      <c r="F32" s="455"/>
      <c r="G32" s="497"/>
      <c r="H32" s="411">
        <v>3.94</v>
      </c>
      <c r="I32" s="438">
        <f t="shared" si="10"/>
        <v>0</v>
      </c>
      <c r="J32" s="436">
        <f t="shared" ca="1" si="11"/>
        <v>-1.1835879387957791</v>
      </c>
      <c r="K32" s="414">
        <f t="shared" ca="1" si="12"/>
        <v>2.7564120612042209</v>
      </c>
      <c r="L32" s="438">
        <f t="shared" ca="1" si="13"/>
        <v>0</v>
      </c>
      <c r="M32" s="412">
        <f t="shared" ca="1" si="4"/>
        <v>0</v>
      </c>
      <c r="N32" s="399"/>
      <c r="O32" s="399"/>
      <c r="P32" s="240"/>
      <c r="Q32" s="240"/>
      <c r="R32" s="379"/>
      <c r="S32" s="240"/>
      <c r="T32" s="240"/>
      <c r="U32" s="240"/>
      <c r="V32" s="240"/>
      <c r="W32" s="240"/>
    </row>
    <row r="33" spans="1:23" ht="15.75">
      <c r="A33" s="450"/>
      <c r="B33" s="416"/>
      <c r="C33" s="417"/>
      <c r="D33" s="418" t="s">
        <v>299</v>
      </c>
      <c r="E33" s="456"/>
      <c r="F33" s="456"/>
      <c r="G33" s="457">
        <f>SUM(G27:G32)</f>
        <v>203</v>
      </c>
      <c r="H33" s="458"/>
      <c r="I33" s="459">
        <f>SUM(I27:I32)</f>
        <v>1012.97</v>
      </c>
      <c r="J33" s="460"/>
      <c r="K33" s="458"/>
      <c r="L33" s="461">
        <f ca="1">SUM(L27:L32)</f>
        <v>708.67074254772592</v>
      </c>
      <c r="M33" s="461">
        <f ca="1">SUM(M27:M32)</f>
        <v>-304.29925745227416</v>
      </c>
      <c r="N33" s="399"/>
      <c r="O33" s="399"/>
      <c r="P33" s="240"/>
      <c r="Q33" s="240"/>
      <c r="R33" s="379"/>
      <c r="S33" s="240"/>
      <c r="T33" s="240"/>
      <c r="U33" s="240"/>
      <c r="V33" s="240"/>
      <c r="W33" s="240"/>
    </row>
    <row r="34" spans="1:23" ht="15.75">
      <c r="A34" s="570" t="s">
        <v>139</v>
      </c>
      <c r="B34" s="407"/>
      <c r="C34" s="408"/>
      <c r="D34" s="199" t="s">
        <v>278</v>
      </c>
      <c r="E34" s="430"/>
      <c r="F34" s="409"/>
      <c r="G34" s="410">
        <v>96</v>
      </c>
      <c r="H34" s="411">
        <v>5</v>
      </c>
      <c r="I34" s="412">
        <f>G34*H34</f>
        <v>480</v>
      </c>
      <c r="J34" s="413">
        <f ca="1">($J$3*H34)</f>
        <v>-1.5020151507560646</v>
      </c>
      <c r="K34" s="414">
        <f ca="1">J34+H34</f>
        <v>3.4979848492439354</v>
      </c>
      <c r="L34" s="412">
        <f ca="1">K34*G34</f>
        <v>335.80654552741782</v>
      </c>
      <c r="M34" s="412">
        <f ca="1">L34-I34</f>
        <v>-144.19345447258218</v>
      </c>
      <c r="N34" s="399"/>
      <c r="O34" s="399"/>
      <c r="P34" s="240"/>
      <c r="Q34" s="240"/>
      <c r="R34" s="379"/>
      <c r="S34" s="240"/>
      <c r="T34" s="240"/>
      <c r="U34" s="240"/>
      <c r="V34" s="240"/>
      <c r="W34" s="240"/>
    </row>
    <row r="35" spans="1:23" ht="15.75">
      <c r="A35" s="570"/>
      <c r="B35" s="407"/>
      <c r="C35" s="408"/>
      <c r="D35" s="199" t="s">
        <v>273</v>
      </c>
      <c r="E35" s="399"/>
      <c r="F35" s="409"/>
      <c r="G35" s="410">
        <v>29</v>
      </c>
      <c r="H35" s="411">
        <v>12.5</v>
      </c>
      <c r="I35" s="412">
        <f>G35*H35</f>
        <v>362.5</v>
      </c>
      <c r="J35" s="413">
        <f ca="1">($J$3*H35)</f>
        <v>-3.755037876890162</v>
      </c>
      <c r="K35" s="414">
        <f ca="1">J35+H35</f>
        <v>8.744962123109838</v>
      </c>
      <c r="L35" s="412">
        <f ca="1">K35*G35</f>
        <v>253.60390157018531</v>
      </c>
      <c r="M35" s="412">
        <f ca="1">L35-I35</f>
        <v>-108.89609842981469</v>
      </c>
      <c r="N35" s="399"/>
      <c r="O35" s="399"/>
      <c r="P35" s="240"/>
      <c r="Q35" s="240"/>
      <c r="R35" s="379"/>
      <c r="S35" s="240"/>
      <c r="T35" s="240"/>
      <c r="U35" s="240"/>
      <c r="V35" s="240"/>
      <c r="W35" s="240"/>
    </row>
    <row r="36" spans="1:23" ht="16.5" thickBot="1">
      <c r="A36" s="571"/>
      <c r="B36" s="440"/>
      <c r="C36" s="450"/>
      <c r="D36" s="418" t="s">
        <v>103</v>
      </c>
      <c r="E36" s="462"/>
      <c r="F36" s="462"/>
      <c r="G36" s="442">
        <f>SUM(G34:G35)</f>
        <v>125</v>
      </c>
      <c r="H36" s="463"/>
      <c r="I36" s="444">
        <f>SUM(I34:I35)</f>
        <v>842.5</v>
      </c>
      <c r="J36" s="460"/>
      <c r="K36" s="463"/>
      <c r="L36" s="444">
        <f ca="1">SUM(L34:L35)</f>
        <v>589.41044709760308</v>
      </c>
      <c r="M36" s="444">
        <f ca="1">SUM(M34:M35)</f>
        <v>-253.08955290239686</v>
      </c>
      <c r="N36" s="399"/>
      <c r="O36" s="399"/>
      <c r="P36" s="240"/>
      <c r="Q36" s="240"/>
      <c r="R36" s="379"/>
      <c r="S36" s="240"/>
      <c r="T36" s="240"/>
      <c r="U36" s="240"/>
      <c r="V36" s="240"/>
      <c r="W36" s="240"/>
    </row>
    <row r="37" spans="1:23" ht="17.25" thickTop="1" thickBot="1">
      <c r="A37" s="464"/>
      <c r="B37" s="464"/>
      <c r="C37" s="464"/>
      <c r="D37" s="201" t="s">
        <v>143</v>
      </c>
      <c r="E37" s="465"/>
      <c r="F37" s="464"/>
      <c r="G37" s="465">
        <f>G10+G15+G26+G33+G36</f>
        <v>293567</v>
      </c>
      <c r="H37" s="464"/>
      <c r="I37" s="465">
        <f>I10+I15+I26+I33+I36</f>
        <v>358220.42499999999</v>
      </c>
      <c r="J37" s="466"/>
      <c r="K37" s="464"/>
      <c r="L37" s="465">
        <f ca="1">L10+L15+L26+L33+L36</f>
        <v>250609.92386794469</v>
      </c>
      <c r="M37" s="465">
        <f ca="1">M10+M15+M26+M33+M36</f>
        <v>-107610.50113205535</v>
      </c>
      <c r="N37" s="399"/>
      <c r="O37" s="399"/>
      <c r="P37" s="240"/>
      <c r="Q37" s="240"/>
      <c r="R37" s="379"/>
      <c r="S37" s="240"/>
      <c r="T37" s="240"/>
      <c r="U37" s="240"/>
      <c r="V37" s="240"/>
      <c r="W37" s="240"/>
    </row>
    <row r="38" spans="1:23" ht="16.5" thickTop="1">
      <c r="A38" s="399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240"/>
      <c r="Q38" s="240"/>
      <c r="R38" s="240"/>
      <c r="S38" s="240"/>
      <c r="T38" s="240"/>
      <c r="U38" s="240"/>
      <c r="V38" s="240"/>
      <c r="W38" s="240"/>
    </row>
    <row r="39" spans="1:23" ht="15.75">
      <c r="A39" s="467"/>
      <c r="B39" s="429"/>
      <c r="C39" s="429"/>
      <c r="D39" s="202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399"/>
      <c r="P39" s="240"/>
      <c r="Q39" s="240"/>
      <c r="R39" s="240"/>
      <c r="S39" s="240"/>
      <c r="T39" s="240"/>
      <c r="U39" s="240"/>
      <c r="V39" s="240"/>
      <c r="W39" s="240"/>
    </row>
    <row r="40" spans="1:23" ht="15.75">
      <c r="A40" s="467"/>
      <c r="B40" s="399"/>
      <c r="C40" s="399"/>
      <c r="D40" s="399"/>
      <c r="E40" s="468"/>
      <c r="F40" s="399"/>
      <c r="G40" s="399"/>
      <c r="H40" s="240"/>
      <c r="I40" s="469"/>
      <c r="J40" s="290"/>
      <c r="K40" s="399"/>
      <c r="L40" s="470"/>
      <c r="M40" s="471"/>
      <c r="N40" s="429"/>
      <c r="O40" s="399"/>
      <c r="P40" s="240"/>
      <c r="Q40" s="240"/>
      <c r="R40" s="240"/>
      <c r="S40" s="240"/>
      <c r="T40" s="240"/>
      <c r="U40" s="240"/>
      <c r="V40" s="240"/>
      <c r="W40" s="240"/>
    </row>
    <row r="41" spans="1:23" ht="15.75">
      <c r="A41" s="467"/>
      <c r="B41" s="399"/>
      <c r="C41" s="399"/>
      <c r="D41" s="472" t="s">
        <v>232</v>
      </c>
      <c r="E41" s="473"/>
      <c r="F41" s="399"/>
      <c r="G41" s="399"/>
      <c r="H41" s="474"/>
      <c r="I41" s="406"/>
      <c r="J41" s="474"/>
      <c r="K41" s="474"/>
      <c r="L41" s="406"/>
      <c r="M41" s="429"/>
      <c r="N41" s="429"/>
      <c r="O41" s="399"/>
      <c r="P41" s="240"/>
      <c r="Q41" s="240"/>
      <c r="R41" s="240"/>
      <c r="S41" s="240"/>
      <c r="T41" s="240"/>
      <c r="U41" s="240"/>
      <c r="V41" s="240"/>
      <c r="W41" s="240"/>
    </row>
    <row r="42" spans="1:23" ht="15.75">
      <c r="A42" s="467"/>
      <c r="B42" s="407">
        <v>100</v>
      </c>
      <c r="C42" s="408">
        <v>24</v>
      </c>
      <c r="D42" s="199" t="s">
        <v>138</v>
      </c>
      <c r="E42" s="430">
        <f>E9</f>
        <v>1915</v>
      </c>
      <c r="F42" s="409">
        <v>2.1666666666666665</v>
      </c>
      <c r="G42" s="410">
        <f>E42*F42*12</f>
        <v>49789.999999999993</v>
      </c>
      <c r="H42" s="411">
        <v>5.28</v>
      </c>
      <c r="I42" s="521">
        <f>E42*H42*12</f>
        <v>121334.40000000001</v>
      </c>
      <c r="J42" s="413">
        <f ca="1">H42*$J$4</f>
        <v>5.3110895391612303</v>
      </c>
      <c r="K42" s="414">
        <f ca="1">J42+H42</f>
        <v>10.591089539161231</v>
      </c>
      <c r="L42" s="412">
        <f ca="1">E42*K42*12</f>
        <v>243383.2376099251</v>
      </c>
      <c r="M42" s="412">
        <f ca="1">L42-I42</f>
        <v>122048.83760992509</v>
      </c>
      <c r="N42" s="475"/>
      <c r="O42" s="476">
        <f>('Pro Forma IS'!S4-I42)/I42</f>
        <v>0</v>
      </c>
      <c r="P42" s="240"/>
      <c r="Q42" s="240"/>
      <c r="R42" s="240"/>
      <c r="S42" s="240"/>
      <c r="T42" s="240"/>
      <c r="U42" s="240"/>
      <c r="V42" s="240"/>
      <c r="W42" s="240"/>
    </row>
    <row r="43" spans="1:23" ht="15.75">
      <c r="A43" s="467"/>
      <c r="B43" s="399"/>
      <c r="C43" s="399"/>
      <c r="D43" s="429"/>
      <c r="E43" s="430"/>
      <c r="F43" s="477"/>
      <c r="G43" s="399"/>
      <c r="H43" s="399"/>
      <c r="I43" s="431"/>
      <c r="J43" s="399"/>
      <c r="K43" s="399"/>
      <c r="L43" s="478"/>
      <c r="M43" s="478"/>
      <c r="N43" s="429"/>
      <c r="O43" s="399"/>
      <c r="P43" s="240"/>
      <c r="Q43" s="240"/>
      <c r="R43" s="240"/>
      <c r="S43" s="240"/>
      <c r="T43" s="240"/>
      <c r="U43" s="240"/>
      <c r="V43" s="240"/>
      <c r="W43" s="240"/>
    </row>
    <row r="44" spans="1:23" ht="15.75">
      <c r="A44" s="467"/>
      <c r="B44" s="399"/>
      <c r="C44" s="399"/>
      <c r="D44" s="429"/>
      <c r="E44" s="470"/>
      <c r="F44" s="477"/>
      <c r="G44" s="386"/>
      <c r="H44" s="498"/>
      <c r="I44" s="499"/>
      <c r="J44" s="384"/>
      <c r="K44" s="240"/>
      <c r="L44" s="240"/>
      <c r="M44" s="399"/>
      <c r="N44" s="429"/>
      <c r="O44" s="399"/>
      <c r="P44" s="240"/>
      <c r="Q44" s="240"/>
      <c r="R44" s="240"/>
      <c r="S44" s="240"/>
      <c r="T44" s="240"/>
      <c r="U44" s="240"/>
      <c r="V44" s="240"/>
      <c r="W44" s="240"/>
    </row>
    <row r="45" spans="1:23" ht="15.75">
      <c r="A45" s="467"/>
      <c r="B45" s="399"/>
      <c r="C45" s="399"/>
      <c r="D45" s="526" t="s">
        <v>385</v>
      </c>
      <c r="E45" s="475" t="s">
        <v>379</v>
      </c>
      <c r="F45" s="477" t="s">
        <v>386</v>
      </c>
      <c r="G45" s="528" t="s">
        <v>387</v>
      </c>
      <c r="H45" s="240"/>
      <c r="I45" s="500"/>
      <c r="J45" s="385"/>
      <c r="K45" s="299"/>
      <c r="L45" s="289"/>
      <c r="M45" s="399"/>
      <c r="N45" s="429"/>
      <c r="O45" s="399"/>
      <c r="P45" s="240"/>
      <c r="Q45" s="240"/>
      <c r="R45" s="240"/>
      <c r="S45" s="240"/>
      <c r="T45" s="240"/>
      <c r="U45" s="240"/>
      <c r="V45" s="240"/>
      <c r="W45" s="240"/>
    </row>
    <row r="46" spans="1:23" ht="15.75">
      <c r="A46" s="467"/>
      <c r="B46" s="399"/>
      <c r="C46" s="399"/>
      <c r="D46" s="399" t="s">
        <v>380</v>
      </c>
      <c r="E46" s="288">
        <f>'Pro Forma IS'!P3</f>
        <v>358220.42499999999</v>
      </c>
      <c r="F46" s="288">
        <f>I10</f>
        <v>280200</v>
      </c>
      <c r="G46" s="527">
        <f>F46-E46</f>
        <v>-78020.424999999988</v>
      </c>
      <c r="H46" s="379">
        <f>G46/E46</f>
        <v>-0.21780004587957258</v>
      </c>
      <c r="I46" s="240"/>
      <c r="J46" s="429"/>
      <c r="K46" s="429"/>
      <c r="L46" s="429"/>
      <c r="M46" s="399"/>
      <c r="N46" s="429"/>
      <c r="O46" s="399"/>
      <c r="P46" s="240"/>
      <c r="Q46" s="240"/>
      <c r="R46" s="240"/>
      <c r="S46" s="240"/>
      <c r="T46" s="240"/>
      <c r="U46" s="240"/>
      <c r="V46" s="240"/>
      <c r="W46" s="240"/>
    </row>
    <row r="47" spans="1:23" ht="15.75">
      <c r="A47" s="467"/>
      <c r="B47" s="399"/>
      <c r="C47" s="399"/>
      <c r="D47" s="429" t="s">
        <v>381</v>
      </c>
      <c r="E47" s="288">
        <f>'Pro Forma IS'!P5</f>
        <v>80872.02</v>
      </c>
      <c r="F47" s="288">
        <f>I15</f>
        <v>32415.9</v>
      </c>
      <c r="G47" s="527">
        <f t="shared" ref="G47:G49" si="14">F47-E47</f>
        <v>-48456.12</v>
      </c>
      <c r="H47" s="379">
        <f t="shared" ref="H47:H53" si="15">G47/E47</f>
        <v>-0.59917039292452445</v>
      </c>
      <c r="I47" s="304"/>
      <c r="J47" s="288"/>
      <c r="K47" s="288"/>
      <c r="L47" s="300"/>
      <c r="M47" s="399"/>
      <c r="N47" s="429"/>
      <c r="O47" s="399"/>
      <c r="P47" s="240"/>
      <c r="Q47" s="240"/>
      <c r="R47" s="240"/>
      <c r="S47" s="240"/>
      <c r="T47" s="240"/>
      <c r="U47" s="240"/>
      <c r="V47" s="240"/>
      <c r="W47" s="240"/>
    </row>
    <row r="48" spans="1:23" ht="15.75">
      <c r="A48" s="467"/>
      <c r="B48" s="399"/>
      <c r="C48" s="399"/>
      <c r="D48" s="429" t="s">
        <v>382</v>
      </c>
      <c r="E48" s="288">
        <f>'Pro Forma IS'!P6</f>
        <v>0</v>
      </c>
      <c r="F48" s="288">
        <f>I26</f>
        <v>43749.055</v>
      </c>
      <c r="G48" s="527">
        <f t="shared" si="14"/>
        <v>43749.055</v>
      </c>
      <c r="H48" s="379" t="e">
        <f t="shared" si="15"/>
        <v>#DIV/0!</v>
      </c>
      <c r="I48" s="288"/>
      <c r="J48" s="288"/>
      <c r="K48" s="288"/>
      <c r="L48" s="300"/>
      <c r="M48" s="399"/>
      <c r="N48" s="429"/>
      <c r="O48" s="399"/>
      <c r="P48" s="240"/>
      <c r="Q48" s="240"/>
      <c r="R48" s="240"/>
      <c r="S48" s="240"/>
      <c r="T48" s="240"/>
      <c r="U48" s="240"/>
      <c r="V48" s="240"/>
      <c r="W48" s="240"/>
    </row>
    <row r="49" spans="1:23" ht="15.75">
      <c r="A49" s="467"/>
      <c r="B49" s="240"/>
      <c r="C49" s="240"/>
      <c r="D49" s="429" t="s">
        <v>383</v>
      </c>
      <c r="E49" s="248">
        <f>'Pro Forma IS'!P9</f>
        <v>8152.23</v>
      </c>
      <c r="F49" s="248">
        <f>I33+I36</f>
        <v>1855.47</v>
      </c>
      <c r="G49" s="534">
        <f t="shared" si="14"/>
        <v>-6296.7599999999993</v>
      </c>
      <c r="H49" s="379">
        <f t="shared" si="15"/>
        <v>-0.77239724590694814</v>
      </c>
      <c r="I49" s="301"/>
      <c r="J49" s="301"/>
      <c r="K49" s="302"/>
      <c r="L49" s="302"/>
      <c r="M49" s="240"/>
      <c r="N49" s="429"/>
      <c r="O49" s="399"/>
      <c r="P49" s="240"/>
      <c r="Q49" s="240"/>
      <c r="R49" s="240"/>
      <c r="S49" s="240"/>
      <c r="T49" s="240"/>
      <c r="U49" s="240"/>
      <c r="V49" s="240"/>
      <c r="W49" s="240"/>
    </row>
    <row r="50" spans="1:23" ht="15.75">
      <c r="A50" s="467"/>
      <c r="B50" s="240"/>
      <c r="C50" s="240"/>
      <c r="D50" s="429" t="s">
        <v>257</v>
      </c>
      <c r="E50" s="531">
        <f>SUM(E46:E49)</f>
        <v>447244.67499999999</v>
      </c>
      <c r="F50" s="531">
        <f>SUM(F46:F49)</f>
        <v>358220.42499999999</v>
      </c>
      <c r="G50" s="529">
        <f>F50-E50</f>
        <v>-89024.25</v>
      </c>
      <c r="H50" s="379">
        <f t="shared" si="15"/>
        <v>-0.19905044146137682</v>
      </c>
      <c r="I50" s="289"/>
      <c r="J50" s="303"/>
      <c r="K50" s="289"/>
      <c r="L50" s="289"/>
      <c r="M50" s="240"/>
      <c r="N50" s="429"/>
      <c r="O50" s="399"/>
      <c r="P50" s="240"/>
      <c r="Q50" s="240"/>
      <c r="R50" s="240"/>
      <c r="S50" s="240"/>
      <c r="T50" s="240"/>
      <c r="U50" s="240"/>
      <c r="V50" s="240"/>
      <c r="W50" s="240"/>
    </row>
    <row r="51" spans="1:23" ht="15.75">
      <c r="A51" s="467"/>
      <c r="B51" s="399"/>
      <c r="C51" s="399"/>
      <c r="D51" s="429"/>
      <c r="E51" s="288"/>
      <c r="F51" s="288"/>
      <c r="G51" s="530"/>
      <c r="H51" s="299"/>
      <c r="I51" s="299"/>
      <c r="J51" s="299"/>
      <c r="K51" s="299"/>
      <c r="L51" s="304"/>
      <c r="M51" s="399"/>
      <c r="N51" s="429"/>
      <c r="O51" s="399"/>
      <c r="P51" s="240"/>
      <c r="Q51" s="240"/>
      <c r="R51" s="240"/>
      <c r="S51" s="240"/>
      <c r="T51" s="240"/>
      <c r="U51" s="240"/>
      <c r="V51" s="240"/>
      <c r="W51" s="240"/>
    </row>
    <row r="52" spans="1:23" ht="15.75">
      <c r="A52" s="467"/>
      <c r="B52" s="399"/>
      <c r="C52" s="399"/>
      <c r="D52" s="429" t="s">
        <v>384</v>
      </c>
      <c r="E52" s="248">
        <f>'Pro Forma IS'!P4</f>
        <v>121334.40000000001</v>
      </c>
      <c r="F52" s="535">
        <f>I42</f>
        <v>121334.40000000001</v>
      </c>
      <c r="G52" s="533">
        <f>F52-E52</f>
        <v>0</v>
      </c>
      <c r="H52" s="379">
        <f t="shared" si="15"/>
        <v>0</v>
      </c>
      <c r="I52" s="288"/>
      <c r="J52" s="288"/>
      <c r="K52" s="288"/>
      <c r="L52" s="304"/>
      <c r="M52" s="399"/>
      <c r="N52" s="429"/>
      <c r="O52" s="399"/>
      <c r="P52" s="240"/>
      <c r="Q52" s="240"/>
      <c r="R52" s="240"/>
      <c r="S52" s="240"/>
      <c r="T52" s="240"/>
      <c r="U52" s="240"/>
      <c r="V52" s="240"/>
      <c r="W52" s="240"/>
    </row>
    <row r="53" spans="1:23" ht="15.75">
      <c r="A53" s="429"/>
      <c r="B53" s="240"/>
      <c r="C53" s="240"/>
      <c r="D53" s="429" t="s">
        <v>234</v>
      </c>
      <c r="E53" s="531">
        <f>E50+E52</f>
        <v>568579.07499999995</v>
      </c>
      <c r="F53" s="531">
        <f>F50+F52</f>
        <v>479554.82500000001</v>
      </c>
      <c r="G53" s="532">
        <f>G50+G52</f>
        <v>-89024.25</v>
      </c>
      <c r="H53" s="379">
        <f t="shared" si="15"/>
        <v>-0.15657320839673886</v>
      </c>
      <c r="I53" s="288"/>
      <c r="J53" s="288"/>
      <c r="K53" s="288"/>
      <c r="L53" s="303"/>
      <c r="M53" s="240"/>
      <c r="N53" s="429"/>
      <c r="O53" s="399"/>
      <c r="P53" s="240"/>
      <c r="Q53" s="240"/>
      <c r="R53" s="240"/>
      <c r="S53" s="240"/>
      <c r="T53" s="240"/>
      <c r="U53" s="240"/>
      <c r="V53" s="240"/>
      <c r="W53" s="240"/>
    </row>
    <row r="54" spans="1:23" ht="15.75">
      <c r="A54" s="429"/>
      <c r="B54" s="240"/>
      <c r="C54" s="240"/>
      <c r="D54" s="240"/>
      <c r="E54" s="240"/>
      <c r="F54" s="240"/>
      <c r="G54" s="289"/>
      <c r="H54" s="256"/>
      <c r="I54" s="239"/>
      <c r="J54" s="239"/>
      <c r="K54" s="239"/>
      <c r="L54" s="303"/>
      <c r="M54" s="240"/>
      <c r="N54" s="429"/>
      <c r="O54" s="399"/>
      <c r="P54" s="240"/>
      <c r="Q54" s="240"/>
      <c r="R54" s="240"/>
      <c r="S54" s="240"/>
      <c r="T54" s="240"/>
      <c r="U54" s="240"/>
      <c r="V54" s="240"/>
      <c r="W54" s="240"/>
    </row>
    <row r="55" spans="1:23" ht="15.75">
      <c r="A55" s="399"/>
      <c r="B55" s="240"/>
      <c r="C55" s="240"/>
      <c r="D55" s="240"/>
      <c r="E55" s="240"/>
      <c r="F55" s="240"/>
      <c r="G55" s="289"/>
      <c r="H55" s="302"/>
      <c r="I55" s="239"/>
      <c r="J55" s="239"/>
      <c r="K55" s="239"/>
      <c r="L55" s="303"/>
      <c r="M55" s="240"/>
      <c r="N55" s="399"/>
      <c r="O55" s="399"/>
      <c r="P55" s="240"/>
      <c r="Q55" s="240"/>
      <c r="R55" s="240"/>
      <c r="S55" s="240"/>
      <c r="T55" s="240"/>
      <c r="U55" s="240"/>
      <c r="V55" s="240"/>
      <c r="W55" s="240"/>
    </row>
    <row r="56" spans="1:23" ht="15.75">
      <c r="A56" s="399"/>
      <c r="B56" s="240"/>
      <c r="C56" s="240"/>
      <c r="D56" s="240"/>
      <c r="E56" s="240"/>
      <c r="F56" s="240"/>
      <c r="G56" s="289"/>
      <c r="H56" s="289"/>
      <c r="I56" s="303"/>
      <c r="J56" s="303"/>
      <c r="K56" s="289"/>
      <c r="L56" s="289"/>
      <c r="M56" s="240"/>
      <c r="N56" s="399"/>
      <c r="O56" s="399"/>
      <c r="P56" s="240"/>
      <c r="Q56" s="240"/>
      <c r="R56" s="240"/>
      <c r="S56" s="240"/>
      <c r="T56" s="240"/>
      <c r="U56" s="240"/>
      <c r="V56" s="240"/>
      <c r="W56" s="240"/>
    </row>
    <row r="57" spans="1:23" ht="15.75">
      <c r="A57" s="399"/>
      <c r="B57" s="240"/>
      <c r="C57" s="240"/>
      <c r="D57" s="240"/>
      <c r="E57" s="240"/>
      <c r="F57" s="240"/>
      <c r="G57" s="289"/>
      <c r="H57" s="289"/>
      <c r="I57" s="289"/>
      <c r="J57" s="289"/>
      <c r="K57" s="289"/>
      <c r="L57" s="289"/>
      <c r="M57" s="240"/>
      <c r="N57" s="399"/>
      <c r="O57" s="399"/>
      <c r="P57" s="240"/>
      <c r="Q57" s="240"/>
      <c r="R57" s="240"/>
      <c r="S57" s="240"/>
      <c r="T57" s="240"/>
      <c r="U57" s="240"/>
      <c r="V57" s="240"/>
      <c r="W57" s="240"/>
    </row>
    <row r="58" spans="1:23" ht="15.75">
      <c r="A58" s="399"/>
      <c r="B58" s="240"/>
      <c r="C58" s="240"/>
      <c r="D58" s="240"/>
      <c r="E58" s="240"/>
      <c r="F58" s="240"/>
      <c r="G58" s="289"/>
      <c r="H58" s="305"/>
      <c r="I58" s="289"/>
      <c r="J58" s="289"/>
      <c r="K58" s="289"/>
      <c r="L58" s="289"/>
      <c r="M58" s="240"/>
      <c r="N58" s="399"/>
      <c r="O58" s="399"/>
      <c r="P58" s="240"/>
      <c r="Q58" s="240"/>
      <c r="R58" s="240"/>
      <c r="S58" s="240"/>
      <c r="T58" s="240"/>
      <c r="U58" s="240"/>
      <c r="V58" s="240"/>
      <c r="W58" s="240"/>
    </row>
    <row r="59" spans="1:23" ht="15.75">
      <c r="A59" s="399"/>
      <c r="B59" s="240"/>
      <c r="C59" s="240"/>
      <c r="D59" s="240"/>
      <c r="E59" s="240"/>
      <c r="F59" s="240"/>
      <c r="G59" s="289"/>
      <c r="H59" s="289"/>
      <c r="I59" s="303"/>
      <c r="J59" s="289"/>
      <c r="K59" s="303"/>
      <c r="L59" s="289"/>
      <c r="M59" s="240"/>
      <c r="N59" s="399"/>
      <c r="O59" s="399"/>
      <c r="P59" s="240"/>
      <c r="Q59" s="240"/>
      <c r="R59" s="240"/>
      <c r="S59" s="240"/>
      <c r="T59" s="240"/>
      <c r="U59" s="240"/>
      <c r="V59" s="240"/>
      <c r="W59" s="240"/>
    </row>
    <row r="60" spans="1:23" ht="15.75">
      <c r="A60" s="399"/>
      <c r="B60" s="240"/>
      <c r="C60" s="240"/>
      <c r="D60" s="240"/>
      <c r="E60" s="240"/>
      <c r="F60" s="240"/>
      <c r="G60" s="289"/>
      <c r="H60" s="289"/>
      <c r="I60" s="289"/>
      <c r="J60" s="289"/>
      <c r="K60" s="289"/>
      <c r="L60" s="289"/>
      <c r="M60" s="240"/>
      <c r="N60" s="399"/>
      <c r="O60" s="399"/>
      <c r="P60" s="240"/>
      <c r="Q60" s="240"/>
      <c r="R60" s="240"/>
      <c r="S60" s="240"/>
      <c r="T60" s="240"/>
      <c r="U60" s="240"/>
      <c r="V60" s="240"/>
      <c r="W60" s="240"/>
    </row>
    <row r="61" spans="1:23" ht="15.75">
      <c r="A61" s="399"/>
      <c r="B61" s="240"/>
      <c r="C61" s="240"/>
      <c r="D61" s="240"/>
      <c r="E61" s="240"/>
      <c r="F61" s="240"/>
      <c r="G61" s="289"/>
      <c r="H61" s="289"/>
      <c r="I61" s="306"/>
      <c r="J61" s="289"/>
      <c r="K61" s="306"/>
      <c r="L61" s="289"/>
      <c r="M61" s="240"/>
      <c r="N61" s="399"/>
      <c r="O61" s="399"/>
      <c r="P61" s="240"/>
      <c r="Q61" s="240"/>
      <c r="R61" s="240"/>
      <c r="S61" s="240"/>
      <c r="T61" s="240"/>
      <c r="U61" s="240"/>
      <c r="V61" s="240"/>
      <c r="W61" s="240"/>
    </row>
    <row r="62" spans="1:23" ht="15.75">
      <c r="A62" s="399"/>
      <c r="B62" s="240"/>
      <c r="C62" s="240"/>
      <c r="D62" s="240"/>
      <c r="E62" s="240"/>
      <c r="F62" s="240"/>
      <c r="G62" s="289"/>
      <c r="H62" s="289"/>
      <c r="I62" s="289"/>
      <c r="J62" s="289"/>
      <c r="K62" s="289"/>
      <c r="L62" s="289"/>
      <c r="M62" s="240"/>
      <c r="N62" s="399"/>
      <c r="O62" s="399"/>
      <c r="P62" s="240"/>
      <c r="Q62" s="240"/>
      <c r="R62" s="240"/>
      <c r="S62" s="240"/>
      <c r="T62" s="240"/>
      <c r="U62" s="240"/>
      <c r="V62" s="240"/>
      <c r="W62" s="240"/>
    </row>
    <row r="63" spans="1:23" ht="15.75">
      <c r="A63" s="399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399"/>
      <c r="O63" s="399"/>
      <c r="P63" s="240"/>
      <c r="Q63" s="240"/>
      <c r="R63" s="240"/>
      <c r="S63" s="240"/>
      <c r="T63" s="240"/>
      <c r="U63" s="240"/>
      <c r="V63" s="240"/>
      <c r="W63" s="240"/>
    </row>
    <row r="64" spans="1:23" ht="15.75">
      <c r="A64" s="399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399"/>
      <c r="O64" s="399"/>
      <c r="P64" s="240"/>
      <c r="Q64" s="240"/>
      <c r="R64" s="240"/>
      <c r="S64" s="240"/>
      <c r="T64" s="240"/>
      <c r="U64" s="240"/>
      <c r="V64" s="240"/>
      <c r="W64" s="240"/>
    </row>
    <row r="65" spans="1:23" ht="15.75">
      <c r="A65" s="399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399"/>
      <c r="O65" s="399"/>
      <c r="P65" s="240"/>
      <c r="Q65" s="240"/>
      <c r="R65" s="240"/>
      <c r="S65" s="240"/>
      <c r="T65" s="240"/>
      <c r="U65" s="240"/>
      <c r="V65" s="240"/>
      <c r="W65" s="240"/>
    </row>
    <row r="66" spans="1:23" ht="15.75">
      <c r="A66" s="399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399"/>
      <c r="O66" s="399"/>
      <c r="P66" s="240"/>
      <c r="Q66" s="240"/>
      <c r="R66" s="240"/>
      <c r="S66" s="240"/>
      <c r="T66" s="240"/>
      <c r="U66" s="240"/>
      <c r="V66" s="240"/>
      <c r="W66" s="240"/>
    </row>
    <row r="67" spans="1:23" ht="15.75">
      <c r="A67" s="399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399"/>
      <c r="O67" s="399"/>
      <c r="P67" s="240"/>
      <c r="Q67" s="240"/>
      <c r="R67" s="240"/>
      <c r="S67" s="240"/>
      <c r="T67" s="240"/>
      <c r="U67" s="240"/>
      <c r="V67" s="240"/>
      <c r="W67" s="240"/>
    </row>
    <row r="68" spans="1:23" ht="15.75">
      <c r="A68" s="399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399"/>
      <c r="O68" s="399"/>
      <c r="P68" s="240"/>
      <c r="Q68" s="240"/>
      <c r="R68" s="240"/>
      <c r="S68" s="240"/>
      <c r="T68" s="240"/>
      <c r="U68" s="240"/>
      <c r="V68" s="240"/>
      <c r="W68" s="240"/>
    </row>
    <row r="69" spans="1:23" ht="15.75">
      <c r="A69" s="399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399"/>
      <c r="O69" s="399"/>
      <c r="P69" s="240"/>
      <c r="Q69" s="240"/>
      <c r="R69" s="240"/>
      <c r="S69" s="240"/>
      <c r="T69" s="240"/>
      <c r="U69" s="240"/>
      <c r="V69" s="240"/>
      <c r="W69" s="240"/>
    </row>
    <row r="70" spans="1:23" ht="15.75">
      <c r="A70" s="399"/>
      <c r="B70" s="399"/>
      <c r="C70" s="399"/>
      <c r="D70" s="429"/>
      <c r="E70" s="429"/>
      <c r="F70" s="429"/>
      <c r="G70" s="399"/>
      <c r="H70" s="399"/>
      <c r="I70" s="288"/>
      <c r="J70" s="288"/>
      <c r="K70" s="286"/>
      <c r="L70" s="399"/>
      <c r="M70" s="399"/>
      <c r="N70" s="399"/>
      <c r="O70" s="399"/>
      <c r="P70" s="240"/>
      <c r="Q70" s="240"/>
      <c r="R70" s="240"/>
      <c r="S70" s="240"/>
      <c r="T70" s="240"/>
      <c r="U70" s="240"/>
      <c r="V70" s="240"/>
      <c r="W70" s="240"/>
    </row>
    <row r="71" spans="1:23" ht="15.75">
      <c r="A71" s="399"/>
      <c r="B71" s="399"/>
      <c r="C71" s="399"/>
      <c r="D71" s="429"/>
      <c r="E71" s="429"/>
      <c r="F71" s="429"/>
      <c r="G71" s="399"/>
      <c r="H71" s="399"/>
      <c r="I71" s="399"/>
      <c r="J71" s="399"/>
      <c r="K71" s="399"/>
      <c r="L71" s="399"/>
      <c r="M71" s="399"/>
      <c r="N71" s="399"/>
      <c r="O71" s="399"/>
      <c r="P71" s="240"/>
      <c r="Q71" s="240"/>
      <c r="R71" s="240"/>
      <c r="S71" s="240"/>
      <c r="T71" s="240"/>
      <c r="U71" s="240"/>
      <c r="V71" s="240"/>
      <c r="W71" s="240"/>
    </row>
    <row r="72" spans="1:23" ht="15.75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240"/>
      <c r="Q72" s="240"/>
      <c r="R72" s="240"/>
      <c r="S72" s="240"/>
      <c r="T72" s="240"/>
      <c r="U72" s="240"/>
      <c r="V72" s="240"/>
      <c r="W72" s="240"/>
    </row>
    <row r="73" spans="1:23" ht="15.75">
      <c r="A73" s="399"/>
      <c r="B73" s="399"/>
      <c r="C73" s="399"/>
      <c r="D73" s="399"/>
      <c r="E73" s="399"/>
      <c r="F73" s="399"/>
      <c r="G73" s="429"/>
      <c r="H73" s="475"/>
      <c r="I73" s="415"/>
      <c r="J73" s="475"/>
      <c r="K73" s="479"/>
      <c r="L73" s="473"/>
      <c r="M73" s="429"/>
      <c r="N73" s="399"/>
      <c r="O73" s="399"/>
      <c r="P73" s="240"/>
      <c r="Q73" s="240"/>
      <c r="R73" s="240"/>
      <c r="S73" s="240"/>
      <c r="T73" s="240"/>
      <c r="U73" s="240"/>
      <c r="V73" s="240"/>
      <c r="W73" s="240"/>
    </row>
    <row r="74" spans="1:23" ht="15.75">
      <c r="A74" s="399"/>
      <c r="B74" s="399"/>
      <c r="C74" s="399"/>
      <c r="D74" s="399"/>
      <c r="E74" s="399"/>
      <c r="F74" s="399"/>
      <c r="G74" s="429"/>
      <c r="H74" s="475"/>
      <c r="I74" s="480"/>
      <c r="J74" s="475"/>
      <c r="K74" s="479"/>
      <c r="L74" s="480"/>
      <c r="M74" s="429"/>
      <c r="N74" s="399"/>
      <c r="O74" s="399"/>
      <c r="P74" s="240"/>
      <c r="Q74" s="240"/>
      <c r="R74" s="240"/>
      <c r="S74" s="240"/>
      <c r="T74" s="240"/>
      <c r="U74" s="240"/>
      <c r="V74" s="240"/>
      <c r="W74" s="240"/>
    </row>
    <row r="75" spans="1:23" ht="15.75">
      <c r="A75" s="399"/>
      <c r="B75" s="399"/>
      <c r="C75" s="399"/>
      <c r="D75" s="399"/>
      <c r="E75" s="399"/>
      <c r="F75" s="399"/>
      <c r="G75" s="429"/>
      <c r="H75" s="475"/>
      <c r="I75" s="239"/>
      <c r="J75" s="475"/>
      <c r="K75" s="479"/>
      <c r="L75" s="239"/>
      <c r="M75" s="429"/>
      <c r="N75" s="399"/>
      <c r="O75" s="399"/>
      <c r="P75" s="240"/>
      <c r="Q75" s="240"/>
      <c r="R75" s="240"/>
      <c r="S75" s="240"/>
      <c r="T75" s="240"/>
      <c r="U75" s="240"/>
      <c r="V75" s="240"/>
      <c r="W75" s="240"/>
    </row>
    <row r="76" spans="1:23" ht="15.75">
      <c r="A76" s="399"/>
      <c r="B76" s="399"/>
      <c r="C76" s="399"/>
      <c r="D76" s="399"/>
      <c r="E76" s="399"/>
      <c r="F76" s="399"/>
      <c r="G76" s="429"/>
      <c r="H76" s="429"/>
      <c r="I76" s="471"/>
      <c r="J76" s="429"/>
      <c r="K76" s="415"/>
      <c r="L76" s="481"/>
      <c r="M76" s="429"/>
      <c r="N76" s="399"/>
      <c r="O76" s="399"/>
      <c r="P76" s="240"/>
      <c r="Q76" s="240"/>
      <c r="R76" s="240"/>
      <c r="S76" s="240"/>
      <c r="T76" s="240"/>
      <c r="U76" s="240"/>
      <c r="V76" s="240"/>
      <c r="W76" s="240"/>
    </row>
    <row r="77" spans="1:23" ht="15.75">
      <c r="A77" s="399"/>
      <c r="B77" s="399"/>
      <c r="C77" s="399"/>
      <c r="D77" s="399"/>
      <c r="E77" s="399"/>
      <c r="F77" s="399"/>
      <c r="G77" s="429"/>
      <c r="H77" s="429"/>
      <c r="I77" s="429"/>
      <c r="J77" s="429"/>
      <c r="K77" s="429"/>
      <c r="L77" s="429"/>
      <c r="M77" s="429"/>
      <c r="N77" s="399"/>
      <c r="O77" s="399"/>
      <c r="P77" s="240"/>
      <c r="Q77" s="240"/>
      <c r="R77" s="240"/>
      <c r="S77" s="240"/>
      <c r="T77" s="240"/>
      <c r="U77" s="240"/>
      <c r="V77" s="240"/>
      <c r="W77" s="240"/>
    </row>
    <row r="78" spans="1:23" ht="15.75">
      <c r="A78" s="399"/>
      <c r="B78" s="399"/>
      <c r="C78" s="399"/>
      <c r="D78" s="399"/>
      <c r="E78" s="399"/>
      <c r="F78" s="399"/>
      <c r="G78" s="429"/>
      <c r="H78" s="429"/>
      <c r="I78" s="429"/>
      <c r="J78" s="429"/>
      <c r="K78" s="429"/>
      <c r="L78" s="429"/>
      <c r="M78" s="429"/>
      <c r="N78" s="399"/>
      <c r="O78" s="399"/>
      <c r="P78" s="240"/>
      <c r="Q78" s="240"/>
      <c r="R78" s="240"/>
      <c r="S78" s="240"/>
      <c r="T78" s="240"/>
      <c r="U78" s="240"/>
      <c r="V78" s="240"/>
      <c r="W78" s="240"/>
    </row>
    <row r="79" spans="1:23" ht="15.75">
      <c r="A79" s="399"/>
      <c r="B79" s="399"/>
      <c r="C79" s="399"/>
      <c r="D79" s="399"/>
      <c r="E79" s="399"/>
      <c r="F79" s="399"/>
      <c r="G79" s="429"/>
      <c r="H79" s="429"/>
      <c r="I79" s="429"/>
      <c r="J79" s="429"/>
      <c r="K79" s="429"/>
      <c r="L79" s="429"/>
      <c r="M79" s="429"/>
      <c r="N79" s="399"/>
      <c r="O79" s="399"/>
      <c r="P79" s="240"/>
      <c r="Q79" s="240"/>
      <c r="R79" s="240"/>
      <c r="S79" s="240"/>
      <c r="T79" s="240"/>
      <c r="U79" s="240"/>
      <c r="V79" s="240"/>
      <c r="W79" s="240"/>
    </row>
    <row r="80" spans="1:23" ht="15.75">
      <c r="A80" s="399"/>
      <c r="B80" s="399"/>
      <c r="C80" s="399"/>
      <c r="D80" s="399"/>
      <c r="E80" s="399"/>
      <c r="F80" s="399"/>
      <c r="G80" s="429"/>
      <c r="H80" s="429"/>
      <c r="I80" s="415"/>
      <c r="J80" s="429"/>
      <c r="K80" s="429"/>
      <c r="L80" s="429"/>
      <c r="M80" s="429"/>
      <c r="N80" s="399"/>
      <c r="O80" s="399"/>
      <c r="P80" s="240"/>
      <c r="Q80" s="240"/>
      <c r="R80" s="240"/>
      <c r="S80" s="240"/>
      <c r="T80" s="240"/>
      <c r="U80" s="240"/>
      <c r="V80" s="240"/>
      <c r="W80" s="240"/>
    </row>
    <row r="81" spans="1:23" ht="15.75">
      <c r="A81" s="399"/>
      <c r="B81" s="399"/>
      <c r="C81" s="399"/>
      <c r="D81" s="399"/>
      <c r="E81" s="399"/>
      <c r="F81" s="399"/>
      <c r="G81" s="429"/>
      <c r="H81" s="429"/>
      <c r="I81" s="415"/>
      <c r="J81" s="429"/>
      <c r="K81" s="429"/>
      <c r="L81" s="429"/>
      <c r="M81" s="429"/>
      <c r="N81" s="399"/>
      <c r="O81" s="399"/>
      <c r="P81" s="240"/>
      <c r="Q81" s="240"/>
      <c r="R81" s="240"/>
      <c r="S81" s="240"/>
      <c r="T81" s="240"/>
      <c r="U81" s="240"/>
      <c r="V81" s="240"/>
      <c r="W81" s="240"/>
    </row>
    <row r="82" spans="1:23" ht="15.75">
      <c r="A82" s="399"/>
      <c r="B82" s="399"/>
      <c r="C82" s="399"/>
      <c r="D82" s="399"/>
      <c r="E82" s="399"/>
      <c r="F82" s="399"/>
      <c r="G82" s="429"/>
      <c r="H82" s="429"/>
      <c r="I82" s="415"/>
      <c r="J82" s="429"/>
      <c r="K82" s="429"/>
      <c r="L82" s="429"/>
      <c r="M82" s="429"/>
      <c r="N82" s="399"/>
      <c r="O82" s="399"/>
    </row>
    <row r="83" spans="1:23" ht="15.75">
      <c r="A83" s="399"/>
      <c r="B83" s="399"/>
      <c r="C83" s="399"/>
      <c r="D83" s="399"/>
      <c r="E83" s="399"/>
      <c r="F83" s="399"/>
      <c r="G83" s="429"/>
      <c r="H83" s="429"/>
      <c r="I83" s="429"/>
      <c r="J83" s="429"/>
      <c r="K83" s="429"/>
      <c r="L83" s="429"/>
      <c r="M83" s="429"/>
      <c r="N83" s="399"/>
      <c r="O83" s="399"/>
    </row>
    <row r="84" spans="1:23">
      <c r="G84" s="289"/>
      <c r="H84" s="289"/>
      <c r="I84" s="289"/>
      <c r="J84" s="289"/>
      <c r="K84" s="289"/>
      <c r="L84" s="289"/>
      <c r="M84" s="289"/>
    </row>
  </sheetData>
  <mergeCells count="6">
    <mergeCell ref="A34:A36"/>
    <mergeCell ref="A6:A10"/>
    <mergeCell ref="A11:A15"/>
    <mergeCell ref="A16:A25"/>
    <mergeCell ref="A26:D26"/>
    <mergeCell ref="A27:A32"/>
  </mergeCells>
  <pageMargins left="0.7" right="0.7" top="0.75" bottom="0.75" header="0.3" footer="0.3"/>
  <pageSetup orientation="portrait" r:id="rId1"/>
  <ignoredErrors>
    <ignoredError sqref="L7:L8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2:M37"/>
  <sheetViews>
    <sheetView workbookViewId="0">
      <selection activeCell="F16" sqref="F16:I16"/>
    </sheetView>
  </sheetViews>
  <sheetFormatPr defaultRowHeight="15.75"/>
  <cols>
    <col min="1" max="1" width="19" style="256" customWidth="1"/>
    <col min="2" max="2" width="17.44140625" style="256" bestFit="1" customWidth="1"/>
    <col min="3" max="3" width="26.44140625" style="256" customWidth="1"/>
    <col min="4" max="4" width="16.77734375" style="256" customWidth="1"/>
    <col min="5" max="5" width="9.77734375" style="256" customWidth="1"/>
    <col min="6" max="6" width="16.77734375" style="256" customWidth="1"/>
    <col min="7" max="7" width="15" style="256" customWidth="1"/>
    <col min="8" max="8" width="16.88671875" style="256" customWidth="1"/>
    <col min="9" max="9" width="16.109375" style="256" customWidth="1"/>
    <col min="10" max="10" width="10" style="256" bestFit="1" customWidth="1"/>
    <col min="11" max="11" width="4.44140625" style="256" customWidth="1"/>
    <col min="12" max="12" width="19.21875" style="256" customWidth="1"/>
    <col min="13" max="16384" width="8.88671875" style="256"/>
  </cols>
  <sheetData>
    <row r="2" spans="1:12">
      <c r="B2" s="256" t="s">
        <v>339</v>
      </c>
    </row>
    <row r="3" spans="1:12">
      <c r="B3" s="252" t="s">
        <v>332</v>
      </c>
      <c r="C3" s="252" t="s">
        <v>376</v>
      </c>
      <c r="D3" s="252" t="s">
        <v>333</v>
      </c>
      <c r="E3" s="252" t="s">
        <v>277</v>
      </c>
      <c r="F3" s="515" t="s">
        <v>334</v>
      </c>
      <c r="G3" s="515" t="s">
        <v>335</v>
      </c>
      <c r="H3" s="515" t="s">
        <v>336</v>
      </c>
      <c r="I3" s="515" t="s">
        <v>337</v>
      </c>
    </row>
    <row r="4" spans="1:12">
      <c r="A4" s="503">
        <v>43647</v>
      </c>
      <c r="B4" s="380">
        <v>111760</v>
      </c>
      <c r="C4" s="380">
        <v>52350</v>
      </c>
      <c r="D4" s="380">
        <v>58080</v>
      </c>
      <c r="E4" s="380">
        <v>17560</v>
      </c>
      <c r="F4" s="516">
        <f>65560+17430</f>
        <v>82990</v>
      </c>
      <c r="G4" s="516">
        <f>40225+7270</f>
        <v>47495</v>
      </c>
      <c r="H4" s="516">
        <f>2610+7460</f>
        <v>10070</v>
      </c>
      <c r="I4" s="516">
        <v>7460</v>
      </c>
      <c r="L4" s="520">
        <f>SUM(B4:I4)</f>
        <v>387765</v>
      </c>
    </row>
    <row r="5" spans="1:12">
      <c r="A5" s="503">
        <v>43678</v>
      </c>
      <c r="B5" s="380">
        <v>77490</v>
      </c>
      <c r="C5" s="380">
        <v>49890</v>
      </c>
      <c r="D5" s="380">
        <v>41720</v>
      </c>
      <c r="E5" s="380">
        <v>25050</v>
      </c>
      <c r="F5" s="516">
        <v>74950</v>
      </c>
      <c r="G5" s="516">
        <f>29915+2870</f>
        <v>32785</v>
      </c>
      <c r="H5" s="516">
        <f>3860+15680</f>
        <v>19540</v>
      </c>
      <c r="I5" s="516">
        <v>4340</v>
      </c>
      <c r="L5" s="520">
        <f t="shared" ref="L5:L15" si="0">SUM(B5:I5)</f>
        <v>325765</v>
      </c>
    </row>
    <row r="6" spans="1:12">
      <c r="A6" s="503">
        <v>43709</v>
      </c>
      <c r="B6" s="380">
        <v>59940</v>
      </c>
      <c r="C6" s="380">
        <v>54870</v>
      </c>
      <c r="D6" s="380">
        <v>29980</v>
      </c>
      <c r="E6" s="380">
        <v>67140</v>
      </c>
      <c r="F6" s="516">
        <f>63685+13450</f>
        <v>77135</v>
      </c>
      <c r="G6" s="516">
        <f>23265+1260</f>
        <v>24525</v>
      </c>
      <c r="H6" s="516">
        <f>2930</f>
        <v>2930</v>
      </c>
      <c r="I6" s="516">
        <f>3430</f>
        <v>3430</v>
      </c>
      <c r="L6" s="520">
        <f t="shared" si="0"/>
        <v>319950</v>
      </c>
    </row>
    <row r="7" spans="1:12">
      <c r="A7" s="503">
        <v>43739</v>
      </c>
      <c r="B7" s="380">
        <v>45530</v>
      </c>
      <c r="C7" s="380">
        <v>31500</v>
      </c>
      <c r="D7" s="380">
        <v>22860</v>
      </c>
      <c r="E7" s="380">
        <v>21420</v>
      </c>
      <c r="F7" s="516">
        <f>34160+6010</f>
        <v>40170</v>
      </c>
      <c r="G7" s="516">
        <f>16810+2290</f>
        <v>19100</v>
      </c>
      <c r="H7" s="516">
        <v>2200</v>
      </c>
      <c r="I7" s="516">
        <v>5790</v>
      </c>
      <c r="L7" s="520">
        <f t="shared" si="0"/>
        <v>188570</v>
      </c>
    </row>
    <row r="8" spans="1:12">
      <c r="A8" s="503">
        <v>43770</v>
      </c>
      <c r="B8" s="391">
        <v>40230</v>
      </c>
      <c r="C8" s="391">
        <v>29050</v>
      </c>
      <c r="D8" s="391">
        <v>20250</v>
      </c>
      <c r="E8" s="391">
        <v>44625</v>
      </c>
      <c r="F8" s="517">
        <f>14460+5300</f>
        <v>19760</v>
      </c>
      <c r="G8" s="517">
        <f>26700+4040</f>
        <v>30740</v>
      </c>
      <c r="H8" s="517">
        <v>1150</v>
      </c>
      <c r="I8" s="517">
        <v>2800</v>
      </c>
      <c r="L8" s="520">
        <f t="shared" si="0"/>
        <v>188605</v>
      </c>
    </row>
    <row r="9" spans="1:12">
      <c r="A9" s="503">
        <v>43800</v>
      </c>
      <c r="B9" s="391">
        <v>51210</v>
      </c>
      <c r="C9" s="391">
        <v>29080</v>
      </c>
      <c r="D9" s="391">
        <v>26480</v>
      </c>
      <c r="E9" s="391">
        <v>2550</v>
      </c>
      <c r="F9" s="517">
        <f>9520+1500</f>
        <v>11020</v>
      </c>
      <c r="G9" s="517">
        <f>23520+2870</f>
        <v>26390</v>
      </c>
      <c r="H9" s="517">
        <v>1900</v>
      </c>
      <c r="I9" s="517">
        <v>2820</v>
      </c>
      <c r="L9" s="520">
        <f t="shared" si="0"/>
        <v>151450</v>
      </c>
    </row>
    <row r="10" spans="1:12">
      <c r="A10" s="503">
        <v>43831</v>
      </c>
      <c r="B10" s="391">
        <v>44510</v>
      </c>
      <c r="C10" s="391">
        <v>21900</v>
      </c>
      <c r="D10" s="391">
        <v>20750</v>
      </c>
      <c r="E10" s="391">
        <v>1160</v>
      </c>
      <c r="F10" s="517">
        <f>37880</f>
        <v>37880</v>
      </c>
      <c r="G10" s="517">
        <f>12220</f>
        <v>12220</v>
      </c>
      <c r="H10" s="517">
        <v>6440</v>
      </c>
      <c r="I10" s="517">
        <v>3010</v>
      </c>
      <c r="L10" s="520">
        <f t="shared" si="0"/>
        <v>147870</v>
      </c>
    </row>
    <row r="11" spans="1:12">
      <c r="A11" s="503">
        <v>43862</v>
      </c>
      <c r="B11" s="391">
        <v>35340</v>
      </c>
      <c r="C11" s="391">
        <v>23220</v>
      </c>
      <c r="D11" s="391">
        <v>19070</v>
      </c>
      <c r="E11" s="391">
        <v>7360</v>
      </c>
      <c r="F11" s="517">
        <v>37209</v>
      </c>
      <c r="G11" s="517">
        <f>7520+140</f>
        <v>7660</v>
      </c>
      <c r="H11" s="517">
        <v>3220</v>
      </c>
      <c r="I11" s="517">
        <v>3630</v>
      </c>
      <c r="L11" s="520">
        <f t="shared" si="0"/>
        <v>136709</v>
      </c>
    </row>
    <row r="12" spans="1:12">
      <c r="A12" s="503">
        <v>43891</v>
      </c>
      <c r="B12" s="391">
        <v>37550</v>
      </c>
      <c r="C12" s="391">
        <v>22900</v>
      </c>
      <c r="D12" s="391">
        <v>18400</v>
      </c>
      <c r="E12" s="391">
        <v>20290</v>
      </c>
      <c r="F12" s="517">
        <v>46690</v>
      </c>
      <c r="G12" s="517">
        <f>21450+320</f>
        <v>21770</v>
      </c>
      <c r="H12" s="517">
        <f>3720+4740</f>
        <v>8460</v>
      </c>
      <c r="I12" s="517">
        <v>2390</v>
      </c>
      <c r="L12" s="520">
        <f t="shared" si="0"/>
        <v>178450</v>
      </c>
    </row>
    <row r="13" spans="1:12">
      <c r="A13" s="503">
        <v>43922</v>
      </c>
      <c r="B13" s="391">
        <v>33560</v>
      </c>
      <c r="C13" s="391">
        <v>21420</v>
      </c>
      <c r="D13" s="391">
        <v>21925</v>
      </c>
      <c r="E13" s="391">
        <v>2350</v>
      </c>
      <c r="F13" s="517">
        <f>37140</f>
        <v>37140</v>
      </c>
      <c r="G13" s="517">
        <f>9820+1210</f>
        <v>11030</v>
      </c>
      <c r="H13" s="517">
        <f>3990+6240</f>
        <v>10230</v>
      </c>
      <c r="I13" s="517">
        <v>2690</v>
      </c>
      <c r="L13" s="520">
        <f t="shared" si="0"/>
        <v>140345</v>
      </c>
    </row>
    <row r="14" spans="1:12">
      <c r="A14" s="503">
        <v>43952</v>
      </c>
      <c r="B14" s="391">
        <v>33150</v>
      </c>
      <c r="C14" s="391">
        <v>22310</v>
      </c>
      <c r="D14" s="391">
        <v>16560</v>
      </c>
      <c r="E14" s="391">
        <v>9390</v>
      </c>
      <c r="F14" s="517">
        <v>51730</v>
      </c>
      <c r="G14" s="517">
        <f>9820+1450</f>
        <v>11270</v>
      </c>
      <c r="H14" s="517">
        <f>14491</f>
        <v>14491</v>
      </c>
      <c r="I14" s="517">
        <v>610</v>
      </c>
      <c r="L14" s="520">
        <f t="shared" si="0"/>
        <v>159511</v>
      </c>
    </row>
    <row r="15" spans="1:12">
      <c r="A15" s="503">
        <v>43983</v>
      </c>
      <c r="B15" s="380">
        <v>55124</v>
      </c>
      <c r="C15" s="380">
        <v>18610</v>
      </c>
      <c r="D15" s="380">
        <v>24310</v>
      </c>
      <c r="E15" s="380">
        <v>27830</v>
      </c>
      <c r="F15" s="516">
        <f>7950+12570</f>
        <v>20520</v>
      </c>
      <c r="G15" s="516">
        <f>8410+560</f>
        <v>8970</v>
      </c>
      <c r="H15" s="516">
        <v>7950</v>
      </c>
      <c r="I15" s="518">
        <v>1330</v>
      </c>
      <c r="J15" s="256" t="s">
        <v>338</v>
      </c>
      <c r="L15" s="520">
        <f t="shared" si="0"/>
        <v>164644</v>
      </c>
    </row>
    <row r="16" spans="1:12" ht="16.5" thickBot="1">
      <c r="B16" s="504">
        <f t="shared" ref="B16:I16" si="1">SUM(B4:B15)</f>
        <v>625394</v>
      </c>
      <c r="C16" s="504">
        <f t="shared" si="1"/>
        <v>377100</v>
      </c>
      <c r="D16" s="504">
        <f t="shared" si="1"/>
        <v>320385</v>
      </c>
      <c r="E16" s="504">
        <f t="shared" si="1"/>
        <v>246725</v>
      </c>
      <c r="F16" s="519">
        <f t="shared" si="1"/>
        <v>537194</v>
      </c>
      <c r="G16" s="519">
        <f t="shared" si="1"/>
        <v>253955</v>
      </c>
      <c r="H16" s="519">
        <f t="shared" si="1"/>
        <v>88581</v>
      </c>
      <c r="I16" s="519">
        <f t="shared" si="1"/>
        <v>40300</v>
      </c>
      <c r="J16" s="504">
        <f>SUM(B16:I16)</f>
        <v>2489634</v>
      </c>
    </row>
    <row r="17" spans="1:13" ht="16.5" thickTop="1">
      <c r="B17" s="380"/>
      <c r="C17" s="380"/>
      <c r="D17" s="380"/>
      <c r="E17" s="380"/>
      <c r="F17" s="380"/>
      <c r="G17" s="380"/>
      <c r="H17" s="380"/>
      <c r="I17" s="380"/>
    </row>
    <row r="18" spans="1:13">
      <c r="A18" s="256" t="s">
        <v>245</v>
      </c>
      <c r="B18" s="382">
        <f t="shared" ref="B18:H18" si="2">B16/2000</f>
        <v>312.697</v>
      </c>
      <c r="C18" s="382">
        <f t="shared" si="2"/>
        <v>188.55</v>
      </c>
      <c r="D18" s="382">
        <f t="shared" si="2"/>
        <v>160.1925</v>
      </c>
      <c r="E18" s="382">
        <f t="shared" si="2"/>
        <v>123.3625</v>
      </c>
      <c r="F18" s="382">
        <f t="shared" si="2"/>
        <v>268.59699999999998</v>
      </c>
      <c r="G18" s="382">
        <f t="shared" si="2"/>
        <v>126.97750000000001</v>
      </c>
      <c r="H18" s="382">
        <f t="shared" si="2"/>
        <v>44.290500000000002</v>
      </c>
      <c r="I18" s="382">
        <f>I16/2000</f>
        <v>20.149999999999999</v>
      </c>
      <c r="J18" s="382">
        <f>SUM(B18:I18)</f>
        <v>1244.817</v>
      </c>
      <c r="K18" s="382"/>
    </row>
    <row r="19" spans="1:13">
      <c r="J19" s="382"/>
    </row>
    <row r="20" spans="1:13">
      <c r="J20" s="382"/>
    </row>
    <row r="21" spans="1:13">
      <c r="A21" s="256" t="s">
        <v>389</v>
      </c>
      <c r="B21" s="381">
        <f t="shared" ref="B21:I21" si="3">B16/$J$16</f>
        <v>0.2511991722478083</v>
      </c>
      <c r="C21" s="381">
        <f t="shared" si="3"/>
        <v>0.15146804711053913</v>
      </c>
      <c r="D21" s="381">
        <f t="shared" si="3"/>
        <v>0.12868759022410522</v>
      </c>
      <c r="E21" s="381">
        <f t="shared" si="3"/>
        <v>9.9100912021606383E-2</v>
      </c>
      <c r="F21" s="381">
        <f t="shared" si="3"/>
        <v>0.21577227817422159</v>
      </c>
      <c r="G21" s="381">
        <f t="shared" si="3"/>
        <v>0.10200495333852286</v>
      </c>
      <c r="H21" s="381">
        <f t="shared" si="3"/>
        <v>3.5579928616013438E-2</v>
      </c>
      <c r="I21" s="381">
        <f t="shared" si="3"/>
        <v>1.6187118267183047E-2</v>
      </c>
    </row>
    <row r="22" spans="1:13">
      <c r="B22" s="373"/>
      <c r="C22" s="373"/>
      <c r="D22" s="373"/>
      <c r="E22" s="373"/>
      <c r="F22" s="373"/>
      <c r="G22" s="373"/>
      <c r="H22" s="373"/>
      <c r="I22" s="373"/>
    </row>
    <row r="24" spans="1:13">
      <c r="C24" s="256" t="s">
        <v>362</v>
      </c>
      <c r="G24" s="256" t="s">
        <v>341</v>
      </c>
      <c r="I24" s="387" t="s">
        <v>342</v>
      </c>
      <c r="J24" s="256" t="s">
        <v>343</v>
      </c>
    </row>
    <row r="25" spans="1:13">
      <c r="B25" s="256" t="s">
        <v>340</v>
      </c>
      <c r="C25" s="383">
        <f>B21+C21+D21+E21</f>
        <v>0.63045572160405905</v>
      </c>
      <c r="D25" s="383"/>
      <c r="F25" s="256" t="s">
        <v>166</v>
      </c>
      <c r="G25" s="382">
        <f>B18+C18+E18+F18+G18</f>
        <v>1020.184</v>
      </c>
      <c r="I25" s="382">
        <f>B18+C18+E18</f>
        <v>624.60950000000003</v>
      </c>
      <c r="J25" s="379">
        <f>I25/G25</f>
        <v>0.61225180947750601</v>
      </c>
      <c r="L25" s="382">
        <f>G25-I25</f>
        <v>395.57449999999994</v>
      </c>
      <c r="M25" s="379"/>
    </row>
    <row r="26" spans="1:13">
      <c r="B26" s="256" t="s">
        <v>240</v>
      </c>
      <c r="C26" s="383">
        <f>F21+G21+H21+I21</f>
        <v>0.36954427839594095</v>
      </c>
      <c r="D26" s="383"/>
      <c r="F26" s="256" t="s">
        <v>167</v>
      </c>
      <c r="G26" s="382">
        <f>D18+H18+I18</f>
        <v>224.63300000000001</v>
      </c>
      <c r="I26" s="382">
        <f>D18</f>
        <v>160.1925</v>
      </c>
      <c r="J26" s="379">
        <f>I26/G26</f>
        <v>0.71312986070612949</v>
      </c>
      <c r="M26" s="379"/>
    </row>
    <row r="27" spans="1:13">
      <c r="L27" s="256">
        <f>L25/J18</f>
        <v>0.3177772315127444</v>
      </c>
    </row>
    <row r="28" spans="1:13">
      <c r="G28" s="382">
        <f>104000/G25</f>
        <v>101.94239470526885</v>
      </c>
    </row>
    <row r="32" spans="1:13">
      <c r="I32" s="382"/>
      <c r="J32" s="373"/>
    </row>
    <row r="33" spans="9:10">
      <c r="I33" s="382"/>
      <c r="J33" s="373"/>
    </row>
    <row r="34" spans="9:10">
      <c r="I34" s="382"/>
    </row>
    <row r="36" spans="9:10">
      <c r="I36" s="382"/>
    </row>
    <row r="37" spans="9:10">
      <c r="I37" s="38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99DA38EAF13C4C9ECCD5992B8BCAE8" ma:contentTypeVersion="76" ma:contentTypeDescription="" ma:contentTypeScope="" ma:versionID="6d86b80ee1df0f851e89b6912d52be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2018-09-14T07:00:00+00:00</OpenedDate>
    <SignificantOrder xmlns="dc463f71-b30c-4ab2-9473-d307f9d35888">false</SignificantOrder>
    <Date1 xmlns="dc463f71-b30c-4ab2-9473-d307f9d35888">2020-08-27T07:00:00+00:00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Freedom 2000, LLC</CaseCompanyNames>
    <Nickname xmlns="http://schemas.microsoft.com/sharepoint/v3" xsi:nil="true"/>
    <DocketNumber xmlns="dc463f71-b30c-4ab2-9473-d307f9d35888">180782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6B69F4B-1D0C-41EB-9A6A-B8EFA5305E44}"/>
</file>

<file path=customXml/itemProps2.xml><?xml version="1.0" encoding="utf-8"?>
<ds:datastoreItem xmlns:ds="http://schemas.openxmlformats.org/officeDocument/2006/customXml" ds:itemID="{4CDE0132-705A-45A7-9C83-6D371D4D45DE}">
  <ds:schemaRefs>
    <ds:schemaRef ds:uri="http://schemas.microsoft.com/office/2006/documentManagement/types"/>
    <ds:schemaRef ds:uri="http://purl.org/dc/terms/"/>
    <ds:schemaRef ds:uri="94ccb0f8-418e-41dd-ac47-c8b0a5d07e7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2A39CC-6F5D-4FA8-A287-326EC7D294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C761EB-C1D4-41E8-90F4-5520BF7E8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32</vt:i4>
      </vt:variant>
    </vt:vector>
  </HeadingPairs>
  <TitlesOfParts>
    <vt:vector size="41" baseType="lpstr">
      <vt:lpstr>Pro Forma IS</vt:lpstr>
      <vt:lpstr>Instructions</vt:lpstr>
      <vt:lpstr>Garbage LG 2019 </vt:lpstr>
      <vt:lpstr>Recycling LG 2019</vt:lpstr>
      <vt:lpstr>Assets</vt:lpstr>
      <vt:lpstr>Asset Verification</vt:lpstr>
      <vt:lpstr>Drive Hours Recap</vt:lpstr>
      <vt:lpstr>Price Out</vt:lpstr>
      <vt:lpstr>Tonnage and Disposal June 2020</vt:lpstr>
      <vt:lpstr>'Garbage LG 2019 '!Debt_Rate</vt:lpstr>
      <vt:lpstr>'Recycling LG 2019'!Debt_Rate</vt:lpstr>
      <vt:lpstr>'Garbage LG 2019 '!debtP</vt:lpstr>
      <vt:lpstr>'Recycling LG 2019'!debtP</vt:lpstr>
      <vt:lpstr>'Garbage LG 2019 '!Equity_percent</vt:lpstr>
      <vt:lpstr>'Recycling LG 2019'!Equity_percent</vt:lpstr>
      <vt:lpstr>'Garbage LG 2019 '!equityP</vt:lpstr>
      <vt:lpstr>'Recycling LG 2019'!equityP</vt:lpstr>
      <vt:lpstr>'Garbage LG 2019 '!expenses</vt:lpstr>
      <vt:lpstr>'Recycling LG 2019'!expenses</vt:lpstr>
      <vt:lpstr>'Garbage LG 2019 '!Investment</vt:lpstr>
      <vt:lpstr>'Recycling LG 2019'!Investment</vt:lpstr>
      <vt:lpstr>'Garbage LG 2019 '!Pfd_weighted</vt:lpstr>
      <vt:lpstr>'Recycling LG 2019'!Pfd_weighted</vt:lpstr>
      <vt:lpstr>'Garbage LG 2019 '!Print_Area</vt:lpstr>
      <vt:lpstr>'Recycling LG 2019'!Print_Area</vt:lpstr>
      <vt:lpstr>'Garbage LG 2019 '!regDebt_weighted</vt:lpstr>
      <vt:lpstr>'Recycling LG 2019'!regDebt_weighted</vt:lpstr>
      <vt:lpstr>'Garbage LG 2019 '!Revenue</vt:lpstr>
      <vt:lpstr>'Recycling LG 2019'!Revenue</vt:lpstr>
      <vt:lpstr>'Garbage LG 2019 '!slope</vt:lpstr>
      <vt:lpstr>slope</vt:lpstr>
      <vt:lpstr>'Garbage LG 2019 '!taxrate</vt:lpstr>
      <vt:lpstr>'Recycling LG 2019'!taxrate</vt:lpstr>
      <vt:lpstr>'Garbage LG 2019 '!y_inter1</vt:lpstr>
      <vt:lpstr>y_inter1</vt:lpstr>
      <vt:lpstr>'Garbage LG 2019 '!y_inter2</vt:lpstr>
      <vt:lpstr>y_inter2</vt:lpstr>
      <vt:lpstr>'Garbage LG 2019 '!y_inter3</vt:lpstr>
      <vt:lpstr>y_inter3</vt:lpstr>
      <vt:lpstr>'Garbage LG 2019 '!y_inter4</vt:lpstr>
      <vt:lpstr>y_inter4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SolidWaste-NonPublic Lurito Gallagher</dc:title>
  <dc:creator>Information Services</dc:creator>
  <cp:lastModifiedBy>Hammond, Greg (UTC)</cp:lastModifiedBy>
  <cp:lastPrinted>2018-03-23T23:41:52Z</cp:lastPrinted>
  <dcterms:created xsi:type="dcterms:W3CDTF">2016-10-12T18:11:03Z</dcterms:created>
  <dcterms:modified xsi:type="dcterms:W3CDTF">2020-08-24T18:49:05Z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0x0101006E56B4D1795A2E4DB2F0B01679ED314A00FA99DA38EAF13C4C9ECCD5992B8BCAE8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