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G:\Dept\Rates\2017 Rate Cases\WA\Testimony\Robertson\"/>
    </mc:Choice>
  </mc:AlternateContent>
  <bookViews>
    <workbookView xWindow="0" yWindow="0" windowWidth="28800" windowHeight="11535" tabRatio="776" activeTab="8" xr2:uid="{00000000-000D-0000-FFFF-FFFF00000000}"/>
  </bookViews>
  <sheets>
    <sheet name="Cover Page" sheetId="10" r:id="rId1"/>
    <sheet name="Summary - 65" sheetId="1" r:id="rId2"/>
    <sheet name="Summary - 60" sheetId="4" r:id="rId3"/>
    <sheet name="Data" sheetId="2" r:id="rId4"/>
    <sheet name="Normals" sheetId="3" r:id="rId5"/>
    <sheet name="503 - 65" sheetId="5" r:id="rId6"/>
    <sheet name="503 - 60" sheetId="6" r:id="rId7"/>
    <sheet name="504 - 65" sheetId="7" r:id="rId8"/>
    <sheet name="504 - 60" sheetId="8" r:id="rId9"/>
  </sheets>
  <externalReferences>
    <externalReference r:id="rId10"/>
  </externalReferences>
  <definedNames>
    <definedName name="first_day">'[1]Historic Data'!$K$3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4" l="1"/>
  <c r="G15" i="4"/>
  <c r="A20" i="7" l="1"/>
  <c r="Q4" i="7"/>
  <c r="Q5" i="7" s="1"/>
  <c r="A20" i="5"/>
  <c r="C20" i="5" s="1"/>
  <c r="Q4" i="5"/>
  <c r="A21" i="5" l="1"/>
  <c r="D20" i="5" s="1"/>
  <c r="A21" i="7"/>
  <c r="D20" i="7" s="1"/>
  <c r="C20" i="7"/>
  <c r="R4" i="7"/>
  <c r="Q20" i="7"/>
  <c r="R20" i="7" s="1"/>
  <c r="X5" i="7"/>
  <c r="Y5" i="7" s="1"/>
  <c r="X20" i="7"/>
  <c r="Y20" i="7" s="1"/>
  <c r="R5" i="7"/>
  <c r="Q19" i="7"/>
  <c r="R19" i="7" s="1"/>
  <c r="X19" i="7"/>
  <c r="Y19" i="7" s="1"/>
  <c r="X4" i="7"/>
  <c r="Y4" i="7" s="1"/>
  <c r="Q6" i="7"/>
  <c r="X19" i="5"/>
  <c r="Y19" i="5" s="1"/>
  <c r="X4" i="5"/>
  <c r="Y4" i="5" s="1"/>
  <c r="R4" i="5"/>
  <c r="Q5" i="5"/>
  <c r="Q19" i="5"/>
  <c r="R19" i="5" s="1"/>
  <c r="A22" i="5"/>
  <c r="C21" i="5" l="1"/>
  <c r="A22" i="7"/>
  <c r="V4" i="5"/>
  <c r="U4" i="5"/>
  <c r="S4" i="5"/>
  <c r="T4" i="5"/>
  <c r="C21" i="7"/>
  <c r="V4" i="7"/>
  <c r="U4" i="7"/>
  <c r="S4" i="7"/>
  <c r="T4" i="7"/>
  <c r="X21" i="7"/>
  <c r="Y21" i="7" s="1"/>
  <c r="Q7" i="7"/>
  <c r="Q21" i="7"/>
  <c r="R21" i="7" s="1"/>
  <c r="X6" i="7"/>
  <c r="Y6" i="7" s="1"/>
  <c r="R6" i="7"/>
  <c r="C22" i="7"/>
  <c r="D21" i="7"/>
  <c r="A23" i="7"/>
  <c r="X5" i="5"/>
  <c r="Y5" i="5" s="1"/>
  <c r="X20" i="5"/>
  <c r="Y20" i="5" s="1"/>
  <c r="R5" i="5"/>
  <c r="Q6" i="5"/>
  <c r="Q20" i="5"/>
  <c r="R20" i="5" s="1"/>
  <c r="A23" i="5"/>
  <c r="D21" i="5"/>
  <c r="C22" i="5"/>
  <c r="T5" i="7" l="1"/>
  <c r="U5" i="7"/>
  <c r="U5" i="5"/>
  <c r="V5" i="5"/>
  <c r="S5" i="5"/>
  <c r="T5" i="5"/>
  <c r="S5" i="7"/>
  <c r="V5" i="7"/>
  <c r="Q8" i="7"/>
  <c r="X22" i="7"/>
  <c r="Y22" i="7" s="1"/>
  <c r="X7" i="7"/>
  <c r="Y7" i="7" s="1"/>
  <c r="R7" i="7"/>
  <c r="Q22" i="7"/>
  <c r="R22" i="7" s="1"/>
  <c r="A24" i="7"/>
  <c r="D22" i="7"/>
  <c r="V6" i="7" s="1"/>
  <c r="C23" i="7"/>
  <c r="Q21" i="5"/>
  <c r="R21" i="5" s="1"/>
  <c r="X6" i="5"/>
  <c r="Y6" i="5" s="1"/>
  <c r="R6" i="5"/>
  <c r="X21" i="5"/>
  <c r="Y21" i="5" s="1"/>
  <c r="Q7" i="5"/>
  <c r="C23" i="5"/>
  <c r="D22" i="5"/>
  <c r="A24" i="5"/>
  <c r="U6" i="5" l="1"/>
  <c r="S6" i="5"/>
  <c r="T6" i="5"/>
  <c r="V6" i="5"/>
  <c r="T6" i="7"/>
  <c r="S6" i="7"/>
  <c r="U6" i="7"/>
  <c r="Q23" i="7"/>
  <c r="R23" i="7" s="1"/>
  <c r="Q9" i="7"/>
  <c r="X23" i="7"/>
  <c r="Y23" i="7" s="1"/>
  <c r="X8" i="7"/>
  <c r="Y8" i="7" s="1"/>
  <c r="R8" i="7"/>
  <c r="A25" i="7"/>
  <c r="D23" i="7"/>
  <c r="T7" i="7" s="1"/>
  <c r="C24" i="7"/>
  <c r="C24" i="5"/>
  <c r="D23" i="5"/>
  <c r="A25" i="5"/>
  <c r="X7" i="5"/>
  <c r="Y7" i="5" s="1"/>
  <c r="Q22" i="5"/>
  <c r="R22" i="5" s="1"/>
  <c r="R7" i="5"/>
  <c r="X22" i="5"/>
  <c r="Y22" i="5" s="1"/>
  <c r="Q8" i="5"/>
  <c r="V7" i="7" l="1"/>
  <c r="S7" i="7"/>
  <c r="U7" i="7"/>
  <c r="U7" i="5"/>
  <c r="S7" i="5"/>
  <c r="T7" i="5"/>
  <c r="V7" i="5"/>
  <c r="C25" i="7"/>
  <c r="A26" i="7"/>
  <c r="D24" i="7"/>
  <c r="T8" i="7" s="1"/>
  <c r="Q10" i="7"/>
  <c r="Q24" i="7"/>
  <c r="R24" i="7" s="1"/>
  <c r="X9" i="7"/>
  <c r="Y9" i="7" s="1"/>
  <c r="X24" i="7"/>
  <c r="Y24" i="7" s="1"/>
  <c r="R9" i="7"/>
  <c r="X23" i="5"/>
  <c r="Y23" i="5" s="1"/>
  <c r="X8" i="5"/>
  <c r="Y8" i="5" s="1"/>
  <c r="R8" i="5"/>
  <c r="Q23" i="5"/>
  <c r="R23" i="5" s="1"/>
  <c r="Q9" i="5"/>
  <c r="A26" i="5"/>
  <c r="D24" i="5"/>
  <c r="C25" i="5"/>
  <c r="U8" i="7" l="1"/>
  <c r="S8" i="7"/>
  <c r="U8" i="5"/>
  <c r="T8" i="5"/>
  <c r="V8" i="5"/>
  <c r="S8" i="5"/>
  <c r="V8" i="7"/>
  <c r="X25" i="7"/>
  <c r="Y25" i="7" s="1"/>
  <c r="Q11" i="7"/>
  <c r="Q25" i="7"/>
  <c r="R25" i="7" s="1"/>
  <c r="X10" i="7"/>
  <c r="Y10" i="7" s="1"/>
  <c r="R10" i="7"/>
  <c r="C26" i="7"/>
  <c r="A27" i="7"/>
  <c r="D25" i="7"/>
  <c r="V9" i="7" s="1"/>
  <c r="A27" i="5"/>
  <c r="D25" i="5"/>
  <c r="C26" i="5"/>
  <c r="X9" i="5"/>
  <c r="Y9" i="5" s="1"/>
  <c r="X24" i="5"/>
  <c r="Y24" i="5" s="1"/>
  <c r="R9" i="5"/>
  <c r="Q10" i="5"/>
  <c r="Q24" i="5"/>
  <c r="R24" i="5" s="1"/>
  <c r="U9" i="7" l="1"/>
  <c r="T9" i="7"/>
  <c r="U9" i="5"/>
  <c r="V9" i="5"/>
  <c r="S9" i="5"/>
  <c r="T9" i="5"/>
  <c r="S9" i="7"/>
  <c r="Q12" i="7"/>
  <c r="X26" i="7"/>
  <c r="Y26" i="7" s="1"/>
  <c r="X11" i="7"/>
  <c r="Y11" i="7" s="1"/>
  <c r="R11" i="7"/>
  <c r="Q26" i="7"/>
  <c r="R26" i="7" s="1"/>
  <c r="A28" i="7"/>
  <c r="D26" i="7"/>
  <c r="T10" i="7" s="1"/>
  <c r="C27" i="7"/>
  <c r="C27" i="5"/>
  <c r="A28" i="5"/>
  <c r="D26" i="5"/>
  <c r="Q25" i="5"/>
  <c r="R25" i="5" s="1"/>
  <c r="X10" i="5"/>
  <c r="Y10" i="5" s="1"/>
  <c r="R10" i="5"/>
  <c r="Q11" i="5"/>
  <c r="X25" i="5"/>
  <c r="Y25" i="5" s="1"/>
  <c r="V10" i="7" l="1"/>
  <c r="S10" i="7"/>
  <c r="U10" i="7"/>
  <c r="U10" i="5"/>
  <c r="S10" i="5"/>
  <c r="T10" i="5"/>
  <c r="V10" i="5"/>
  <c r="Q27" i="7"/>
  <c r="R27" i="7" s="1"/>
  <c r="Q13" i="7"/>
  <c r="X27" i="7"/>
  <c r="Y27" i="7" s="1"/>
  <c r="X12" i="7"/>
  <c r="Y12" i="7" s="1"/>
  <c r="R12" i="7"/>
  <c r="A29" i="7"/>
  <c r="D27" i="7"/>
  <c r="S11" i="7" s="1"/>
  <c r="C28" i="7"/>
  <c r="X11" i="5"/>
  <c r="Y11" i="5" s="1"/>
  <c r="Q26" i="5"/>
  <c r="R26" i="5" s="1"/>
  <c r="R11" i="5"/>
  <c r="X26" i="5"/>
  <c r="Y26" i="5" s="1"/>
  <c r="Q12" i="5"/>
  <c r="C28" i="5"/>
  <c r="D27" i="5"/>
  <c r="A29" i="5"/>
  <c r="U11" i="7" l="1"/>
  <c r="V11" i="7"/>
  <c r="U11" i="5"/>
  <c r="S11" i="5"/>
  <c r="T11" i="5"/>
  <c r="V11" i="5"/>
  <c r="T11" i="7"/>
  <c r="C29" i="7"/>
  <c r="A30" i="7"/>
  <c r="D28" i="7"/>
  <c r="T12" i="7" s="1"/>
  <c r="Q14" i="7"/>
  <c r="Q28" i="7"/>
  <c r="R28" i="7" s="1"/>
  <c r="X13" i="7"/>
  <c r="Y13" i="7" s="1"/>
  <c r="X28" i="7"/>
  <c r="Y28" i="7" s="1"/>
  <c r="R13" i="7"/>
  <c r="X27" i="5"/>
  <c r="Y27" i="5" s="1"/>
  <c r="X12" i="5"/>
  <c r="Y12" i="5" s="1"/>
  <c r="R12" i="5"/>
  <c r="Q13" i="5"/>
  <c r="Q27" i="5"/>
  <c r="R27" i="5" s="1"/>
  <c r="A30" i="5"/>
  <c r="D28" i="5"/>
  <c r="C29" i="5"/>
  <c r="U12" i="7" l="1"/>
  <c r="U12" i="5"/>
  <c r="T12" i="5"/>
  <c r="V12" i="5"/>
  <c r="S12" i="5"/>
  <c r="S12" i="7"/>
  <c r="V12" i="7"/>
  <c r="X29" i="7"/>
  <c r="Y29" i="7" s="1"/>
  <c r="Q15" i="7"/>
  <c r="Q29" i="7"/>
  <c r="R29" i="7" s="1"/>
  <c r="X14" i="7"/>
  <c r="Y14" i="7" s="1"/>
  <c r="R14" i="7"/>
  <c r="C30" i="7"/>
  <c r="A31" i="7"/>
  <c r="D29" i="7"/>
  <c r="V13" i="7" s="1"/>
  <c r="A31" i="5"/>
  <c r="D29" i="5"/>
  <c r="C30" i="5"/>
  <c r="X13" i="5"/>
  <c r="Y13" i="5" s="1"/>
  <c r="X28" i="5"/>
  <c r="Y28" i="5" s="1"/>
  <c r="R13" i="5"/>
  <c r="Q14" i="5"/>
  <c r="Q28" i="5"/>
  <c r="R28" i="5" s="1"/>
  <c r="U13" i="7" l="1"/>
  <c r="T13" i="7"/>
  <c r="S13" i="7"/>
  <c r="U13" i="5"/>
  <c r="V13" i="5"/>
  <c r="S13" i="5"/>
  <c r="T13" i="5"/>
  <c r="X30" i="7"/>
  <c r="Y30" i="7" s="1"/>
  <c r="X15" i="7"/>
  <c r="Y15" i="7" s="1"/>
  <c r="Q30" i="7"/>
  <c r="R30" i="7" s="1"/>
  <c r="R15" i="7"/>
  <c r="A32" i="7"/>
  <c r="D31" i="7" s="1"/>
  <c r="D30" i="7"/>
  <c r="S14" i="7" s="1"/>
  <c r="C31" i="7"/>
  <c r="Q29" i="5"/>
  <c r="R29" i="5" s="1"/>
  <c r="X14" i="5"/>
  <c r="Y14" i="5" s="1"/>
  <c r="R14" i="5"/>
  <c r="X29" i="5"/>
  <c r="Y29" i="5" s="1"/>
  <c r="Q15" i="5"/>
  <c r="C31" i="5"/>
  <c r="A32" i="5"/>
  <c r="D31" i="5" s="1"/>
  <c r="D30" i="5"/>
  <c r="T14" i="7" l="1"/>
  <c r="U14" i="7"/>
  <c r="V14" i="7"/>
  <c r="U15" i="7"/>
  <c r="S15" i="7"/>
  <c r="T15" i="7"/>
  <c r="V15" i="7"/>
  <c r="U14" i="5"/>
  <c r="S14" i="5"/>
  <c r="T14" i="5"/>
  <c r="V14" i="5"/>
  <c r="X15" i="5"/>
  <c r="Y15" i="5" s="1"/>
  <c r="Q30" i="5"/>
  <c r="R30" i="5" s="1"/>
  <c r="R15" i="5"/>
  <c r="X30" i="5"/>
  <c r="Y30" i="5" s="1"/>
  <c r="U15" i="5" l="1"/>
  <c r="S15" i="5"/>
  <c r="T15" i="5"/>
  <c r="V15" i="5"/>
  <c r="A21" i="8"/>
  <c r="A22" i="8" s="1"/>
  <c r="C22" i="8" s="1"/>
  <c r="Q5" i="8"/>
  <c r="Q20" i="8" s="1"/>
  <c r="R20" i="8" s="1"/>
  <c r="Q4" i="6"/>
  <c r="R4" i="6" s="1"/>
  <c r="X5" i="8" l="1"/>
  <c r="Y5" i="8" s="1"/>
  <c r="Q19" i="6"/>
  <c r="R19" i="6" s="1"/>
  <c r="X20" i="8"/>
  <c r="Y20" i="8" s="1"/>
  <c r="R5" i="8"/>
  <c r="T5" i="8" s="1"/>
  <c r="C21" i="8"/>
  <c r="X19" i="6"/>
  <c r="Y19" i="6" s="1"/>
  <c r="Q5" i="6"/>
  <c r="X4" i="6"/>
  <c r="Y4" i="6" s="1"/>
  <c r="A23" i="8"/>
  <c r="D21" i="8"/>
  <c r="Q6" i="8"/>
  <c r="V5" i="8" l="1"/>
  <c r="Q20" i="6"/>
  <c r="R20" i="6" s="1"/>
  <c r="R5" i="6"/>
  <c r="X20" i="6"/>
  <c r="Y20" i="6" s="1"/>
  <c r="Q6" i="6"/>
  <c r="X5" i="6"/>
  <c r="Y5" i="6" s="1"/>
  <c r="Q7" i="8"/>
  <c r="Q21" i="8"/>
  <c r="R21" i="8" s="1"/>
  <c r="X21" i="8"/>
  <c r="Y21" i="8" s="1"/>
  <c r="X6" i="8"/>
  <c r="Y6" i="8" s="1"/>
  <c r="R6" i="8"/>
  <c r="C23" i="8"/>
  <c r="A24" i="8"/>
  <c r="D22" i="8"/>
  <c r="S5" i="8"/>
  <c r="U5" i="8"/>
  <c r="X6" i="6" l="1"/>
  <c r="Y6" i="6" s="1"/>
  <c r="Q21" i="6"/>
  <c r="R21" i="6" s="1"/>
  <c r="R6" i="6"/>
  <c r="X21" i="6"/>
  <c r="Y21" i="6" s="1"/>
  <c r="Q7" i="6"/>
  <c r="A25" i="8"/>
  <c r="D23" i="8"/>
  <c r="C24" i="8"/>
  <c r="U6" i="8"/>
  <c r="T6" i="8"/>
  <c r="V6" i="8"/>
  <c r="S6" i="8"/>
  <c r="X22" i="8"/>
  <c r="Y22" i="8" s="1"/>
  <c r="Q8" i="8"/>
  <c r="Q22" i="8"/>
  <c r="R22" i="8" s="1"/>
  <c r="R7" i="8"/>
  <c r="X7" i="8"/>
  <c r="Y7" i="8" s="1"/>
  <c r="X7" i="6" l="1"/>
  <c r="Y7" i="6" s="1"/>
  <c r="Q22" i="6"/>
  <c r="R22" i="6" s="1"/>
  <c r="R7" i="6"/>
  <c r="X22" i="6"/>
  <c r="Y22" i="6" s="1"/>
  <c r="Q8" i="6"/>
  <c r="U7" i="8"/>
  <c r="T7" i="8"/>
  <c r="S7" i="8"/>
  <c r="V7" i="8"/>
  <c r="Q9" i="8"/>
  <c r="X23" i="8"/>
  <c r="Y23" i="8" s="1"/>
  <c r="Q23" i="8"/>
  <c r="R23" i="8" s="1"/>
  <c r="X8" i="8"/>
  <c r="Y8" i="8" s="1"/>
  <c r="R8" i="8"/>
  <c r="A26" i="8"/>
  <c r="D24" i="8"/>
  <c r="C25" i="8"/>
  <c r="R8" i="6" l="1"/>
  <c r="X23" i="6"/>
  <c r="Y23" i="6" s="1"/>
  <c r="Q9" i="6"/>
  <c r="X8" i="6"/>
  <c r="Y8" i="6" s="1"/>
  <c r="Q23" i="6"/>
  <c r="R23" i="6" s="1"/>
  <c r="Q24" i="8"/>
  <c r="R24" i="8" s="1"/>
  <c r="Q10" i="8"/>
  <c r="R9" i="8"/>
  <c r="X9" i="8"/>
  <c r="Y9" i="8" s="1"/>
  <c r="X24" i="8"/>
  <c r="Y24" i="8" s="1"/>
  <c r="C26" i="8"/>
  <c r="A27" i="8"/>
  <c r="D25" i="8"/>
  <c r="U8" i="8"/>
  <c r="T8" i="8"/>
  <c r="V8" i="8"/>
  <c r="S8" i="8"/>
  <c r="Q10" i="6" l="1"/>
  <c r="Q24" i="6"/>
  <c r="R24" i="6" s="1"/>
  <c r="R9" i="6"/>
  <c r="X24" i="6"/>
  <c r="Y24" i="6" s="1"/>
  <c r="X9" i="6"/>
  <c r="Y9" i="6" s="1"/>
  <c r="C27" i="8"/>
  <c r="D26" i="8"/>
  <c r="A28" i="8"/>
  <c r="U9" i="8"/>
  <c r="T9" i="8"/>
  <c r="S9" i="8"/>
  <c r="V9" i="8"/>
  <c r="Q11" i="8"/>
  <c r="Q25" i="8"/>
  <c r="R25" i="8" s="1"/>
  <c r="X25" i="8"/>
  <c r="Y25" i="8" s="1"/>
  <c r="X10" i="8"/>
  <c r="Y10" i="8" s="1"/>
  <c r="R10" i="8"/>
  <c r="Q11" i="6" l="1"/>
  <c r="X10" i="6"/>
  <c r="Y10" i="6" s="1"/>
  <c r="Q25" i="6"/>
  <c r="R25" i="6" s="1"/>
  <c r="R10" i="6"/>
  <c r="X25" i="6"/>
  <c r="Y25" i="6" s="1"/>
  <c r="U10" i="8"/>
  <c r="T10" i="8"/>
  <c r="V10" i="8"/>
  <c r="S10" i="8"/>
  <c r="X26" i="8"/>
  <c r="Y26" i="8" s="1"/>
  <c r="Q12" i="8"/>
  <c r="R11" i="8"/>
  <c r="X11" i="8"/>
  <c r="Y11" i="8" s="1"/>
  <c r="Q26" i="8"/>
  <c r="R26" i="8" s="1"/>
  <c r="A29" i="8"/>
  <c r="D27" i="8"/>
  <c r="C28" i="8"/>
  <c r="Q12" i="6" l="1"/>
  <c r="X11" i="6"/>
  <c r="Y11" i="6" s="1"/>
  <c r="Q26" i="6"/>
  <c r="R26" i="6" s="1"/>
  <c r="R11" i="6"/>
  <c r="X26" i="6"/>
  <c r="Y26" i="6" s="1"/>
  <c r="A30" i="8"/>
  <c r="D28" i="8"/>
  <c r="C29" i="8"/>
  <c r="U11" i="8"/>
  <c r="T11" i="8"/>
  <c r="S11" i="8"/>
  <c r="V11" i="8"/>
  <c r="Q13" i="8"/>
  <c r="X27" i="8"/>
  <c r="Y27" i="8" s="1"/>
  <c r="Q27" i="8"/>
  <c r="R27" i="8" s="1"/>
  <c r="X12" i="8"/>
  <c r="Y12" i="8" s="1"/>
  <c r="R12" i="8"/>
  <c r="Q13" i="6" l="1"/>
  <c r="R12" i="6"/>
  <c r="X27" i="6"/>
  <c r="Y27" i="6" s="1"/>
  <c r="X12" i="6"/>
  <c r="Y12" i="6" s="1"/>
  <c r="Q27" i="6"/>
  <c r="R27" i="6" s="1"/>
  <c r="U12" i="8"/>
  <c r="T12" i="8"/>
  <c r="V12" i="8"/>
  <c r="S12" i="8"/>
  <c r="Q28" i="8"/>
  <c r="R28" i="8" s="1"/>
  <c r="Q14" i="8"/>
  <c r="X28" i="8"/>
  <c r="Y28" i="8" s="1"/>
  <c r="R13" i="8"/>
  <c r="X13" i="8"/>
  <c r="Y13" i="8" s="1"/>
  <c r="C30" i="8"/>
  <c r="A31" i="8"/>
  <c r="D29" i="8"/>
  <c r="Q14" i="6" l="1"/>
  <c r="Q28" i="6"/>
  <c r="R28" i="6" s="1"/>
  <c r="R13" i="6"/>
  <c r="X28" i="6"/>
  <c r="Y28" i="6" s="1"/>
  <c r="X13" i="6"/>
  <c r="Y13" i="6" s="1"/>
  <c r="C31" i="8"/>
  <c r="A32" i="8"/>
  <c r="D30" i="8"/>
  <c r="U13" i="8"/>
  <c r="T13" i="8"/>
  <c r="S13" i="8"/>
  <c r="V13" i="8"/>
  <c r="Q15" i="8"/>
  <c r="Q29" i="8"/>
  <c r="R29" i="8" s="1"/>
  <c r="X29" i="8"/>
  <c r="Y29" i="8" s="1"/>
  <c r="X14" i="8"/>
  <c r="Y14" i="8" s="1"/>
  <c r="R14" i="8"/>
  <c r="Q15" i="6" l="1"/>
  <c r="X14" i="6"/>
  <c r="Y14" i="6" s="1"/>
  <c r="Q29" i="6"/>
  <c r="R29" i="6" s="1"/>
  <c r="R14" i="6"/>
  <c r="X29" i="6"/>
  <c r="Y29" i="6" s="1"/>
  <c r="A33" i="8"/>
  <c r="D32" i="8" s="1"/>
  <c r="D31" i="8"/>
  <c r="C32" i="8"/>
  <c r="U14" i="8"/>
  <c r="T14" i="8"/>
  <c r="V14" i="8"/>
  <c r="S14" i="8"/>
  <c r="X30" i="8"/>
  <c r="Y30" i="8" s="1"/>
  <c r="Q16" i="8"/>
  <c r="Q30" i="8"/>
  <c r="R30" i="8" s="1"/>
  <c r="R15" i="8"/>
  <c r="X15" i="8"/>
  <c r="Y15" i="8" s="1"/>
  <c r="X15" i="6" l="1"/>
  <c r="Y15" i="6" s="1"/>
  <c r="Q30" i="6"/>
  <c r="R30" i="6" s="1"/>
  <c r="R15" i="6"/>
  <c r="X30" i="6"/>
  <c r="Y30" i="6" s="1"/>
  <c r="X31" i="8"/>
  <c r="Y31" i="8" s="1"/>
  <c r="Q31" i="8"/>
  <c r="R31" i="8" s="1"/>
  <c r="X16" i="8"/>
  <c r="Y16" i="8" s="1"/>
  <c r="R16" i="8"/>
  <c r="U15" i="8"/>
  <c r="T15" i="8"/>
  <c r="S15" i="8"/>
  <c r="V15" i="8"/>
  <c r="U16" i="8" l="1"/>
  <c r="T16" i="8"/>
  <c r="V16" i="8"/>
  <c r="S16" i="8"/>
  <c r="E42" i="1" l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A20" i="6" l="1"/>
  <c r="A21" i="6" s="1"/>
  <c r="A22" i="6" s="1"/>
  <c r="C20" i="6" l="1"/>
  <c r="C21" i="6"/>
  <c r="A23" i="6"/>
  <c r="C22" i="6"/>
  <c r="A24" i="6" l="1"/>
  <c r="C23" i="6"/>
  <c r="A25" i="6" l="1"/>
  <c r="C24" i="6"/>
  <c r="AA4" i="6" l="1"/>
  <c r="A26" i="6"/>
  <c r="C25" i="6"/>
  <c r="D20" i="6"/>
  <c r="V4" i="6" l="1"/>
  <c r="S4" i="6"/>
  <c r="T4" i="6"/>
  <c r="T19" i="6" s="1"/>
  <c r="U4" i="6"/>
  <c r="AA5" i="8"/>
  <c r="T20" i="8" s="1"/>
  <c r="AC4" i="6"/>
  <c r="V19" i="6" s="1"/>
  <c r="AC5" i="8"/>
  <c r="V20" i="8" s="1"/>
  <c r="Z4" i="6"/>
  <c r="Z5" i="8"/>
  <c r="S20" i="8" s="1"/>
  <c r="AB4" i="6"/>
  <c r="AB5" i="8"/>
  <c r="U20" i="8" s="1"/>
  <c r="A27" i="6"/>
  <c r="C26" i="6"/>
  <c r="D21" i="6"/>
  <c r="S19" i="6" l="1"/>
  <c r="V5" i="6"/>
  <c r="S5" i="6"/>
  <c r="U5" i="6"/>
  <c r="T5" i="6"/>
  <c r="AC5" i="6"/>
  <c r="AC6" i="8"/>
  <c r="V21" i="8" s="1"/>
  <c r="AC21" i="8" s="1"/>
  <c r="AA5" i="6"/>
  <c r="T20" i="6" s="1"/>
  <c r="AA20" i="6" s="1"/>
  <c r="AA6" i="8"/>
  <c r="T21" i="8" s="1"/>
  <c r="AA21" i="8" s="1"/>
  <c r="U19" i="6"/>
  <c r="AB5" i="6"/>
  <c r="U20" i="6" s="1"/>
  <c r="AB20" i="6" s="1"/>
  <c r="AB6" i="8"/>
  <c r="U21" i="8" s="1"/>
  <c r="AB21" i="8" s="1"/>
  <c r="Z5" i="6"/>
  <c r="S20" i="6" s="1"/>
  <c r="Z20" i="6" s="1"/>
  <c r="Z6" i="8"/>
  <c r="S21" i="8" s="1"/>
  <c r="Z21" i="8" s="1"/>
  <c r="AC4" i="7"/>
  <c r="V19" i="7" s="1"/>
  <c r="AC4" i="5"/>
  <c r="V19" i="5" s="1"/>
  <c r="AA4" i="7"/>
  <c r="T19" i="7" s="1"/>
  <c r="AA4" i="5"/>
  <c r="T19" i="5" s="1"/>
  <c r="AB4" i="7"/>
  <c r="U19" i="7" s="1"/>
  <c r="AB4" i="5"/>
  <c r="U19" i="5" s="1"/>
  <c r="Z4" i="7"/>
  <c r="S19" i="7" s="1"/>
  <c r="Z4" i="5"/>
  <c r="S19" i="5" s="1"/>
  <c r="A28" i="6"/>
  <c r="C27" i="6"/>
  <c r="D22" i="6"/>
  <c r="AB6" i="6" l="1"/>
  <c r="AB7" i="8"/>
  <c r="U22" i="8" s="1"/>
  <c r="Z6" i="6"/>
  <c r="Z7" i="8"/>
  <c r="S22" i="8" s="1"/>
  <c r="Z22" i="8" s="1"/>
  <c r="AB5" i="7"/>
  <c r="U20" i="7" s="1"/>
  <c r="AB20" i="7" s="1"/>
  <c r="AB5" i="5"/>
  <c r="U20" i="5" s="1"/>
  <c r="AB20" i="5" s="1"/>
  <c r="Z5" i="7"/>
  <c r="S20" i="7" s="1"/>
  <c r="Z20" i="7" s="1"/>
  <c r="Z5" i="5"/>
  <c r="S20" i="5" s="1"/>
  <c r="Z20" i="5" s="1"/>
  <c r="T6" i="6"/>
  <c r="V6" i="6"/>
  <c r="S6" i="6"/>
  <c r="U6" i="6"/>
  <c r="AC6" i="6"/>
  <c r="V21" i="6" s="1"/>
  <c r="AC21" i="6" s="1"/>
  <c r="AC7" i="8"/>
  <c r="V22" i="8" s="1"/>
  <c r="AC22" i="8" s="1"/>
  <c r="AC5" i="7"/>
  <c r="V20" i="7" s="1"/>
  <c r="AC20" i="7" s="1"/>
  <c r="AC5" i="5"/>
  <c r="V20" i="5" s="1"/>
  <c r="AC20" i="5" s="1"/>
  <c r="V20" i="6"/>
  <c r="AC20" i="6" s="1"/>
  <c r="F42" i="4" s="1"/>
  <c r="AA6" i="6"/>
  <c r="T21" i="6" s="1"/>
  <c r="AA21" i="6" s="1"/>
  <c r="AA7" i="8"/>
  <c r="T22" i="8" s="1"/>
  <c r="AA22" i="8" s="1"/>
  <c r="AA5" i="7"/>
  <c r="T20" i="7" s="1"/>
  <c r="AA20" i="7" s="1"/>
  <c r="AA5" i="5"/>
  <c r="T20" i="5" s="1"/>
  <c r="AA20" i="5" s="1"/>
  <c r="AB22" i="8"/>
  <c r="G42" i="4"/>
  <c r="A29" i="6"/>
  <c r="C28" i="6"/>
  <c r="D23" i="6"/>
  <c r="AB6" i="7" l="1"/>
  <c r="U21" i="7" s="1"/>
  <c r="AB21" i="7" s="1"/>
  <c r="AB6" i="5"/>
  <c r="U21" i="5" s="1"/>
  <c r="AB21" i="5" s="1"/>
  <c r="Z6" i="7"/>
  <c r="S21" i="7" s="1"/>
  <c r="Z21" i="7" s="1"/>
  <c r="Z6" i="5"/>
  <c r="S21" i="5" s="1"/>
  <c r="Z21" i="5" s="1"/>
  <c r="F43" i="1"/>
  <c r="G43" i="1"/>
  <c r="S21" i="6"/>
  <c r="Z21" i="6" s="1"/>
  <c r="AB7" i="6"/>
  <c r="AB8" i="8"/>
  <c r="U23" i="8" s="1"/>
  <c r="AB23" i="8" s="1"/>
  <c r="Z7" i="6"/>
  <c r="Z8" i="8"/>
  <c r="S23" i="8" s="1"/>
  <c r="Z23" i="8" s="1"/>
  <c r="AC6" i="7"/>
  <c r="V21" i="7" s="1"/>
  <c r="AC21" i="7" s="1"/>
  <c r="AC6" i="5"/>
  <c r="V21" i="5" s="1"/>
  <c r="AC21" i="5" s="1"/>
  <c r="AA6" i="7"/>
  <c r="T21" i="7" s="1"/>
  <c r="AA21" i="7" s="1"/>
  <c r="AA6" i="5"/>
  <c r="T21" i="5" s="1"/>
  <c r="AA21" i="5" s="1"/>
  <c r="AC7" i="6"/>
  <c r="AC8" i="8"/>
  <c r="V23" i="8" s="1"/>
  <c r="AC23" i="8" s="1"/>
  <c r="T7" i="6"/>
  <c r="V7" i="6"/>
  <c r="S7" i="6"/>
  <c r="U7" i="6"/>
  <c r="AA7" i="6"/>
  <c r="T22" i="6" s="1"/>
  <c r="AA22" i="6" s="1"/>
  <c r="AA8" i="8"/>
  <c r="T23" i="8" s="1"/>
  <c r="AA23" i="8" s="1"/>
  <c r="U21" i="6"/>
  <c r="AB21" i="6" s="1"/>
  <c r="G43" i="4"/>
  <c r="A30" i="6"/>
  <c r="C29" i="6"/>
  <c r="D24" i="6"/>
  <c r="V22" i="6" l="1"/>
  <c r="AC22" i="6" s="1"/>
  <c r="F43" i="4"/>
  <c r="G44" i="4"/>
  <c r="U22" i="6"/>
  <c r="AB22" i="6" s="1"/>
  <c r="AB8" i="6"/>
  <c r="AB9" i="8"/>
  <c r="U24" i="8" s="1"/>
  <c r="AB24" i="8" s="1"/>
  <c r="Z8" i="6"/>
  <c r="Z9" i="8"/>
  <c r="S24" i="8" s="1"/>
  <c r="Z24" i="8" s="1"/>
  <c r="AB7" i="7"/>
  <c r="U22" i="7" s="1"/>
  <c r="AB22" i="7" s="1"/>
  <c r="AB7" i="5"/>
  <c r="U22" i="5" s="1"/>
  <c r="AB22" i="5" s="1"/>
  <c r="F44" i="1"/>
  <c r="Z7" i="7"/>
  <c r="S22" i="7" s="1"/>
  <c r="Z22" i="7" s="1"/>
  <c r="Z7" i="5"/>
  <c r="S22" i="5" s="1"/>
  <c r="Z22" i="5" s="1"/>
  <c r="S22" i="6"/>
  <c r="Z22" i="6" s="1"/>
  <c r="G44" i="1"/>
  <c r="AC8" i="6"/>
  <c r="AC9" i="8"/>
  <c r="V24" i="8" s="1"/>
  <c r="AC24" i="8" s="1"/>
  <c r="AA8" i="6"/>
  <c r="AA9" i="8"/>
  <c r="T24" i="8" s="1"/>
  <c r="AA24" i="8" s="1"/>
  <c r="S8" i="6"/>
  <c r="T8" i="6"/>
  <c r="V8" i="6"/>
  <c r="U8" i="6"/>
  <c r="AC7" i="7"/>
  <c r="V22" i="7" s="1"/>
  <c r="AC22" i="7" s="1"/>
  <c r="AC7" i="5"/>
  <c r="V22" i="5" s="1"/>
  <c r="AC22" i="5" s="1"/>
  <c r="AA7" i="7"/>
  <c r="T22" i="7" s="1"/>
  <c r="AA22" i="7" s="1"/>
  <c r="AA7" i="5"/>
  <c r="T22" i="5" s="1"/>
  <c r="AA22" i="5" s="1"/>
  <c r="A31" i="6"/>
  <c r="C30" i="6"/>
  <c r="D25" i="6"/>
  <c r="U23" i="6" l="1"/>
  <c r="AB23" i="6" s="1"/>
  <c r="V23" i="6"/>
  <c r="AC23" i="6" s="1"/>
  <c r="F44" i="4"/>
  <c r="AC9" i="6"/>
  <c r="AC10" i="8"/>
  <c r="V25" i="8" s="1"/>
  <c r="AC25" i="8" s="1"/>
  <c r="AA9" i="6"/>
  <c r="AA10" i="8"/>
  <c r="T25" i="8" s="1"/>
  <c r="AA25" i="8" s="1"/>
  <c r="F45" i="1"/>
  <c r="AB8" i="7"/>
  <c r="U23" i="7" s="1"/>
  <c r="AB23" i="7" s="1"/>
  <c r="AB8" i="5"/>
  <c r="U23" i="5" s="1"/>
  <c r="AB23" i="5" s="1"/>
  <c r="S9" i="6"/>
  <c r="T9" i="6"/>
  <c r="V9" i="6"/>
  <c r="U9" i="6"/>
  <c r="G45" i="1"/>
  <c r="Z8" i="7"/>
  <c r="S23" i="7" s="1"/>
  <c r="Z23" i="7" s="1"/>
  <c r="Z8" i="5"/>
  <c r="S23" i="5" s="1"/>
  <c r="Z23" i="5" s="1"/>
  <c r="AB9" i="6"/>
  <c r="U24" i="6" s="1"/>
  <c r="AB24" i="6" s="1"/>
  <c r="AB10" i="8"/>
  <c r="U25" i="8" s="1"/>
  <c r="AB25" i="8" s="1"/>
  <c r="AC8" i="7"/>
  <c r="V23" i="7" s="1"/>
  <c r="AC23" i="7" s="1"/>
  <c r="AC8" i="5"/>
  <c r="V23" i="5" s="1"/>
  <c r="AC23" i="5" s="1"/>
  <c r="Z9" i="6"/>
  <c r="Z10" i="8"/>
  <c r="S25" i="8" s="1"/>
  <c r="Z25" i="8" s="1"/>
  <c r="T23" i="6"/>
  <c r="AA23" i="6" s="1"/>
  <c r="S23" i="6"/>
  <c r="Z23" i="6" s="1"/>
  <c r="AA8" i="7"/>
  <c r="T23" i="7" s="1"/>
  <c r="AA23" i="7" s="1"/>
  <c r="AA8" i="5"/>
  <c r="T23" i="5" s="1"/>
  <c r="AA23" i="5" s="1"/>
  <c r="G45" i="4"/>
  <c r="A32" i="6"/>
  <c r="C31" i="6"/>
  <c r="D26" i="6"/>
  <c r="S24" i="6" l="1"/>
  <c r="Z24" i="6" s="1"/>
  <c r="F45" i="4"/>
  <c r="G46" i="4"/>
  <c r="AC10" i="6"/>
  <c r="AC11" i="8"/>
  <c r="V26" i="8" s="1"/>
  <c r="AC26" i="8" s="1"/>
  <c r="AC9" i="7"/>
  <c r="V24" i="7" s="1"/>
  <c r="AC24" i="7" s="1"/>
  <c r="AC9" i="5"/>
  <c r="V24" i="5" s="1"/>
  <c r="AC24" i="5" s="1"/>
  <c r="F46" i="1"/>
  <c r="AA10" i="6"/>
  <c r="AA11" i="8"/>
  <c r="T26" i="8" s="1"/>
  <c r="AA26" i="8" s="1"/>
  <c r="AA9" i="7"/>
  <c r="T24" i="7" s="1"/>
  <c r="AA24" i="7" s="1"/>
  <c r="AA9" i="5"/>
  <c r="T24" i="5" s="1"/>
  <c r="AA24" i="5" s="1"/>
  <c r="V24" i="6"/>
  <c r="AC24" i="6" s="1"/>
  <c r="G46" i="1"/>
  <c r="AB10" i="6"/>
  <c r="AB11" i="8"/>
  <c r="U26" i="8" s="1"/>
  <c r="S10" i="6"/>
  <c r="U10" i="6"/>
  <c r="V10" i="6"/>
  <c r="Z10" i="6"/>
  <c r="Z11" i="8"/>
  <c r="S26" i="8" s="1"/>
  <c r="Z26" i="8" s="1"/>
  <c r="AB9" i="7"/>
  <c r="U24" i="7" s="1"/>
  <c r="AB24" i="7" s="1"/>
  <c r="AB9" i="5"/>
  <c r="U24" i="5" s="1"/>
  <c r="AB24" i="5" s="1"/>
  <c r="Z9" i="7"/>
  <c r="S24" i="7" s="1"/>
  <c r="Z24" i="7" s="1"/>
  <c r="Z9" i="5"/>
  <c r="S24" i="5" s="1"/>
  <c r="Z24" i="5" s="1"/>
  <c r="T24" i="6"/>
  <c r="AA24" i="6" s="1"/>
  <c r="AB26" i="8"/>
  <c r="D27" i="6"/>
  <c r="F46" i="4" l="1"/>
  <c r="AC10" i="7"/>
  <c r="V25" i="7" s="1"/>
  <c r="AC25" i="7" s="1"/>
  <c r="AC10" i="5"/>
  <c r="V25" i="5" s="1"/>
  <c r="AC25" i="5" s="1"/>
  <c r="AA10" i="7"/>
  <c r="T25" i="7" s="1"/>
  <c r="AA25" i="7" s="1"/>
  <c r="AA10" i="5"/>
  <c r="T25" i="5" s="1"/>
  <c r="AA25" i="5" s="1"/>
  <c r="AB11" i="6"/>
  <c r="AB12" i="8"/>
  <c r="U27" i="8" s="1"/>
  <c r="Z11" i="6"/>
  <c r="Z12" i="8"/>
  <c r="S27" i="8" s="1"/>
  <c r="Z27" i="8" s="1"/>
  <c r="F47" i="1"/>
  <c r="AC11" i="6"/>
  <c r="AC12" i="8"/>
  <c r="V27" i="8" s="1"/>
  <c r="AC27" i="8" s="1"/>
  <c r="T11" i="6"/>
  <c r="V11" i="6"/>
  <c r="S11" i="6"/>
  <c r="G47" i="1"/>
  <c r="S25" i="6"/>
  <c r="Z25" i="6" s="1"/>
  <c r="U25" i="6"/>
  <c r="AB25" i="6" s="1"/>
  <c r="AB10" i="7"/>
  <c r="U25" i="7" s="1"/>
  <c r="AB25" i="7" s="1"/>
  <c r="AB10" i="5"/>
  <c r="U25" i="5" s="1"/>
  <c r="AB25" i="5" s="1"/>
  <c r="Z10" i="7"/>
  <c r="S25" i="7" s="1"/>
  <c r="Z25" i="7" s="1"/>
  <c r="Z10" i="5"/>
  <c r="S25" i="5" s="1"/>
  <c r="Z25" i="5" s="1"/>
  <c r="AA11" i="6"/>
  <c r="AA12" i="8"/>
  <c r="T27" i="8" s="1"/>
  <c r="AA27" i="8" s="1"/>
  <c r="V25" i="6"/>
  <c r="AC25" i="6" s="1"/>
  <c r="G47" i="4"/>
  <c r="AB27" i="8"/>
  <c r="D28" i="6"/>
  <c r="T12" i="6" s="1"/>
  <c r="T26" i="6" l="1"/>
  <c r="AA26" i="6" s="1"/>
  <c r="V26" i="6"/>
  <c r="AC26" i="6" s="1"/>
  <c r="AB11" i="7"/>
  <c r="U26" i="7" s="1"/>
  <c r="AB26" i="7" s="1"/>
  <c r="AB11" i="5"/>
  <c r="U26" i="5" s="1"/>
  <c r="AB26" i="5" s="1"/>
  <c r="AC12" i="6"/>
  <c r="AC13" i="8"/>
  <c r="V28" i="8" s="1"/>
  <c r="AC28" i="8" s="1"/>
  <c r="AA12" i="6"/>
  <c r="T27" i="6" s="1"/>
  <c r="AA27" i="6" s="1"/>
  <c r="AA13" i="8"/>
  <c r="T28" i="8" s="1"/>
  <c r="AA28" i="8" s="1"/>
  <c r="Z11" i="7"/>
  <c r="S26" i="7" s="1"/>
  <c r="Z26" i="7" s="1"/>
  <c r="Z11" i="5"/>
  <c r="S26" i="5" s="1"/>
  <c r="Z26" i="5" s="1"/>
  <c r="F48" i="1"/>
  <c r="S26" i="6"/>
  <c r="Z26" i="6" s="1"/>
  <c r="AC11" i="7"/>
  <c r="V26" i="7" s="1"/>
  <c r="AC26" i="7" s="1"/>
  <c r="AC11" i="5"/>
  <c r="V26" i="5" s="1"/>
  <c r="AC26" i="5" s="1"/>
  <c r="AA11" i="7"/>
  <c r="T26" i="7" s="1"/>
  <c r="AA26" i="7" s="1"/>
  <c r="AA11" i="5"/>
  <c r="T26" i="5" s="1"/>
  <c r="AA26" i="5" s="1"/>
  <c r="G48" i="1"/>
  <c r="AB12" i="6"/>
  <c r="AB13" i="8"/>
  <c r="U28" i="8" s="1"/>
  <c r="AB28" i="8" s="1"/>
  <c r="Z12" i="6"/>
  <c r="Z13" i="8"/>
  <c r="S28" i="8" s="1"/>
  <c r="Z28" i="8" s="1"/>
  <c r="G48" i="4"/>
  <c r="D29" i="6"/>
  <c r="G49" i="1" l="1"/>
  <c r="AC12" i="7"/>
  <c r="V27" i="7" s="1"/>
  <c r="AC27" i="7" s="1"/>
  <c r="AC12" i="5"/>
  <c r="V27" i="5" s="1"/>
  <c r="AC27" i="5" s="1"/>
  <c r="AB13" i="6"/>
  <c r="AB14" i="8"/>
  <c r="U29" i="8" s="1"/>
  <c r="AB29" i="8" s="1"/>
  <c r="AA12" i="7"/>
  <c r="T27" i="7" s="1"/>
  <c r="AA27" i="7" s="1"/>
  <c r="AA12" i="5"/>
  <c r="T27" i="5" s="1"/>
  <c r="AA27" i="5" s="1"/>
  <c r="F49" i="1"/>
  <c r="Z13" i="6"/>
  <c r="Z14" i="8"/>
  <c r="S29" i="8" s="1"/>
  <c r="Z29" i="8" s="1"/>
  <c r="AB12" i="7"/>
  <c r="U27" i="7" s="1"/>
  <c r="AB27" i="7" s="1"/>
  <c r="AB12" i="5"/>
  <c r="U27" i="5" s="1"/>
  <c r="AB27" i="5" s="1"/>
  <c r="AC13" i="6"/>
  <c r="AC14" i="8"/>
  <c r="V29" i="8" s="1"/>
  <c r="AC29" i="8" s="1"/>
  <c r="AA13" i="6"/>
  <c r="AA14" i="8"/>
  <c r="T29" i="8" s="1"/>
  <c r="AA29" i="8" s="1"/>
  <c r="Z12" i="7"/>
  <c r="S27" i="7" s="1"/>
  <c r="Z27" i="7" s="1"/>
  <c r="Z12" i="5"/>
  <c r="S27" i="5" s="1"/>
  <c r="Z27" i="5" s="1"/>
  <c r="G49" i="4"/>
  <c r="D30" i="6"/>
  <c r="F50" i="1" l="1"/>
  <c r="AA13" i="7"/>
  <c r="T28" i="7" s="1"/>
  <c r="AA28" i="7" s="1"/>
  <c r="AA13" i="5"/>
  <c r="T28" i="5" s="1"/>
  <c r="AA28" i="5" s="1"/>
  <c r="AB14" i="6"/>
  <c r="AB15" i="8"/>
  <c r="U30" i="8" s="1"/>
  <c r="AB30" i="8" s="1"/>
  <c r="G50" i="1"/>
  <c r="Z14" i="6"/>
  <c r="Z15" i="8"/>
  <c r="S30" i="8" s="1"/>
  <c r="Z30" i="8" s="1"/>
  <c r="AB13" i="7"/>
  <c r="U28" i="7" s="1"/>
  <c r="AB28" i="7" s="1"/>
  <c r="AB13" i="5"/>
  <c r="U28" i="5" s="1"/>
  <c r="AB28" i="5" s="1"/>
  <c r="Z13" i="7"/>
  <c r="S28" i="7" s="1"/>
  <c r="Z28" i="7" s="1"/>
  <c r="Z13" i="5"/>
  <c r="S28" i="5" s="1"/>
  <c r="Z28" i="5" s="1"/>
  <c r="AC14" i="6"/>
  <c r="AC15" i="8"/>
  <c r="V30" i="8" s="1"/>
  <c r="AC30" i="8" s="1"/>
  <c r="AC13" i="7"/>
  <c r="V28" i="7" s="1"/>
  <c r="AC28" i="7" s="1"/>
  <c r="AC13" i="5"/>
  <c r="V28" i="5" s="1"/>
  <c r="AC28" i="5" s="1"/>
  <c r="AA14" i="6"/>
  <c r="AA15" i="8"/>
  <c r="T30" i="8" s="1"/>
  <c r="AA30" i="8" s="1"/>
  <c r="G50" i="4"/>
  <c r="D31" i="6"/>
  <c r="F51" i="1" l="1"/>
  <c r="G51" i="1"/>
  <c r="AC14" i="7"/>
  <c r="V29" i="7" s="1"/>
  <c r="AC29" i="7" s="1"/>
  <c r="AC14" i="5"/>
  <c r="V29" i="5" s="1"/>
  <c r="AC29" i="5" s="1"/>
  <c r="AA14" i="7"/>
  <c r="T29" i="7" s="1"/>
  <c r="AA29" i="7" s="1"/>
  <c r="AA14" i="5"/>
  <c r="T29" i="5" s="1"/>
  <c r="AA29" i="5" s="1"/>
  <c r="T10" i="6"/>
  <c r="T25" i="6" s="1"/>
  <c r="AA25" i="6" s="1"/>
  <c r="F47" i="4" s="1"/>
  <c r="T15" i="6"/>
  <c r="U12" i="6"/>
  <c r="U27" i="6" s="1"/>
  <c r="AB27" i="6" s="1"/>
  <c r="V12" i="6"/>
  <c r="V27" i="6" s="1"/>
  <c r="AC27" i="6" s="1"/>
  <c r="T14" i="6"/>
  <c r="T29" i="6" s="1"/>
  <c r="AA29" i="6" s="1"/>
  <c r="U11" i="6"/>
  <c r="U26" i="6" s="1"/>
  <c r="AB26" i="6" s="1"/>
  <c r="F48" i="4" s="1"/>
  <c r="U15" i="6"/>
  <c r="S12" i="6"/>
  <c r="S27" i="6" s="1"/>
  <c r="Z27" i="6" s="1"/>
  <c r="S14" i="6"/>
  <c r="S29" i="6" s="1"/>
  <c r="Z29" i="6" s="1"/>
  <c r="T13" i="6"/>
  <c r="T28" i="6" s="1"/>
  <c r="AA28" i="6" s="1"/>
  <c r="S13" i="6"/>
  <c r="S28" i="6" s="1"/>
  <c r="Z28" i="6" s="1"/>
  <c r="V15" i="6"/>
  <c r="V14" i="6"/>
  <c r="V13" i="6"/>
  <c r="V28" i="6" s="1"/>
  <c r="AC28" i="6" s="1"/>
  <c r="U13" i="6"/>
  <c r="U28" i="6" s="1"/>
  <c r="AB28" i="6" s="1"/>
  <c r="U14" i="6"/>
  <c r="S15" i="6"/>
  <c r="AB14" i="7"/>
  <c r="U29" i="7" s="1"/>
  <c r="AB29" i="7" s="1"/>
  <c r="AB14" i="5"/>
  <c r="U29" i="5" s="1"/>
  <c r="AB29" i="5" s="1"/>
  <c r="Z14" i="7"/>
  <c r="S29" i="7" s="1"/>
  <c r="Z29" i="7" s="1"/>
  <c r="Z14" i="5"/>
  <c r="S29" i="5" s="1"/>
  <c r="Z29" i="5" s="1"/>
  <c r="V29" i="6"/>
  <c r="AC29" i="6" s="1"/>
  <c r="U29" i="6"/>
  <c r="AB29" i="6" s="1"/>
  <c r="G51" i="4"/>
  <c r="F52" i="1" l="1"/>
  <c r="G52" i="1"/>
  <c r="F51" i="4"/>
  <c r="F49" i="4"/>
  <c r="AB15" i="7"/>
  <c r="U30" i="7" s="1"/>
  <c r="AB30" i="7" s="1"/>
  <c r="AB15" i="5"/>
  <c r="U30" i="5" s="1"/>
  <c r="AB30" i="5" s="1"/>
  <c r="AA15" i="6"/>
  <c r="T30" i="6" s="1"/>
  <c r="AA30" i="6" s="1"/>
  <c r="AA16" i="8"/>
  <c r="T31" i="8" s="1"/>
  <c r="AA31" i="8" s="1"/>
  <c r="AC15" i="7"/>
  <c r="V30" i="7" s="1"/>
  <c r="AC30" i="7" s="1"/>
  <c r="AC15" i="5"/>
  <c r="V30" i="5" s="1"/>
  <c r="AC30" i="5" s="1"/>
  <c r="AA15" i="7"/>
  <c r="T30" i="7" s="1"/>
  <c r="AA30" i="7" s="1"/>
  <c r="AA15" i="5"/>
  <c r="T30" i="5" s="1"/>
  <c r="AA30" i="5" s="1"/>
  <c r="AB15" i="6"/>
  <c r="U30" i="6" s="1"/>
  <c r="AB30" i="6" s="1"/>
  <c r="AB16" i="8"/>
  <c r="U31" i="8" s="1"/>
  <c r="AB31" i="8" s="1"/>
  <c r="Z15" i="6"/>
  <c r="S30" i="6" s="1"/>
  <c r="Z30" i="6" s="1"/>
  <c r="Z16" i="8"/>
  <c r="S31" i="8" s="1"/>
  <c r="Z31" i="8" s="1"/>
  <c r="F50" i="4"/>
  <c r="Z15" i="7"/>
  <c r="S30" i="7" s="1"/>
  <c r="Z30" i="7" s="1"/>
  <c r="Z15" i="5"/>
  <c r="S30" i="5" s="1"/>
  <c r="Z30" i="5" s="1"/>
  <c r="AC15" i="6"/>
  <c r="V30" i="6" s="1"/>
  <c r="AC30" i="6" s="1"/>
  <c r="AC16" i="8"/>
  <c r="V31" i="8" s="1"/>
  <c r="AC31" i="8" s="1"/>
  <c r="AA19" i="5"/>
  <c r="AB19" i="5"/>
  <c r="AC19" i="5"/>
  <c r="Z19" i="6"/>
  <c r="G53" i="1" l="1"/>
  <c r="G52" i="4"/>
  <c r="F53" i="1"/>
  <c r="F52" i="4"/>
  <c r="Z19" i="5"/>
  <c r="F42" i="1" s="1"/>
  <c r="AC19" i="6"/>
  <c r="AA19" i="6"/>
  <c r="AB19" i="6"/>
  <c r="AB19" i="7"/>
  <c r="AC19" i="7"/>
  <c r="AA19" i="7"/>
  <c r="Z19" i="7"/>
  <c r="G42" i="1" l="1"/>
  <c r="F41" i="4"/>
  <c r="AA20" i="8"/>
  <c r="AC20" i="8"/>
  <c r="AB20" i="8"/>
  <c r="Z20" i="8"/>
  <c r="G41" i="4" l="1"/>
  <c r="H45" i="1"/>
  <c r="F54" i="1"/>
  <c r="H13" i="1" s="1"/>
  <c r="H44" i="1"/>
  <c r="H47" i="1"/>
  <c r="H48" i="1"/>
  <c r="H50" i="1"/>
  <c r="H52" i="1"/>
  <c r="H49" i="1"/>
  <c r="H53" i="1"/>
  <c r="H51" i="1"/>
  <c r="H43" i="1"/>
  <c r="H46" i="1"/>
  <c r="H42" i="1" l="1"/>
  <c r="H54" i="1" s="1"/>
  <c r="H47" i="4"/>
  <c r="H43" i="4"/>
  <c r="H44" i="4"/>
  <c r="H46" i="4"/>
  <c r="H45" i="4"/>
  <c r="H51" i="4"/>
  <c r="H42" i="4"/>
  <c r="H50" i="4"/>
  <c r="H49" i="4"/>
  <c r="I15" i="1"/>
  <c r="H28" i="1"/>
  <c r="H48" i="4"/>
  <c r="F53" i="4"/>
  <c r="H13" i="4" s="1"/>
  <c r="H52" i="4"/>
  <c r="H41" i="4" l="1"/>
  <c r="H53" i="4" s="1"/>
  <c r="G53" i="4"/>
  <c r="H19" i="4" s="1"/>
  <c r="H31" i="4" s="1"/>
  <c r="I31" i="4" s="1"/>
  <c r="G54" i="1"/>
  <c r="H19" i="1" s="1"/>
  <c r="H23" i="1" s="1"/>
  <c r="H28" i="4"/>
  <c r="I15" i="4"/>
  <c r="I28" i="1"/>
  <c r="H23" i="4" l="1"/>
  <c r="I21" i="4"/>
  <c r="I23" i="4" s="1"/>
  <c r="H31" i="1"/>
  <c r="I31" i="1" s="1"/>
  <c r="I33" i="1" s="1"/>
  <c r="I21" i="1"/>
  <c r="I23" i="1" s="1"/>
  <c r="H33" i="4"/>
  <c r="I28" i="4"/>
  <c r="I33" i="4" s="1"/>
  <c r="H33" i="1" l="1"/>
</calcChain>
</file>

<file path=xl/sharedStrings.xml><?xml version="1.0" encoding="utf-8"?>
<sst xmlns="http://schemas.openxmlformats.org/spreadsheetml/2006/main" count="332" uniqueCount="63">
  <si>
    <t>.</t>
  </si>
  <si>
    <t>Cascade "Backcast" Methodology</t>
  </si>
  <si>
    <t>R/S 503</t>
  </si>
  <si>
    <t>R/S 504</t>
  </si>
  <si>
    <t>Weather</t>
  </si>
  <si>
    <t>Total</t>
  </si>
  <si>
    <t>Cascade Natural Gas Corporation</t>
  </si>
  <si>
    <t>Month</t>
  </si>
  <si>
    <t>Adj Therms</t>
  </si>
  <si>
    <t>Weather Normalization Adjustment</t>
  </si>
  <si>
    <t>State of Washington</t>
  </si>
  <si>
    <t>Line No.</t>
  </si>
  <si>
    <t>Description</t>
  </si>
  <si>
    <t>Therms</t>
  </si>
  <si>
    <t>Revenues</t>
  </si>
  <si>
    <t>Residential</t>
  </si>
  <si>
    <t>Rate Schedule No. 503</t>
  </si>
  <si>
    <t xml:space="preserve">    Therm Adjustment</t>
  </si>
  <si>
    <t>Totals</t>
  </si>
  <si>
    <t xml:space="preserve">    Revenue at Restating Rate</t>
  </si>
  <si>
    <t>Gas Cost</t>
  </si>
  <si>
    <t>Commercial</t>
  </si>
  <si>
    <t>Rate Schedule No. 504</t>
  </si>
  <si>
    <t>Change in Gas Cost - Residential</t>
  </si>
  <si>
    <t xml:space="preserve">    (WACOG x Adjustment)</t>
  </si>
  <si>
    <t>Change in Gas Cost - Commercial</t>
  </si>
  <si>
    <t>Bend</t>
  </si>
  <si>
    <t>Residential Customers</t>
  </si>
  <si>
    <t>Commercial Customers</t>
  </si>
  <si>
    <t>Bell</t>
  </si>
  <si>
    <t>Brem</t>
  </si>
  <si>
    <t>Walla</t>
  </si>
  <si>
    <t>Yakima</t>
  </si>
  <si>
    <t>Baker</t>
  </si>
  <si>
    <t>Pend</t>
  </si>
  <si>
    <t>60 Base</t>
  </si>
  <si>
    <t>65 Base</t>
  </si>
  <si>
    <t>Variable</t>
  </si>
  <si>
    <t>Estimate</t>
  </si>
  <si>
    <t>Intercept</t>
  </si>
  <si>
    <t>Days in Month</t>
  </si>
  <si>
    <t>Monthly Normals (1981-2010)</t>
  </si>
  <si>
    <t>Table 1</t>
  </si>
  <si>
    <t>Normal HDDs/Day</t>
  </si>
  <si>
    <t>Table 2</t>
  </si>
  <si>
    <t>Actual HDDs/Day</t>
  </si>
  <si>
    <t>Table 3</t>
  </si>
  <si>
    <t>(Normal HDDs/Day - Actual HDDs/Day) * β coefficient</t>
  </si>
  <si>
    <t>Table 4</t>
  </si>
  <si>
    <t>Adjustment</t>
  </si>
  <si>
    <t>Weather (65 Ref Temp)</t>
  </si>
  <si>
    <t>Weather (60 Ref Temp)</t>
  </si>
  <si>
    <t>Residential Therms/Customer/Day</t>
  </si>
  <si>
    <t>Commercial Therms/Customer/Day</t>
  </si>
  <si>
    <t>TREND</t>
  </si>
  <si>
    <t>Docket No. UG-17____</t>
  </si>
  <si>
    <t>Witness: Brian Robertson</t>
  </si>
  <si>
    <t>DOCKET UG-17_____</t>
  </si>
  <si>
    <t>CASCADE NATURAL GAS CORPORATION</t>
  </si>
  <si>
    <t>EXHIBIT OF BRIAN ROBERTSON</t>
  </si>
  <si>
    <t>Exhibit No. __ (BR-4)</t>
  </si>
  <si>
    <t>WEATHER NORMALIZATION ADJUSTMENT</t>
  </si>
  <si>
    <t>For Twelve Months Ended 12/31/2016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</si>
</sst>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"/>
      <family val="1"/>
    </font>
    <font>
      <b/>
      <sz val="11"/>
      <name val="Times"/>
      <family val="1"/>
    </font>
    <font>
      <sz val="9"/>
      <name val="Times"/>
      <family val="1"/>
    </font>
    <font>
      <b/>
      <u/>
      <sz val="11"/>
      <name val="Times"/>
      <family val="1"/>
    </font>
    <font>
      <b/>
      <u/>
      <sz val="11"/>
      <name val="Times"/>
    </font>
    <font>
      <sz val="11"/>
      <name val="Times New Roman"/>
      <family val="1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BB5D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Fill="1"/>
    <xf numFmtId="164" fontId="0" fillId="0" borderId="0" xfId="2" applyNumberFormat="1" applyFont="1"/>
    <xf numFmtId="14" fontId="0" fillId="0" borderId="0" xfId="0" applyNumberFormat="1"/>
    <xf numFmtId="0" fontId="0" fillId="0" borderId="1" xfId="0" applyFill="1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0" fillId="0" borderId="3" xfId="0" applyFill="1" applyBorder="1" applyAlignment="1">
      <alignment horizontal="centerContinuous"/>
    </xf>
    <xf numFmtId="0" fontId="0" fillId="2" borderId="0" xfId="0" applyFill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0" xfId="0" applyFont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64" fontId="3" fillId="0" borderId="0" xfId="2" applyNumberFormat="1" applyFont="1" applyAlignment="1">
      <alignment horizontal="centerContinuous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164" fontId="3" fillId="0" borderId="0" xfId="2" applyNumberFormat="1" applyFont="1" applyFill="1" applyAlignment="1">
      <alignment horizontal="centerContinuous"/>
    </xf>
    <xf numFmtId="17" fontId="0" fillId="0" borderId="4" xfId="0" applyNumberFormat="1" applyFill="1" applyBorder="1" applyAlignment="1">
      <alignment horizontal="left"/>
    </xf>
    <xf numFmtId="165" fontId="0" fillId="0" borderId="10" xfId="1" applyNumberFormat="1" applyFont="1" applyFill="1" applyBorder="1"/>
    <xf numFmtId="165" fontId="0" fillId="0" borderId="11" xfId="0" applyNumberFormat="1" applyFill="1" applyBorder="1"/>
    <xf numFmtId="17" fontId="0" fillId="0" borderId="9" xfId="0" applyNumberFormat="1" applyFill="1" applyBorder="1" applyAlignment="1">
      <alignment horizontal="left"/>
    </xf>
    <xf numFmtId="0" fontId="3" fillId="0" borderId="0" xfId="0" applyFont="1" applyFill="1"/>
    <xf numFmtId="164" fontId="3" fillId="0" borderId="0" xfId="2" applyNumberFormat="1" applyFont="1"/>
    <xf numFmtId="0" fontId="6" fillId="0" borderId="0" xfId="0" applyFont="1"/>
    <xf numFmtId="0" fontId="4" fillId="0" borderId="18" xfId="0" applyFont="1" applyBorder="1" applyAlignment="1">
      <alignment horizontal="centerContinuous"/>
    </xf>
    <xf numFmtId="0" fontId="6" fillId="0" borderId="0" xfId="0" applyFont="1" applyAlignment="1">
      <alignment horizontal="center"/>
    </xf>
    <xf numFmtId="164" fontId="6" fillId="0" borderId="0" xfId="2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165" fontId="3" fillId="0" borderId="0" xfId="0" applyNumberFormat="1" applyFont="1"/>
    <xf numFmtId="166" fontId="3" fillId="0" borderId="0" xfId="0" applyNumberFormat="1" applyFont="1" applyFill="1"/>
    <xf numFmtId="0" fontId="0" fillId="0" borderId="19" xfId="0" applyFill="1" applyBorder="1"/>
    <xf numFmtId="165" fontId="5" fillId="0" borderId="20" xfId="1" applyNumberFormat="1" applyFont="1" applyFill="1" applyBorder="1"/>
    <xf numFmtId="165" fontId="5" fillId="0" borderId="21" xfId="1" applyNumberFormat="1" applyFont="1" applyFill="1" applyBorder="1"/>
    <xf numFmtId="165" fontId="0" fillId="0" borderId="0" xfId="0" applyNumberFormat="1"/>
    <xf numFmtId="0" fontId="3" fillId="0" borderId="18" xfId="0" applyFont="1" applyBorder="1"/>
    <xf numFmtId="164" fontId="3" fillId="0" borderId="18" xfId="2" applyNumberFormat="1" applyFont="1" applyBorder="1"/>
    <xf numFmtId="0" fontId="7" fillId="0" borderId="22" xfId="0" applyFont="1" applyBorder="1"/>
    <xf numFmtId="0" fontId="3" fillId="0" borderId="22" xfId="0" applyFont="1" applyBorder="1"/>
    <xf numFmtId="0" fontId="3" fillId="0" borderId="22" xfId="0" applyFont="1" applyFill="1" applyBorder="1"/>
    <xf numFmtId="165" fontId="3" fillId="0" borderId="22" xfId="0" applyNumberFormat="1" applyFont="1" applyBorder="1"/>
    <xf numFmtId="164" fontId="3" fillId="0" borderId="22" xfId="2" applyNumberFormat="1" applyFont="1" applyBorder="1"/>
    <xf numFmtId="0" fontId="8" fillId="0" borderId="0" xfId="0" applyFont="1"/>
    <xf numFmtId="0" fontId="8" fillId="0" borderId="0" xfId="0" applyFont="1" applyFill="1"/>
    <xf numFmtId="0" fontId="8" fillId="0" borderId="0" xfId="0" applyFont="1" applyAlignment="1">
      <alignment horizontal="center"/>
    </xf>
    <xf numFmtId="164" fontId="0" fillId="0" borderId="0" xfId="0" applyNumberFormat="1"/>
    <xf numFmtId="166" fontId="8" fillId="0" borderId="0" xfId="0" applyNumberFormat="1" applyFont="1" applyFill="1"/>
    <xf numFmtId="165" fontId="8" fillId="0" borderId="0" xfId="0" applyNumberFormat="1" applyFont="1"/>
    <xf numFmtId="164" fontId="3" fillId="0" borderId="0" xfId="2" applyNumberFormat="1" applyFont="1" applyBorder="1"/>
    <xf numFmtId="165" fontId="8" fillId="0" borderId="18" xfId="0" applyNumberFormat="1" applyFont="1" applyBorder="1"/>
    <xf numFmtId="164" fontId="8" fillId="0" borderId="0" xfId="2" applyNumberFormat="1" applyFont="1"/>
    <xf numFmtId="165" fontId="8" fillId="0" borderId="23" xfId="0" applyNumberFormat="1" applyFont="1" applyBorder="1"/>
    <xf numFmtId="165" fontId="0" fillId="0" borderId="0" xfId="1" applyNumberFormat="1" applyFont="1"/>
    <xf numFmtId="0" fontId="10" fillId="3" borderId="0" xfId="0" applyFont="1" applyFill="1"/>
    <xf numFmtId="0" fontId="10" fillId="4" borderId="0" xfId="0" applyNumberFormat="1" applyFont="1" applyFill="1" applyBorder="1" applyAlignment="1" applyProtection="1"/>
    <xf numFmtId="0" fontId="10" fillId="5" borderId="0" xfId="0" applyFont="1" applyFill="1"/>
    <xf numFmtId="14" fontId="10" fillId="3" borderId="0" xfId="0" applyNumberFormat="1" applyFont="1" applyFill="1"/>
    <xf numFmtId="0" fontId="10" fillId="0" borderId="0" xfId="0" applyFont="1"/>
    <xf numFmtId="0" fontId="0" fillId="6" borderId="0" xfId="0" applyFill="1"/>
    <xf numFmtId="0" fontId="0" fillId="3" borderId="0" xfId="0" applyFill="1"/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10" fillId="0" borderId="0" xfId="0" applyFont="1" applyAlignment="1"/>
    <xf numFmtId="0" fontId="10" fillId="7" borderId="0" xfId="0" applyFont="1" applyFill="1"/>
    <xf numFmtId="1" fontId="10" fillId="4" borderId="0" xfId="0" applyNumberFormat="1" applyFont="1" applyFill="1" applyBorder="1" applyAlignment="1" applyProtection="1"/>
    <xf numFmtId="1" fontId="10" fillId="5" borderId="0" xfId="0" applyNumberFormat="1" applyFont="1" applyFill="1" applyBorder="1" applyAlignment="1" applyProtection="1"/>
    <xf numFmtId="0" fontId="12" fillId="0" borderId="0" xfId="0" applyFont="1"/>
    <xf numFmtId="2" fontId="0" fillId="0" borderId="0" xfId="0" applyNumberFormat="1"/>
    <xf numFmtId="167" fontId="0" fillId="0" borderId="0" xfId="0" applyNumberFormat="1"/>
    <xf numFmtId="0" fontId="10" fillId="0" borderId="0" xfId="0" applyFont="1" applyFill="1"/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5" fontId="13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0" fillId="0" borderId="0" xfId="0" applyBorder="1"/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WEATHER%20DATA\Weather%20Normalization\2016\WA%2065%20HDD%20NOAA\2016-12%20WA%20Weather%20Normalization%2065%20HDD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D Sum "/>
      <sheetName val="Mo Backcast "/>
      <sheetName val="FOR 2012 PGA"/>
      <sheetName val="Historic Data"/>
      <sheetName val="Bell-03"/>
      <sheetName val="Brem-03"/>
      <sheetName val="Walla-03"/>
      <sheetName val="Yak-03"/>
      <sheetName val="Bell-04"/>
      <sheetName val="Brem-04"/>
      <sheetName val="Walla-04"/>
      <sheetName val="Yak-04"/>
      <sheetName val="Bend-01"/>
      <sheetName val="Baker Ont-01"/>
      <sheetName val="Pend-01"/>
      <sheetName val="Bend-04 11 cl2"/>
      <sheetName val="Baker Ont-04 11 cl2"/>
      <sheetName val="Pend-04 11 cl2"/>
    </sheetNames>
    <sheetDataSet>
      <sheetData sheetId="0" refreshError="1"/>
      <sheetData sheetId="1" refreshError="1"/>
      <sheetData sheetId="2"/>
      <sheetData sheetId="3" refreshError="1"/>
      <sheetData sheetId="4">
        <row r="3">
          <cell r="K3">
            <v>42736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6"/>
  <sheetViews>
    <sheetView workbookViewId="0">
      <selection activeCell="M1" sqref="A1:XFD1"/>
    </sheetView>
  </sheetViews>
  <sheetFormatPr defaultRowHeight="15" x14ac:dyDescent="0.25"/>
  <cols>
    <col min="1" max="1" width="98.7109375" customWidth="1"/>
    <col min="2" max="2" width="29.42578125" customWidth="1"/>
  </cols>
  <sheetData>
    <row r="1" spans="1:1" ht="15.75" x14ac:dyDescent="0.25">
      <c r="A1" s="80" t="s">
        <v>60</v>
      </c>
    </row>
    <row r="2" spans="1:1" ht="15.75" x14ac:dyDescent="0.25">
      <c r="A2" s="80" t="s">
        <v>55</v>
      </c>
    </row>
    <row r="3" spans="1:1" ht="15.75" x14ac:dyDescent="0.25">
      <c r="A3" s="80" t="s">
        <v>56</v>
      </c>
    </row>
    <row r="4" spans="1:1" ht="15.75" x14ac:dyDescent="0.25">
      <c r="A4" s="81"/>
    </row>
    <row r="5" spans="1:1" ht="15.75" x14ac:dyDescent="0.25">
      <c r="A5" s="82"/>
    </row>
    <row r="6" spans="1:1" ht="15.75" x14ac:dyDescent="0.25">
      <c r="A6" s="82"/>
    </row>
    <row r="7" spans="1:1" ht="15.75" x14ac:dyDescent="0.25">
      <c r="A7" s="82"/>
    </row>
    <row r="8" spans="1:1" ht="15.75" x14ac:dyDescent="0.25">
      <c r="A8" s="82" t="s">
        <v>57</v>
      </c>
    </row>
    <row r="9" spans="1:1" ht="15.75" x14ac:dyDescent="0.25">
      <c r="A9" s="82"/>
    </row>
    <row r="10" spans="1:1" ht="15.75" x14ac:dyDescent="0.25">
      <c r="A10" s="82"/>
    </row>
    <row r="11" spans="1:1" ht="15.75" x14ac:dyDescent="0.25">
      <c r="A11" s="82"/>
    </row>
    <row r="12" spans="1:1" ht="15.75" x14ac:dyDescent="0.25">
      <c r="A12" s="82"/>
    </row>
    <row r="13" spans="1:1" ht="15.75" x14ac:dyDescent="0.25">
      <c r="A13" s="82"/>
    </row>
    <row r="14" spans="1:1" ht="15.75" x14ac:dyDescent="0.25">
      <c r="A14" s="82"/>
    </row>
    <row r="15" spans="1:1" ht="15.75" x14ac:dyDescent="0.25">
      <c r="A15" s="82"/>
    </row>
    <row r="16" spans="1:1" ht="15.75" x14ac:dyDescent="0.25">
      <c r="A16" s="83"/>
    </row>
    <row r="17" spans="1:1" ht="15.75" x14ac:dyDescent="0.25">
      <c r="A17" s="83"/>
    </row>
    <row r="18" spans="1:1" ht="15.75" x14ac:dyDescent="0.25">
      <c r="A18" s="82"/>
    </row>
    <row r="19" spans="1:1" ht="15.75" x14ac:dyDescent="0.25">
      <c r="A19" s="83" t="s">
        <v>58</v>
      </c>
    </row>
    <row r="20" spans="1:1" ht="15.75" x14ac:dyDescent="0.25">
      <c r="A20" s="83"/>
    </row>
    <row r="21" spans="1:1" ht="15.75" x14ac:dyDescent="0.25">
      <c r="A21" s="83" t="s">
        <v>59</v>
      </c>
    </row>
    <row r="22" spans="1:1" ht="15.75" x14ac:dyDescent="0.25">
      <c r="A22" s="83"/>
    </row>
    <row r="23" spans="1:1" ht="15.75" x14ac:dyDescent="0.25">
      <c r="A23" s="83"/>
    </row>
    <row r="24" spans="1:1" ht="15.75" x14ac:dyDescent="0.25">
      <c r="A24" s="84" t="s">
        <v>61</v>
      </c>
    </row>
    <row r="25" spans="1:1" ht="15.75" x14ac:dyDescent="0.25">
      <c r="A25" s="83"/>
    </row>
    <row r="26" spans="1:1" ht="15.75" x14ac:dyDescent="0.25">
      <c r="A26" s="83"/>
    </row>
    <row r="27" spans="1:1" ht="15.75" x14ac:dyDescent="0.25">
      <c r="A27" s="83"/>
    </row>
    <row r="28" spans="1:1" ht="15.75" x14ac:dyDescent="0.25">
      <c r="A28" s="83"/>
    </row>
    <row r="29" spans="1:1" ht="15.75" x14ac:dyDescent="0.25">
      <c r="A29" s="83"/>
    </row>
    <row r="30" spans="1:1" ht="15.75" x14ac:dyDescent="0.25">
      <c r="A30" s="85">
        <v>42978</v>
      </c>
    </row>
    <row r="31" spans="1:1" x14ac:dyDescent="0.25">
      <c r="A31" s="86"/>
    </row>
    <row r="32" spans="1:1" x14ac:dyDescent="0.25">
      <c r="A32" s="87"/>
    </row>
    <row r="33" spans="1:1" x14ac:dyDescent="0.25">
      <c r="A33" s="87"/>
    </row>
    <row r="34" spans="1:1" x14ac:dyDescent="0.25">
      <c r="A34" s="87"/>
    </row>
    <row r="35" spans="1:1" x14ac:dyDescent="0.25">
      <c r="A35" s="87"/>
    </row>
    <row r="36" spans="1:1" x14ac:dyDescent="0.25">
      <c r="A36" s="87"/>
    </row>
  </sheetData>
  <printOptions horizont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B1:J54"/>
  <sheetViews>
    <sheetView view="pageBreakPreview" zoomScale="90" zoomScaleNormal="90" zoomScaleSheetLayoutView="90" workbookViewId="0">
      <selection activeCell="M1" sqref="A1:XFD1"/>
    </sheetView>
  </sheetViews>
  <sheetFormatPr defaultRowHeight="15" x14ac:dyDescent="0.25"/>
  <cols>
    <col min="1" max="1" width="1" customWidth="1"/>
    <col min="2" max="3" width="1.5703125" bestFit="1" customWidth="1"/>
    <col min="4" max="4" width="9.28515625" bestFit="1" customWidth="1"/>
    <col min="5" max="5" width="30.42578125" bestFit="1" customWidth="1"/>
    <col min="6" max="6" width="14.140625" customWidth="1"/>
    <col min="7" max="7" width="11.7109375" bestFit="1" customWidth="1"/>
    <col min="8" max="8" width="12.5703125" bestFit="1" customWidth="1"/>
    <col min="9" max="9" width="13.28515625" style="2" bestFit="1" customWidth="1"/>
    <col min="10" max="10" width="1.5703125" bestFit="1" customWidth="1"/>
    <col min="11" max="11" width="10.5703125" customWidth="1"/>
  </cols>
  <sheetData>
    <row r="1" spans="2:10" ht="15" customHeight="1" x14ac:dyDescent="0.25">
      <c r="B1" t="s">
        <v>0</v>
      </c>
    </row>
    <row r="2" spans="2:10" ht="12.75" customHeight="1" x14ac:dyDescent="0.25">
      <c r="C2" s="7" t="s">
        <v>0</v>
      </c>
      <c r="D2" s="7"/>
      <c r="E2" s="7"/>
      <c r="F2" s="7"/>
      <c r="G2" s="7"/>
      <c r="H2" s="7"/>
      <c r="I2" s="7"/>
      <c r="J2" s="7" t="s">
        <v>0</v>
      </c>
    </row>
    <row r="3" spans="2:10" x14ac:dyDescent="0.25">
      <c r="C3" s="7"/>
      <c r="J3" s="7"/>
    </row>
    <row r="4" spans="2:10" x14ac:dyDescent="0.25">
      <c r="C4" s="7"/>
      <c r="D4" s="17" t="s">
        <v>6</v>
      </c>
      <c r="E4" s="18"/>
      <c r="F4" s="18"/>
      <c r="G4" s="18"/>
      <c r="H4" s="18"/>
      <c r="I4" s="19"/>
      <c r="J4" s="7"/>
    </row>
    <row r="5" spans="2:10" x14ac:dyDescent="0.25">
      <c r="C5" s="7"/>
      <c r="D5" s="24" t="s">
        <v>9</v>
      </c>
      <c r="E5" s="25"/>
      <c r="F5" s="25"/>
      <c r="G5" s="25"/>
      <c r="H5" s="25"/>
      <c r="I5" s="26"/>
      <c r="J5" s="7"/>
    </row>
    <row r="6" spans="2:10" x14ac:dyDescent="0.25">
      <c r="C6" s="7"/>
      <c r="D6" s="24" t="s">
        <v>62</v>
      </c>
      <c r="E6" s="25"/>
      <c r="F6" s="25"/>
      <c r="G6" s="25"/>
      <c r="H6" s="25"/>
      <c r="I6" s="26"/>
      <c r="J6" s="7"/>
    </row>
    <row r="7" spans="2:10" x14ac:dyDescent="0.25">
      <c r="C7" s="7"/>
      <c r="D7" s="24" t="s">
        <v>10</v>
      </c>
      <c r="E7" s="25"/>
      <c r="F7" s="25"/>
      <c r="G7" s="25"/>
      <c r="H7" s="25"/>
      <c r="I7" s="26"/>
      <c r="J7" s="7"/>
    </row>
    <row r="8" spans="2:10" x14ac:dyDescent="0.25">
      <c r="C8" s="7"/>
      <c r="D8" s="12"/>
      <c r="E8" s="12"/>
      <c r="F8" s="12"/>
      <c r="G8" s="31"/>
      <c r="H8" s="12"/>
      <c r="I8" s="32"/>
      <c r="J8" s="7"/>
    </row>
    <row r="9" spans="2:10" x14ac:dyDescent="0.25">
      <c r="C9" s="7"/>
      <c r="D9" s="33" t="s">
        <v>11</v>
      </c>
      <c r="E9" s="34" t="s">
        <v>12</v>
      </c>
      <c r="F9" s="34"/>
      <c r="G9" s="31"/>
      <c r="H9" s="35" t="s">
        <v>13</v>
      </c>
      <c r="I9" s="36" t="s">
        <v>14</v>
      </c>
      <c r="J9" s="7"/>
    </row>
    <row r="10" spans="2:10" x14ac:dyDescent="0.25">
      <c r="C10" s="7"/>
      <c r="D10" s="12"/>
      <c r="E10" s="12"/>
      <c r="F10" s="12"/>
      <c r="G10" s="31"/>
      <c r="H10" s="12"/>
      <c r="I10" s="32"/>
      <c r="J10" s="7"/>
    </row>
    <row r="11" spans="2:10" x14ac:dyDescent="0.25">
      <c r="C11" s="7"/>
      <c r="D11" s="37"/>
      <c r="E11" s="33" t="s">
        <v>15</v>
      </c>
      <c r="F11" s="38"/>
      <c r="G11" s="31"/>
      <c r="H11" s="12"/>
      <c r="I11" s="32"/>
      <c r="J11" s="7"/>
    </row>
    <row r="12" spans="2:10" x14ac:dyDescent="0.25">
      <c r="C12" s="7"/>
      <c r="D12" s="12"/>
      <c r="E12" s="12" t="s">
        <v>16</v>
      </c>
      <c r="F12" s="12"/>
      <c r="G12" s="31"/>
      <c r="H12" s="12"/>
      <c r="I12" s="32"/>
      <c r="J12" s="7"/>
    </row>
    <row r="13" spans="2:10" x14ac:dyDescent="0.25">
      <c r="C13" s="7"/>
      <c r="D13" s="37">
        <v>1</v>
      </c>
      <c r="E13" s="12" t="s">
        <v>17</v>
      </c>
      <c r="F13" s="12"/>
      <c r="G13" s="31"/>
      <c r="H13" s="39">
        <f>F54</f>
        <v>13019732.677799998</v>
      </c>
      <c r="I13" s="32"/>
      <c r="J13" s="7"/>
    </row>
    <row r="14" spans="2:10" x14ac:dyDescent="0.25">
      <c r="C14" s="7"/>
      <c r="D14" s="12"/>
      <c r="E14" s="12"/>
      <c r="F14" s="12"/>
      <c r="G14" s="31"/>
      <c r="H14" s="12"/>
      <c r="I14" s="32"/>
      <c r="J14" s="7"/>
    </row>
    <row r="15" spans="2:10" x14ac:dyDescent="0.25">
      <c r="C15" s="7"/>
      <c r="D15" s="37">
        <v>2</v>
      </c>
      <c r="E15" s="12" t="s">
        <v>19</v>
      </c>
      <c r="F15" s="12"/>
      <c r="G15" s="40">
        <v>0.81515999999999988</v>
      </c>
      <c r="H15" s="12"/>
      <c r="I15" s="32">
        <f>ROUND(H13*G15,2)</f>
        <v>10613165.289999999</v>
      </c>
      <c r="J15" s="7"/>
    </row>
    <row r="16" spans="2:10" x14ac:dyDescent="0.25">
      <c r="C16" s="7"/>
      <c r="D16" s="12"/>
      <c r="E16" s="12"/>
      <c r="F16" s="12"/>
      <c r="G16" s="31"/>
      <c r="H16" s="12"/>
      <c r="I16" s="32"/>
      <c r="J16" s="7"/>
    </row>
    <row r="17" spans="2:10" x14ac:dyDescent="0.25">
      <c r="C17" s="7"/>
      <c r="D17" s="12"/>
      <c r="E17" s="33" t="s">
        <v>21</v>
      </c>
      <c r="F17" s="12"/>
      <c r="G17" s="31"/>
      <c r="H17" s="12"/>
      <c r="I17" s="32"/>
      <c r="J17" s="7"/>
    </row>
    <row r="18" spans="2:10" x14ac:dyDescent="0.25">
      <c r="B18" s="44"/>
      <c r="C18" s="7"/>
      <c r="D18" s="12"/>
      <c r="E18" s="12" t="s">
        <v>22</v>
      </c>
      <c r="F18" s="12"/>
      <c r="G18" s="31"/>
      <c r="H18" s="12"/>
      <c r="I18" s="32"/>
      <c r="J18" s="7"/>
    </row>
    <row r="19" spans="2:10" x14ac:dyDescent="0.25">
      <c r="C19" s="7"/>
      <c r="D19" s="37">
        <v>3</v>
      </c>
      <c r="E19" s="12" t="s">
        <v>17</v>
      </c>
      <c r="F19" s="12"/>
      <c r="G19" s="31"/>
      <c r="H19" s="39">
        <f>G54</f>
        <v>6279286.4807500001</v>
      </c>
      <c r="I19" s="32"/>
      <c r="J19" s="7"/>
    </row>
    <row r="20" spans="2:10" ht="14.25" customHeight="1" x14ac:dyDescent="0.25">
      <c r="C20" s="7"/>
      <c r="D20" s="12"/>
      <c r="E20" s="12"/>
      <c r="F20" s="12"/>
      <c r="G20" s="31"/>
      <c r="H20" s="12"/>
      <c r="I20" s="32"/>
      <c r="J20" s="7"/>
    </row>
    <row r="21" spans="2:10" x14ac:dyDescent="0.25">
      <c r="C21" s="7"/>
      <c r="D21" s="37">
        <v>4</v>
      </c>
      <c r="E21" s="12" t="s">
        <v>19</v>
      </c>
      <c r="F21" s="12"/>
      <c r="G21" s="40">
        <v>0.7815700000000001</v>
      </c>
      <c r="H21" s="45"/>
      <c r="I21" s="46">
        <f>ROUND(H19*G21,2)</f>
        <v>4907701.93</v>
      </c>
      <c r="J21" s="7"/>
    </row>
    <row r="22" spans="2:10" x14ac:dyDescent="0.25">
      <c r="C22" s="7"/>
      <c r="D22" s="12"/>
      <c r="E22" s="12"/>
      <c r="F22" s="12"/>
      <c r="G22" s="31"/>
      <c r="H22" s="12"/>
      <c r="I22" s="32"/>
      <c r="J22" s="7"/>
    </row>
    <row r="23" spans="2:10" ht="15.75" thickBot="1" x14ac:dyDescent="0.3">
      <c r="B23" s="1"/>
      <c r="C23" s="7"/>
      <c r="D23" s="37">
        <v>5</v>
      </c>
      <c r="E23" s="47" t="s">
        <v>18</v>
      </c>
      <c r="F23" s="48"/>
      <c r="G23" s="49"/>
      <c r="H23" s="50">
        <f>SUM(H13,H19)</f>
        <v>19299019.158549998</v>
      </c>
      <c r="I23" s="51">
        <f>SUM(I15,I21)</f>
        <v>15520867.219999999</v>
      </c>
      <c r="J23" s="7"/>
    </row>
    <row r="24" spans="2:10" ht="15.75" thickTop="1" x14ac:dyDescent="0.25">
      <c r="B24" s="1"/>
      <c r="C24" s="7"/>
      <c r="D24" s="12"/>
      <c r="E24" s="12"/>
      <c r="F24" s="12"/>
      <c r="G24" s="31"/>
      <c r="H24" s="12"/>
      <c r="I24" s="32"/>
      <c r="J24" s="7"/>
    </row>
    <row r="25" spans="2:10" x14ac:dyDescent="0.25">
      <c r="B25" s="1"/>
      <c r="C25" s="7"/>
      <c r="D25" s="12"/>
      <c r="E25" s="33" t="s">
        <v>20</v>
      </c>
      <c r="F25" s="12"/>
      <c r="G25" s="31"/>
      <c r="H25" s="12"/>
      <c r="I25" s="32"/>
      <c r="J25" s="7"/>
    </row>
    <row r="26" spans="2:10" x14ac:dyDescent="0.25">
      <c r="C26" s="7"/>
      <c r="D26" s="12"/>
      <c r="E26" s="12"/>
      <c r="F26" s="12"/>
      <c r="G26" s="31"/>
      <c r="H26" s="12"/>
      <c r="I26" s="32"/>
      <c r="J26" s="7"/>
    </row>
    <row r="27" spans="2:10" x14ac:dyDescent="0.25">
      <c r="C27" s="7"/>
      <c r="D27" s="37">
        <v>6</v>
      </c>
      <c r="E27" s="52" t="s">
        <v>23</v>
      </c>
      <c r="F27" s="52"/>
      <c r="G27" s="53"/>
      <c r="H27" s="52"/>
      <c r="I27" s="32"/>
      <c r="J27" s="7"/>
    </row>
    <row r="28" spans="2:10" x14ac:dyDescent="0.25">
      <c r="B28" s="55"/>
      <c r="C28" s="7"/>
      <c r="D28" s="37"/>
      <c r="E28" s="52" t="s">
        <v>24</v>
      </c>
      <c r="F28" s="52"/>
      <c r="G28" s="56">
        <v>0.55267999999999995</v>
      </c>
      <c r="H28" s="57">
        <f>H13</f>
        <v>13019732.677799998</v>
      </c>
      <c r="I28" s="58">
        <f>ROUND(G28*H28,2)</f>
        <v>7195745.8600000003</v>
      </c>
      <c r="J28" s="7"/>
    </row>
    <row r="29" spans="2:10" x14ac:dyDescent="0.25">
      <c r="C29" s="7"/>
      <c r="D29" s="12"/>
      <c r="E29" s="52"/>
      <c r="F29" s="52"/>
      <c r="G29" s="53"/>
      <c r="H29" s="52"/>
      <c r="I29" s="58"/>
      <c r="J29" s="7"/>
    </row>
    <row r="30" spans="2:10" x14ac:dyDescent="0.25">
      <c r="C30" s="7"/>
      <c r="D30" s="37">
        <v>7</v>
      </c>
      <c r="E30" s="52" t="s">
        <v>25</v>
      </c>
      <c r="F30" s="52"/>
      <c r="G30" s="53"/>
      <c r="H30" s="52"/>
      <c r="I30" s="58"/>
      <c r="J30" s="7"/>
    </row>
    <row r="31" spans="2:10" x14ac:dyDescent="0.25">
      <c r="C31" s="7"/>
      <c r="D31" s="37"/>
      <c r="E31" s="52" t="s">
        <v>24</v>
      </c>
      <c r="F31" s="52"/>
      <c r="G31" s="56">
        <v>0.54978000000000005</v>
      </c>
      <c r="H31" s="59">
        <f>H19</f>
        <v>6279286.4807500001</v>
      </c>
      <c r="I31" s="46">
        <f>ROUND(G31*H31,2)</f>
        <v>3452226.12</v>
      </c>
      <c r="J31" s="7"/>
    </row>
    <row r="32" spans="2:10" x14ac:dyDescent="0.25">
      <c r="C32" s="7"/>
      <c r="D32" s="52"/>
      <c r="E32" s="52"/>
      <c r="F32" s="52"/>
      <c r="G32" s="53"/>
      <c r="H32" s="52"/>
      <c r="I32" s="60"/>
      <c r="J32" s="7"/>
    </row>
    <row r="33" spans="3:10" ht="15.75" thickBot="1" x14ac:dyDescent="0.3">
      <c r="C33" s="7"/>
      <c r="D33" s="54">
        <v>8</v>
      </c>
      <c r="E33" s="52" t="s">
        <v>18</v>
      </c>
      <c r="F33" s="52"/>
      <c r="G33" s="52"/>
      <c r="H33" s="61">
        <f>SUM(H28,H31)</f>
        <v>19299019.158549998</v>
      </c>
      <c r="I33" s="61">
        <f>SUM(I28,I31)</f>
        <v>10647971.98</v>
      </c>
      <c r="J33" s="7"/>
    </row>
    <row r="34" spans="3:10" ht="15.75" thickTop="1" x14ac:dyDescent="0.25">
      <c r="C34" s="7"/>
      <c r="J34" s="7"/>
    </row>
    <row r="35" spans="3:10" x14ac:dyDescent="0.25">
      <c r="C35" s="7"/>
      <c r="D35" s="7"/>
      <c r="E35" s="7"/>
      <c r="F35" s="7"/>
      <c r="G35" s="7"/>
      <c r="H35" s="7"/>
      <c r="I35" s="7"/>
      <c r="J35" s="7"/>
    </row>
    <row r="37" spans="3:10" ht="15.75" thickBot="1" x14ac:dyDescent="0.3"/>
    <row r="38" spans="3:10" x14ac:dyDescent="0.25">
      <c r="E38" s="4" t="s">
        <v>1</v>
      </c>
      <c r="F38" s="5"/>
      <c r="G38" s="5"/>
      <c r="H38" s="6"/>
    </row>
    <row r="39" spans="3:10" ht="14.25" customHeight="1" x14ac:dyDescent="0.25">
      <c r="E39" s="10"/>
      <c r="F39" s="11" t="s">
        <v>2</v>
      </c>
      <c r="G39" s="8" t="s">
        <v>3</v>
      </c>
      <c r="H39" s="9"/>
    </row>
    <row r="40" spans="3:10" x14ac:dyDescent="0.25">
      <c r="E40" s="15"/>
      <c r="F40" s="16" t="s">
        <v>4</v>
      </c>
      <c r="G40" s="13" t="s">
        <v>4</v>
      </c>
      <c r="H40" s="14" t="s">
        <v>5</v>
      </c>
    </row>
    <row r="41" spans="3:10" x14ac:dyDescent="0.25">
      <c r="E41" s="22" t="s">
        <v>7</v>
      </c>
      <c r="F41" s="23" t="s">
        <v>8</v>
      </c>
      <c r="G41" s="20" t="s">
        <v>8</v>
      </c>
      <c r="H41" s="21" t="s">
        <v>8</v>
      </c>
    </row>
    <row r="42" spans="3:10" x14ac:dyDescent="0.25">
      <c r="E42" s="27">
        <f>Data!A1</f>
        <v>42370</v>
      </c>
      <c r="F42" s="28">
        <f>SUM('503 - 65'!Z19:AC19)</f>
        <v>1165987.6358999996</v>
      </c>
      <c r="G42" s="28">
        <f>SUM('504 - 65'!Z19:AC19)</f>
        <v>717044.40894999984</v>
      </c>
      <c r="H42" s="29">
        <f>SUM(F42:G42)</f>
        <v>1883032.0448499995</v>
      </c>
    </row>
    <row r="43" spans="3:10" x14ac:dyDescent="0.25">
      <c r="E43" s="30">
        <f>DATE(YEAR(E42),MONTH(E42)+1,1)</f>
        <v>42401</v>
      </c>
      <c r="F43" s="28">
        <f>SUM('503 - 65'!Z20:AC20)</f>
        <v>2584519.34675</v>
      </c>
      <c r="G43" s="28">
        <f>SUM('504 - 65'!Z20:AC20)</f>
        <v>1556369.5418500002</v>
      </c>
      <c r="H43" s="29">
        <f t="shared" ref="H43:H53" si="0">SUM(F43:G43)</f>
        <v>4140888.8886000002</v>
      </c>
    </row>
    <row r="44" spans="3:10" x14ac:dyDescent="0.25">
      <c r="E44" s="30">
        <f t="shared" ref="E44:E53" si="1">DATE(YEAR(E43),MONTH(E43)+1,1)</f>
        <v>42430</v>
      </c>
      <c r="F44" s="28">
        <f>SUM('503 - 65'!Z21:AC21)</f>
        <v>1867248.2142999996</v>
      </c>
      <c r="G44" s="28">
        <f>SUM('504 - 65'!Z21:AC21)</f>
        <v>912413.14394999971</v>
      </c>
      <c r="H44" s="29">
        <f t="shared" si="0"/>
        <v>2779661.3582499996</v>
      </c>
    </row>
    <row r="45" spans="3:10" x14ac:dyDescent="0.25">
      <c r="E45" s="30">
        <f t="shared" si="1"/>
        <v>42461</v>
      </c>
      <c r="F45" s="28">
        <f>SUM('503 - 65'!Z22:AC22)</f>
        <v>2494378.7973000002</v>
      </c>
      <c r="G45" s="28">
        <f>SUM('504 - 65'!Z22:AC22)</f>
        <v>1132796.2998500001</v>
      </c>
      <c r="H45" s="29">
        <f t="shared" si="0"/>
        <v>3627175.0971500003</v>
      </c>
    </row>
    <row r="46" spans="3:10" x14ac:dyDescent="0.25">
      <c r="E46" s="30">
        <f t="shared" si="1"/>
        <v>42491</v>
      </c>
      <c r="F46" s="28">
        <f>SUM('503 - 65'!Z23:AC23)</f>
        <v>1062689.0031000001</v>
      </c>
      <c r="G46" s="28">
        <f>SUM('504 - 65'!Z23:AC23)</f>
        <v>386081.89659999998</v>
      </c>
      <c r="H46" s="29">
        <f t="shared" si="0"/>
        <v>1448770.8997</v>
      </c>
    </row>
    <row r="47" spans="3:10" x14ac:dyDescent="0.25">
      <c r="E47" s="30">
        <f t="shared" si="1"/>
        <v>42522</v>
      </c>
      <c r="F47" s="28">
        <f>SUM('503 - 65'!Z24:AC24)</f>
        <v>273840.41680000001</v>
      </c>
      <c r="G47" s="28">
        <f>SUM('504 - 65'!Z24:AC24)</f>
        <v>0</v>
      </c>
      <c r="H47" s="29">
        <f t="shared" si="0"/>
        <v>273840.41680000001</v>
      </c>
    </row>
    <row r="48" spans="3:10" x14ac:dyDescent="0.25">
      <c r="E48" s="30">
        <f t="shared" si="1"/>
        <v>42552</v>
      </c>
      <c r="F48" s="28">
        <f>SUM('503 - 65'!Z25:AC25)</f>
        <v>327563.83140000002</v>
      </c>
      <c r="G48" s="28">
        <f>SUM('504 - 65'!Z25:AC25)</f>
        <v>0</v>
      </c>
      <c r="H48" s="29">
        <f t="shared" si="0"/>
        <v>327563.83140000002</v>
      </c>
    </row>
    <row r="49" spans="5:8" x14ac:dyDescent="0.25">
      <c r="E49" s="30">
        <f t="shared" si="1"/>
        <v>42583</v>
      </c>
      <c r="F49" s="28">
        <f>SUM('503 - 65'!Z26:AC26)</f>
        <v>399085.65240000002</v>
      </c>
      <c r="G49" s="28">
        <f>SUM('504 - 65'!Z26:AC26)</f>
        <v>0</v>
      </c>
      <c r="H49" s="29">
        <f t="shared" si="0"/>
        <v>399085.65240000002</v>
      </c>
    </row>
    <row r="50" spans="5:8" x14ac:dyDescent="0.25">
      <c r="E50" s="30">
        <f t="shared" si="1"/>
        <v>42614</v>
      </c>
      <c r="F50" s="28">
        <f>SUM('503 - 65'!Z27:AC27)</f>
        <v>123671.77859999999</v>
      </c>
      <c r="G50" s="28">
        <f>SUM('504 - 65'!Z27:AC27)</f>
        <v>137828.83695</v>
      </c>
      <c r="H50" s="29">
        <f t="shared" si="0"/>
        <v>261500.61554999999</v>
      </c>
    </row>
    <row r="51" spans="5:8" x14ac:dyDescent="0.25">
      <c r="E51" s="30">
        <f t="shared" si="1"/>
        <v>42644</v>
      </c>
      <c r="F51" s="28">
        <f>SUM('503 - 65'!Z28:AC28)</f>
        <v>1046029.3800500003</v>
      </c>
      <c r="G51" s="28">
        <f>SUM('504 - 65'!Z28:AC28)</f>
        <v>556479.82650000008</v>
      </c>
      <c r="H51" s="29">
        <f t="shared" si="0"/>
        <v>1602509.2065500002</v>
      </c>
    </row>
    <row r="52" spans="5:8" x14ac:dyDescent="0.25">
      <c r="E52" s="30">
        <f t="shared" si="1"/>
        <v>42675</v>
      </c>
      <c r="F52" s="28">
        <f>SUM('503 - 65'!Z29:AC29)</f>
        <v>4152900.0063</v>
      </c>
      <c r="G52" s="28">
        <f>SUM('504 - 65'!Z29:AC29)</f>
        <v>2186023.3815000001</v>
      </c>
      <c r="H52" s="29">
        <f t="shared" si="0"/>
        <v>6338923.3878000006</v>
      </c>
    </row>
    <row r="53" spans="5:8" x14ac:dyDescent="0.25">
      <c r="E53" s="30">
        <f t="shared" si="1"/>
        <v>42705</v>
      </c>
      <c r="F53" s="28">
        <f>SUM('503 - 65'!Z30:AC30)</f>
        <v>-2478181.385100001</v>
      </c>
      <c r="G53" s="28">
        <f>SUM('504 - 65'!Z30:AC30)</f>
        <v>-1305750.8554000002</v>
      </c>
      <c r="H53" s="29">
        <f t="shared" si="0"/>
        <v>-3783932.2405000012</v>
      </c>
    </row>
    <row r="54" spans="5:8" ht="15.75" thickBot="1" x14ac:dyDescent="0.3">
      <c r="E54" s="41" t="s">
        <v>5</v>
      </c>
      <c r="F54" s="42">
        <f>SUM(F42:F53)</f>
        <v>13019732.677799998</v>
      </c>
      <c r="G54" s="42">
        <f>SUM(G42:G53)</f>
        <v>6279286.4807500001</v>
      </c>
      <c r="H54" s="43">
        <f>SUM(H42:H53)</f>
        <v>19299019.158549994</v>
      </c>
    </row>
  </sheetData>
  <printOptions horizontalCentered="1"/>
  <pageMargins left="0.7" right="0.7" top="0.75" bottom="0.75" header="0.3" footer="0.3"/>
  <pageSetup scale="85" orientation="portrait" r:id="rId1"/>
  <headerFooter scaleWithDoc="0" alignWithMargins="0">
    <oddHeader>&amp;RExhibit No. ___ (BR-4)
Summary 65
Page &amp;P of  &amp;N</oddHeader>
  </headerFooter>
  <colBreaks count="1" manualBreakCount="1">
    <brk id="10" min="1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B1:J53"/>
  <sheetViews>
    <sheetView view="pageBreakPreview" zoomScale="90" zoomScaleNormal="100" zoomScaleSheetLayoutView="90" workbookViewId="0">
      <selection activeCell="M1" sqref="A1:XFD1"/>
    </sheetView>
  </sheetViews>
  <sheetFormatPr defaultRowHeight="15" x14ac:dyDescent="0.25"/>
  <cols>
    <col min="1" max="1" width="1" customWidth="1"/>
    <col min="2" max="3" width="1.5703125" bestFit="1" customWidth="1"/>
    <col min="4" max="4" width="9.28515625" bestFit="1" customWidth="1"/>
    <col min="5" max="5" width="30.42578125" bestFit="1" customWidth="1"/>
    <col min="6" max="6" width="14.140625" customWidth="1"/>
    <col min="7" max="7" width="11.7109375" bestFit="1" customWidth="1"/>
    <col min="8" max="8" width="12.5703125" bestFit="1" customWidth="1"/>
    <col min="9" max="9" width="13.28515625" style="2" bestFit="1" customWidth="1"/>
    <col min="10" max="10" width="1.5703125" bestFit="1" customWidth="1"/>
    <col min="11" max="11" width="10.5703125" customWidth="1"/>
  </cols>
  <sheetData>
    <row r="1" spans="2:10" ht="15" customHeight="1" x14ac:dyDescent="0.25">
      <c r="B1" t="s">
        <v>0</v>
      </c>
    </row>
    <row r="2" spans="2:10" ht="12.75" customHeight="1" x14ac:dyDescent="0.25">
      <c r="C2" s="7" t="s">
        <v>0</v>
      </c>
      <c r="D2" s="7"/>
      <c r="E2" s="7"/>
      <c r="F2" s="7"/>
      <c r="G2" s="7"/>
      <c r="H2" s="7"/>
      <c r="I2" s="7"/>
      <c r="J2" s="7" t="s">
        <v>0</v>
      </c>
    </row>
    <row r="3" spans="2:10" x14ac:dyDescent="0.25">
      <c r="C3" s="7"/>
      <c r="J3" s="7"/>
    </row>
    <row r="4" spans="2:10" x14ac:dyDescent="0.25">
      <c r="C4" s="7"/>
      <c r="D4" s="17" t="s">
        <v>6</v>
      </c>
      <c r="E4" s="18"/>
      <c r="F4" s="18"/>
      <c r="G4" s="18"/>
      <c r="H4" s="18"/>
      <c r="I4" s="19"/>
      <c r="J4" s="7"/>
    </row>
    <row r="5" spans="2:10" x14ac:dyDescent="0.25">
      <c r="C5" s="7"/>
      <c r="D5" s="24" t="s">
        <v>9</v>
      </c>
      <c r="E5" s="25"/>
      <c r="F5" s="25"/>
      <c r="G5" s="25"/>
      <c r="H5" s="25"/>
      <c r="I5" s="26"/>
      <c r="J5" s="7"/>
    </row>
    <row r="6" spans="2:10" x14ac:dyDescent="0.25">
      <c r="C6" s="7"/>
      <c r="D6" s="24" t="s">
        <v>62</v>
      </c>
      <c r="E6" s="25"/>
      <c r="F6" s="25"/>
      <c r="G6" s="25"/>
      <c r="H6" s="25"/>
      <c r="I6" s="26"/>
      <c r="J6" s="7"/>
    </row>
    <row r="7" spans="2:10" x14ac:dyDescent="0.25">
      <c r="C7" s="7"/>
      <c r="D7" s="24" t="s">
        <v>10</v>
      </c>
      <c r="E7" s="25"/>
      <c r="F7" s="25"/>
      <c r="G7" s="25"/>
      <c r="H7" s="25"/>
      <c r="I7" s="26"/>
      <c r="J7" s="7"/>
    </row>
    <row r="8" spans="2:10" x14ac:dyDescent="0.25">
      <c r="C8" s="7"/>
      <c r="D8" s="12"/>
      <c r="E8" s="12"/>
      <c r="F8" s="12"/>
      <c r="G8" s="31"/>
      <c r="H8" s="12"/>
      <c r="I8" s="32"/>
      <c r="J8" s="7"/>
    </row>
    <row r="9" spans="2:10" x14ac:dyDescent="0.25">
      <c r="C9" s="7"/>
      <c r="D9" s="33" t="s">
        <v>11</v>
      </c>
      <c r="E9" s="34" t="s">
        <v>12</v>
      </c>
      <c r="F9" s="34"/>
      <c r="G9" s="31"/>
      <c r="H9" s="35" t="s">
        <v>13</v>
      </c>
      <c r="I9" s="36" t="s">
        <v>14</v>
      </c>
      <c r="J9" s="7"/>
    </row>
    <row r="10" spans="2:10" x14ac:dyDescent="0.25">
      <c r="C10" s="7"/>
      <c r="D10" s="12"/>
      <c r="E10" s="12"/>
      <c r="F10" s="12"/>
      <c r="G10" s="31"/>
      <c r="H10" s="12"/>
      <c r="I10" s="32"/>
      <c r="J10" s="7"/>
    </row>
    <row r="11" spans="2:10" x14ac:dyDescent="0.25">
      <c r="C11" s="7"/>
      <c r="D11" s="37"/>
      <c r="E11" s="33" t="s">
        <v>15</v>
      </c>
      <c r="F11" s="38"/>
      <c r="G11" s="31"/>
      <c r="H11" s="12"/>
      <c r="I11" s="32"/>
      <c r="J11" s="7"/>
    </row>
    <row r="12" spans="2:10" x14ac:dyDescent="0.25">
      <c r="C12" s="7"/>
      <c r="D12" s="12"/>
      <c r="E12" s="12" t="s">
        <v>16</v>
      </c>
      <c r="F12" s="12"/>
      <c r="G12" s="31"/>
      <c r="H12" s="12"/>
      <c r="I12" s="32"/>
      <c r="J12" s="7"/>
    </row>
    <row r="13" spans="2:10" x14ac:dyDescent="0.25">
      <c r="C13" s="7"/>
      <c r="D13" s="37">
        <v>1</v>
      </c>
      <c r="E13" s="12" t="s">
        <v>17</v>
      </c>
      <c r="F13" s="12"/>
      <c r="G13" s="31"/>
      <c r="H13" s="39">
        <f>F53</f>
        <v>15052092.847865</v>
      </c>
      <c r="I13" s="32"/>
      <c r="J13" s="7"/>
    </row>
    <row r="14" spans="2:10" x14ac:dyDescent="0.25">
      <c r="C14" s="7"/>
      <c r="D14" s="12"/>
      <c r="E14" s="12"/>
      <c r="F14" s="12"/>
      <c r="G14" s="31"/>
      <c r="H14" s="12"/>
      <c r="I14" s="32"/>
      <c r="J14" s="7"/>
    </row>
    <row r="15" spans="2:10" x14ac:dyDescent="0.25">
      <c r="C15" s="7"/>
      <c r="D15" s="37">
        <v>2</v>
      </c>
      <c r="E15" s="12" t="s">
        <v>19</v>
      </c>
      <c r="F15" s="12"/>
      <c r="G15" s="40">
        <f>+G28+0.29484</f>
        <v>0.79052999999999995</v>
      </c>
      <c r="H15" s="12"/>
      <c r="I15" s="32">
        <f>ROUND(H13*G15,2)</f>
        <v>11899130.960000001</v>
      </c>
      <c r="J15" s="7"/>
    </row>
    <row r="16" spans="2:10" x14ac:dyDescent="0.25">
      <c r="C16" s="7"/>
      <c r="D16" s="12"/>
      <c r="E16" s="12"/>
      <c r="F16" s="12"/>
      <c r="G16" s="31"/>
      <c r="H16" s="12"/>
      <c r="I16" s="32"/>
      <c r="J16" s="7"/>
    </row>
    <row r="17" spans="2:10" x14ac:dyDescent="0.25">
      <c r="C17" s="7"/>
      <c r="D17" s="12"/>
      <c r="E17" s="33" t="s">
        <v>21</v>
      </c>
      <c r="F17" s="12"/>
      <c r="G17" s="31"/>
      <c r="H17" s="12"/>
      <c r="I17" s="32"/>
      <c r="J17" s="7"/>
    </row>
    <row r="18" spans="2:10" x14ac:dyDescent="0.25">
      <c r="B18" s="44"/>
      <c r="C18" s="7"/>
      <c r="D18" s="12"/>
      <c r="E18" s="12" t="s">
        <v>22</v>
      </c>
      <c r="F18" s="12"/>
      <c r="G18" s="31"/>
      <c r="H18" s="12"/>
      <c r="I18" s="32"/>
      <c r="J18" s="7"/>
    </row>
    <row r="19" spans="2:10" x14ac:dyDescent="0.25">
      <c r="C19" s="7"/>
      <c r="D19" s="37">
        <v>3</v>
      </c>
      <c r="E19" s="12" t="s">
        <v>17</v>
      </c>
      <c r="F19" s="12"/>
      <c r="G19" s="31"/>
      <c r="H19" s="39">
        <f>G53</f>
        <v>6136664.8569149971</v>
      </c>
      <c r="I19" s="32"/>
      <c r="J19" s="7"/>
    </row>
    <row r="20" spans="2:10" ht="14.25" customHeight="1" x14ac:dyDescent="0.25">
      <c r="C20" s="7"/>
      <c r="D20" s="12"/>
      <c r="E20" s="12"/>
      <c r="F20" s="12"/>
      <c r="G20" s="31"/>
      <c r="H20" s="12"/>
      <c r="I20" s="32"/>
      <c r="J20" s="7"/>
    </row>
    <row r="21" spans="2:10" x14ac:dyDescent="0.25">
      <c r="C21" s="7"/>
      <c r="D21" s="37">
        <v>4</v>
      </c>
      <c r="E21" s="12" t="s">
        <v>19</v>
      </c>
      <c r="F21" s="12"/>
      <c r="G21" s="40">
        <f>+G31+0.24608</f>
        <v>0.73912</v>
      </c>
      <c r="H21" s="45"/>
      <c r="I21" s="46">
        <f>ROUND(H19*G21,2)</f>
        <v>4535731.7300000004</v>
      </c>
      <c r="J21" s="7"/>
    </row>
    <row r="22" spans="2:10" x14ac:dyDescent="0.25">
      <c r="C22" s="7"/>
      <c r="D22" s="12"/>
      <c r="E22" s="12"/>
      <c r="F22" s="12"/>
      <c r="G22" s="31"/>
      <c r="H22" s="12"/>
      <c r="I22" s="32"/>
      <c r="J22" s="7"/>
    </row>
    <row r="23" spans="2:10" ht="15.75" thickBot="1" x14ac:dyDescent="0.3">
      <c r="B23" s="1"/>
      <c r="C23" s="7"/>
      <c r="D23" s="37">
        <v>5</v>
      </c>
      <c r="E23" s="47" t="s">
        <v>18</v>
      </c>
      <c r="F23" s="48"/>
      <c r="G23" s="49"/>
      <c r="H23" s="50">
        <f>SUM(H13,H19)</f>
        <v>21188757.704779997</v>
      </c>
      <c r="I23" s="51">
        <f>SUM(I15,I21)</f>
        <v>16434862.690000001</v>
      </c>
      <c r="J23" s="7"/>
    </row>
    <row r="24" spans="2:10" ht="15.75" thickTop="1" x14ac:dyDescent="0.25">
      <c r="B24" s="1"/>
      <c r="C24" s="7"/>
      <c r="D24" s="12"/>
      <c r="E24" s="12"/>
      <c r="F24" s="12"/>
      <c r="G24" s="31"/>
      <c r="H24" s="12"/>
      <c r="I24" s="32"/>
      <c r="J24" s="7"/>
    </row>
    <row r="25" spans="2:10" x14ac:dyDescent="0.25">
      <c r="B25" s="1"/>
      <c r="C25" s="7"/>
      <c r="D25" s="12"/>
      <c r="E25" s="33" t="s">
        <v>20</v>
      </c>
      <c r="F25" s="12"/>
      <c r="G25" s="31"/>
      <c r="H25" s="12"/>
      <c r="I25" s="32"/>
      <c r="J25" s="7"/>
    </row>
    <row r="26" spans="2:10" x14ac:dyDescent="0.25">
      <c r="C26" s="7"/>
      <c r="D26" s="12"/>
      <c r="E26" s="12"/>
      <c r="F26" s="12"/>
      <c r="G26" s="31"/>
      <c r="H26" s="12"/>
      <c r="I26" s="32"/>
      <c r="J26" s="7"/>
    </row>
    <row r="27" spans="2:10" x14ac:dyDescent="0.25">
      <c r="C27" s="7"/>
      <c r="D27" s="37">
        <v>6</v>
      </c>
      <c r="E27" s="52" t="s">
        <v>23</v>
      </c>
      <c r="F27" s="52"/>
      <c r="G27" s="53"/>
      <c r="H27" s="52"/>
      <c r="I27" s="32"/>
      <c r="J27" s="7"/>
    </row>
    <row r="28" spans="2:10" x14ac:dyDescent="0.25">
      <c r="B28" s="55"/>
      <c r="C28" s="7"/>
      <c r="D28" s="37"/>
      <c r="E28" s="52" t="s">
        <v>24</v>
      </c>
      <c r="F28" s="52"/>
      <c r="G28" s="56">
        <v>0.49569000000000002</v>
      </c>
      <c r="H28" s="57">
        <f>H13</f>
        <v>15052092.847865</v>
      </c>
      <c r="I28" s="58">
        <f>ROUND(G28*H28,2)</f>
        <v>7461171.9000000004</v>
      </c>
      <c r="J28" s="7"/>
    </row>
    <row r="29" spans="2:10" x14ac:dyDescent="0.25">
      <c r="C29" s="7"/>
      <c r="D29" s="12"/>
      <c r="E29" s="52"/>
      <c r="F29" s="52"/>
      <c r="G29" s="53"/>
      <c r="H29" s="52"/>
      <c r="I29" s="58"/>
      <c r="J29" s="7"/>
    </row>
    <row r="30" spans="2:10" x14ac:dyDescent="0.25">
      <c r="C30" s="7"/>
      <c r="D30" s="37">
        <v>7</v>
      </c>
      <c r="E30" s="52" t="s">
        <v>25</v>
      </c>
      <c r="F30" s="52"/>
      <c r="G30" s="53"/>
      <c r="H30" s="52"/>
      <c r="I30" s="58"/>
      <c r="J30" s="7"/>
    </row>
    <row r="31" spans="2:10" x14ac:dyDescent="0.25">
      <c r="C31" s="7"/>
      <c r="D31" s="37"/>
      <c r="E31" s="52" t="s">
        <v>24</v>
      </c>
      <c r="F31" s="52"/>
      <c r="G31" s="56">
        <v>0.49303999999999998</v>
      </c>
      <c r="H31" s="59">
        <f>H19</f>
        <v>6136664.8569149971</v>
      </c>
      <c r="I31" s="46">
        <f>ROUND(G31*H31,2)</f>
        <v>3025621.24</v>
      </c>
      <c r="J31" s="7"/>
    </row>
    <row r="32" spans="2:10" x14ac:dyDescent="0.25">
      <c r="C32" s="7"/>
      <c r="D32" s="52"/>
      <c r="E32" s="52"/>
      <c r="F32" s="52"/>
      <c r="G32" s="53"/>
      <c r="H32" s="52"/>
      <c r="I32" s="60"/>
      <c r="J32" s="7"/>
    </row>
    <row r="33" spans="3:10" ht="15.75" thickBot="1" x14ac:dyDescent="0.3">
      <c r="C33" s="7"/>
      <c r="D33" s="54">
        <v>8</v>
      </c>
      <c r="E33" s="52" t="s">
        <v>18</v>
      </c>
      <c r="F33" s="52"/>
      <c r="G33" s="52"/>
      <c r="H33" s="61">
        <f>SUM(H28,H31)</f>
        <v>21188757.704779997</v>
      </c>
      <c r="I33" s="61">
        <f>SUM(I28,I31)</f>
        <v>10486793.140000001</v>
      </c>
      <c r="J33" s="7"/>
    </row>
    <row r="34" spans="3:10" ht="15.75" thickTop="1" x14ac:dyDescent="0.25">
      <c r="C34" s="7"/>
      <c r="J34" s="7"/>
    </row>
    <row r="35" spans="3:10" x14ac:dyDescent="0.25">
      <c r="C35" s="7"/>
      <c r="D35" s="7"/>
      <c r="E35" s="7"/>
      <c r="F35" s="7"/>
      <c r="G35" s="7"/>
      <c r="H35" s="7"/>
      <c r="I35" s="7"/>
      <c r="J35" s="7"/>
    </row>
    <row r="36" spans="3:10" ht="15.75" thickBot="1" x14ac:dyDescent="0.3"/>
    <row r="37" spans="3:10" x14ac:dyDescent="0.25">
      <c r="E37" s="4" t="s">
        <v>1</v>
      </c>
      <c r="F37" s="5"/>
      <c r="G37" s="5"/>
      <c r="H37" s="6"/>
    </row>
    <row r="38" spans="3:10" x14ac:dyDescent="0.25">
      <c r="E38" s="10"/>
      <c r="F38" s="11" t="s">
        <v>2</v>
      </c>
      <c r="G38" s="8" t="s">
        <v>3</v>
      </c>
      <c r="H38" s="9"/>
    </row>
    <row r="39" spans="3:10" ht="14.25" customHeight="1" x14ac:dyDescent="0.25">
      <c r="E39" s="15"/>
      <c r="F39" s="16" t="s">
        <v>4</v>
      </c>
      <c r="G39" s="13" t="s">
        <v>4</v>
      </c>
      <c r="H39" s="14" t="s">
        <v>5</v>
      </c>
    </row>
    <row r="40" spans="3:10" x14ac:dyDescent="0.25">
      <c r="E40" s="22" t="s">
        <v>7</v>
      </c>
      <c r="F40" s="23" t="s">
        <v>8</v>
      </c>
      <c r="G40" s="20" t="s">
        <v>8</v>
      </c>
      <c r="H40" s="21" t="s">
        <v>8</v>
      </c>
    </row>
    <row r="41" spans="3:10" x14ac:dyDescent="0.25">
      <c r="E41" s="27">
        <f>Data!A1</f>
        <v>42370</v>
      </c>
      <c r="F41" s="28">
        <f>SUM('503 - 60'!Z19:AC19)</f>
        <v>1361897.6293800005</v>
      </c>
      <c r="G41" s="28">
        <f>SUM('504 - 60'!Z20:AC20)</f>
        <v>4438452.9762699995</v>
      </c>
      <c r="H41" s="29">
        <f>SUM(F41:G41)</f>
        <v>5800350.6056500003</v>
      </c>
    </row>
    <row r="42" spans="3:10" x14ac:dyDescent="0.25">
      <c r="E42" s="30">
        <f>DATE(YEAR(E41),MONTH(E41)+1,1)</f>
        <v>42401</v>
      </c>
      <c r="F42" s="28">
        <f>SUM('503 - 60'!Z20:AC20)</f>
        <v>3209702.3319950001</v>
      </c>
      <c r="G42" s="28">
        <f>SUM('504 - 60'!Z21:AC21)</f>
        <v>2777415.2250450002</v>
      </c>
      <c r="H42" s="29">
        <f t="shared" ref="H42:H52" si="0">SUM(F42:G42)</f>
        <v>5987117.5570400003</v>
      </c>
    </row>
    <row r="43" spans="3:10" x14ac:dyDescent="0.25">
      <c r="E43" s="30">
        <f t="shared" ref="E43:E51" si="1">DATE(YEAR(E42),MONTH(E42)+1,1)</f>
        <v>42430</v>
      </c>
      <c r="F43" s="28">
        <f>SUM('503 - 60'!Z21:AC21)</f>
        <v>2297411.5624499992</v>
      </c>
      <c r="G43" s="28">
        <f>SUM('504 - 60'!Z22:AC22)</f>
        <v>3980094.3377299998</v>
      </c>
      <c r="H43" s="29">
        <f t="shared" si="0"/>
        <v>6277505.9001799989</v>
      </c>
    </row>
    <row r="44" spans="3:10" x14ac:dyDescent="0.25">
      <c r="E44" s="30">
        <f t="shared" si="1"/>
        <v>42461</v>
      </c>
      <c r="F44" s="28">
        <f>SUM('503 - 60'!Z22:AC22)</f>
        <v>2940927.4356400003</v>
      </c>
      <c r="G44" s="28">
        <f>SUM('504 - 60'!Z23:AC23)</f>
        <v>2071819.8428500001</v>
      </c>
      <c r="H44" s="29">
        <f t="shared" si="0"/>
        <v>5012747.2784900004</v>
      </c>
    </row>
    <row r="45" spans="3:10" x14ac:dyDescent="0.25">
      <c r="E45" s="30">
        <f t="shared" si="1"/>
        <v>42491</v>
      </c>
      <c r="F45" s="28">
        <f>SUM('503 - 60'!Z23:AC23)</f>
        <v>1270626.4331099999</v>
      </c>
      <c r="G45" s="28">
        <f>SUM('504 - 60'!Z24:AC24)</f>
        <v>611904.00138500007</v>
      </c>
      <c r="H45" s="29">
        <f t="shared" si="0"/>
        <v>1882530.4344949999</v>
      </c>
    </row>
    <row r="46" spans="3:10" x14ac:dyDescent="0.25">
      <c r="E46" s="30">
        <f t="shared" si="1"/>
        <v>42522</v>
      </c>
      <c r="F46" s="28">
        <f>SUM('503 - 60'!Z24:AC24)</f>
        <v>195130.58179</v>
      </c>
      <c r="G46" s="28">
        <f>SUM('504 - 60'!Z25:AC25)</f>
        <v>0</v>
      </c>
      <c r="H46" s="29">
        <f t="shared" si="0"/>
        <v>195130.58179</v>
      </c>
    </row>
    <row r="47" spans="3:10" x14ac:dyDescent="0.25">
      <c r="E47" s="30">
        <f t="shared" si="1"/>
        <v>42552</v>
      </c>
      <c r="F47" s="28">
        <f>SUM('503 - 60'!Z25:AC25)</f>
        <v>0</v>
      </c>
      <c r="G47" s="28">
        <f>SUM('504 - 60'!Z26:AC26)</f>
        <v>0</v>
      </c>
      <c r="H47" s="29">
        <f t="shared" si="0"/>
        <v>0</v>
      </c>
    </row>
    <row r="48" spans="3:10" x14ac:dyDescent="0.25">
      <c r="E48" s="30">
        <f t="shared" si="1"/>
        <v>42583</v>
      </c>
      <c r="F48" s="28">
        <f>SUM('503 - 60'!Z26:AC26)</f>
        <v>0</v>
      </c>
      <c r="G48" s="28">
        <f>SUM('504 - 60'!Z27:AC27)</f>
        <v>0</v>
      </c>
      <c r="H48" s="29">
        <f t="shared" si="0"/>
        <v>0</v>
      </c>
    </row>
    <row r="49" spans="5:8" x14ac:dyDescent="0.25">
      <c r="E49" s="30">
        <f t="shared" si="1"/>
        <v>42614</v>
      </c>
      <c r="F49" s="28">
        <f>SUM('503 - 60'!Z27:AC27)</f>
        <v>145992.80850000001</v>
      </c>
      <c r="G49" s="28">
        <f>SUM('504 - 60'!Z28:AC28)</f>
        <v>-739859.27049000002</v>
      </c>
      <c r="H49" s="29">
        <f t="shared" si="0"/>
        <v>-593866.46198999998</v>
      </c>
    </row>
    <row r="50" spans="5:8" x14ac:dyDescent="0.25">
      <c r="E50" s="30">
        <f t="shared" si="1"/>
        <v>42644</v>
      </c>
      <c r="F50" s="28">
        <f>SUM('503 - 60'!Z28:AC28)</f>
        <v>1443445.326965</v>
      </c>
      <c r="G50" s="28">
        <f>SUM('504 - 60'!Z29:AC29)</f>
        <v>-424993.66003999999</v>
      </c>
      <c r="H50" s="29">
        <f t="shared" si="0"/>
        <v>1018451.666925</v>
      </c>
    </row>
    <row r="51" spans="5:8" x14ac:dyDescent="0.25">
      <c r="E51" s="30">
        <f t="shared" si="1"/>
        <v>42675</v>
      </c>
      <c r="F51" s="28">
        <f>SUM('503 - 60'!Z29:AC29)</f>
        <v>5062248.0157150012</v>
      </c>
      <c r="G51" s="28">
        <f>SUM('504 - 60'!Z30:AC30)</f>
        <v>-4317248.1760549992</v>
      </c>
      <c r="H51" s="29">
        <f t="shared" si="0"/>
        <v>744999.83966000192</v>
      </c>
    </row>
    <row r="52" spans="5:8" x14ac:dyDescent="0.25">
      <c r="E52" s="30">
        <f>DATE(YEAR(E51),MONTH(E51)+1,1)</f>
        <v>42705</v>
      </c>
      <c r="F52" s="28">
        <f>SUM('503 - 60'!Z30:AC30)</f>
        <v>-2875289.2776800012</v>
      </c>
      <c r="G52" s="28">
        <f>SUM('504 - 60'!Z31:AC31)</f>
        <v>-2260920.4197800006</v>
      </c>
      <c r="H52" s="29">
        <f t="shared" si="0"/>
        <v>-5136209.6974600013</v>
      </c>
    </row>
    <row r="53" spans="5:8" ht="15.75" thickBot="1" x14ac:dyDescent="0.3">
      <c r="E53" s="41" t="s">
        <v>5</v>
      </c>
      <c r="F53" s="42">
        <f>SUM(F41:F52)</f>
        <v>15052092.847865</v>
      </c>
      <c r="G53" s="42">
        <f>SUM(G41:G52)</f>
        <v>6136664.8569149971</v>
      </c>
      <c r="H53" s="43">
        <f>SUM(H41:H52)</f>
        <v>21188757.704779997</v>
      </c>
    </row>
  </sheetData>
  <printOptions horizontalCentered="1"/>
  <pageMargins left="0.7" right="0.7" top="0.75" bottom="0.75" header="0.3" footer="0.3"/>
  <pageSetup scale="85" orientation="portrait" r:id="rId1"/>
  <headerFooter scaleWithDoc="0" alignWithMargins="0">
    <oddHeader>&amp;RExhibit No. ___ (BR-4)
Summary 60
Page &amp;P of  &amp;N</oddHeader>
  </headerFooter>
  <colBreaks count="1" manualBreakCount="1">
    <brk id="10" min="1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127"/>
  <sheetViews>
    <sheetView workbookViewId="0">
      <selection activeCell="M1" sqref="A1:XFD1"/>
    </sheetView>
  </sheetViews>
  <sheetFormatPr defaultColWidth="9.140625" defaultRowHeight="15" x14ac:dyDescent="0.25"/>
  <cols>
    <col min="1" max="1" width="9.42578125" style="1" bestFit="1" customWidth="1"/>
    <col min="2" max="2" width="9" style="1" bestFit="1" customWidth="1"/>
    <col min="3" max="8" width="8" style="1" bestFit="1" customWidth="1"/>
    <col min="9" max="9" width="1.42578125" style="1" customWidth="1"/>
    <col min="10" max="10" width="9.42578125" style="1" bestFit="1" customWidth="1"/>
    <col min="11" max="17" width="8" style="1" bestFit="1" customWidth="1"/>
    <col min="18" max="18" width="1.42578125" style="1" customWidth="1"/>
    <col min="19" max="19" width="9.42578125" style="1" bestFit="1" customWidth="1"/>
    <col min="20" max="22" width="6" style="1" bestFit="1" customWidth="1"/>
    <col min="23" max="23" width="6.7109375" style="1" bestFit="1" customWidth="1"/>
    <col min="24" max="24" width="6" style="1" bestFit="1" customWidth="1"/>
    <col min="25" max="25" width="5.42578125" style="1" bestFit="1" customWidth="1"/>
    <col min="26" max="26" width="6" style="1" bestFit="1" customWidth="1"/>
    <col min="27" max="27" width="1.42578125" style="1" customWidth="1"/>
    <col min="28" max="28" width="9.42578125" style="1" bestFit="1" customWidth="1"/>
    <col min="29" max="30" width="5" style="1" bestFit="1" customWidth="1"/>
    <col min="31" max="31" width="5.85546875" style="1" bestFit="1" customWidth="1"/>
    <col min="32" max="32" width="6.7109375" style="1" bestFit="1" customWidth="1"/>
    <col min="33" max="33" width="5" style="1" bestFit="1" customWidth="1"/>
    <col min="34" max="34" width="5.42578125" style="1" bestFit="1" customWidth="1"/>
    <col min="35" max="35" width="5" style="1" bestFit="1" customWidth="1"/>
    <col min="36" max="36" width="1.42578125" style="1" customWidth="1"/>
    <col min="37" max="37" width="9.42578125" style="1" bestFit="1" customWidth="1"/>
    <col min="38" max="39" width="6" style="1" bestFit="1" customWidth="1"/>
    <col min="40" max="44" width="7" style="1" bestFit="1" customWidth="1"/>
    <col min="45" max="45" width="1.42578125" style="1" customWidth="1"/>
    <col min="46" max="46" width="9.42578125" style="1" bestFit="1" customWidth="1"/>
    <col min="47" max="48" width="6" style="1" bestFit="1" customWidth="1"/>
    <col min="49" max="52" width="7" style="1" bestFit="1" customWidth="1"/>
    <col min="53" max="53" width="6" style="1" bestFit="1" customWidth="1"/>
    <col min="54" max="16384" width="9.140625" style="1"/>
  </cols>
  <sheetData>
    <row r="1" spans="1:53" customFormat="1" x14ac:dyDescent="0.25">
      <c r="A1" s="88">
        <v>42370</v>
      </c>
      <c r="B1" s="89"/>
      <c r="C1" s="89"/>
      <c r="D1" s="89"/>
    </row>
    <row r="2" spans="1:53" customFormat="1" x14ac:dyDescent="0.25">
      <c r="A2" s="89"/>
      <c r="B2" s="89"/>
      <c r="C2" s="89"/>
      <c r="D2" s="89"/>
    </row>
    <row r="3" spans="1:53" customFormat="1" ht="23.25" x14ac:dyDescent="0.35">
      <c r="A3" s="72"/>
      <c r="B3" s="92" t="s">
        <v>52</v>
      </c>
      <c r="C3" s="92"/>
      <c r="D3" s="92"/>
      <c r="E3" s="92"/>
      <c r="F3" s="92"/>
      <c r="G3" s="92"/>
      <c r="H3" s="92"/>
      <c r="I3" s="73"/>
      <c r="K3" s="92" t="s">
        <v>53</v>
      </c>
      <c r="L3" s="92"/>
      <c r="M3" s="92"/>
      <c r="N3" s="92"/>
      <c r="O3" s="92"/>
      <c r="P3" s="92"/>
      <c r="Q3" s="92"/>
      <c r="R3" s="73"/>
      <c r="S3" s="91" t="s">
        <v>27</v>
      </c>
      <c r="T3" s="91"/>
      <c r="U3" s="91"/>
      <c r="V3" s="91"/>
      <c r="W3" s="91"/>
      <c r="X3" s="91"/>
      <c r="Y3" s="91"/>
      <c r="Z3" s="91"/>
      <c r="AA3" s="73"/>
      <c r="AB3" s="91" t="s">
        <v>28</v>
      </c>
      <c r="AC3" s="91"/>
      <c r="AD3" s="91"/>
      <c r="AE3" s="91"/>
      <c r="AF3" s="91"/>
      <c r="AG3" s="91"/>
      <c r="AH3" s="91"/>
      <c r="AI3" s="91"/>
      <c r="AJ3" s="73"/>
      <c r="AK3" s="90" t="s">
        <v>50</v>
      </c>
      <c r="AL3" s="90"/>
      <c r="AM3" s="90"/>
      <c r="AN3" s="90"/>
      <c r="AO3" s="90"/>
      <c r="AP3" s="90"/>
      <c r="AQ3" s="90"/>
      <c r="AR3" s="90"/>
      <c r="AS3" s="73"/>
      <c r="AT3" s="90" t="s">
        <v>51</v>
      </c>
      <c r="AU3" s="90"/>
      <c r="AV3" s="90"/>
      <c r="AW3" s="90"/>
      <c r="AX3" s="90"/>
      <c r="AY3" s="90"/>
      <c r="AZ3" s="90"/>
      <c r="BA3" s="90"/>
    </row>
    <row r="4" spans="1:53" customFormat="1" x14ac:dyDescent="0.25">
      <c r="A4" s="63" t="s">
        <v>7</v>
      </c>
      <c r="B4" s="64" t="s">
        <v>29</v>
      </c>
      <c r="C4" s="64" t="s">
        <v>30</v>
      </c>
      <c r="D4" s="64" t="s">
        <v>31</v>
      </c>
      <c r="E4" s="64" t="s">
        <v>32</v>
      </c>
      <c r="F4" s="65" t="s">
        <v>26</v>
      </c>
      <c r="G4" s="65" t="s">
        <v>33</v>
      </c>
      <c r="H4" s="65" t="s">
        <v>34</v>
      </c>
      <c r="I4" s="73"/>
      <c r="J4" s="63" t="s">
        <v>7</v>
      </c>
      <c r="K4" s="64" t="s">
        <v>29</v>
      </c>
      <c r="L4" s="64" t="s">
        <v>30</v>
      </c>
      <c r="M4" s="64" t="s">
        <v>31</v>
      </c>
      <c r="N4" s="64" t="s">
        <v>32</v>
      </c>
      <c r="O4" s="65" t="s">
        <v>26</v>
      </c>
      <c r="P4" s="65" t="s">
        <v>33</v>
      </c>
      <c r="Q4" s="65" t="s">
        <v>34</v>
      </c>
      <c r="R4" s="73"/>
      <c r="S4" s="63" t="s">
        <v>7</v>
      </c>
      <c r="T4" s="64" t="s">
        <v>29</v>
      </c>
      <c r="U4" s="64" t="s">
        <v>30</v>
      </c>
      <c r="V4" s="64" t="s">
        <v>31</v>
      </c>
      <c r="W4" s="64" t="s">
        <v>32</v>
      </c>
      <c r="X4" s="65" t="s">
        <v>26</v>
      </c>
      <c r="Y4" s="65" t="s">
        <v>33</v>
      </c>
      <c r="Z4" s="65" t="s">
        <v>34</v>
      </c>
      <c r="AA4" s="73"/>
      <c r="AB4" s="63" t="s">
        <v>7</v>
      </c>
      <c r="AC4" s="64" t="s">
        <v>29</v>
      </c>
      <c r="AD4" s="64" t="s">
        <v>30</v>
      </c>
      <c r="AE4" s="64" t="s">
        <v>31</v>
      </c>
      <c r="AF4" s="64" t="s">
        <v>32</v>
      </c>
      <c r="AG4" s="65" t="s">
        <v>26</v>
      </c>
      <c r="AH4" s="65" t="s">
        <v>33</v>
      </c>
      <c r="AI4" s="65" t="s">
        <v>34</v>
      </c>
      <c r="AJ4" s="73"/>
      <c r="AK4" s="63" t="s">
        <v>7</v>
      </c>
      <c r="AL4" s="64" t="s">
        <v>29</v>
      </c>
      <c r="AM4" s="64" t="s">
        <v>30</v>
      </c>
      <c r="AN4" s="64" t="s">
        <v>31</v>
      </c>
      <c r="AO4" s="64" t="s">
        <v>32</v>
      </c>
      <c r="AP4" s="65" t="s">
        <v>26</v>
      </c>
      <c r="AQ4" s="65" t="s">
        <v>33</v>
      </c>
      <c r="AR4" s="65" t="s">
        <v>34</v>
      </c>
      <c r="AS4" s="73"/>
      <c r="AT4" s="63" t="s">
        <v>7</v>
      </c>
      <c r="AU4" s="64" t="s">
        <v>29</v>
      </c>
      <c r="AV4" s="64" t="s">
        <v>30</v>
      </c>
      <c r="AW4" s="64" t="s">
        <v>31</v>
      </c>
      <c r="AX4" s="64" t="s">
        <v>32</v>
      </c>
      <c r="AY4" s="65" t="s">
        <v>26</v>
      </c>
      <c r="AZ4" s="65" t="s">
        <v>33</v>
      </c>
      <c r="BA4" s="65" t="s">
        <v>34</v>
      </c>
    </row>
    <row r="5" spans="1:53" customFormat="1" x14ac:dyDescent="0.25">
      <c r="A5" s="66">
        <v>42370</v>
      </c>
      <c r="B5" s="74">
        <v>8916768.6288063936</v>
      </c>
      <c r="C5" s="74">
        <v>3934989.9032588047</v>
      </c>
      <c r="D5" s="74">
        <v>3668729.8786548157</v>
      </c>
      <c r="E5" s="74">
        <v>3275065.5892799865</v>
      </c>
      <c r="F5" s="75">
        <v>4701656.6403168449</v>
      </c>
      <c r="G5" s="75">
        <v>660883.93847296259</v>
      </c>
      <c r="H5" s="75">
        <v>896769.42121019284</v>
      </c>
      <c r="I5" s="73"/>
      <c r="J5" s="66">
        <v>42370</v>
      </c>
      <c r="K5" s="74">
        <v>4177831.7100927993</v>
      </c>
      <c r="L5" s="74">
        <v>2584713.0151187698</v>
      </c>
      <c r="M5" s="74">
        <v>2906158.1465695524</v>
      </c>
      <c r="N5" s="74">
        <v>4020172.1282188785</v>
      </c>
      <c r="O5" s="75">
        <v>2702756.1367486175</v>
      </c>
      <c r="P5" s="75">
        <v>587656.14242721524</v>
      </c>
      <c r="Q5" s="75">
        <v>797611.72082416713</v>
      </c>
      <c r="R5" s="73"/>
      <c r="S5" s="66">
        <v>42370</v>
      </c>
      <c r="T5" s="67">
        <v>80414</v>
      </c>
      <c r="U5" s="67">
        <v>37682</v>
      </c>
      <c r="V5" s="67">
        <v>36979</v>
      </c>
      <c r="W5" s="67">
        <v>26368</v>
      </c>
      <c r="X5" s="67">
        <v>42127</v>
      </c>
      <c r="Y5" s="67">
        <v>7070</v>
      </c>
      <c r="Z5" s="67">
        <v>10875</v>
      </c>
      <c r="AA5" s="73"/>
      <c r="AB5" s="66">
        <v>42370</v>
      </c>
      <c r="AC5" s="67">
        <v>9763</v>
      </c>
      <c r="AD5" s="67">
        <v>4879</v>
      </c>
      <c r="AE5" s="67">
        <v>5315</v>
      </c>
      <c r="AF5" s="67">
        <v>5674</v>
      </c>
      <c r="AG5" s="67">
        <v>6527</v>
      </c>
      <c r="AH5" s="67">
        <v>1418</v>
      </c>
      <c r="AI5" s="67">
        <v>1867</v>
      </c>
      <c r="AJ5" s="73"/>
      <c r="AK5" s="66">
        <v>42370</v>
      </c>
      <c r="AL5" s="67">
        <v>738</v>
      </c>
      <c r="AM5" s="67">
        <v>649.5</v>
      </c>
      <c r="AN5" s="67">
        <v>890</v>
      </c>
      <c r="AO5" s="67">
        <v>970.5</v>
      </c>
      <c r="AP5" s="67">
        <v>955</v>
      </c>
      <c r="AQ5" s="67">
        <v>1157</v>
      </c>
      <c r="AR5" s="67">
        <v>913.5</v>
      </c>
      <c r="AS5" s="73"/>
      <c r="AT5" s="66">
        <v>42370</v>
      </c>
      <c r="AU5" s="67">
        <v>583</v>
      </c>
      <c r="AV5" s="67">
        <v>494.5</v>
      </c>
      <c r="AW5" s="67">
        <v>735</v>
      </c>
      <c r="AX5" s="67">
        <v>815.5</v>
      </c>
      <c r="AY5" s="67">
        <v>800</v>
      </c>
      <c r="AZ5" s="67">
        <v>1002</v>
      </c>
      <c r="BA5" s="67">
        <v>758.5</v>
      </c>
    </row>
    <row r="6" spans="1:53" customFormat="1" x14ac:dyDescent="0.25">
      <c r="A6" s="66">
        <v>42401</v>
      </c>
      <c r="B6" s="74">
        <v>5386629.883653352</v>
      </c>
      <c r="C6" s="74">
        <v>2544175.6733039627</v>
      </c>
      <c r="D6" s="74">
        <v>2460419.7475482165</v>
      </c>
      <c r="E6" s="74">
        <v>2076693.695494469</v>
      </c>
      <c r="F6" s="75">
        <v>3620048.1102217012</v>
      </c>
      <c r="G6" s="75">
        <v>577336.17879416177</v>
      </c>
      <c r="H6" s="75">
        <v>803108.71098413714</v>
      </c>
      <c r="I6" s="73"/>
      <c r="J6" s="66">
        <v>42401</v>
      </c>
      <c r="K6" s="74">
        <v>2599803.5042679072</v>
      </c>
      <c r="L6" s="74">
        <v>1726608.5007722476</v>
      </c>
      <c r="M6" s="74">
        <v>1941083.6297586316</v>
      </c>
      <c r="N6" s="74">
        <v>2512882.3652012134</v>
      </c>
      <c r="O6" s="75">
        <v>2197630.9900527056</v>
      </c>
      <c r="P6" s="75">
        <v>537054.29216958536</v>
      </c>
      <c r="Q6" s="75">
        <v>720785.71777770913</v>
      </c>
      <c r="R6" s="73"/>
      <c r="S6" s="66">
        <v>42401</v>
      </c>
      <c r="T6" s="67">
        <v>80480</v>
      </c>
      <c r="U6" s="67">
        <v>37741</v>
      </c>
      <c r="V6" s="67">
        <v>37021</v>
      </c>
      <c r="W6" s="67">
        <v>26333</v>
      </c>
      <c r="X6" s="67">
        <v>42214</v>
      </c>
      <c r="Y6" s="67">
        <v>7074</v>
      </c>
      <c r="Z6" s="67">
        <v>10883</v>
      </c>
      <c r="AA6" s="73"/>
      <c r="AB6" s="66">
        <v>42401</v>
      </c>
      <c r="AC6" s="67">
        <v>9764</v>
      </c>
      <c r="AD6" s="67">
        <v>4875</v>
      </c>
      <c r="AE6" s="67">
        <v>5309</v>
      </c>
      <c r="AF6" s="67">
        <v>5665</v>
      </c>
      <c r="AG6" s="67">
        <v>6529</v>
      </c>
      <c r="AH6" s="67">
        <v>1417</v>
      </c>
      <c r="AI6" s="67">
        <v>1871</v>
      </c>
      <c r="AJ6" s="73"/>
      <c r="AK6" s="66">
        <v>42401</v>
      </c>
      <c r="AL6" s="67">
        <v>552</v>
      </c>
      <c r="AM6" s="67">
        <v>495.5</v>
      </c>
      <c r="AN6" s="67">
        <v>588.5</v>
      </c>
      <c r="AO6" s="67">
        <v>645.5</v>
      </c>
      <c r="AP6" s="67">
        <v>691.5</v>
      </c>
      <c r="AQ6" s="67">
        <v>904.5</v>
      </c>
      <c r="AR6" s="67">
        <v>636</v>
      </c>
      <c r="AS6" s="73"/>
      <c r="AT6" s="66">
        <v>42401</v>
      </c>
      <c r="AU6" s="67">
        <v>407</v>
      </c>
      <c r="AV6" s="67">
        <v>350.5</v>
      </c>
      <c r="AW6" s="67">
        <v>443.5</v>
      </c>
      <c r="AX6" s="67">
        <v>500.5</v>
      </c>
      <c r="AY6" s="67">
        <v>546.5</v>
      </c>
      <c r="AZ6" s="67">
        <v>759.5</v>
      </c>
      <c r="BA6" s="67">
        <v>491</v>
      </c>
    </row>
    <row r="7" spans="1:53" customFormat="1" x14ac:dyDescent="0.25">
      <c r="A7" s="66">
        <v>42430</v>
      </c>
      <c r="B7" s="74">
        <v>5391579.3685746659</v>
      </c>
      <c r="C7" s="74">
        <v>2638713.5478483117</v>
      </c>
      <c r="D7" s="74">
        <v>2090245.7824495351</v>
      </c>
      <c r="E7" s="74">
        <v>1863043.3011274878</v>
      </c>
      <c r="F7" s="75">
        <v>3236892.0673186551</v>
      </c>
      <c r="G7" s="75">
        <v>462037.55259084882</v>
      </c>
      <c r="H7" s="75">
        <v>578444.38009049604</v>
      </c>
      <c r="I7" s="73"/>
      <c r="J7" s="66">
        <v>42430</v>
      </c>
      <c r="K7" s="74">
        <v>2358308.9970738939</v>
      </c>
      <c r="L7" s="74">
        <v>1642534.4794339684</v>
      </c>
      <c r="M7" s="74">
        <v>1562690.1108068938</v>
      </c>
      <c r="N7" s="74">
        <v>2174800.4126852439</v>
      </c>
      <c r="O7" s="75">
        <v>1780978.0349132072</v>
      </c>
      <c r="P7" s="75">
        <v>395525.54351040506</v>
      </c>
      <c r="Q7" s="75">
        <v>462765.42157638771</v>
      </c>
      <c r="R7" s="73"/>
      <c r="S7" s="66">
        <v>42430</v>
      </c>
      <c r="T7" s="67">
        <v>80452</v>
      </c>
      <c r="U7" s="67">
        <v>37752</v>
      </c>
      <c r="V7" s="67">
        <v>37038</v>
      </c>
      <c r="W7" s="67">
        <v>26303</v>
      </c>
      <c r="X7" s="67">
        <v>42326</v>
      </c>
      <c r="Y7" s="67">
        <v>7047</v>
      </c>
      <c r="Z7" s="67">
        <v>10844</v>
      </c>
      <c r="AA7" s="73"/>
      <c r="AB7" s="66">
        <v>42430</v>
      </c>
      <c r="AC7" s="67">
        <v>9767</v>
      </c>
      <c r="AD7" s="67">
        <v>4875</v>
      </c>
      <c r="AE7" s="67">
        <v>5296</v>
      </c>
      <c r="AF7" s="67">
        <v>5641</v>
      </c>
      <c r="AG7" s="67">
        <v>6532</v>
      </c>
      <c r="AH7" s="67">
        <v>1414</v>
      </c>
      <c r="AI7" s="67">
        <v>1867</v>
      </c>
      <c r="AJ7" s="73"/>
      <c r="AK7" s="66">
        <v>42430</v>
      </c>
      <c r="AL7" s="67">
        <v>503</v>
      </c>
      <c r="AM7" s="67">
        <v>534.5</v>
      </c>
      <c r="AN7" s="67">
        <v>518.5</v>
      </c>
      <c r="AO7" s="67">
        <v>566</v>
      </c>
      <c r="AP7" s="67">
        <v>736.5</v>
      </c>
      <c r="AQ7" s="67">
        <v>793</v>
      </c>
      <c r="AR7" s="67">
        <v>570.5</v>
      </c>
      <c r="AS7" s="73"/>
      <c r="AT7" s="66">
        <v>42430</v>
      </c>
      <c r="AU7" s="67">
        <v>348</v>
      </c>
      <c r="AV7" s="67">
        <v>379.5</v>
      </c>
      <c r="AW7" s="67">
        <v>363.5</v>
      </c>
      <c r="AX7" s="67">
        <v>411</v>
      </c>
      <c r="AY7" s="67">
        <v>581.5</v>
      </c>
      <c r="AZ7" s="67">
        <v>638</v>
      </c>
      <c r="BA7" s="67">
        <v>415.5</v>
      </c>
    </row>
    <row r="8" spans="1:53" customFormat="1" x14ac:dyDescent="0.25">
      <c r="A8" s="66">
        <v>42461</v>
      </c>
      <c r="B8" s="74">
        <v>2757556.4367380766</v>
      </c>
      <c r="C8" s="74">
        <v>1352482.9858704233</v>
      </c>
      <c r="D8" s="74">
        <v>933083.99776815355</v>
      </c>
      <c r="E8" s="74">
        <v>754268.57962334645</v>
      </c>
      <c r="F8" s="75">
        <v>1893789.6436878368</v>
      </c>
      <c r="G8" s="75">
        <v>231172.11430984462</v>
      </c>
      <c r="H8" s="75">
        <v>309423.24200231873</v>
      </c>
      <c r="I8" s="73"/>
      <c r="J8" s="66">
        <v>42461</v>
      </c>
      <c r="K8" s="74">
        <v>1346355.6208324344</v>
      </c>
      <c r="L8" s="74">
        <v>925885.43506469904</v>
      </c>
      <c r="M8" s="74">
        <v>812858.01992389746</v>
      </c>
      <c r="N8" s="74">
        <v>970683.92417896935</v>
      </c>
      <c r="O8" s="75">
        <v>1130351.7439143765</v>
      </c>
      <c r="P8" s="75">
        <v>208111.01851041178</v>
      </c>
      <c r="Q8" s="75">
        <v>290688.23757521168</v>
      </c>
      <c r="R8" s="73"/>
      <c r="S8" s="66">
        <v>42461</v>
      </c>
      <c r="T8" s="67">
        <v>80446</v>
      </c>
      <c r="U8" s="67">
        <v>37738</v>
      </c>
      <c r="V8" s="67">
        <v>36988</v>
      </c>
      <c r="W8" s="67">
        <v>26130</v>
      </c>
      <c r="X8" s="67">
        <v>42391</v>
      </c>
      <c r="Y8" s="67">
        <v>6997</v>
      </c>
      <c r="Z8" s="67">
        <v>10791</v>
      </c>
      <c r="AA8" s="73"/>
      <c r="AB8" s="66">
        <v>42461</v>
      </c>
      <c r="AC8" s="67">
        <v>9757</v>
      </c>
      <c r="AD8" s="67">
        <v>4872</v>
      </c>
      <c r="AE8" s="67">
        <v>5281</v>
      </c>
      <c r="AF8" s="67">
        <v>5607</v>
      </c>
      <c r="AG8" s="67">
        <v>6534</v>
      </c>
      <c r="AH8" s="67">
        <v>1406</v>
      </c>
      <c r="AI8" s="67">
        <v>1864</v>
      </c>
      <c r="AJ8" s="73"/>
      <c r="AK8" s="66">
        <v>42461</v>
      </c>
      <c r="AL8" s="67">
        <v>331.5</v>
      </c>
      <c r="AM8" s="67">
        <v>338.5</v>
      </c>
      <c r="AN8" s="67">
        <v>228.5</v>
      </c>
      <c r="AO8" s="67">
        <v>202.5</v>
      </c>
      <c r="AP8" s="67">
        <v>447</v>
      </c>
      <c r="AQ8" s="67">
        <v>487.5</v>
      </c>
      <c r="AR8" s="67">
        <v>263.5</v>
      </c>
      <c r="AS8" s="73"/>
      <c r="AT8" s="66">
        <v>42461</v>
      </c>
      <c r="AU8" s="67">
        <v>187</v>
      </c>
      <c r="AV8" s="67">
        <v>203</v>
      </c>
      <c r="AW8" s="67">
        <v>105.5</v>
      </c>
      <c r="AX8" s="67">
        <v>95.5</v>
      </c>
      <c r="AY8" s="67">
        <v>297</v>
      </c>
      <c r="AZ8" s="67">
        <v>337.5</v>
      </c>
      <c r="BA8" s="67">
        <v>131</v>
      </c>
    </row>
    <row r="9" spans="1:53" customFormat="1" x14ac:dyDescent="0.25">
      <c r="A9" s="66">
        <v>42491</v>
      </c>
      <c r="B9" s="74">
        <v>1947849.7455189582</v>
      </c>
      <c r="C9" s="74">
        <v>877198.10556545504</v>
      </c>
      <c r="D9" s="74">
        <v>516950.81257508858</v>
      </c>
      <c r="E9" s="74">
        <v>377235.33634049806</v>
      </c>
      <c r="F9" s="75">
        <v>1168285.4763997199</v>
      </c>
      <c r="G9" s="75">
        <v>118654.86483632249</v>
      </c>
      <c r="H9" s="75">
        <v>139876.65876395762</v>
      </c>
      <c r="I9" s="73"/>
      <c r="J9" s="66">
        <v>42491</v>
      </c>
      <c r="K9" s="74">
        <v>1100395.1297799386</v>
      </c>
      <c r="L9" s="74">
        <v>713422.70011189021</v>
      </c>
      <c r="M9" s="74">
        <v>563330.87182997563</v>
      </c>
      <c r="N9" s="74">
        <v>660616.29827819555</v>
      </c>
      <c r="O9" s="75">
        <v>788866.77844270307</v>
      </c>
      <c r="P9" s="75">
        <v>120764.43084576381</v>
      </c>
      <c r="Q9" s="75">
        <v>170407.79071153313</v>
      </c>
      <c r="R9" s="73"/>
      <c r="S9" s="66">
        <v>42491</v>
      </c>
      <c r="T9" s="67">
        <v>80452</v>
      </c>
      <c r="U9" s="67">
        <v>37686</v>
      </c>
      <c r="V9" s="67">
        <v>37010</v>
      </c>
      <c r="W9" s="67">
        <v>25984</v>
      </c>
      <c r="X9" s="67">
        <v>42463</v>
      </c>
      <c r="Y9" s="67">
        <v>6973</v>
      </c>
      <c r="Z9" s="67">
        <v>10722</v>
      </c>
      <c r="AA9" s="73"/>
      <c r="AB9" s="66">
        <v>42491</v>
      </c>
      <c r="AC9" s="67">
        <v>9731</v>
      </c>
      <c r="AD9" s="67">
        <v>4861</v>
      </c>
      <c r="AE9" s="67">
        <v>5274</v>
      </c>
      <c r="AF9" s="67">
        <v>5578</v>
      </c>
      <c r="AG9" s="67">
        <v>6525</v>
      </c>
      <c r="AH9" s="67">
        <v>1403</v>
      </c>
      <c r="AI9" s="67">
        <v>1860</v>
      </c>
      <c r="AJ9" s="73"/>
      <c r="AK9" s="66">
        <v>42491</v>
      </c>
      <c r="AL9" s="67">
        <v>235.5</v>
      </c>
      <c r="AM9" s="67">
        <v>294.5</v>
      </c>
      <c r="AN9" s="67">
        <v>132</v>
      </c>
      <c r="AO9" s="67">
        <v>89</v>
      </c>
      <c r="AP9" s="67">
        <v>323.5</v>
      </c>
      <c r="AQ9" s="67">
        <v>381</v>
      </c>
      <c r="AR9" s="67">
        <v>164.5</v>
      </c>
      <c r="AS9" s="73"/>
      <c r="AT9" s="66">
        <v>42491</v>
      </c>
      <c r="AU9" s="67">
        <v>94</v>
      </c>
      <c r="AV9" s="67">
        <v>146.5</v>
      </c>
      <c r="AW9" s="67">
        <v>42.5</v>
      </c>
      <c r="AX9" s="67">
        <v>12</v>
      </c>
      <c r="AY9" s="67">
        <v>181</v>
      </c>
      <c r="AZ9" s="67">
        <v>228.5</v>
      </c>
      <c r="BA9" s="67">
        <v>56</v>
      </c>
    </row>
    <row r="10" spans="1:53" customFormat="1" x14ac:dyDescent="0.25">
      <c r="A10" s="66">
        <v>42522</v>
      </c>
      <c r="B10" s="74">
        <v>1637964.6940869994</v>
      </c>
      <c r="C10" s="74">
        <v>751152.1932888896</v>
      </c>
      <c r="D10" s="74">
        <v>473131.43151431251</v>
      </c>
      <c r="E10" s="74">
        <v>303204.68110979849</v>
      </c>
      <c r="F10" s="75">
        <v>1122619.1905730409</v>
      </c>
      <c r="G10" s="75">
        <v>91931.315603129842</v>
      </c>
      <c r="H10" s="75">
        <v>122180.49382382921</v>
      </c>
      <c r="I10" s="73"/>
      <c r="J10" s="66">
        <v>42522</v>
      </c>
      <c r="K10" s="74">
        <v>909465.74240923312</v>
      </c>
      <c r="L10" s="74">
        <v>630487.86929981515</v>
      </c>
      <c r="M10" s="74">
        <v>531314.72166200588</v>
      </c>
      <c r="N10" s="74">
        <v>603992.66662894585</v>
      </c>
      <c r="O10" s="75">
        <v>757414.42742843158</v>
      </c>
      <c r="P10" s="75">
        <v>103258.0804541148</v>
      </c>
      <c r="Q10" s="75">
        <v>179486.49211745366</v>
      </c>
      <c r="R10" s="73"/>
      <c r="S10" s="66">
        <v>42522</v>
      </c>
      <c r="T10" s="67">
        <v>80354</v>
      </c>
      <c r="U10" s="67">
        <v>37675</v>
      </c>
      <c r="V10" s="67">
        <v>37016</v>
      </c>
      <c r="W10" s="67">
        <v>25884</v>
      </c>
      <c r="X10" s="67">
        <v>42514</v>
      </c>
      <c r="Y10" s="67">
        <v>6912</v>
      </c>
      <c r="Z10" s="67">
        <v>10688</v>
      </c>
      <c r="AA10" s="73"/>
      <c r="AB10" s="66">
        <v>42522</v>
      </c>
      <c r="AC10" s="67">
        <v>9745</v>
      </c>
      <c r="AD10" s="67">
        <v>4849</v>
      </c>
      <c r="AE10" s="67">
        <v>5260</v>
      </c>
      <c r="AF10" s="67">
        <v>5553</v>
      </c>
      <c r="AG10" s="67">
        <v>6518</v>
      </c>
      <c r="AH10" s="67">
        <v>1404</v>
      </c>
      <c r="AI10" s="67">
        <v>1853</v>
      </c>
      <c r="AJ10" s="73"/>
      <c r="AK10" s="66">
        <v>42522</v>
      </c>
      <c r="AL10" s="67">
        <v>153</v>
      </c>
      <c r="AM10" s="67">
        <v>220</v>
      </c>
      <c r="AN10" s="67">
        <v>51.5</v>
      </c>
      <c r="AO10" s="67">
        <v>72</v>
      </c>
      <c r="AP10" s="67">
        <v>180</v>
      </c>
      <c r="AQ10" s="67">
        <v>196.5</v>
      </c>
      <c r="AR10" s="67">
        <v>71</v>
      </c>
      <c r="AS10" s="73"/>
      <c r="AT10" s="66">
        <v>42522</v>
      </c>
      <c r="AU10" s="67">
        <v>46</v>
      </c>
      <c r="AV10" s="67">
        <v>87.5</v>
      </c>
      <c r="AW10" s="67">
        <v>10</v>
      </c>
      <c r="AX10" s="67">
        <v>22.5</v>
      </c>
      <c r="AY10" s="67">
        <v>97.5</v>
      </c>
      <c r="AZ10" s="67">
        <v>103</v>
      </c>
      <c r="BA10" s="67">
        <v>20</v>
      </c>
    </row>
    <row r="11" spans="1:53" customFormat="1" x14ac:dyDescent="0.25">
      <c r="A11" s="66">
        <v>42552</v>
      </c>
      <c r="B11" s="74">
        <v>1519618.3926483085</v>
      </c>
      <c r="C11" s="74">
        <v>659852.33229048853</v>
      </c>
      <c r="D11" s="74">
        <v>437752.54061047104</v>
      </c>
      <c r="E11" s="74">
        <v>299133.73445073183</v>
      </c>
      <c r="F11" s="75">
        <v>777254.3560882879</v>
      </c>
      <c r="G11" s="75">
        <v>58953.845623569592</v>
      </c>
      <c r="H11" s="75">
        <v>92792.798288142483</v>
      </c>
      <c r="I11" s="73"/>
      <c r="J11" s="66">
        <v>42552</v>
      </c>
      <c r="K11" s="74">
        <v>932191.17339772638</v>
      </c>
      <c r="L11" s="74">
        <v>628397.87523478316</v>
      </c>
      <c r="M11" s="74">
        <v>557249.86070692958</v>
      </c>
      <c r="N11" s="74">
        <v>660174.09066056099</v>
      </c>
      <c r="O11" s="75">
        <v>665999.67094083084</v>
      </c>
      <c r="P11" s="75">
        <v>89797.074117375741</v>
      </c>
      <c r="Q11" s="75">
        <v>182586.25494179342</v>
      </c>
      <c r="R11" s="73"/>
      <c r="S11" s="66">
        <v>42552</v>
      </c>
      <c r="T11" s="67">
        <v>80387</v>
      </c>
      <c r="U11" s="67">
        <v>37679</v>
      </c>
      <c r="V11" s="67">
        <v>37090</v>
      </c>
      <c r="W11" s="67">
        <v>25808</v>
      </c>
      <c r="X11" s="67">
        <v>42611</v>
      </c>
      <c r="Y11" s="67">
        <v>6895</v>
      </c>
      <c r="Z11" s="67">
        <v>10617</v>
      </c>
      <c r="AA11" s="73"/>
      <c r="AB11" s="66">
        <v>42552</v>
      </c>
      <c r="AC11" s="67">
        <v>9728</v>
      </c>
      <c r="AD11" s="67">
        <v>4839</v>
      </c>
      <c r="AE11" s="67">
        <v>5263</v>
      </c>
      <c r="AF11" s="67">
        <v>5546</v>
      </c>
      <c r="AG11" s="67">
        <v>6517</v>
      </c>
      <c r="AH11" s="67">
        <v>1400</v>
      </c>
      <c r="AI11" s="67">
        <v>1849</v>
      </c>
      <c r="AJ11" s="73"/>
      <c r="AK11" s="66">
        <v>42552</v>
      </c>
      <c r="AL11" s="67">
        <v>46</v>
      </c>
      <c r="AM11" s="67">
        <v>126</v>
      </c>
      <c r="AN11" s="67">
        <v>3</v>
      </c>
      <c r="AO11" s="67">
        <v>0</v>
      </c>
      <c r="AP11" s="67">
        <v>55</v>
      </c>
      <c r="AQ11" s="67">
        <v>89.5</v>
      </c>
      <c r="AR11" s="67">
        <v>0.5</v>
      </c>
      <c r="AS11" s="73"/>
      <c r="AT11" s="66">
        <v>42552</v>
      </c>
      <c r="AU11" s="67">
        <v>4</v>
      </c>
      <c r="AV11" s="67">
        <v>8</v>
      </c>
      <c r="AW11" s="67">
        <v>0</v>
      </c>
      <c r="AX11" s="67">
        <v>0</v>
      </c>
      <c r="AY11" s="67">
        <v>6.5</v>
      </c>
      <c r="AZ11" s="67">
        <v>19</v>
      </c>
      <c r="BA11" s="67">
        <v>0</v>
      </c>
    </row>
    <row r="12" spans="1:53" customFormat="1" x14ac:dyDescent="0.25">
      <c r="A12" s="66">
        <v>42583</v>
      </c>
      <c r="B12" s="74">
        <v>1227113.6202579306</v>
      </c>
      <c r="C12" s="74">
        <v>532799.99803524592</v>
      </c>
      <c r="D12" s="74">
        <v>402491.07536389393</v>
      </c>
      <c r="E12" s="74">
        <v>262596.30634292949</v>
      </c>
      <c r="F12" s="75">
        <v>699480.59333136119</v>
      </c>
      <c r="G12" s="75">
        <v>50147.479577821912</v>
      </c>
      <c r="H12" s="75">
        <v>95541.927090816884</v>
      </c>
      <c r="I12" s="73"/>
      <c r="J12" s="66">
        <v>42583</v>
      </c>
      <c r="K12" s="74">
        <v>811268.06400154205</v>
      </c>
      <c r="L12" s="74">
        <v>560170.46594104765</v>
      </c>
      <c r="M12" s="74">
        <v>492214.50791624392</v>
      </c>
      <c r="N12" s="74">
        <v>590166.96214116644</v>
      </c>
      <c r="O12" s="75">
        <v>605033.9123591953</v>
      </c>
      <c r="P12" s="75">
        <v>95722.138219507528</v>
      </c>
      <c r="Q12" s="75">
        <v>178064.94942129718</v>
      </c>
      <c r="R12" s="73"/>
      <c r="S12" s="66">
        <v>42583</v>
      </c>
      <c r="T12" s="67">
        <v>80334</v>
      </c>
      <c r="U12" s="67">
        <v>37630</v>
      </c>
      <c r="V12" s="67">
        <v>37134</v>
      </c>
      <c r="W12" s="67">
        <v>25661</v>
      </c>
      <c r="X12" s="67">
        <v>42691</v>
      </c>
      <c r="Y12" s="67">
        <v>6888</v>
      </c>
      <c r="Z12" s="67">
        <v>10584</v>
      </c>
      <c r="AA12" s="73"/>
      <c r="AB12" s="66">
        <v>42583</v>
      </c>
      <c r="AC12" s="67">
        <v>9723</v>
      </c>
      <c r="AD12" s="67">
        <v>4833</v>
      </c>
      <c r="AE12" s="67">
        <v>5255</v>
      </c>
      <c r="AF12" s="67">
        <v>5536</v>
      </c>
      <c r="AG12" s="67">
        <v>6504</v>
      </c>
      <c r="AH12" s="67">
        <v>1401</v>
      </c>
      <c r="AI12" s="67">
        <v>1850</v>
      </c>
      <c r="AJ12" s="73"/>
      <c r="AK12" s="66">
        <v>42583</v>
      </c>
      <c r="AL12" s="67">
        <v>43</v>
      </c>
      <c r="AM12" s="67">
        <v>111</v>
      </c>
      <c r="AN12" s="67">
        <v>0</v>
      </c>
      <c r="AO12" s="67">
        <v>3</v>
      </c>
      <c r="AP12" s="67">
        <v>42.5</v>
      </c>
      <c r="AQ12" s="67">
        <v>66</v>
      </c>
      <c r="AR12" s="67">
        <v>3.5</v>
      </c>
      <c r="AS12" s="73"/>
      <c r="AT12" s="66">
        <v>42583</v>
      </c>
      <c r="AU12" s="67">
        <v>0</v>
      </c>
      <c r="AV12" s="67">
        <v>9.5</v>
      </c>
      <c r="AW12" s="67">
        <v>0</v>
      </c>
      <c r="AX12" s="67">
        <v>0</v>
      </c>
      <c r="AY12" s="67">
        <v>4</v>
      </c>
      <c r="AZ12" s="67">
        <v>14.5</v>
      </c>
      <c r="BA12" s="67">
        <v>0</v>
      </c>
    </row>
    <row r="13" spans="1:53" customFormat="1" x14ac:dyDescent="0.25">
      <c r="A13" s="66">
        <v>42614</v>
      </c>
      <c r="B13" s="74">
        <v>1790513.3847525027</v>
      </c>
      <c r="C13" s="74">
        <v>771020.4592476961</v>
      </c>
      <c r="D13" s="74">
        <v>559888.21618939051</v>
      </c>
      <c r="E13" s="74">
        <v>393216.93981041067</v>
      </c>
      <c r="F13" s="75">
        <v>1044554.0954571216</v>
      </c>
      <c r="G13" s="75">
        <v>83814.521681509606</v>
      </c>
      <c r="H13" s="75">
        <v>144550.38286136877</v>
      </c>
      <c r="I13" s="73"/>
      <c r="J13" s="66">
        <v>42614</v>
      </c>
      <c r="K13" s="74">
        <v>1108266.6038177426</v>
      </c>
      <c r="L13" s="74">
        <v>741368.15918917337</v>
      </c>
      <c r="M13" s="74">
        <v>714394.45681922499</v>
      </c>
      <c r="N13" s="74">
        <v>860849.78017385909</v>
      </c>
      <c r="O13" s="75">
        <v>796941.77098235895</v>
      </c>
      <c r="P13" s="75">
        <v>111878.35946281173</v>
      </c>
      <c r="Q13" s="75">
        <v>227602.86955482932</v>
      </c>
      <c r="R13" s="73"/>
      <c r="S13" s="66">
        <v>42614</v>
      </c>
      <c r="T13" s="67">
        <v>80510</v>
      </c>
      <c r="U13" s="67">
        <v>37688</v>
      </c>
      <c r="V13" s="67">
        <v>37205</v>
      </c>
      <c r="W13" s="67">
        <v>25685</v>
      </c>
      <c r="X13" s="67">
        <v>42925</v>
      </c>
      <c r="Y13" s="67">
        <v>6927</v>
      </c>
      <c r="Z13" s="67">
        <v>10658</v>
      </c>
      <c r="AA13" s="73"/>
      <c r="AB13" s="66">
        <v>42614</v>
      </c>
      <c r="AC13" s="67">
        <v>9732</v>
      </c>
      <c r="AD13" s="67">
        <v>4831</v>
      </c>
      <c r="AE13" s="67">
        <v>5251</v>
      </c>
      <c r="AF13" s="67">
        <v>5539</v>
      </c>
      <c r="AG13" s="67">
        <v>6511</v>
      </c>
      <c r="AH13" s="67">
        <v>1406</v>
      </c>
      <c r="AI13" s="67">
        <v>1852</v>
      </c>
      <c r="AJ13" s="73"/>
      <c r="AK13" s="66">
        <v>42614</v>
      </c>
      <c r="AL13" s="67">
        <v>210.5</v>
      </c>
      <c r="AM13" s="67">
        <v>210</v>
      </c>
      <c r="AN13" s="67">
        <v>80.5</v>
      </c>
      <c r="AO13" s="67">
        <v>88.5</v>
      </c>
      <c r="AP13" s="67">
        <v>276.5</v>
      </c>
      <c r="AQ13" s="67">
        <v>316</v>
      </c>
      <c r="AR13" s="67">
        <v>122.5</v>
      </c>
      <c r="AS13" s="73"/>
      <c r="AT13" s="66">
        <v>42614</v>
      </c>
      <c r="AU13" s="67">
        <v>71</v>
      </c>
      <c r="AV13" s="67">
        <v>72.5</v>
      </c>
      <c r="AW13" s="67">
        <v>19</v>
      </c>
      <c r="AX13" s="67">
        <v>17.5</v>
      </c>
      <c r="AY13" s="67">
        <v>145</v>
      </c>
      <c r="AZ13" s="67">
        <v>174</v>
      </c>
      <c r="BA13" s="67">
        <v>39</v>
      </c>
    </row>
    <row r="14" spans="1:53" customFormat="1" x14ac:dyDescent="0.25">
      <c r="A14" s="66">
        <v>42644</v>
      </c>
      <c r="B14" s="74">
        <v>4049360.5541822868</v>
      </c>
      <c r="C14" s="74">
        <v>1811623.0493268815</v>
      </c>
      <c r="D14" s="74">
        <v>973843.30598831829</v>
      </c>
      <c r="E14" s="74">
        <v>744948.09050251311</v>
      </c>
      <c r="F14" s="75">
        <v>2532129.9671736439</v>
      </c>
      <c r="G14" s="75">
        <v>226242.11954569304</v>
      </c>
      <c r="H14" s="75">
        <v>330885.91328066291</v>
      </c>
      <c r="I14" s="73"/>
      <c r="J14" s="66">
        <v>42644</v>
      </c>
      <c r="K14" s="74">
        <v>1934761.5153056988</v>
      </c>
      <c r="L14" s="74">
        <v>1302167.0757277631</v>
      </c>
      <c r="M14" s="74">
        <v>1021792.744377513</v>
      </c>
      <c r="N14" s="74">
        <v>1627835.6645890255</v>
      </c>
      <c r="O14" s="75">
        <v>1476627.3449838711</v>
      </c>
      <c r="P14" s="75">
        <v>194561.35233393399</v>
      </c>
      <c r="Q14" s="75">
        <v>345549.30268219486</v>
      </c>
      <c r="R14" s="73"/>
      <c r="S14" s="66">
        <v>42644</v>
      </c>
      <c r="T14" s="67">
        <v>80833</v>
      </c>
      <c r="U14" s="67">
        <v>37854</v>
      </c>
      <c r="V14" s="67">
        <v>37481</v>
      </c>
      <c r="W14" s="67">
        <v>26092</v>
      </c>
      <c r="X14" s="67">
        <v>43209</v>
      </c>
      <c r="Y14" s="67">
        <v>7025</v>
      </c>
      <c r="Z14" s="67">
        <v>10804</v>
      </c>
      <c r="AA14" s="73"/>
      <c r="AB14" s="66">
        <v>42644</v>
      </c>
      <c r="AC14" s="67">
        <v>9794</v>
      </c>
      <c r="AD14" s="67">
        <v>4858</v>
      </c>
      <c r="AE14" s="67">
        <v>5300</v>
      </c>
      <c r="AF14" s="67">
        <v>5595</v>
      </c>
      <c r="AG14" s="67">
        <v>6541</v>
      </c>
      <c r="AH14" s="67">
        <v>1412</v>
      </c>
      <c r="AI14" s="67">
        <v>1855</v>
      </c>
      <c r="AJ14" s="73"/>
      <c r="AK14" s="66">
        <v>42644</v>
      </c>
      <c r="AL14" s="67">
        <v>372.5</v>
      </c>
      <c r="AM14" s="67">
        <v>351.5</v>
      </c>
      <c r="AN14" s="67">
        <v>327.5</v>
      </c>
      <c r="AO14" s="67">
        <v>382.5</v>
      </c>
      <c r="AP14" s="67">
        <v>500</v>
      </c>
      <c r="AQ14" s="67">
        <v>582.5</v>
      </c>
      <c r="AR14" s="67">
        <v>380.5</v>
      </c>
      <c r="AS14" s="73"/>
      <c r="AT14" s="66">
        <v>42644</v>
      </c>
      <c r="AU14" s="67">
        <v>217.5</v>
      </c>
      <c r="AV14" s="67">
        <v>196.5</v>
      </c>
      <c r="AW14" s="67">
        <v>176</v>
      </c>
      <c r="AX14" s="67">
        <v>231.5</v>
      </c>
      <c r="AY14" s="67">
        <v>349</v>
      </c>
      <c r="AZ14" s="67">
        <v>427.5</v>
      </c>
      <c r="BA14" s="67">
        <v>227.5</v>
      </c>
    </row>
    <row r="15" spans="1:53" customFormat="1" x14ac:dyDescent="0.25">
      <c r="A15" s="66">
        <v>42675</v>
      </c>
      <c r="B15" s="74">
        <v>5801439.4191549271</v>
      </c>
      <c r="C15" s="74">
        <v>2722010.8844841295</v>
      </c>
      <c r="D15" s="74">
        <v>1710921.8833101708</v>
      </c>
      <c r="E15" s="74">
        <v>1567143.8130507725</v>
      </c>
      <c r="F15" s="75">
        <v>3539336.3503245148</v>
      </c>
      <c r="G15" s="75">
        <v>394547.89419397013</v>
      </c>
      <c r="H15" s="75">
        <v>569347.75548151508</v>
      </c>
      <c r="I15" s="73"/>
      <c r="J15" s="66">
        <v>42675</v>
      </c>
      <c r="K15" s="74">
        <v>2450223.1004372085</v>
      </c>
      <c r="L15" s="74">
        <v>1602861.9118972276</v>
      </c>
      <c r="M15" s="74">
        <v>1405400.3313354885</v>
      </c>
      <c r="N15" s="74">
        <v>2049458.6563300751</v>
      </c>
      <c r="O15" s="75">
        <v>1902132.8531534527</v>
      </c>
      <c r="P15" s="75">
        <v>303731.18161531142</v>
      </c>
      <c r="Q15" s="75">
        <v>496558.96523123595</v>
      </c>
      <c r="R15" s="73"/>
      <c r="S15" s="66">
        <v>42675</v>
      </c>
      <c r="T15" s="67">
        <v>81023</v>
      </c>
      <c r="U15" s="67">
        <v>38007</v>
      </c>
      <c r="V15" s="67">
        <v>37709</v>
      </c>
      <c r="W15" s="67">
        <v>26325</v>
      </c>
      <c r="X15" s="67">
        <v>43400</v>
      </c>
      <c r="Y15" s="67">
        <v>7086</v>
      </c>
      <c r="Z15" s="67">
        <v>10885</v>
      </c>
      <c r="AA15" s="73"/>
      <c r="AB15" s="66">
        <v>42675</v>
      </c>
      <c r="AC15" s="67">
        <v>9821</v>
      </c>
      <c r="AD15" s="67">
        <v>4881</v>
      </c>
      <c r="AE15" s="67">
        <v>5344</v>
      </c>
      <c r="AF15" s="67">
        <v>5641</v>
      </c>
      <c r="AG15" s="67">
        <v>6572</v>
      </c>
      <c r="AH15" s="67">
        <v>1420</v>
      </c>
      <c r="AI15" s="67">
        <v>1862</v>
      </c>
      <c r="AJ15" s="73"/>
      <c r="AK15" s="66">
        <v>42675</v>
      </c>
      <c r="AL15" s="67">
        <v>439.5</v>
      </c>
      <c r="AM15" s="67">
        <v>432</v>
      </c>
      <c r="AN15" s="67">
        <v>489.5</v>
      </c>
      <c r="AO15" s="67">
        <v>568.5</v>
      </c>
      <c r="AP15" s="67">
        <v>621</v>
      </c>
      <c r="AQ15" s="67">
        <v>753</v>
      </c>
      <c r="AR15" s="67">
        <v>542.5</v>
      </c>
      <c r="AS15" s="73"/>
      <c r="AT15" s="66">
        <v>42675</v>
      </c>
      <c r="AU15" s="67">
        <v>290</v>
      </c>
      <c r="AV15" s="67">
        <v>282</v>
      </c>
      <c r="AW15" s="67">
        <v>339.5</v>
      </c>
      <c r="AX15" s="67">
        <v>418.5</v>
      </c>
      <c r="AY15" s="67">
        <v>471</v>
      </c>
      <c r="AZ15" s="67">
        <v>603</v>
      </c>
      <c r="BA15" s="67">
        <v>392.5</v>
      </c>
    </row>
    <row r="16" spans="1:53" customFormat="1" x14ac:dyDescent="0.25">
      <c r="A16" s="66">
        <v>42705</v>
      </c>
      <c r="B16" s="74">
        <v>11588883.171130495</v>
      </c>
      <c r="C16" s="74">
        <v>5285341.6617803611</v>
      </c>
      <c r="D16" s="74">
        <v>4396032.0050046481</v>
      </c>
      <c r="E16" s="74">
        <v>3659829.1620844943</v>
      </c>
      <c r="F16" s="75">
        <v>7306789.1765379161</v>
      </c>
      <c r="G16" s="75">
        <v>970066.5565104374</v>
      </c>
      <c r="H16" s="75">
        <v>1377566.266951646</v>
      </c>
      <c r="I16" s="73"/>
      <c r="J16" s="66">
        <v>42705</v>
      </c>
      <c r="K16" s="74">
        <v>5090402.3990553003</v>
      </c>
      <c r="L16" s="74">
        <v>3160296.020080342</v>
      </c>
      <c r="M16" s="74">
        <v>3237819.7773428792</v>
      </c>
      <c r="N16" s="74">
        <v>4419314.8035214785</v>
      </c>
      <c r="O16" s="75">
        <v>3787513.4154128721</v>
      </c>
      <c r="P16" s="75">
        <v>798173.74976471858</v>
      </c>
      <c r="Q16" s="75">
        <v>1236492.8348224093</v>
      </c>
      <c r="R16" s="73"/>
      <c r="S16" s="66">
        <v>42705</v>
      </c>
      <c r="T16" s="67">
        <v>81270</v>
      </c>
      <c r="U16" s="67">
        <v>38143</v>
      </c>
      <c r="V16" s="67">
        <v>37893</v>
      </c>
      <c r="W16" s="67">
        <v>26509</v>
      </c>
      <c r="X16" s="67">
        <v>43556</v>
      </c>
      <c r="Y16" s="67">
        <v>7142</v>
      </c>
      <c r="Z16" s="67">
        <v>10976</v>
      </c>
      <c r="AA16" s="73"/>
      <c r="AB16" s="66">
        <v>42705</v>
      </c>
      <c r="AC16" s="67">
        <v>9899</v>
      </c>
      <c r="AD16" s="67">
        <v>4924</v>
      </c>
      <c r="AE16" s="67">
        <v>5382</v>
      </c>
      <c r="AF16" s="67">
        <v>5690</v>
      </c>
      <c r="AG16" s="67">
        <v>6611</v>
      </c>
      <c r="AH16" s="67">
        <v>1430</v>
      </c>
      <c r="AI16" s="67">
        <v>1877</v>
      </c>
      <c r="AJ16" s="73"/>
      <c r="AK16" s="66">
        <v>42705</v>
      </c>
      <c r="AL16" s="67">
        <v>955.5</v>
      </c>
      <c r="AM16" s="67">
        <v>814.5</v>
      </c>
      <c r="AN16" s="67">
        <v>1098</v>
      </c>
      <c r="AO16" s="67">
        <v>1217</v>
      </c>
      <c r="AP16" s="67">
        <v>1264</v>
      </c>
      <c r="AQ16" s="67">
        <v>1562</v>
      </c>
      <c r="AR16" s="67">
        <v>1144.5</v>
      </c>
      <c r="AS16" s="73"/>
      <c r="AT16" s="66">
        <v>42705</v>
      </c>
      <c r="AU16" s="67">
        <v>800.5</v>
      </c>
      <c r="AV16" s="67">
        <v>659.5</v>
      </c>
      <c r="AW16" s="67">
        <v>943</v>
      </c>
      <c r="AX16" s="67">
        <v>1062</v>
      </c>
      <c r="AY16" s="67">
        <v>1109</v>
      </c>
      <c r="AZ16" s="67">
        <v>1407</v>
      </c>
      <c r="BA16" s="67">
        <v>989.5</v>
      </c>
    </row>
    <row r="17" spans="1:53" customFormat="1" x14ac:dyDescent="0.25">
      <c r="A17" s="66">
        <v>42736</v>
      </c>
      <c r="B17" s="74">
        <v>10901360.220212745</v>
      </c>
      <c r="C17" s="74">
        <v>5001477.036508318</v>
      </c>
      <c r="D17" s="74">
        <v>5177733.5230191508</v>
      </c>
      <c r="E17" s="74">
        <v>4073811.2202597866</v>
      </c>
      <c r="F17" s="75">
        <v>5949468.430081117</v>
      </c>
      <c r="G17" s="75">
        <v>1004553.9497821912</v>
      </c>
      <c r="H17" s="75">
        <v>1322020.6201366917</v>
      </c>
      <c r="I17" s="73"/>
      <c r="J17" s="66">
        <v>42736</v>
      </c>
      <c r="K17" s="74">
        <v>5285668.6847232962</v>
      </c>
      <c r="L17" s="74">
        <v>3252608.2753792899</v>
      </c>
      <c r="M17" s="74">
        <v>4248374.9563425854</v>
      </c>
      <c r="N17" s="74">
        <v>5245348.0835548285</v>
      </c>
      <c r="O17" s="75">
        <v>3939609.6729814378</v>
      </c>
      <c r="P17" s="75">
        <v>1019444.8589589722</v>
      </c>
      <c r="Q17" s="75">
        <v>1307417.4680595901</v>
      </c>
      <c r="R17" s="73"/>
      <c r="S17" s="66">
        <v>42736</v>
      </c>
      <c r="T17" s="67">
        <v>81390</v>
      </c>
      <c r="U17" s="67">
        <v>38215</v>
      </c>
      <c r="V17" s="67">
        <v>37977</v>
      </c>
      <c r="W17" s="67">
        <v>26557</v>
      </c>
      <c r="X17" s="67">
        <v>43631</v>
      </c>
      <c r="Y17" s="67">
        <v>7156</v>
      </c>
      <c r="Z17" s="67">
        <v>11011</v>
      </c>
      <c r="AA17" s="73"/>
      <c r="AB17" s="66">
        <v>42736</v>
      </c>
      <c r="AC17" s="67">
        <v>9924</v>
      </c>
      <c r="AD17" s="67">
        <v>4948</v>
      </c>
      <c r="AE17" s="67">
        <v>5396</v>
      </c>
      <c r="AF17" s="67">
        <v>5704</v>
      </c>
      <c r="AG17" s="67">
        <v>6619</v>
      </c>
      <c r="AH17" s="67">
        <v>1432</v>
      </c>
      <c r="AI17" s="67">
        <v>1887</v>
      </c>
      <c r="AJ17" s="73"/>
      <c r="AK17" s="66">
        <v>42736</v>
      </c>
      <c r="AL17" s="67">
        <v>914</v>
      </c>
      <c r="AM17" s="67">
        <v>805</v>
      </c>
      <c r="AN17" s="67">
        <v>1321.5</v>
      </c>
      <c r="AO17" s="67">
        <v>1295.5</v>
      </c>
      <c r="AP17" s="67">
        <v>1329.5</v>
      </c>
      <c r="AQ17" s="67">
        <v>1611.5</v>
      </c>
      <c r="AR17" s="67">
        <v>1317</v>
      </c>
      <c r="AS17" s="73"/>
      <c r="AT17" s="66">
        <v>42736</v>
      </c>
      <c r="AU17" s="67">
        <v>759</v>
      </c>
      <c r="AV17" s="67">
        <v>650</v>
      </c>
      <c r="AW17" s="67">
        <v>1166.5</v>
      </c>
      <c r="AX17" s="67">
        <v>1140.5</v>
      </c>
      <c r="AY17" s="67">
        <v>1174.5</v>
      </c>
      <c r="AZ17" s="67">
        <v>1456.5</v>
      </c>
      <c r="BA17" s="67">
        <v>1162</v>
      </c>
    </row>
    <row r="18" spans="1:53" customFormat="1" x14ac:dyDescent="0.25">
      <c r="A18" s="66">
        <v>42767</v>
      </c>
      <c r="B18" s="74">
        <v>7585220.7224966027</v>
      </c>
      <c r="C18" s="74">
        <v>3388232.1994231632</v>
      </c>
      <c r="D18" s="74">
        <v>3717994.1189060328</v>
      </c>
      <c r="E18" s="74">
        <v>3148861.9591742009</v>
      </c>
      <c r="F18" s="75">
        <v>4778958.0980158942</v>
      </c>
      <c r="G18" s="75">
        <v>732929.77442320168</v>
      </c>
      <c r="H18" s="75">
        <v>1146335.1275609042</v>
      </c>
      <c r="I18" s="73"/>
      <c r="J18" s="66">
        <v>42767</v>
      </c>
      <c r="K18" s="74">
        <v>3890464.4918025471</v>
      </c>
      <c r="L18" s="74">
        <v>2349064.0428709937</v>
      </c>
      <c r="M18" s="74">
        <v>3087731.6607850948</v>
      </c>
      <c r="N18" s="74">
        <v>3948767.8045413643</v>
      </c>
      <c r="O18" s="75">
        <v>2894895.1639020308</v>
      </c>
      <c r="P18" s="75">
        <v>713163.54853708716</v>
      </c>
      <c r="Q18" s="75">
        <v>1008726.287560882</v>
      </c>
      <c r="R18" s="73"/>
      <c r="S18" s="66">
        <v>42767</v>
      </c>
      <c r="T18" s="67">
        <v>81454</v>
      </c>
      <c r="U18" s="67">
        <v>38261</v>
      </c>
      <c r="V18" s="67">
        <v>38036</v>
      </c>
      <c r="W18" s="67">
        <v>26562</v>
      </c>
      <c r="X18" s="67">
        <v>43705</v>
      </c>
      <c r="Y18" s="67">
        <v>7149</v>
      </c>
      <c r="Z18" s="67">
        <v>11019</v>
      </c>
      <c r="AA18" s="73"/>
      <c r="AB18" s="66">
        <v>42767</v>
      </c>
      <c r="AC18" s="67">
        <v>9928</v>
      </c>
      <c r="AD18" s="67">
        <v>4941</v>
      </c>
      <c r="AE18" s="67">
        <v>5410</v>
      </c>
      <c r="AF18" s="67">
        <v>5702</v>
      </c>
      <c r="AG18" s="67">
        <v>6628</v>
      </c>
      <c r="AH18" s="67">
        <v>1427</v>
      </c>
      <c r="AI18" s="67">
        <v>1884</v>
      </c>
      <c r="AJ18" s="73"/>
      <c r="AK18" s="66">
        <v>42767</v>
      </c>
      <c r="AL18" s="67">
        <v>751.5</v>
      </c>
      <c r="AM18" s="67">
        <v>655.5</v>
      </c>
      <c r="AN18" s="67">
        <v>801.5</v>
      </c>
      <c r="AO18" s="67">
        <v>927</v>
      </c>
      <c r="AP18" s="67">
        <v>841</v>
      </c>
      <c r="AQ18" s="67">
        <v>910.5</v>
      </c>
      <c r="AR18" s="67">
        <v>835</v>
      </c>
      <c r="AS18" s="73"/>
      <c r="AT18" s="66">
        <v>42767</v>
      </c>
      <c r="AU18" s="67">
        <v>611.5</v>
      </c>
      <c r="AV18" s="67">
        <v>515.5</v>
      </c>
      <c r="AW18" s="67">
        <v>661.5</v>
      </c>
      <c r="AX18" s="67">
        <v>787</v>
      </c>
      <c r="AY18" s="67">
        <v>701</v>
      </c>
      <c r="AZ18" s="67">
        <v>770.5</v>
      </c>
      <c r="BA18" s="67">
        <v>695</v>
      </c>
    </row>
    <row r="19" spans="1:53" customFormat="1" x14ac:dyDescent="0.25">
      <c r="A19" s="66">
        <v>42795</v>
      </c>
      <c r="B19" s="74">
        <v>6493877.7049046084</v>
      </c>
      <c r="C19" s="74">
        <v>3001764.8691170057</v>
      </c>
      <c r="D19" s="74">
        <v>2726825.8637332469</v>
      </c>
      <c r="E19" s="74">
        <v>2191073.5622451385</v>
      </c>
      <c r="F19" s="75">
        <v>3539377.6920906268</v>
      </c>
      <c r="G19" s="75">
        <v>485022.59064457583</v>
      </c>
      <c r="H19" s="75">
        <v>703725.71726479707</v>
      </c>
      <c r="I19" s="73"/>
      <c r="J19" s="66">
        <v>42795</v>
      </c>
      <c r="K19" s="74">
        <v>2971893.0370475147</v>
      </c>
      <c r="L19" s="74">
        <v>1830450.4187569232</v>
      </c>
      <c r="M19" s="74">
        <v>2034927.642907232</v>
      </c>
      <c r="N19" s="74">
        <v>2522200.9012883306</v>
      </c>
      <c r="O19" s="75">
        <v>1979002.6012899082</v>
      </c>
      <c r="P19" s="75">
        <v>427206.40354634775</v>
      </c>
      <c r="Q19" s="75">
        <v>591851.99516374408</v>
      </c>
      <c r="R19" s="73"/>
      <c r="S19" s="66">
        <v>42795</v>
      </c>
      <c r="T19" s="67">
        <v>81515</v>
      </c>
      <c r="U19" s="67">
        <v>38301</v>
      </c>
      <c r="V19" s="67">
        <v>38121</v>
      </c>
      <c r="W19" s="67">
        <v>26485</v>
      </c>
      <c r="X19" s="67">
        <v>43798</v>
      </c>
      <c r="Y19" s="67">
        <v>7129</v>
      </c>
      <c r="Z19" s="67">
        <v>11007</v>
      </c>
      <c r="AA19" s="73"/>
      <c r="AB19" s="66">
        <v>42795</v>
      </c>
      <c r="AC19" s="67">
        <v>9912</v>
      </c>
      <c r="AD19" s="67">
        <v>4954</v>
      </c>
      <c r="AE19" s="67">
        <v>5406</v>
      </c>
      <c r="AF19" s="67">
        <v>5681</v>
      </c>
      <c r="AG19" s="67">
        <v>6619</v>
      </c>
      <c r="AH19" s="67">
        <v>1428</v>
      </c>
      <c r="AI19" s="67">
        <v>1880</v>
      </c>
      <c r="AJ19" s="73"/>
      <c r="AK19" s="66">
        <v>42795</v>
      </c>
      <c r="AL19" s="67">
        <v>613</v>
      </c>
      <c r="AM19" s="67">
        <v>611</v>
      </c>
      <c r="AN19" s="67">
        <v>516.5</v>
      </c>
      <c r="AO19" s="67">
        <v>595.5</v>
      </c>
      <c r="AP19" s="67">
        <v>686.5</v>
      </c>
      <c r="AQ19" s="67">
        <v>740.5</v>
      </c>
      <c r="AR19" s="67">
        <v>594.5</v>
      </c>
      <c r="AS19" s="73"/>
      <c r="AT19" s="66">
        <v>42795</v>
      </c>
      <c r="AU19" s="67">
        <v>458</v>
      </c>
      <c r="AV19" s="67">
        <v>456</v>
      </c>
      <c r="AW19" s="67">
        <v>361.5</v>
      </c>
      <c r="AX19" s="67">
        <v>440.5</v>
      </c>
      <c r="AY19" s="67">
        <v>531.5</v>
      </c>
      <c r="AZ19" s="67">
        <v>585.5</v>
      </c>
      <c r="BA19" s="67">
        <v>439.5</v>
      </c>
    </row>
    <row r="20" spans="1:53" x14ac:dyDescent="0.25">
      <c r="I20" s="79"/>
      <c r="R20" s="79"/>
      <c r="AA20" s="79"/>
      <c r="AJ20" s="79"/>
      <c r="AS20" s="79"/>
    </row>
    <row r="21" spans="1:53" x14ac:dyDescent="0.25">
      <c r="I21" s="79"/>
      <c r="R21" s="79"/>
      <c r="AA21" s="79"/>
      <c r="AJ21" s="79"/>
      <c r="AS21" s="79"/>
    </row>
    <row r="22" spans="1:53" x14ac:dyDescent="0.25">
      <c r="I22" s="79"/>
      <c r="R22" s="79"/>
      <c r="AA22" s="79"/>
      <c r="AJ22" s="79"/>
      <c r="AS22" s="79"/>
    </row>
    <row r="23" spans="1:53" x14ac:dyDescent="0.25">
      <c r="I23" s="79"/>
      <c r="R23" s="79"/>
      <c r="AA23" s="79"/>
      <c r="AJ23" s="79"/>
      <c r="AS23" s="79"/>
    </row>
    <row r="24" spans="1:53" x14ac:dyDescent="0.25">
      <c r="I24" s="79"/>
      <c r="R24" s="79"/>
      <c r="AA24" s="79"/>
      <c r="AJ24" s="79"/>
      <c r="AS24" s="79"/>
    </row>
    <row r="25" spans="1:53" x14ac:dyDescent="0.25">
      <c r="I25" s="79"/>
      <c r="R25" s="79"/>
      <c r="AA25" s="79"/>
      <c r="AJ25" s="79"/>
      <c r="AS25" s="79"/>
    </row>
    <row r="26" spans="1:53" x14ac:dyDescent="0.25">
      <c r="I26" s="79"/>
      <c r="R26" s="79"/>
      <c r="AA26" s="79"/>
      <c r="AJ26" s="79"/>
      <c r="AS26" s="79"/>
    </row>
    <row r="27" spans="1:53" x14ac:dyDescent="0.25">
      <c r="I27" s="79"/>
      <c r="R27" s="79"/>
      <c r="AA27" s="79"/>
      <c r="AJ27" s="79"/>
      <c r="AS27" s="79"/>
    </row>
    <row r="28" spans="1:53" x14ac:dyDescent="0.25">
      <c r="I28" s="79"/>
      <c r="R28" s="79"/>
      <c r="AA28" s="79"/>
      <c r="AJ28" s="79"/>
      <c r="AS28" s="79"/>
    </row>
    <row r="29" spans="1:53" x14ac:dyDescent="0.25">
      <c r="I29" s="79"/>
      <c r="R29" s="79"/>
      <c r="AA29" s="79"/>
      <c r="AJ29" s="79"/>
      <c r="AS29" s="79"/>
    </row>
    <row r="30" spans="1:53" x14ac:dyDescent="0.25">
      <c r="I30" s="79"/>
      <c r="R30" s="79"/>
      <c r="AA30" s="79"/>
      <c r="AJ30" s="79"/>
      <c r="AS30" s="79"/>
    </row>
    <row r="31" spans="1:53" x14ac:dyDescent="0.25">
      <c r="I31" s="79"/>
      <c r="R31" s="79"/>
      <c r="AA31" s="79"/>
      <c r="AJ31" s="79"/>
      <c r="AS31" s="79"/>
    </row>
    <row r="32" spans="1:53" x14ac:dyDescent="0.25">
      <c r="I32" s="79"/>
      <c r="R32" s="79"/>
      <c r="AA32" s="79"/>
      <c r="AJ32" s="79"/>
      <c r="AS32" s="79"/>
    </row>
    <row r="33" spans="9:45" x14ac:dyDescent="0.25">
      <c r="I33" s="79"/>
      <c r="R33" s="79"/>
      <c r="AA33" s="79"/>
      <c r="AJ33" s="79"/>
      <c r="AS33" s="79"/>
    </row>
    <row r="34" spans="9:45" x14ac:dyDescent="0.25">
      <c r="I34" s="79"/>
      <c r="R34" s="79"/>
      <c r="AA34" s="79"/>
      <c r="AJ34" s="79"/>
      <c r="AS34" s="79"/>
    </row>
    <row r="35" spans="9:45" x14ac:dyDescent="0.25">
      <c r="I35" s="79"/>
      <c r="R35" s="79"/>
      <c r="AA35" s="79"/>
      <c r="AJ35" s="79"/>
      <c r="AS35" s="79"/>
    </row>
    <row r="36" spans="9:45" x14ac:dyDescent="0.25">
      <c r="I36" s="79"/>
      <c r="R36" s="79"/>
      <c r="AA36" s="79"/>
      <c r="AJ36" s="79"/>
      <c r="AS36" s="79"/>
    </row>
    <row r="37" spans="9:45" x14ac:dyDescent="0.25">
      <c r="I37" s="79"/>
      <c r="R37" s="79"/>
      <c r="AA37" s="79"/>
      <c r="AJ37" s="79"/>
      <c r="AS37" s="79"/>
    </row>
    <row r="38" spans="9:45" x14ac:dyDescent="0.25">
      <c r="I38" s="79"/>
      <c r="R38" s="79"/>
      <c r="AA38" s="79"/>
      <c r="AJ38" s="79"/>
      <c r="AS38" s="79"/>
    </row>
    <row r="39" spans="9:45" x14ac:dyDescent="0.25">
      <c r="I39" s="79"/>
      <c r="R39" s="79"/>
      <c r="AA39" s="79"/>
      <c r="AJ39" s="79"/>
      <c r="AS39" s="79"/>
    </row>
    <row r="40" spans="9:45" x14ac:dyDescent="0.25">
      <c r="I40" s="79"/>
      <c r="R40" s="79"/>
      <c r="AA40" s="79"/>
      <c r="AJ40" s="79"/>
      <c r="AS40" s="79"/>
    </row>
    <row r="41" spans="9:45" x14ac:dyDescent="0.25">
      <c r="I41" s="79"/>
      <c r="R41" s="79"/>
      <c r="AA41" s="79"/>
      <c r="AJ41" s="79"/>
      <c r="AS41" s="79"/>
    </row>
    <row r="42" spans="9:45" x14ac:dyDescent="0.25">
      <c r="I42" s="79"/>
      <c r="R42" s="79"/>
      <c r="AA42" s="79"/>
      <c r="AJ42" s="79"/>
      <c r="AS42" s="79"/>
    </row>
    <row r="43" spans="9:45" x14ac:dyDescent="0.25">
      <c r="I43" s="79"/>
      <c r="R43" s="79"/>
      <c r="AA43" s="79"/>
      <c r="AJ43" s="79"/>
      <c r="AS43" s="79"/>
    </row>
    <row r="44" spans="9:45" x14ac:dyDescent="0.25">
      <c r="I44" s="79"/>
      <c r="R44" s="79"/>
      <c r="AA44" s="79"/>
      <c r="AJ44" s="79"/>
      <c r="AS44" s="79"/>
    </row>
    <row r="45" spans="9:45" x14ac:dyDescent="0.25">
      <c r="I45" s="79"/>
      <c r="R45" s="79"/>
      <c r="AA45" s="79"/>
      <c r="AJ45" s="79"/>
      <c r="AS45" s="79"/>
    </row>
    <row r="46" spans="9:45" x14ac:dyDescent="0.25">
      <c r="I46" s="79"/>
      <c r="R46" s="79"/>
      <c r="AA46" s="79"/>
      <c r="AJ46" s="79"/>
      <c r="AS46" s="79"/>
    </row>
    <row r="47" spans="9:45" x14ac:dyDescent="0.25">
      <c r="I47" s="79"/>
      <c r="R47" s="79"/>
      <c r="AA47" s="79"/>
      <c r="AJ47" s="79"/>
      <c r="AS47" s="79"/>
    </row>
    <row r="48" spans="9:45" x14ac:dyDescent="0.25">
      <c r="I48" s="79"/>
      <c r="R48" s="79"/>
      <c r="AA48" s="79"/>
      <c r="AJ48" s="79"/>
      <c r="AS48" s="79"/>
    </row>
    <row r="49" spans="9:45" x14ac:dyDescent="0.25">
      <c r="I49" s="79"/>
      <c r="R49" s="79"/>
      <c r="AA49" s="79"/>
      <c r="AJ49" s="79"/>
      <c r="AS49" s="79"/>
    </row>
    <row r="50" spans="9:45" x14ac:dyDescent="0.25">
      <c r="I50" s="79"/>
      <c r="R50" s="79"/>
      <c r="AA50" s="79"/>
      <c r="AJ50" s="79"/>
      <c r="AS50" s="79"/>
    </row>
    <row r="51" spans="9:45" x14ac:dyDescent="0.25">
      <c r="I51" s="79"/>
      <c r="R51" s="79"/>
      <c r="AA51" s="79"/>
      <c r="AJ51" s="79"/>
      <c r="AS51" s="79"/>
    </row>
    <row r="52" spans="9:45" x14ac:dyDescent="0.25">
      <c r="I52" s="79"/>
      <c r="R52" s="79"/>
      <c r="AA52" s="79"/>
      <c r="AJ52" s="79"/>
      <c r="AS52" s="79"/>
    </row>
    <row r="53" spans="9:45" x14ac:dyDescent="0.25">
      <c r="I53" s="79"/>
      <c r="R53" s="79"/>
      <c r="AA53" s="79"/>
      <c r="AJ53" s="79"/>
      <c r="AS53" s="79"/>
    </row>
    <row r="54" spans="9:45" x14ac:dyDescent="0.25">
      <c r="I54" s="79"/>
      <c r="R54" s="79"/>
      <c r="AA54" s="79"/>
      <c r="AJ54" s="79"/>
      <c r="AS54" s="79"/>
    </row>
    <row r="55" spans="9:45" x14ac:dyDescent="0.25">
      <c r="I55" s="79"/>
      <c r="R55" s="79"/>
      <c r="AA55" s="79"/>
      <c r="AJ55" s="79"/>
      <c r="AS55" s="79"/>
    </row>
    <row r="56" spans="9:45" x14ac:dyDescent="0.25">
      <c r="I56" s="79"/>
      <c r="R56" s="79"/>
      <c r="AA56" s="79"/>
      <c r="AJ56" s="79"/>
      <c r="AS56" s="79"/>
    </row>
    <row r="57" spans="9:45" x14ac:dyDescent="0.25">
      <c r="I57" s="79"/>
      <c r="R57" s="79"/>
      <c r="AA57" s="79"/>
      <c r="AJ57" s="79"/>
      <c r="AS57" s="79"/>
    </row>
    <row r="58" spans="9:45" x14ac:dyDescent="0.25">
      <c r="I58" s="79"/>
      <c r="R58" s="79"/>
      <c r="AA58" s="79"/>
      <c r="AJ58" s="79"/>
      <c r="AS58" s="79"/>
    </row>
    <row r="59" spans="9:45" x14ac:dyDescent="0.25">
      <c r="I59" s="79"/>
      <c r="R59" s="79"/>
      <c r="AA59" s="79"/>
      <c r="AJ59" s="79"/>
      <c r="AS59" s="79"/>
    </row>
    <row r="60" spans="9:45" x14ac:dyDescent="0.25">
      <c r="I60" s="79"/>
      <c r="R60" s="79"/>
      <c r="AA60" s="79"/>
      <c r="AJ60" s="79"/>
      <c r="AS60" s="79"/>
    </row>
    <row r="61" spans="9:45" x14ac:dyDescent="0.25">
      <c r="I61" s="79"/>
      <c r="R61" s="79"/>
      <c r="AA61" s="79"/>
      <c r="AJ61" s="79"/>
      <c r="AS61" s="79"/>
    </row>
    <row r="62" spans="9:45" x14ac:dyDescent="0.25">
      <c r="I62" s="79"/>
      <c r="R62" s="79"/>
      <c r="AA62" s="79"/>
      <c r="AJ62" s="79"/>
      <c r="AS62" s="79"/>
    </row>
    <row r="63" spans="9:45" x14ac:dyDescent="0.25">
      <c r="I63" s="79"/>
      <c r="R63" s="79"/>
      <c r="AA63" s="79"/>
      <c r="AJ63" s="79"/>
      <c r="AS63" s="79"/>
    </row>
    <row r="64" spans="9:45" x14ac:dyDescent="0.25">
      <c r="I64" s="79"/>
      <c r="R64" s="79"/>
      <c r="AA64" s="79"/>
      <c r="AJ64" s="79"/>
      <c r="AS64" s="79"/>
    </row>
    <row r="65" spans="9:45" x14ac:dyDescent="0.25">
      <c r="I65" s="79"/>
      <c r="R65" s="79"/>
      <c r="AA65" s="79"/>
      <c r="AJ65" s="79"/>
      <c r="AS65" s="79"/>
    </row>
    <row r="66" spans="9:45" x14ac:dyDescent="0.25">
      <c r="I66" s="79"/>
      <c r="R66" s="79"/>
      <c r="AA66" s="79"/>
      <c r="AJ66" s="79"/>
      <c r="AS66" s="79"/>
    </row>
    <row r="67" spans="9:45" x14ac:dyDescent="0.25">
      <c r="I67" s="79"/>
      <c r="R67" s="79"/>
      <c r="AA67" s="79"/>
      <c r="AJ67" s="79"/>
      <c r="AS67" s="79"/>
    </row>
    <row r="68" spans="9:45" x14ac:dyDescent="0.25">
      <c r="I68" s="79"/>
      <c r="R68" s="79"/>
      <c r="AA68" s="79"/>
      <c r="AJ68" s="79"/>
      <c r="AS68" s="79"/>
    </row>
    <row r="69" spans="9:45" x14ac:dyDescent="0.25">
      <c r="I69" s="79"/>
      <c r="R69" s="79"/>
      <c r="AA69" s="79"/>
      <c r="AJ69" s="79"/>
      <c r="AS69" s="79"/>
    </row>
    <row r="70" spans="9:45" x14ac:dyDescent="0.25">
      <c r="I70" s="79"/>
      <c r="R70" s="79"/>
      <c r="AA70" s="79"/>
      <c r="AJ70" s="79"/>
      <c r="AS70" s="79"/>
    </row>
    <row r="71" spans="9:45" x14ac:dyDescent="0.25">
      <c r="I71" s="79"/>
      <c r="R71" s="79"/>
      <c r="AA71" s="79"/>
      <c r="AJ71" s="79"/>
      <c r="AS71" s="79"/>
    </row>
    <row r="72" spans="9:45" x14ac:dyDescent="0.25">
      <c r="I72" s="79"/>
      <c r="R72" s="79"/>
      <c r="AA72" s="79"/>
      <c r="AJ72" s="79"/>
      <c r="AS72" s="79"/>
    </row>
    <row r="73" spans="9:45" x14ac:dyDescent="0.25">
      <c r="I73" s="79"/>
      <c r="R73" s="79"/>
      <c r="AA73" s="79"/>
      <c r="AJ73" s="79"/>
      <c r="AS73" s="79"/>
    </row>
    <row r="74" spans="9:45" x14ac:dyDescent="0.25">
      <c r="I74" s="79"/>
      <c r="R74" s="79"/>
      <c r="AA74" s="79"/>
      <c r="AJ74" s="79"/>
      <c r="AS74" s="79"/>
    </row>
    <row r="75" spans="9:45" x14ac:dyDescent="0.25">
      <c r="I75" s="79"/>
      <c r="R75" s="79"/>
      <c r="AA75" s="79"/>
      <c r="AJ75" s="79"/>
      <c r="AS75" s="79"/>
    </row>
    <row r="76" spans="9:45" x14ac:dyDescent="0.25">
      <c r="I76" s="79"/>
      <c r="R76" s="79"/>
      <c r="AA76" s="79"/>
      <c r="AJ76" s="79"/>
      <c r="AS76" s="79"/>
    </row>
    <row r="77" spans="9:45" x14ac:dyDescent="0.25">
      <c r="I77" s="79"/>
      <c r="R77" s="79"/>
      <c r="AA77" s="79"/>
      <c r="AJ77" s="79"/>
      <c r="AS77" s="79"/>
    </row>
    <row r="78" spans="9:45" x14ac:dyDescent="0.25">
      <c r="I78" s="79"/>
      <c r="R78" s="79"/>
      <c r="AA78" s="79"/>
      <c r="AJ78" s="79"/>
      <c r="AS78" s="79"/>
    </row>
    <row r="79" spans="9:45" x14ac:dyDescent="0.25">
      <c r="I79" s="79"/>
      <c r="R79" s="79"/>
      <c r="AA79" s="79"/>
      <c r="AJ79" s="79"/>
      <c r="AS79" s="79"/>
    </row>
    <row r="80" spans="9:45" x14ac:dyDescent="0.25">
      <c r="I80" s="79"/>
      <c r="R80" s="79"/>
      <c r="AA80" s="79"/>
      <c r="AJ80" s="79"/>
      <c r="AS80" s="79"/>
    </row>
    <row r="81" spans="9:45" x14ac:dyDescent="0.25">
      <c r="I81" s="79"/>
      <c r="R81" s="79"/>
      <c r="AA81" s="79"/>
      <c r="AJ81" s="79"/>
      <c r="AS81" s="79"/>
    </row>
    <row r="82" spans="9:45" x14ac:dyDescent="0.25">
      <c r="I82" s="79"/>
      <c r="R82" s="79"/>
      <c r="AA82" s="79"/>
      <c r="AJ82" s="79"/>
      <c r="AS82" s="79"/>
    </row>
    <row r="83" spans="9:45" x14ac:dyDescent="0.25">
      <c r="I83" s="79"/>
      <c r="R83" s="79"/>
      <c r="AA83" s="79"/>
      <c r="AJ83" s="79"/>
      <c r="AS83" s="79"/>
    </row>
    <row r="84" spans="9:45" x14ac:dyDescent="0.25">
      <c r="I84" s="79"/>
      <c r="R84" s="79"/>
      <c r="AA84" s="79"/>
      <c r="AJ84" s="79"/>
      <c r="AS84" s="79"/>
    </row>
    <row r="85" spans="9:45" x14ac:dyDescent="0.25">
      <c r="I85" s="79"/>
      <c r="R85" s="79"/>
      <c r="AA85" s="79"/>
      <c r="AJ85" s="79"/>
      <c r="AS85" s="79"/>
    </row>
    <row r="86" spans="9:45" x14ac:dyDescent="0.25">
      <c r="I86" s="79"/>
      <c r="R86" s="79"/>
      <c r="AA86" s="79"/>
      <c r="AJ86" s="79"/>
      <c r="AS86" s="79"/>
    </row>
    <row r="87" spans="9:45" x14ac:dyDescent="0.25">
      <c r="I87" s="79"/>
      <c r="R87" s="79"/>
      <c r="AA87" s="79"/>
      <c r="AJ87" s="79"/>
      <c r="AS87" s="79"/>
    </row>
    <row r="88" spans="9:45" x14ac:dyDescent="0.25">
      <c r="I88" s="79"/>
      <c r="R88" s="79"/>
      <c r="AA88" s="79"/>
      <c r="AJ88" s="79"/>
      <c r="AS88" s="79"/>
    </row>
    <row r="89" spans="9:45" x14ac:dyDescent="0.25">
      <c r="I89" s="79"/>
      <c r="R89" s="79"/>
      <c r="AA89" s="79"/>
      <c r="AJ89" s="79"/>
      <c r="AS89" s="79"/>
    </row>
    <row r="90" spans="9:45" x14ac:dyDescent="0.25">
      <c r="I90" s="79"/>
      <c r="R90" s="79"/>
      <c r="AA90" s="79"/>
      <c r="AJ90" s="79"/>
      <c r="AS90" s="79"/>
    </row>
    <row r="91" spans="9:45" x14ac:dyDescent="0.25">
      <c r="I91" s="79"/>
      <c r="R91" s="79"/>
      <c r="AA91" s="79"/>
      <c r="AJ91" s="79"/>
      <c r="AS91" s="79"/>
    </row>
    <row r="92" spans="9:45" x14ac:dyDescent="0.25">
      <c r="I92" s="79"/>
      <c r="R92" s="79"/>
      <c r="AA92" s="79"/>
      <c r="AJ92" s="79"/>
      <c r="AS92" s="79"/>
    </row>
    <row r="93" spans="9:45" x14ac:dyDescent="0.25">
      <c r="I93" s="79"/>
      <c r="R93" s="79"/>
      <c r="AA93" s="79"/>
      <c r="AJ93" s="79"/>
      <c r="AS93" s="79"/>
    </row>
    <row r="94" spans="9:45" x14ac:dyDescent="0.25">
      <c r="I94" s="79"/>
      <c r="R94" s="79"/>
      <c r="AA94" s="79"/>
      <c r="AJ94" s="79"/>
      <c r="AS94" s="79"/>
    </row>
    <row r="95" spans="9:45" x14ac:dyDescent="0.25">
      <c r="I95" s="79"/>
      <c r="R95" s="79"/>
      <c r="AA95" s="79"/>
      <c r="AJ95" s="79"/>
      <c r="AS95" s="79"/>
    </row>
    <row r="96" spans="9:45" x14ac:dyDescent="0.25">
      <c r="I96" s="79"/>
      <c r="R96" s="79"/>
      <c r="AA96" s="79"/>
      <c r="AJ96" s="79"/>
      <c r="AS96" s="79"/>
    </row>
    <row r="97" spans="9:45" x14ac:dyDescent="0.25">
      <c r="I97" s="79"/>
      <c r="R97" s="79"/>
      <c r="AA97" s="79"/>
      <c r="AJ97" s="79"/>
      <c r="AS97" s="79"/>
    </row>
    <row r="98" spans="9:45" x14ac:dyDescent="0.25">
      <c r="I98" s="79"/>
      <c r="R98" s="79"/>
      <c r="AA98" s="79"/>
      <c r="AJ98" s="79"/>
      <c r="AS98" s="79"/>
    </row>
    <row r="99" spans="9:45" x14ac:dyDescent="0.25">
      <c r="I99" s="79"/>
      <c r="R99" s="79"/>
      <c r="AA99" s="79"/>
      <c r="AJ99" s="79"/>
      <c r="AS99" s="79"/>
    </row>
    <row r="100" spans="9:45" x14ac:dyDescent="0.25">
      <c r="I100" s="79"/>
      <c r="R100" s="79"/>
      <c r="AA100" s="79"/>
      <c r="AJ100" s="79"/>
      <c r="AS100" s="79"/>
    </row>
    <row r="101" spans="9:45" x14ac:dyDescent="0.25">
      <c r="I101" s="79"/>
      <c r="R101" s="79"/>
      <c r="AA101" s="79"/>
      <c r="AJ101" s="79"/>
      <c r="AS101" s="79"/>
    </row>
    <row r="102" spans="9:45" x14ac:dyDescent="0.25">
      <c r="I102" s="79"/>
      <c r="R102" s="79"/>
      <c r="AA102" s="79"/>
      <c r="AJ102" s="79"/>
      <c r="AS102" s="79"/>
    </row>
    <row r="103" spans="9:45" x14ac:dyDescent="0.25">
      <c r="I103" s="79"/>
      <c r="R103" s="79"/>
      <c r="AA103" s="79"/>
      <c r="AJ103" s="79"/>
      <c r="AS103" s="79"/>
    </row>
    <row r="104" spans="9:45" x14ac:dyDescent="0.25">
      <c r="I104" s="79"/>
      <c r="R104" s="79"/>
      <c r="AA104" s="79"/>
      <c r="AJ104" s="79"/>
      <c r="AS104" s="79"/>
    </row>
    <row r="105" spans="9:45" x14ac:dyDescent="0.25">
      <c r="I105" s="79"/>
      <c r="R105" s="79"/>
      <c r="AA105" s="79"/>
      <c r="AJ105" s="79"/>
      <c r="AS105" s="79"/>
    </row>
    <row r="106" spans="9:45" x14ac:dyDescent="0.25">
      <c r="I106" s="79"/>
      <c r="R106" s="79"/>
      <c r="AA106" s="79"/>
      <c r="AJ106" s="79"/>
      <c r="AS106" s="79"/>
    </row>
    <row r="107" spans="9:45" x14ac:dyDescent="0.25">
      <c r="I107" s="79"/>
      <c r="R107" s="79"/>
      <c r="AA107" s="79"/>
      <c r="AJ107" s="79"/>
      <c r="AS107" s="79"/>
    </row>
    <row r="108" spans="9:45" x14ac:dyDescent="0.25">
      <c r="I108" s="79"/>
      <c r="R108" s="79"/>
      <c r="AA108" s="79"/>
      <c r="AJ108" s="79"/>
      <c r="AS108" s="79"/>
    </row>
    <row r="109" spans="9:45" x14ac:dyDescent="0.25">
      <c r="I109" s="79"/>
      <c r="R109" s="79"/>
      <c r="AA109" s="79"/>
      <c r="AJ109" s="79"/>
      <c r="AS109" s="79"/>
    </row>
    <row r="110" spans="9:45" x14ac:dyDescent="0.25">
      <c r="I110" s="79"/>
      <c r="R110" s="79"/>
      <c r="AA110" s="79"/>
      <c r="AJ110" s="79"/>
      <c r="AS110" s="79"/>
    </row>
    <row r="111" spans="9:45" x14ac:dyDescent="0.25">
      <c r="I111" s="79"/>
      <c r="R111" s="79"/>
      <c r="AA111" s="79"/>
      <c r="AJ111" s="79"/>
      <c r="AS111" s="79"/>
    </row>
    <row r="112" spans="9:45" x14ac:dyDescent="0.25">
      <c r="I112" s="79"/>
      <c r="R112" s="79"/>
      <c r="AA112" s="79"/>
      <c r="AJ112" s="79"/>
      <c r="AS112" s="79"/>
    </row>
    <row r="113" spans="9:45" x14ac:dyDescent="0.25">
      <c r="I113" s="79"/>
      <c r="R113" s="79"/>
      <c r="AA113" s="79"/>
      <c r="AJ113" s="79"/>
      <c r="AS113" s="79"/>
    </row>
    <row r="114" spans="9:45" x14ac:dyDescent="0.25">
      <c r="I114" s="79"/>
      <c r="R114" s="79"/>
      <c r="AA114" s="79"/>
      <c r="AJ114" s="79"/>
      <c r="AS114" s="79"/>
    </row>
    <row r="115" spans="9:45" x14ac:dyDescent="0.25">
      <c r="I115" s="79"/>
      <c r="R115" s="79"/>
      <c r="AA115" s="79"/>
      <c r="AJ115" s="79"/>
      <c r="AS115" s="79"/>
    </row>
    <row r="116" spans="9:45" x14ac:dyDescent="0.25">
      <c r="I116" s="79"/>
      <c r="R116" s="79"/>
      <c r="AA116" s="79"/>
      <c r="AJ116" s="79"/>
      <c r="AS116" s="79"/>
    </row>
    <row r="117" spans="9:45" x14ac:dyDescent="0.25">
      <c r="I117" s="79"/>
      <c r="R117" s="79"/>
      <c r="AA117" s="79"/>
      <c r="AJ117" s="79"/>
      <c r="AS117" s="79"/>
    </row>
    <row r="118" spans="9:45" x14ac:dyDescent="0.25">
      <c r="I118" s="79"/>
      <c r="R118" s="79"/>
      <c r="AA118" s="79"/>
      <c r="AJ118" s="79"/>
      <c r="AS118" s="79"/>
    </row>
    <row r="119" spans="9:45" x14ac:dyDescent="0.25">
      <c r="I119" s="79"/>
      <c r="R119" s="79"/>
      <c r="AA119" s="79"/>
      <c r="AJ119" s="79"/>
      <c r="AS119" s="79"/>
    </row>
    <row r="120" spans="9:45" x14ac:dyDescent="0.25">
      <c r="I120" s="79"/>
      <c r="R120" s="79"/>
      <c r="AA120" s="79"/>
      <c r="AJ120" s="79"/>
      <c r="AS120" s="79"/>
    </row>
    <row r="121" spans="9:45" x14ac:dyDescent="0.25">
      <c r="I121" s="79"/>
      <c r="R121" s="79"/>
      <c r="AA121" s="79"/>
      <c r="AJ121" s="79"/>
      <c r="AS121" s="79"/>
    </row>
    <row r="122" spans="9:45" x14ac:dyDescent="0.25">
      <c r="I122" s="79"/>
      <c r="R122" s="79"/>
      <c r="AA122" s="79"/>
      <c r="AJ122" s="79"/>
      <c r="AS122" s="79"/>
    </row>
    <row r="123" spans="9:45" x14ac:dyDescent="0.25">
      <c r="I123" s="79"/>
      <c r="R123" s="79"/>
      <c r="AA123" s="79"/>
      <c r="AJ123" s="79"/>
      <c r="AS123" s="79"/>
    </row>
    <row r="124" spans="9:45" x14ac:dyDescent="0.25">
      <c r="I124" s="79"/>
      <c r="R124" s="79"/>
      <c r="AA124" s="79"/>
      <c r="AJ124" s="79"/>
      <c r="AS124" s="79"/>
    </row>
    <row r="125" spans="9:45" x14ac:dyDescent="0.25">
      <c r="I125" s="79"/>
      <c r="R125" s="79"/>
      <c r="AA125" s="79"/>
      <c r="AJ125" s="79"/>
      <c r="AS125" s="79"/>
    </row>
    <row r="126" spans="9:45" x14ac:dyDescent="0.25">
      <c r="I126" s="79"/>
      <c r="R126" s="79"/>
      <c r="AA126" s="79"/>
      <c r="AJ126" s="79"/>
      <c r="AS126" s="79"/>
    </row>
    <row r="127" spans="9:45" x14ac:dyDescent="0.25">
      <c r="I127" s="79"/>
      <c r="R127" s="79"/>
      <c r="AA127" s="79"/>
      <c r="AJ127" s="79"/>
      <c r="AS127" s="79"/>
    </row>
  </sheetData>
  <mergeCells count="7">
    <mergeCell ref="A1:D2"/>
    <mergeCell ref="AK3:AR3"/>
    <mergeCell ref="AT3:BA3"/>
    <mergeCell ref="S3:Z3"/>
    <mergeCell ref="AB3:AI3"/>
    <mergeCell ref="B3:H3"/>
    <mergeCell ref="K3:Q3"/>
  </mergeCells>
  <printOptions horizontalCentered="1"/>
  <pageMargins left="0.7" right="0.7" top="0.75" bottom="0.75" header="0.3" footer="0.3"/>
  <pageSetup scale="85" orientation="landscape" r:id="rId1"/>
  <headerFooter scaleWithDoc="0" alignWithMargins="0">
    <oddHeader>&amp;RExhibit No. ___ (BR-4)
Data
Page &amp;P of 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workbookViewId="0">
      <selection activeCell="M1" sqref="A1:XFD1"/>
    </sheetView>
  </sheetViews>
  <sheetFormatPr defaultRowHeight="15" x14ac:dyDescent="0.25"/>
  <cols>
    <col min="1" max="8" width="9.140625" customWidth="1"/>
  </cols>
  <sheetData>
    <row r="1" spans="1:8" x14ac:dyDescent="0.25">
      <c r="A1" s="93" t="s">
        <v>41</v>
      </c>
      <c r="B1" s="93"/>
      <c r="C1" s="93"/>
      <c r="D1" s="93"/>
      <c r="E1" s="93"/>
      <c r="F1" s="93"/>
      <c r="G1" s="93"/>
      <c r="H1" s="93"/>
    </row>
    <row r="2" spans="1:8" x14ac:dyDescent="0.25">
      <c r="A2" t="s">
        <v>36</v>
      </c>
      <c r="B2" s="68" t="s">
        <v>32</v>
      </c>
      <c r="C2" s="68" t="s">
        <v>31</v>
      </c>
      <c r="D2" s="68" t="s">
        <v>30</v>
      </c>
      <c r="E2" s="68" t="s">
        <v>29</v>
      </c>
      <c r="F2" s="68" t="s">
        <v>34</v>
      </c>
      <c r="G2" s="68" t="s">
        <v>26</v>
      </c>
      <c r="H2" s="68" t="s">
        <v>33</v>
      </c>
    </row>
    <row r="3" spans="1:8" x14ac:dyDescent="0.25">
      <c r="A3" s="69">
        <v>1</v>
      </c>
      <c r="B3">
        <v>1057</v>
      </c>
      <c r="C3">
        <v>914</v>
      </c>
      <c r="D3">
        <v>694</v>
      </c>
      <c r="E3">
        <v>799</v>
      </c>
      <c r="F3">
        <v>921</v>
      </c>
      <c r="G3">
        <v>999</v>
      </c>
      <c r="H3">
        <v>1240</v>
      </c>
    </row>
    <row r="4" spans="1:8" x14ac:dyDescent="0.25">
      <c r="A4" s="69">
        <v>2</v>
      </c>
      <c r="B4">
        <v>809</v>
      </c>
      <c r="C4">
        <v>725</v>
      </c>
      <c r="D4">
        <v>599</v>
      </c>
      <c r="E4">
        <v>680</v>
      </c>
      <c r="F4">
        <v>742</v>
      </c>
      <c r="G4">
        <v>834</v>
      </c>
      <c r="H4">
        <v>995</v>
      </c>
    </row>
    <row r="5" spans="1:8" x14ac:dyDescent="0.25">
      <c r="A5" s="69">
        <v>3</v>
      </c>
      <c r="B5">
        <v>676</v>
      </c>
      <c r="C5">
        <v>580</v>
      </c>
      <c r="D5">
        <v>589</v>
      </c>
      <c r="E5">
        <v>644</v>
      </c>
      <c r="F5">
        <v>617</v>
      </c>
      <c r="G5">
        <v>777</v>
      </c>
      <c r="H5">
        <v>849</v>
      </c>
    </row>
    <row r="6" spans="1:8" x14ac:dyDescent="0.25">
      <c r="A6" s="69">
        <v>4</v>
      </c>
      <c r="B6">
        <v>477</v>
      </c>
      <c r="C6">
        <v>384</v>
      </c>
      <c r="D6">
        <v>488</v>
      </c>
      <c r="E6">
        <v>498</v>
      </c>
      <c r="F6">
        <v>432</v>
      </c>
      <c r="G6">
        <v>620</v>
      </c>
      <c r="H6">
        <v>646</v>
      </c>
    </row>
    <row r="7" spans="1:8" x14ac:dyDescent="0.25">
      <c r="A7" s="69">
        <v>5</v>
      </c>
      <c r="B7">
        <v>261</v>
      </c>
      <c r="C7">
        <v>208</v>
      </c>
      <c r="D7">
        <v>374</v>
      </c>
      <c r="E7">
        <v>345</v>
      </c>
      <c r="F7">
        <v>246</v>
      </c>
      <c r="G7">
        <v>427</v>
      </c>
      <c r="H7">
        <v>435</v>
      </c>
    </row>
    <row r="8" spans="1:8" x14ac:dyDescent="0.25">
      <c r="A8" s="69">
        <v>6</v>
      </c>
      <c r="B8">
        <v>98</v>
      </c>
      <c r="C8">
        <v>62</v>
      </c>
      <c r="D8">
        <v>247</v>
      </c>
      <c r="E8">
        <v>200</v>
      </c>
      <c r="F8">
        <v>83</v>
      </c>
      <c r="G8">
        <v>217</v>
      </c>
      <c r="H8">
        <v>225</v>
      </c>
    </row>
    <row r="9" spans="1:8" x14ac:dyDescent="0.25">
      <c r="A9" s="69">
        <v>7</v>
      </c>
      <c r="B9">
        <v>19</v>
      </c>
      <c r="C9">
        <v>2</v>
      </c>
      <c r="D9">
        <v>165</v>
      </c>
      <c r="E9">
        <v>101</v>
      </c>
      <c r="F9">
        <v>7</v>
      </c>
      <c r="G9">
        <v>68</v>
      </c>
      <c r="H9">
        <v>67</v>
      </c>
    </row>
    <row r="10" spans="1:8" x14ac:dyDescent="0.25">
      <c r="A10" s="69">
        <v>8</v>
      </c>
      <c r="B10">
        <v>28</v>
      </c>
      <c r="C10">
        <v>4</v>
      </c>
      <c r="D10">
        <v>153</v>
      </c>
      <c r="E10">
        <v>95</v>
      </c>
      <c r="F10">
        <v>8</v>
      </c>
      <c r="G10">
        <v>81</v>
      </c>
      <c r="H10">
        <v>80</v>
      </c>
    </row>
    <row r="11" spans="1:8" x14ac:dyDescent="0.25">
      <c r="A11" s="69">
        <v>9</v>
      </c>
      <c r="B11">
        <v>160</v>
      </c>
      <c r="C11">
        <v>86</v>
      </c>
      <c r="D11">
        <v>196</v>
      </c>
      <c r="E11">
        <v>235</v>
      </c>
      <c r="F11">
        <v>112</v>
      </c>
      <c r="G11">
        <v>250</v>
      </c>
      <c r="H11">
        <v>290</v>
      </c>
    </row>
    <row r="12" spans="1:8" x14ac:dyDescent="0.25">
      <c r="A12" s="69">
        <v>10</v>
      </c>
      <c r="B12">
        <v>496</v>
      </c>
      <c r="C12">
        <v>367</v>
      </c>
      <c r="D12">
        <v>395</v>
      </c>
      <c r="E12">
        <v>471</v>
      </c>
      <c r="F12">
        <v>407</v>
      </c>
      <c r="G12">
        <v>547</v>
      </c>
      <c r="H12">
        <v>637</v>
      </c>
    </row>
    <row r="13" spans="1:8" x14ac:dyDescent="0.25">
      <c r="A13" s="69">
        <v>11</v>
      </c>
      <c r="B13">
        <v>830</v>
      </c>
      <c r="C13">
        <v>694</v>
      </c>
      <c r="D13">
        <v>578</v>
      </c>
      <c r="E13">
        <v>654</v>
      </c>
      <c r="F13">
        <v>710</v>
      </c>
      <c r="G13">
        <v>829</v>
      </c>
      <c r="H13">
        <v>958</v>
      </c>
    </row>
    <row r="14" spans="1:8" x14ac:dyDescent="0.25">
      <c r="A14" s="69">
        <v>12</v>
      </c>
      <c r="B14">
        <v>1128</v>
      </c>
      <c r="C14">
        <v>975</v>
      </c>
      <c r="D14">
        <v>730</v>
      </c>
      <c r="E14">
        <v>827</v>
      </c>
      <c r="F14">
        <v>986</v>
      </c>
      <c r="G14">
        <v>1068</v>
      </c>
      <c r="H14">
        <v>1246</v>
      </c>
    </row>
    <row r="17" spans="1:8" x14ac:dyDescent="0.25">
      <c r="A17" t="s">
        <v>35</v>
      </c>
      <c r="B17" s="68" t="s">
        <v>32</v>
      </c>
      <c r="C17" s="68" t="s">
        <v>31</v>
      </c>
      <c r="D17" s="68" t="s">
        <v>30</v>
      </c>
      <c r="E17" s="68" t="s">
        <v>29</v>
      </c>
      <c r="F17" s="68" t="s">
        <v>34</v>
      </c>
      <c r="G17" s="68" t="s">
        <v>26</v>
      </c>
      <c r="H17" s="68" t="s">
        <v>33</v>
      </c>
    </row>
    <row r="18" spans="1:8" x14ac:dyDescent="0.25">
      <c r="A18" s="69">
        <v>1</v>
      </c>
      <c r="B18">
        <v>902</v>
      </c>
      <c r="C18">
        <v>759</v>
      </c>
      <c r="D18">
        <v>539</v>
      </c>
      <c r="E18">
        <v>644</v>
      </c>
      <c r="F18">
        <v>766</v>
      </c>
      <c r="G18">
        <v>845</v>
      </c>
      <c r="H18">
        <v>1085</v>
      </c>
    </row>
    <row r="19" spans="1:8" x14ac:dyDescent="0.25">
      <c r="A19" s="69">
        <v>2</v>
      </c>
      <c r="B19">
        <v>669</v>
      </c>
      <c r="C19">
        <v>586</v>
      </c>
      <c r="D19">
        <v>459</v>
      </c>
      <c r="E19">
        <v>540</v>
      </c>
      <c r="F19">
        <v>602</v>
      </c>
      <c r="G19">
        <v>694</v>
      </c>
      <c r="H19">
        <v>855</v>
      </c>
    </row>
    <row r="20" spans="1:8" x14ac:dyDescent="0.25">
      <c r="A20" s="69">
        <v>3</v>
      </c>
      <c r="B20">
        <v>522</v>
      </c>
      <c r="C20">
        <v>425</v>
      </c>
      <c r="D20">
        <v>434</v>
      </c>
      <c r="E20">
        <v>489</v>
      </c>
      <c r="F20">
        <v>462</v>
      </c>
      <c r="G20">
        <v>622</v>
      </c>
      <c r="H20">
        <v>694</v>
      </c>
    </row>
    <row r="21" spans="1:8" x14ac:dyDescent="0.25">
      <c r="A21" s="69">
        <v>4</v>
      </c>
      <c r="B21">
        <v>331</v>
      </c>
      <c r="C21">
        <v>243</v>
      </c>
      <c r="D21">
        <v>341</v>
      </c>
      <c r="E21">
        <v>349</v>
      </c>
      <c r="F21">
        <v>285</v>
      </c>
      <c r="G21">
        <v>471</v>
      </c>
      <c r="H21">
        <v>496</v>
      </c>
    </row>
    <row r="22" spans="1:8" x14ac:dyDescent="0.25">
      <c r="A22" s="69">
        <v>5</v>
      </c>
      <c r="B22">
        <v>144</v>
      </c>
      <c r="C22">
        <v>101</v>
      </c>
      <c r="D22">
        <v>223</v>
      </c>
      <c r="E22">
        <v>197</v>
      </c>
      <c r="F22">
        <v>129</v>
      </c>
      <c r="G22">
        <v>288</v>
      </c>
      <c r="H22">
        <v>289</v>
      </c>
    </row>
    <row r="23" spans="1:8" x14ac:dyDescent="0.25">
      <c r="A23" s="69">
        <v>6</v>
      </c>
      <c r="B23">
        <v>34</v>
      </c>
      <c r="C23">
        <v>12</v>
      </c>
      <c r="D23">
        <v>105</v>
      </c>
      <c r="E23">
        <v>75</v>
      </c>
      <c r="F23">
        <v>23</v>
      </c>
      <c r="G23">
        <v>112</v>
      </c>
      <c r="H23">
        <v>116</v>
      </c>
    </row>
    <row r="24" spans="1:8" x14ac:dyDescent="0.25">
      <c r="A24" s="69">
        <v>7</v>
      </c>
      <c r="B24">
        <v>0</v>
      </c>
      <c r="C24">
        <v>0</v>
      </c>
      <c r="D24">
        <v>37</v>
      </c>
      <c r="E24">
        <v>11</v>
      </c>
      <c r="F24">
        <v>0</v>
      </c>
      <c r="G24">
        <v>20</v>
      </c>
      <c r="H24">
        <v>18</v>
      </c>
    </row>
    <row r="25" spans="1:8" x14ac:dyDescent="0.25">
      <c r="A25" s="69">
        <v>8</v>
      </c>
      <c r="B25">
        <v>0</v>
      </c>
      <c r="C25">
        <v>0</v>
      </c>
      <c r="D25">
        <v>31</v>
      </c>
      <c r="E25">
        <v>8</v>
      </c>
      <c r="F25">
        <v>0</v>
      </c>
      <c r="G25">
        <v>22</v>
      </c>
      <c r="H25">
        <v>22</v>
      </c>
    </row>
    <row r="26" spans="1:8" x14ac:dyDescent="0.25">
      <c r="A26" s="69">
        <v>9</v>
      </c>
      <c r="B26">
        <v>74</v>
      </c>
      <c r="C26">
        <v>29</v>
      </c>
      <c r="D26">
        <v>71</v>
      </c>
      <c r="E26">
        <v>104</v>
      </c>
      <c r="F26">
        <v>44</v>
      </c>
      <c r="G26">
        <v>141</v>
      </c>
      <c r="H26">
        <v>169</v>
      </c>
    </row>
    <row r="27" spans="1:8" x14ac:dyDescent="0.25">
      <c r="A27" s="69">
        <v>10</v>
      </c>
      <c r="B27">
        <v>346</v>
      </c>
      <c r="C27">
        <v>230</v>
      </c>
      <c r="D27">
        <v>244</v>
      </c>
      <c r="E27">
        <v>317</v>
      </c>
      <c r="F27">
        <v>268</v>
      </c>
      <c r="G27">
        <v>394</v>
      </c>
      <c r="H27">
        <v>484</v>
      </c>
    </row>
    <row r="28" spans="1:8" x14ac:dyDescent="0.25">
      <c r="A28" s="69">
        <v>11</v>
      </c>
      <c r="B28">
        <v>680</v>
      </c>
      <c r="C28">
        <v>545</v>
      </c>
      <c r="D28">
        <v>428</v>
      </c>
      <c r="E28">
        <v>504</v>
      </c>
      <c r="F28">
        <v>560</v>
      </c>
      <c r="G28">
        <v>679</v>
      </c>
      <c r="H28">
        <v>808</v>
      </c>
    </row>
    <row r="29" spans="1:8" x14ac:dyDescent="0.25">
      <c r="A29" s="69">
        <v>12</v>
      </c>
      <c r="B29">
        <v>973</v>
      </c>
      <c r="C29">
        <v>820</v>
      </c>
      <c r="D29">
        <v>575</v>
      </c>
      <c r="E29">
        <v>672</v>
      </c>
      <c r="F29">
        <v>831</v>
      </c>
      <c r="G29">
        <v>913</v>
      </c>
      <c r="H29">
        <v>1091</v>
      </c>
    </row>
  </sheetData>
  <mergeCells count="1">
    <mergeCell ref="A1:H1"/>
  </mergeCells>
  <printOptions horizontalCentered="1"/>
  <pageMargins left="0.7" right="0.7" top="0.75" bottom="0.75" header="0.3" footer="0.3"/>
  <pageSetup scale="85" orientation="portrait" r:id="rId1"/>
  <headerFooter scaleWithDoc="0" alignWithMargins="0">
    <oddHeader>&amp;RExhibit No. ___ (BR-4)
Normals
Page &amp;P of 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AC33"/>
  <sheetViews>
    <sheetView view="pageBreakPreview" zoomScale="60" zoomScaleNormal="100" workbookViewId="0">
      <selection activeCell="M1" sqref="A1:XFD1"/>
    </sheetView>
  </sheetViews>
  <sheetFormatPr defaultRowHeight="15" x14ac:dyDescent="0.25"/>
  <cols>
    <col min="1" max="1" width="9.7109375" bestFit="1" customWidth="1"/>
    <col min="2" max="2" width="3.85546875" customWidth="1"/>
    <col min="3" max="3" width="8.7109375" bestFit="1" customWidth="1"/>
    <col min="4" max="4" width="13.7109375" bestFit="1" customWidth="1"/>
    <col min="6" max="6" width="3.85546875" bestFit="1" customWidth="1"/>
    <col min="7" max="7" width="8.7109375" bestFit="1" customWidth="1"/>
    <col min="10" max="10" width="3.85546875" customWidth="1"/>
    <col min="11" max="11" width="8.7109375" bestFit="1" customWidth="1"/>
    <col min="14" max="14" width="3.85546875" customWidth="1"/>
    <col min="15" max="15" width="8.7109375" bestFit="1" customWidth="1"/>
    <col min="17" max="17" width="9.7109375" bestFit="1" customWidth="1"/>
    <col min="18" max="18" width="3" bestFit="1" customWidth="1"/>
    <col min="19" max="21" width="15.28515625" customWidth="1"/>
    <col min="22" max="22" width="12.85546875" customWidth="1"/>
    <col min="23" max="23" width="4.85546875" customWidth="1"/>
    <col min="24" max="24" width="9.7109375" bestFit="1" customWidth="1"/>
    <col min="25" max="25" width="3" bestFit="1" customWidth="1"/>
    <col min="26" max="26" width="10.5703125" bestFit="1" customWidth="1"/>
    <col min="27" max="29" width="11.28515625" bestFit="1" customWidth="1"/>
  </cols>
  <sheetData>
    <row r="1" spans="1:29" x14ac:dyDescent="0.25">
      <c r="A1" s="94" t="s">
        <v>29</v>
      </c>
      <c r="B1" s="94"/>
      <c r="C1" s="94"/>
      <c r="E1" s="94" t="s">
        <v>30</v>
      </c>
      <c r="F1" s="94"/>
      <c r="G1" s="94"/>
      <c r="I1" s="94" t="s">
        <v>31</v>
      </c>
      <c r="J1" s="94"/>
      <c r="K1" s="94"/>
      <c r="M1" s="94" t="s">
        <v>32</v>
      </c>
      <c r="N1" s="94"/>
      <c r="O1" s="94"/>
    </row>
    <row r="2" spans="1:29" x14ac:dyDescent="0.25">
      <c r="A2" s="95" t="s">
        <v>37</v>
      </c>
      <c r="B2" s="96"/>
      <c r="C2" s="96" t="s">
        <v>38</v>
      </c>
      <c r="E2" s="95" t="s">
        <v>37</v>
      </c>
      <c r="F2" s="96"/>
      <c r="G2" s="96" t="s">
        <v>38</v>
      </c>
      <c r="I2" s="95" t="s">
        <v>37</v>
      </c>
      <c r="J2" s="96"/>
      <c r="K2" s="96" t="s">
        <v>38</v>
      </c>
      <c r="M2" s="95" t="s">
        <v>37</v>
      </c>
      <c r="N2" s="96"/>
      <c r="O2" s="96" t="s">
        <v>38</v>
      </c>
      <c r="Q2" s="76" t="s">
        <v>42</v>
      </c>
      <c r="S2" s="93" t="s">
        <v>43</v>
      </c>
      <c r="T2" s="93"/>
      <c r="U2" s="93"/>
      <c r="V2" s="93"/>
      <c r="X2" s="76" t="s">
        <v>44</v>
      </c>
      <c r="Z2" s="93" t="s">
        <v>45</v>
      </c>
      <c r="AA2" s="93"/>
      <c r="AB2" s="93"/>
      <c r="AC2" s="93"/>
    </row>
    <row r="3" spans="1:29" x14ac:dyDescent="0.25">
      <c r="A3" s="95"/>
      <c r="B3" s="96"/>
      <c r="C3" s="96"/>
      <c r="E3" s="95"/>
      <c r="F3" s="96"/>
      <c r="G3" s="96"/>
      <c r="I3" s="95"/>
      <c r="J3" s="96"/>
      <c r="K3" s="96"/>
      <c r="M3" s="95"/>
      <c r="N3" s="96"/>
      <c r="O3" s="96"/>
      <c r="S3" t="s">
        <v>29</v>
      </c>
      <c r="T3" t="s">
        <v>30</v>
      </c>
      <c r="U3" t="s">
        <v>31</v>
      </c>
      <c r="V3" t="s">
        <v>32</v>
      </c>
      <c r="Z3" t="s">
        <v>29</v>
      </c>
      <c r="AA3" t="s">
        <v>30</v>
      </c>
      <c r="AB3" t="s">
        <v>31</v>
      </c>
      <c r="AC3" t="s">
        <v>32</v>
      </c>
    </row>
    <row r="4" spans="1:29" x14ac:dyDescent="0.25">
      <c r="A4" s="70" t="s">
        <v>39</v>
      </c>
      <c r="B4" s="71"/>
      <c r="C4" s="71">
        <v>0.45</v>
      </c>
      <c r="E4" s="70" t="s">
        <v>39</v>
      </c>
      <c r="F4" s="71"/>
      <c r="G4" s="71">
        <v>0.4163</v>
      </c>
      <c r="I4" s="70" t="s">
        <v>39</v>
      </c>
      <c r="J4" s="71"/>
      <c r="K4" s="71">
        <v>0.57640000000000002</v>
      </c>
      <c r="M4" s="70" t="s">
        <v>39</v>
      </c>
      <c r="N4" s="71"/>
      <c r="O4" s="71">
        <v>0.29899999999999999</v>
      </c>
      <c r="Q4" s="3">
        <f>Data!A1</f>
        <v>42370</v>
      </c>
      <c r="R4">
        <f>MONTH(Q4)</f>
        <v>1</v>
      </c>
      <c r="S4" s="77">
        <f>HLOOKUP(S$3,Normals!$B$2:$H$14,$R4+1,FALSE)/VLOOKUP($R4,$C$20:$D$31,2,FALSE)</f>
        <v>25.774193548387096</v>
      </c>
      <c r="T4" s="77">
        <f>HLOOKUP(T$3,Normals!$B$2:$H$14,$R4+1,FALSE)/VLOOKUP($R4,$C$20:$D$31,2,FALSE)</f>
        <v>22.387096774193548</v>
      </c>
      <c r="U4" s="77">
        <f>HLOOKUP(U$3,Normals!$B$2:$H$14,$R4+1,FALSE)/VLOOKUP($R4,$C$20:$D$31,2,FALSE)</f>
        <v>29.483870967741936</v>
      </c>
      <c r="V4" s="77">
        <f>HLOOKUP(V$3,Normals!$B$2:$H$14,$R4+1,FALSE)/VLOOKUP($R4,$C$20:$D$31,2,FALSE)</f>
        <v>34.096774193548384</v>
      </c>
      <c r="X4" s="3">
        <f>Q4</f>
        <v>42370</v>
      </c>
      <c r="Y4">
        <f>MONTH(X4)</f>
        <v>1</v>
      </c>
      <c r="Z4" s="77">
        <f>HLOOKUP(Z$3,Data!$AL$4:$AR$19,ROW()-2,FALSE)/VLOOKUP($Y4,$C$20:$D$31,2,FALSE)</f>
        <v>23.806451612903224</v>
      </c>
      <c r="AA4" s="77">
        <f>HLOOKUP(AA$3,Data!$AL$4:$AR$19,ROW()-2,FALSE)/VLOOKUP($Y4,$C$20:$D$31,2,FALSE)</f>
        <v>20.951612903225808</v>
      </c>
      <c r="AB4" s="77">
        <f>HLOOKUP(AB$3,Data!$AL$4:$AR$19,ROW()-2,FALSE)/VLOOKUP($Y4,$C$20:$D$31,2,FALSE)</f>
        <v>28.70967741935484</v>
      </c>
      <c r="AC4" s="77">
        <f>HLOOKUP(AC$3,Data!$AL$4:$AR$19,ROW()-2,FALSE)/VLOOKUP($Y4,$C$20:$D$31,2,FALSE)</f>
        <v>31.306451612903224</v>
      </c>
    </row>
    <row r="5" spans="1:29" x14ac:dyDescent="0.25">
      <c r="A5" s="70" t="s">
        <v>54</v>
      </c>
      <c r="B5" s="71"/>
      <c r="C5" s="71">
        <v>0</v>
      </c>
      <c r="E5" s="70" t="s">
        <v>54</v>
      </c>
      <c r="F5" s="71"/>
      <c r="G5" s="71">
        <v>-1.7160000000000001E-3</v>
      </c>
      <c r="I5" s="70" t="s">
        <v>54</v>
      </c>
      <c r="J5" s="71"/>
      <c r="K5" s="71">
        <v>-2.4260000000000002E-3</v>
      </c>
      <c r="M5" s="70" t="s">
        <v>54</v>
      </c>
      <c r="N5" s="71"/>
      <c r="O5" s="71">
        <v>1.209E-3</v>
      </c>
      <c r="Q5" s="3">
        <f>DATE(YEAR(Q4),MONTH(Q4)+1,1)</f>
        <v>42401</v>
      </c>
      <c r="R5">
        <f t="shared" ref="R5:R15" si="0">MONTH(Q5)</f>
        <v>2</v>
      </c>
      <c r="S5" s="77">
        <f>HLOOKUP(S$3,Normals!$B$2:$H$14,$R5+1,FALSE)/VLOOKUP($R5,$C$20:$D$31,2,FALSE)</f>
        <v>23.448275862068964</v>
      </c>
      <c r="T5" s="77">
        <f>HLOOKUP(T$3,Normals!$B$2:$H$14,$R5+1,FALSE)/VLOOKUP($R5,$C$20:$D$31,2,FALSE)</f>
        <v>20.655172413793103</v>
      </c>
      <c r="U5" s="77">
        <f>HLOOKUP(U$3,Normals!$B$2:$H$14,$R5+1,FALSE)/VLOOKUP($R5,$C$20:$D$31,2,FALSE)</f>
        <v>25</v>
      </c>
      <c r="V5" s="77">
        <f>HLOOKUP(V$3,Normals!$B$2:$H$14,$R5+1,FALSE)/VLOOKUP($R5,$C$20:$D$31,2,FALSE)</f>
        <v>27.896551724137932</v>
      </c>
      <c r="X5" s="3">
        <f t="shared" ref="X5:X15" si="1">Q5</f>
        <v>42401</v>
      </c>
      <c r="Y5">
        <f t="shared" ref="Y5:Y15" si="2">MONTH(X5)</f>
        <v>2</v>
      </c>
      <c r="Z5" s="77">
        <f>HLOOKUP(Z$3,Data!$AL$4:$AR$19,ROW()-2,FALSE)/VLOOKUP($Y5,$C$20:$D$31,2,FALSE)</f>
        <v>19.03448275862069</v>
      </c>
      <c r="AA5" s="77">
        <f>HLOOKUP(AA$3,Data!$AL$4:$AR$19,ROW()-2,FALSE)/VLOOKUP($Y5,$C$20:$D$31,2,FALSE)</f>
        <v>17.086206896551722</v>
      </c>
      <c r="AB5" s="77">
        <f>HLOOKUP(AB$3,Data!$AL$4:$AR$19,ROW()-2,FALSE)/VLOOKUP($Y5,$C$20:$D$31,2,FALSE)</f>
        <v>20.293103448275861</v>
      </c>
      <c r="AC5" s="77">
        <f>HLOOKUP(AC$3,Data!$AL$4:$AR$19,ROW()-2,FALSE)/VLOOKUP($Y5,$C$20:$D$31,2,FALSE)</f>
        <v>22.258620689655171</v>
      </c>
    </row>
    <row r="6" spans="1:29" x14ac:dyDescent="0.25">
      <c r="A6" s="70">
        <v>1</v>
      </c>
      <c r="B6" s="71"/>
      <c r="C6" s="71">
        <v>0.12089999999999999</v>
      </c>
      <c r="E6" s="70">
        <v>1</v>
      </c>
      <c r="F6" s="71"/>
      <c r="G6" s="71">
        <v>0.14249999999999999</v>
      </c>
      <c r="I6" s="70">
        <v>1</v>
      </c>
      <c r="J6" s="71"/>
      <c r="K6" s="71">
        <v>0.10340000000000001</v>
      </c>
      <c r="M6" s="70">
        <v>1</v>
      </c>
      <c r="N6" s="71"/>
      <c r="O6" s="71">
        <v>0.1062</v>
      </c>
      <c r="Q6" s="3">
        <f t="shared" ref="Q6:Q15" si="3">DATE(YEAR(Q5),MONTH(Q5)+1,1)</f>
        <v>42430</v>
      </c>
      <c r="R6">
        <f t="shared" si="0"/>
        <v>3</v>
      </c>
      <c r="S6" s="77">
        <f>HLOOKUP(S$3,Normals!$B$2:$H$14,$R6+1,FALSE)/VLOOKUP($R6,$C$20:$D$31,2,FALSE)</f>
        <v>20.774193548387096</v>
      </c>
      <c r="T6" s="77">
        <f>HLOOKUP(T$3,Normals!$B$2:$H$14,$R6+1,FALSE)/VLOOKUP($R6,$C$20:$D$31,2,FALSE)</f>
        <v>19</v>
      </c>
      <c r="U6" s="77">
        <f>HLOOKUP(U$3,Normals!$B$2:$H$14,$R6+1,FALSE)/VLOOKUP($R6,$C$20:$D$31,2,FALSE)</f>
        <v>18.70967741935484</v>
      </c>
      <c r="V6" s="77">
        <f>HLOOKUP(V$3,Normals!$B$2:$H$14,$R6+1,FALSE)/VLOOKUP($R6,$C$20:$D$31,2,FALSE)</f>
        <v>21.806451612903224</v>
      </c>
      <c r="X6" s="3">
        <f t="shared" si="1"/>
        <v>42430</v>
      </c>
      <c r="Y6">
        <f t="shared" si="2"/>
        <v>3</v>
      </c>
      <c r="Z6" s="77">
        <f>HLOOKUP(Z$3,Data!$AL$4:$AR$19,ROW()-2,FALSE)/VLOOKUP($Y6,$C$20:$D$31,2,FALSE)</f>
        <v>16.225806451612904</v>
      </c>
      <c r="AA6" s="77">
        <f>HLOOKUP(AA$3,Data!$AL$4:$AR$19,ROW()-2,FALSE)/VLOOKUP($Y6,$C$20:$D$31,2,FALSE)</f>
        <v>17.241935483870968</v>
      </c>
      <c r="AB6" s="77">
        <f>HLOOKUP(AB$3,Data!$AL$4:$AR$19,ROW()-2,FALSE)/VLOOKUP($Y6,$C$20:$D$31,2,FALSE)</f>
        <v>16.725806451612904</v>
      </c>
      <c r="AC6" s="77">
        <f>HLOOKUP(AC$3,Data!$AL$4:$AR$19,ROW()-2,FALSE)/VLOOKUP($Y6,$C$20:$D$31,2,FALSE)</f>
        <v>18.258064516129032</v>
      </c>
    </row>
    <row r="7" spans="1:29" x14ac:dyDescent="0.25">
      <c r="A7" s="70">
        <v>2</v>
      </c>
      <c r="B7" s="71"/>
      <c r="C7" s="71">
        <v>0.1094</v>
      </c>
      <c r="E7" s="70">
        <v>2</v>
      </c>
      <c r="F7" s="71"/>
      <c r="G7" s="71">
        <v>0.1246</v>
      </c>
      <c r="I7" s="70">
        <v>2</v>
      </c>
      <c r="J7" s="71"/>
      <c r="K7" s="71">
        <v>0.10009999999999999</v>
      </c>
      <c r="M7" s="70">
        <v>2</v>
      </c>
      <c r="N7" s="71"/>
      <c r="O7" s="71">
        <v>0.108</v>
      </c>
      <c r="Q7" s="3">
        <f t="shared" si="3"/>
        <v>42461</v>
      </c>
      <c r="R7">
        <f t="shared" si="0"/>
        <v>4</v>
      </c>
      <c r="S7" s="77">
        <f>HLOOKUP(S$3,Normals!$B$2:$H$14,$R7+1,FALSE)/VLOOKUP($R7,$C$20:$D$31,2,FALSE)</f>
        <v>16.600000000000001</v>
      </c>
      <c r="T7" s="77">
        <f>HLOOKUP(T$3,Normals!$B$2:$H$14,$R7+1,FALSE)/VLOOKUP($R7,$C$20:$D$31,2,FALSE)</f>
        <v>16.266666666666666</v>
      </c>
      <c r="U7" s="77">
        <f>HLOOKUP(U$3,Normals!$B$2:$H$14,$R7+1,FALSE)/VLOOKUP($R7,$C$20:$D$31,2,FALSE)</f>
        <v>12.8</v>
      </c>
      <c r="V7" s="77">
        <f>HLOOKUP(V$3,Normals!$B$2:$H$14,$R7+1,FALSE)/VLOOKUP($R7,$C$20:$D$31,2,FALSE)</f>
        <v>15.9</v>
      </c>
      <c r="X7" s="3">
        <f t="shared" si="1"/>
        <v>42461</v>
      </c>
      <c r="Y7">
        <f t="shared" si="2"/>
        <v>4</v>
      </c>
      <c r="Z7" s="77">
        <f>HLOOKUP(Z$3,Data!$AL$4:$AR$19,ROW()-2,FALSE)/VLOOKUP($Y7,$C$20:$D$31,2,FALSE)</f>
        <v>11.05</v>
      </c>
      <c r="AA7" s="77">
        <f>HLOOKUP(AA$3,Data!$AL$4:$AR$19,ROW()-2,FALSE)/VLOOKUP($Y7,$C$20:$D$31,2,FALSE)</f>
        <v>11.283333333333333</v>
      </c>
      <c r="AB7" s="77">
        <f>HLOOKUP(AB$3,Data!$AL$4:$AR$19,ROW()-2,FALSE)/VLOOKUP($Y7,$C$20:$D$31,2,FALSE)</f>
        <v>7.6166666666666663</v>
      </c>
      <c r="AC7" s="77">
        <f>HLOOKUP(AC$3,Data!$AL$4:$AR$19,ROW()-2,FALSE)/VLOOKUP($Y7,$C$20:$D$31,2,FALSE)</f>
        <v>6.75</v>
      </c>
    </row>
    <row r="8" spans="1:29" x14ac:dyDescent="0.25">
      <c r="A8" s="70">
        <v>3</v>
      </c>
      <c r="B8" s="71"/>
      <c r="C8" s="71">
        <v>0.10150000000000001</v>
      </c>
      <c r="E8" s="70">
        <v>3</v>
      </c>
      <c r="F8" s="71"/>
      <c r="G8" s="71">
        <v>0.114</v>
      </c>
      <c r="I8" s="70">
        <v>3</v>
      </c>
      <c r="J8" s="71"/>
      <c r="K8" s="71">
        <v>9.1899999999999996E-2</v>
      </c>
      <c r="M8" s="70">
        <v>3</v>
      </c>
      <c r="N8" s="71"/>
      <c r="O8" s="71">
        <v>9.4E-2</v>
      </c>
      <c r="Q8" s="3">
        <f t="shared" si="3"/>
        <v>42491</v>
      </c>
      <c r="R8">
        <f t="shared" si="0"/>
        <v>5</v>
      </c>
      <c r="S8" s="77">
        <f>HLOOKUP(S$3,Normals!$B$2:$H$14,$R8+1,FALSE)/VLOOKUP($R8,$C$20:$D$31,2,FALSE)</f>
        <v>11.129032258064516</v>
      </c>
      <c r="T8" s="77">
        <f>HLOOKUP(T$3,Normals!$B$2:$H$14,$R8+1,FALSE)/VLOOKUP($R8,$C$20:$D$31,2,FALSE)</f>
        <v>12.064516129032258</v>
      </c>
      <c r="U8" s="77">
        <f>HLOOKUP(U$3,Normals!$B$2:$H$14,$R8+1,FALSE)/VLOOKUP($R8,$C$20:$D$31,2,FALSE)</f>
        <v>6.709677419354839</v>
      </c>
      <c r="V8" s="77">
        <f>HLOOKUP(V$3,Normals!$B$2:$H$14,$R8+1,FALSE)/VLOOKUP($R8,$C$20:$D$31,2,FALSE)</f>
        <v>8.4193548387096779</v>
      </c>
      <c r="X8" s="3">
        <f t="shared" si="1"/>
        <v>42491</v>
      </c>
      <c r="Y8">
        <f t="shared" si="2"/>
        <v>5</v>
      </c>
      <c r="Z8" s="77">
        <f>HLOOKUP(Z$3,Data!$AL$4:$AR$19,ROW()-2,FALSE)/VLOOKUP($Y8,$C$20:$D$31,2,FALSE)</f>
        <v>7.596774193548387</v>
      </c>
      <c r="AA8" s="77">
        <f>HLOOKUP(AA$3,Data!$AL$4:$AR$19,ROW()-2,FALSE)/VLOOKUP($Y8,$C$20:$D$31,2,FALSE)</f>
        <v>9.5</v>
      </c>
      <c r="AB8" s="77">
        <f>HLOOKUP(AB$3,Data!$AL$4:$AR$19,ROW()-2,FALSE)/VLOOKUP($Y8,$C$20:$D$31,2,FALSE)</f>
        <v>4.258064516129032</v>
      </c>
      <c r="AC8" s="77">
        <f>HLOOKUP(AC$3,Data!$AL$4:$AR$19,ROW()-2,FALSE)/VLOOKUP($Y8,$C$20:$D$31,2,FALSE)</f>
        <v>2.870967741935484</v>
      </c>
    </row>
    <row r="9" spans="1:29" x14ac:dyDescent="0.25">
      <c r="A9" s="70">
        <v>4</v>
      </c>
      <c r="B9" s="71"/>
      <c r="C9" s="71">
        <v>8.2100000000000006E-2</v>
      </c>
      <c r="E9" s="70">
        <v>4</v>
      </c>
      <c r="F9" s="71"/>
      <c r="G9" s="71">
        <v>9.1800000000000007E-2</v>
      </c>
      <c r="I9" s="70">
        <v>4</v>
      </c>
      <c r="J9" s="71"/>
      <c r="K9" s="71">
        <v>6.3899999999999998E-2</v>
      </c>
      <c r="M9" s="70">
        <v>4</v>
      </c>
      <c r="N9" s="71"/>
      <c r="O9" s="71">
        <v>7.0999999999999994E-2</v>
      </c>
      <c r="Q9" s="3">
        <f t="shared" si="3"/>
        <v>42522</v>
      </c>
      <c r="R9">
        <f t="shared" si="0"/>
        <v>6</v>
      </c>
      <c r="S9" s="77">
        <f>HLOOKUP(S$3,Normals!$B$2:$H$14,$R9+1,FALSE)/VLOOKUP($R9,$C$20:$D$31,2,FALSE)</f>
        <v>6.666666666666667</v>
      </c>
      <c r="T9" s="77">
        <f>HLOOKUP(T$3,Normals!$B$2:$H$14,$R9+1,FALSE)/VLOOKUP($R9,$C$20:$D$31,2,FALSE)</f>
        <v>8.2333333333333325</v>
      </c>
      <c r="U9" s="77">
        <f>HLOOKUP(U$3,Normals!$B$2:$H$14,$R9+1,FALSE)/VLOOKUP($R9,$C$20:$D$31,2,FALSE)</f>
        <v>2.0666666666666669</v>
      </c>
      <c r="V9" s="77">
        <f>HLOOKUP(V$3,Normals!$B$2:$H$14,$R9+1,FALSE)/VLOOKUP($R9,$C$20:$D$31,2,FALSE)</f>
        <v>3.2666666666666666</v>
      </c>
      <c r="X9" s="3">
        <f t="shared" si="1"/>
        <v>42522</v>
      </c>
      <c r="Y9">
        <f t="shared" si="2"/>
        <v>6</v>
      </c>
      <c r="Z9" s="77">
        <f>HLOOKUP(Z$3,Data!$AL$4:$AR$19,ROW()-2,FALSE)/VLOOKUP($Y9,$C$20:$D$31,2,FALSE)</f>
        <v>5.0999999999999996</v>
      </c>
      <c r="AA9" s="77">
        <f>HLOOKUP(AA$3,Data!$AL$4:$AR$19,ROW()-2,FALSE)/VLOOKUP($Y9,$C$20:$D$31,2,FALSE)</f>
        <v>7.333333333333333</v>
      </c>
      <c r="AB9" s="77">
        <f>HLOOKUP(AB$3,Data!$AL$4:$AR$19,ROW()-2,FALSE)/VLOOKUP($Y9,$C$20:$D$31,2,FALSE)</f>
        <v>1.7166666666666666</v>
      </c>
      <c r="AC9" s="77">
        <f>HLOOKUP(AC$3,Data!$AL$4:$AR$19,ROW()-2,FALSE)/VLOOKUP($Y9,$C$20:$D$31,2,FALSE)</f>
        <v>2.4</v>
      </c>
    </row>
    <row r="10" spans="1:29" x14ac:dyDescent="0.25">
      <c r="A10" s="70">
        <v>5</v>
      </c>
      <c r="B10" s="71"/>
      <c r="C10" s="71">
        <v>5.8599999999999999E-2</v>
      </c>
      <c r="E10" s="70">
        <v>5</v>
      </c>
      <c r="F10" s="71"/>
      <c r="G10" s="71">
        <v>6.4699999999999994E-2</v>
      </c>
      <c r="I10" s="70">
        <v>5</v>
      </c>
      <c r="J10" s="71"/>
      <c r="K10" s="71">
        <v>3.9399999999999998E-2</v>
      </c>
      <c r="M10" s="70">
        <v>5</v>
      </c>
      <c r="N10" s="71"/>
      <c r="O10" s="71">
        <v>5.4100000000000002E-2</v>
      </c>
      <c r="Q10" s="3">
        <f t="shared" si="3"/>
        <v>42552</v>
      </c>
      <c r="R10">
        <f t="shared" si="0"/>
        <v>7</v>
      </c>
      <c r="S10" s="77">
        <f>HLOOKUP(S$3,Normals!$B$2:$H$14,$R10+1,FALSE)/VLOOKUP($R10,$C$20:$D$31,2,FALSE)</f>
        <v>3.2580645161290325</v>
      </c>
      <c r="T10" s="77">
        <f>HLOOKUP(T$3,Normals!$B$2:$H$14,$R10+1,FALSE)/VLOOKUP($R10,$C$20:$D$31,2,FALSE)</f>
        <v>5.32258064516129</v>
      </c>
      <c r="U10" s="77">
        <f>HLOOKUP(U$3,Normals!$B$2:$H$14,$R10+1,FALSE)/VLOOKUP($R10,$C$20:$D$31,2,FALSE)</f>
        <v>6.4516129032258063E-2</v>
      </c>
      <c r="V10" s="77">
        <f>HLOOKUP(V$3,Normals!$B$2:$H$14,$R10+1,FALSE)/VLOOKUP($R10,$C$20:$D$31,2,FALSE)</f>
        <v>0.61290322580645162</v>
      </c>
      <c r="X10" s="3">
        <f t="shared" si="1"/>
        <v>42552</v>
      </c>
      <c r="Y10">
        <f t="shared" si="2"/>
        <v>7</v>
      </c>
      <c r="Z10" s="77">
        <f>HLOOKUP(Z$3,Data!$AL$4:$AR$19,ROW()-2,FALSE)/VLOOKUP($Y10,$C$20:$D$31,2,FALSE)</f>
        <v>1.4838709677419355</v>
      </c>
      <c r="AA10" s="77">
        <f>HLOOKUP(AA$3,Data!$AL$4:$AR$19,ROW()-2,FALSE)/VLOOKUP($Y10,$C$20:$D$31,2,FALSE)</f>
        <v>4.064516129032258</v>
      </c>
      <c r="AB10" s="77">
        <f>HLOOKUP(AB$3,Data!$AL$4:$AR$19,ROW()-2,FALSE)/VLOOKUP($Y10,$C$20:$D$31,2,FALSE)</f>
        <v>9.6774193548387094E-2</v>
      </c>
      <c r="AC10" s="77">
        <f>HLOOKUP(AC$3,Data!$AL$4:$AR$19,ROW()-2,FALSE)/VLOOKUP($Y10,$C$20:$D$31,2,FALSE)</f>
        <v>0</v>
      </c>
    </row>
    <row r="11" spans="1:29" x14ac:dyDescent="0.25">
      <c r="A11" s="70">
        <v>6</v>
      </c>
      <c r="B11" s="71"/>
      <c r="C11" s="71">
        <v>5.0799999999999998E-2</v>
      </c>
      <c r="E11" s="70">
        <v>6</v>
      </c>
      <c r="F11" s="71"/>
      <c r="G11" s="71">
        <v>5.4399999999999997E-2</v>
      </c>
      <c r="I11" s="70">
        <v>6</v>
      </c>
      <c r="J11" s="71"/>
      <c r="K11" s="71">
        <v>0</v>
      </c>
      <c r="M11" s="70">
        <v>6</v>
      </c>
      <c r="N11" s="71"/>
      <c r="O11" s="71">
        <v>3.9600000000000003E-2</v>
      </c>
      <c r="Q11" s="3">
        <f t="shared" si="3"/>
        <v>42583</v>
      </c>
      <c r="R11">
        <f t="shared" si="0"/>
        <v>8</v>
      </c>
      <c r="S11" s="77">
        <f>HLOOKUP(S$3,Normals!$B$2:$H$14,$R11+1,FALSE)/VLOOKUP($R11,$C$20:$D$31,2,FALSE)</f>
        <v>3.064516129032258</v>
      </c>
      <c r="T11" s="77">
        <f>HLOOKUP(T$3,Normals!$B$2:$H$14,$R11+1,FALSE)/VLOOKUP($R11,$C$20:$D$31,2,FALSE)</f>
        <v>4.935483870967742</v>
      </c>
      <c r="U11" s="77">
        <f>HLOOKUP(U$3,Normals!$B$2:$H$14,$R11+1,FALSE)/VLOOKUP($R11,$C$20:$D$31,2,FALSE)</f>
        <v>0.12903225806451613</v>
      </c>
      <c r="V11" s="77">
        <f>HLOOKUP(V$3,Normals!$B$2:$H$14,$R11+1,FALSE)/VLOOKUP($R11,$C$20:$D$31,2,FALSE)</f>
        <v>0.90322580645161288</v>
      </c>
      <c r="X11" s="3">
        <f t="shared" si="1"/>
        <v>42583</v>
      </c>
      <c r="Y11">
        <f t="shared" si="2"/>
        <v>8</v>
      </c>
      <c r="Z11" s="77">
        <f>HLOOKUP(Z$3,Data!$AL$4:$AR$19,ROW()-2,FALSE)/VLOOKUP($Y11,$C$20:$D$31,2,FALSE)</f>
        <v>1.3870967741935485</v>
      </c>
      <c r="AA11" s="77">
        <f>HLOOKUP(AA$3,Data!$AL$4:$AR$19,ROW()-2,FALSE)/VLOOKUP($Y11,$C$20:$D$31,2,FALSE)</f>
        <v>3.5806451612903225</v>
      </c>
      <c r="AB11" s="77">
        <f>HLOOKUP(AB$3,Data!$AL$4:$AR$19,ROW()-2,FALSE)/VLOOKUP($Y11,$C$20:$D$31,2,FALSE)</f>
        <v>0</v>
      </c>
      <c r="AC11" s="77">
        <f>HLOOKUP(AC$3,Data!$AL$4:$AR$19,ROW()-2,FALSE)/VLOOKUP($Y11,$C$20:$D$31,2,FALSE)</f>
        <v>9.6774193548387094E-2</v>
      </c>
    </row>
    <row r="12" spans="1:29" x14ac:dyDescent="0.25">
      <c r="A12" s="70">
        <v>7</v>
      </c>
      <c r="B12" s="71"/>
      <c r="C12" s="71">
        <v>5.8500000000000003E-2</v>
      </c>
      <c r="E12" s="70">
        <v>7</v>
      </c>
      <c r="F12" s="71"/>
      <c r="G12" s="71">
        <v>4.6899999999999997E-2</v>
      </c>
      <c r="I12" s="70">
        <v>7</v>
      </c>
      <c r="J12" s="71"/>
      <c r="K12" s="71">
        <v>0</v>
      </c>
      <c r="M12" s="70">
        <v>7</v>
      </c>
      <c r="N12" s="71"/>
      <c r="O12" s="71">
        <v>0</v>
      </c>
      <c r="Q12" s="3">
        <f t="shared" si="3"/>
        <v>42614</v>
      </c>
      <c r="R12">
        <f t="shared" si="0"/>
        <v>9</v>
      </c>
      <c r="S12" s="77">
        <f>HLOOKUP(S$3,Normals!$B$2:$H$14,$R12+1,FALSE)/VLOOKUP($R12,$C$20:$D$31,2,FALSE)</f>
        <v>7.833333333333333</v>
      </c>
      <c r="T12" s="77">
        <f>HLOOKUP(T$3,Normals!$B$2:$H$14,$R12+1,FALSE)/VLOOKUP($R12,$C$20:$D$31,2,FALSE)</f>
        <v>6.5333333333333332</v>
      </c>
      <c r="U12" s="77">
        <f>HLOOKUP(U$3,Normals!$B$2:$H$14,$R12+1,FALSE)/VLOOKUP($R12,$C$20:$D$31,2,FALSE)</f>
        <v>2.8666666666666667</v>
      </c>
      <c r="V12" s="77">
        <f>HLOOKUP(V$3,Normals!$B$2:$H$14,$R12+1,FALSE)/VLOOKUP($R12,$C$20:$D$31,2,FALSE)</f>
        <v>5.333333333333333</v>
      </c>
      <c r="X12" s="3">
        <f t="shared" si="1"/>
        <v>42614</v>
      </c>
      <c r="Y12">
        <f t="shared" si="2"/>
        <v>9</v>
      </c>
      <c r="Z12" s="77">
        <f>HLOOKUP(Z$3,Data!$AL$4:$AR$19,ROW()-2,FALSE)/VLOOKUP($Y12,$C$20:$D$31,2,FALSE)</f>
        <v>7.0166666666666666</v>
      </c>
      <c r="AA12" s="77">
        <f>HLOOKUP(AA$3,Data!$AL$4:$AR$19,ROW()-2,FALSE)/VLOOKUP($Y12,$C$20:$D$31,2,FALSE)</f>
        <v>7</v>
      </c>
      <c r="AB12" s="77">
        <f>HLOOKUP(AB$3,Data!$AL$4:$AR$19,ROW()-2,FALSE)/VLOOKUP($Y12,$C$20:$D$31,2,FALSE)</f>
        <v>2.6833333333333331</v>
      </c>
      <c r="AC12" s="77">
        <f>HLOOKUP(AC$3,Data!$AL$4:$AR$19,ROW()-2,FALSE)/VLOOKUP($Y12,$C$20:$D$31,2,FALSE)</f>
        <v>2.95</v>
      </c>
    </row>
    <row r="13" spans="1:29" x14ac:dyDescent="0.25">
      <c r="A13" s="70">
        <v>8</v>
      </c>
      <c r="B13" s="71"/>
      <c r="C13" s="71">
        <v>7.0300000000000001E-2</v>
      </c>
      <c r="E13" s="70">
        <v>8</v>
      </c>
      <c r="F13" s="71"/>
      <c r="G13" s="71">
        <v>6.6699999999999995E-2</v>
      </c>
      <c r="I13" s="70">
        <v>8</v>
      </c>
      <c r="J13" s="71"/>
      <c r="K13" s="71">
        <v>0</v>
      </c>
      <c r="M13" s="70">
        <v>8</v>
      </c>
      <c r="N13" s="71"/>
      <c r="O13" s="71">
        <v>0</v>
      </c>
      <c r="Q13" s="3">
        <f t="shared" si="3"/>
        <v>42644</v>
      </c>
      <c r="R13">
        <f t="shared" si="0"/>
        <v>10</v>
      </c>
      <c r="S13" s="77">
        <f>HLOOKUP(S$3,Normals!$B$2:$H$14,$R13+1,FALSE)/VLOOKUP($R13,$C$20:$D$31,2,FALSE)</f>
        <v>15.193548387096774</v>
      </c>
      <c r="T13" s="77">
        <f>HLOOKUP(T$3,Normals!$B$2:$H$14,$R13+1,FALSE)/VLOOKUP($R13,$C$20:$D$31,2,FALSE)</f>
        <v>12.741935483870968</v>
      </c>
      <c r="U13" s="77">
        <f>HLOOKUP(U$3,Normals!$B$2:$H$14,$R13+1,FALSE)/VLOOKUP($R13,$C$20:$D$31,2,FALSE)</f>
        <v>11.838709677419354</v>
      </c>
      <c r="V13" s="77">
        <f>HLOOKUP(V$3,Normals!$B$2:$H$14,$R13+1,FALSE)/VLOOKUP($R13,$C$20:$D$31,2,FALSE)</f>
        <v>16</v>
      </c>
      <c r="X13" s="3">
        <f t="shared" si="1"/>
        <v>42644</v>
      </c>
      <c r="Y13">
        <f t="shared" si="2"/>
        <v>10</v>
      </c>
      <c r="Z13" s="77">
        <f>HLOOKUP(Z$3,Data!$AL$4:$AR$19,ROW()-2,FALSE)/VLOOKUP($Y13,$C$20:$D$31,2,FALSE)</f>
        <v>12.016129032258064</v>
      </c>
      <c r="AA13" s="77">
        <f>HLOOKUP(AA$3,Data!$AL$4:$AR$19,ROW()-2,FALSE)/VLOOKUP($Y13,$C$20:$D$31,2,FALSE)</f>
        <v>11.338709677419354</v>
      </c>
      <c r="AB13" s="77">
        <f>HLOOKUP(AB$3,Data!$AL$4:$AR$19,ROW()-2,FALSE)/VLOOKUP($Y13,$C$20:$D$31,2,FALSE)</f>
        <v>10.564516129032258</v>
      </c>
      <c r="AC13" s="77">
        <f>HLOOKUP(AC$3,Data!$AL$4:$AR$19,ROW()-2,FALSE)/VLOOKUP($Y13,$C$20:$D$31,2,FALSE)</f>
        <v>12.338709677419354</v>
      </c>
    </row>
    <row r="14" spans="1:29" x14ac:dyDescent="0.25">
      <c r="A14" s="70">
        <v>9</v>
      </c>
      <c r="B14" s="71"/>
      <c r="C14" s="71">
        <v>4.7300000000000002E-2</v>
      </c>
      <c r="E14" s="70">
        <v>9</v>
      </c>
      <c r="F14" s="71"/>
      <c r="G14" s="71">
        <v>6.5699999999999995E-2</v>
      </c>
      <c r="I14" s="70">
        <v>9</v>
      </c>
      <c r="J14" s="71"/>
      <c r="K14" s="71">
        <v>4.6800000000000001E-2</v>
      </c>
      <c r="M14" s="70">
        <v>9</v>
      </c>
      <c r="N14" s="71"/>
      <c r="O14" s="71">
        <v>3.0200000000000001E-2</v>
      </c>
      <c r="Q14" s="3">
        <f t="shared" si="3"/>
        <v>42675</v>
      </c>
      <c r="R14">
        <f t="shared" si="0"/>
        <v>11</v>
      </c>
      <c r="S14" s="77">
        <f>HLOOKUP(S$3,Normals!$B$2:$H$14,$R14+1,FALSE)/VLOOKUP($R14,$C$20:$D$31,2,FALSE)</f>
        <v>21.8</v>
      </c>
      <c r="T14" s="77">
        <f>HLOOKUP(T$3,Normals!$B$2:$H$14,$R14+1,FALSE)/VLOOKUP($R14,$C$20:$D$31,2,FALSE)</f>
        <v>19.266666666666666</v>
      </c>
      <c r="U14" s="77">
        <f>HLOOKUP(U$3,Normals!$B$2:$H$14,$R14+1,FALSE)/VLOOKUP($R14,$C$20:$D$31,2,FALSE)</f>
        <v>23.133333333333333</v>
      </c>
      <c r="V14" s="77">
        <f>HLOOKUP(V$3,Normals!$B$2:$H$14,$R14+1,FALSE)/VLOOKUP($R14,$C$20:$D$31,2,FALSE)</f>
        <v>27.666666666666668</v>
      </c>
      <c r="X14" s="3">
        <f t="shared" si="1"/>
        <v>42675</v>
      </c>
      <c r="Y14">
        <f t="shared" si="2"/>
        <v>11</v>
      </c>
      <c r="Z14" s="77">
        <f>HLOOKUP(Z$3,Data!$AL$4:$AR$19,ROW()-2,FALSE)/VLOOKUP($Y14,$C$20:$D$31,2,FALSE)</f>
        <v>14.65</v>
      </c>
      <c r="AA14" s="77">
        <f>HLOOKUP(AA$3,Data!$AL$4:$AR$19,ROW()-2,FALSE)/VLOOKUP($Y14,$C$20:$D$31,2,FALSE)</f>
        <v>14.4</v>
      </c>
      <c r="AB14" s="77">
        <f>HLOOKUP(AB$3,Data!$AL$4:$AR$19,ROW()-2,FALSE)/VLOOKUP($Y14,$C$20:$D$31,2,FALSE)</f>
        <v>16.316666666666666</v>
      </c>
      <c r="AC14" s="77">
        <f>HLOOKUP(AC$3,Data!$AL$4:$AR$19,ROW()-2,FALSE)/VLOOKUP($Y14,$C$20:$D$31,2,FALSE)</f>
        <v>18.95</v>
      </c>
    </row>
    <row r="15" spans="1:29" x14ac:dyDescent="0.25">
      <c r="A15" s="70">
        <v>10</v>
      </c>
      <c r="B15" s="71"/>
      <c r="C15" s="71">
        <v>8.5599999999999996E-2</v>
      </c>
      <c r="E15" s="70">
        <v>10</v>
      </c>
      <c r="F15" s="71"/>
      <c r="G15" s="71">
        <v>0.10580000000000001</v>
      </c>
      <c r="I15" s="70">
        <v>10</v>
      </c>
      <c r="J15" s="71"/>
      <c r="K15" s="71">
        <v>4.6300000000000001E-2</v>
      </c>
      <c r="M15" s="70">
        <v>10</v>
      </c>
      <c r="N15" s="71"/>
      <c r="O15" s="71">
        <v>4.1099999999999998E-2</v>
      </c>
      <c r="Q15" s="3">
        <f t="shared" si="3"/>
        <v>42705</v>
      </c>
      <c r="R15">
        <f t="shared" si="0"/>
        <v>12</v>
      </c>
      <c r="S15" s="77">
        <f>HLOOKUP(S$3,Normals!$B$2:$H$14,$R15+1,FALSE)/VLOOKUP($R15,$C$20:$D$31,2,FALSE)</f>
        <v>26.677419354838708</v>
      </c>
      <c r="T15" s="77">
        <f>HLOOKUP(T$3,Normals!$B$2:$H$14,$R15+1,FALSE)/VLOOKUP($R15,$C$20:$D$31,2,FALSE)</f>
        <v>23.548387096774192</v>
      </c>
      <c r="U15" s="77">
        <f>HLOOKUP(U$3,Normals!$B$2:$H$14,$R15+1,FALSE)/VLOOKUP($R15,$C$20:$D$31,2,FALSE)</f>
        <v>31.451612903225808</v>
      </c>
      <c r="V15" s="77">
        <f>HLOOKUP(V$3,Normals!$B$2:$H$14,$R15+1,FALSE)/VLOOKUP($R15,$C$20:$D$31,2,FALSE)</f>
        <v>36.387096774193552</v>
      </c>
      <c r="X15" s="3">
        <f t="shared" si="1"/>
        <v>42705</v>
      </c>
      <c r="Y15">
        <f t="shared" si="2"/>
        <v>12</v>
      </c>
      <c r="Z15" s="77">
        <f>HLOOKUP(Z$3,Data!$AL$4:$AR$19,ROW()-2,FALSE)/VLOOKUP($Y15,$C$20:$D$31,2,FALSE)</f>
        <v>30.822580645161292</v>
      </c>
      <c r="AA15" s="77">
        <f>HLOOKUP(AA$3,Data!$AL$4:$AR$19,ROW()-2,FALSE)/VLOOKUP($Y15,$C$20:$D$31,2,FALSE)</f>
        <v>26.274193548387096</v>
      </c>
      <c r="AB15" s="77">
        <f>HLOOKUP(AB$3,Data!$AL$4:$AR$19,ROW()-2,FALSE)/VLOOKUP($Y15,$C$20:$D$31,2,FALSE)</f>
        <v>35.41935483870968</v>
      </c>
      <c r="AC15" s="77">
        <f>HLOOKUP(AC$3,Data!$AL$4:$AR$19,ROW()-2,FALSE)/VLOOKUP($Y15,$C$20:$D$31,2,FALSE)</f>
        <v>39.258064516129032</v>
      </c>
    </row>
    <row r="16" spans="1:29" x14ac:dyDescent="0.25">
      <c r="A16" s="70">
        <v>11</v>
      </c>
      <c r="B16" s="71"/>
      <c r="C16" s="71">
        <v>0.12720000000000001</v>
      </c>
      <c r="E16" s="70">
        <v>11</v>
      </c>
      <c r="F16" s="71"/>
      <c r="G16" s="71">
        <v>0.14990000000000001</v>
      </c>
      <c r="I16" s="70">
        <v>11</v>
      </c>
      <c r="J16" s="71"/>
      <c r="K16" s="71">
        <v>7.4099999999999999E-2</v>
      </c>
      <c r="M16" s="70">
        <v>11</v>
      </c>
      <c r="N16" s="71"/>
      <c r="O16" s="71">
        <v>7.8299999999999995E-2</v>
      </c>
    </row>
    <row r="17" spans="1:29" x14ac:dyDescent="0.25">
      <c r="A17" s="70">
        <v>12</v>
      </c>
      <c r="B17" s="71"/>
      <c r="C17" s="71">
        <v>0.1263</v>
      </c>
      <c r="E17" s="70">
        <v>12</v>
      </c>
      <c r="F17" s="71"/>
      <c r="G17" s="71">
        <v>0.1462</v>
      </c>
      <c r="I17" s="70">
        <v>12</v>
      </c>
      <c r="J17" s="71"/>
      <c r="K17" s="71">
        <v>9.7699999999999995E-2</v>
      </c>
      <c r="M17" s="70">
        <v>12</v>
      </c>
      <c r="N17" s="71"/>
      <c r="O17" s="71">
        <v>9.8599999999999993E-2</v>
      </c>
      <c r="Q17" s="76" t="s">
        <v>46</v>
      </c>
      <c r="S17" s="93" t="s">
        <v>47</v>
      </c>
      <c r="T17" s="93"/>
      <c r="U17" s="93"/>
      <c r="V17" s="93"/>
      <c r="X17" s="76" t="s">
        <v>48</v>
      </c>
      <c r="Z17" s="93" t="s">
        <v>49</v>
      </c>
      <c r="AA17" s="93"/>
      <c r="AB17" s="93"/>
      <c r="AC17" s="93"/>
    </row>
    <row r="18" spans="1:29" x14ac:dyDescent="0.25">
      <c r="F18" s="71"/>
      <c r="G18" s="71"/>
      <c r="S18" t="s">
        <v>29</v>
      </c>
      <c r="T18" t="s">
        <v>30</v>
      </c>
      <c r="U18" t="s">
        <v>31</v>
      </c>
      <c r="V18" t="s">
        <v>32</v>
      </c>
      <c r="Z18" t="s">
        <v>29</v>
      </c>
      <c r="AA18" t="s">
        <v>30</v>
      </c>
      <c r="AB18" t="s">
        <v>31</v>
      </c>
      <c r="AC18" t="s">
        <v>32</v>
      </c>
    </row>
    <row r="19" spans="1:29" x14ac:dyDescent="0.25">
      <c r="D19" t="s">
        <v>40</v>
      </c>
      <c r="Q19" s="3">
        <f>Q4</f>
        <v>42370</v>
      </c>
      <c r="R19">
        <f>MONTH(Q19)</f>
        <v>1</v>
      </c>
      <c r="S19" s="78">
        <f>(S4-Z4)*VLOOKUP($R19,$A$6:$C$17,3,FALSE)</f>
        <v>0.23790000000000011</v>
      </c>
      <c r="T19" s="78">
        <f>(T4-AA4)*VLOOKUP($R19,$E$6:$G$17,3,FALSE)</f>
        <v>0.20455645161290295</v>
      </c>
      <c r="U19" s="78">
        <f>(U4-AB4)*VLOOKUP($R19,$I$6:$K$17,3,FALSE)</f>
        <v>8.0051612903225738E-2</v>
      </c>
      <c r="V19" s="78">
        <f>(V4-AC4)*VLOOKUP($R19,$M$6:$O$17,3,FALSE)</f>
        <v>0.29633225806451602</v>
      </c>
      <c r="X19" s="3">
        <f>Q4</f>
        <v>42370</v>
      </c>
      <c r="Y19">
        <f>MONTH(X19)</f>
        <v>1</v>
      </c>
      <c r="Z19" s="62">
        <f>HLOOKUP(Z$18,Data!$T$4:$Z$19,ROW()-17,FALSE)*VLOOKUP($Y19,$C$20:$D$31,2,FALSE)*S19</f>
        <v>593045.20860000025</v>
      </c>
      <c r="AA19" s="62">
        <f>HLOOKUP(AA$18,Data!$T$4:$Z$19,ROW()-17,FALSE)*VLOOKUP($Y19,$C$20:$D$31,2,FALSE)*T19</f>
        <v>238950.98249999969</v>
      </c>
      <c r="AB19" s="62">
        <f>HLOOKUP(AB$18,Data!$T$4:$Z$19,ROW()-17,FALSE)*VLOOKUP($Y19,$C$20:$D$31,2,FALSE)*U19</f>
        <v>91767.086399999927</v>
      </c>
      <c r="AC19" s="62">
        <f>HLOOKUP(AC$18,Data!$T$4:$Z$19,ROW()-17,FALSE)*VLOOKUP($Y19,$C$20:$D$31,2,FALSE)*V19</f>
        <v>242224.35839999991</v>
      </c>
    </row>
    <row r="20" spans="1:29" x14ac:dyDescent="0.25">
      <c r="A20" s="3">
        <f>Data!A1</f>
        <v>42370</v>
      </c>
      <c r="C20">
        <f>MONTH(A20)</f>
        <v>1</v>
      </c>
      <c r="D20">
        <f>A21-A20</f>
        <v>31</v>
      </c>
      <c r="Q20" s="3">
        <f t="shared" ref="Q20:Q30" si="4">Q5</f>
        <v>42401</v>
      </c>
      <c r="R20">
        <f t="shared" ref="R20:R30" si="5">MONTH(Q20)</f>
        <v>2</v>
      </c>
      <c r="S20" s="78">
        <f t="shared" ref="S20:S30" si="6">(S5-Z5)*VLOOKUP($R20,$A$6:$C$17,3,FALSE)</f>
        <v>0.48286896551724118</v>
      </c>
      <c r="T20" s="78">
        <f t="shared" ref="T20:T30" si="7">(T5-AA5)*VLOOKUP($R20,$E$6:$G$17,3,FALSE)</f>
        <v>0.44469310344827606</v>
      </c>
      <c r="U20" s="78">
        <f t="shared" ref="U20:U30" si="8">(U5-AB5)*VLOOKUP($R20,$I$6:$K$17,3,FALSE)</f>
        <v>0.47116034482758629</v>
      </c>
      <c r="V20" s="78">
        <f t="shared" ref="V20:V30" si="9">(V5-AC5)*VLOOKUP($R20,$M$6:$O$17,3,FALSE)</f>
        <v>0.60889655172413826</v>
      </c>
      <c r="X20" s="3">
        <f t="shared" ref="X20:X30" si="10">Q5</f>
        <v>42401</v>
      </c>
      <c r="Y20">
        <f t="shared" ref="Y20:Y30" si="11">MONTH(X20)</f>
        <v>2</v>
      </c>
      <c r="Z20" s="62">
        <f>HLOOKUP(Z$18,Data!$T$4:$Z$19,ROW()-17,FALSE)*VLOOKUP($Y20,$C$20:$D$31,2,FALSE)*S20</f>
        <v>1126977.5359999996</v>
      </c>
      <c r="AA20" s="62">
        <f>HLOOKUP(AA$18,Data!$T$4:$Z$19,ROW()-17,FALSE)*VLOOKUP($Y20,$C$20:$D$31,2,FALSE)*T20</f>
        <v>486711.7101000002</v>
      </c>
      <c r="AB20" s="62">
        <f>HLOOKUP(AB$18,Data!$T$4:$Z$19,ROW()-17,FALSE)*VLOOKUP($Y20,$C$20:$D$31,2,FALSE)*U20</f>
        <v>505841.98665000009</v>
      </c>
      <c r="AC20" s="62">
        <f>HLOOKUP(AC$18,Data!$T$4:$Z$19,ROW()-17,FALSE)*VLOOKUP($Y20,$C$20:$D$31,2,FALSE)*V20</f>
        <v>464988.11400000023</v>
      </c>
    </row>
    <row r="21" spans="1:29" x14ac:dyDescent="0.25">
      <c r="A21" s="3">
        <f>DATE(YEAR(A20),MONTH(A20)+1,1)</f>
        <v>42401</v>
      </c>
      <c r="C21">
        <f t="shared" ref="C21:C31" si="12">MONTH(A21)</f>
        <v>2</v>
      </c>
      <c r="D21">
        <f>A22-A21</f>
        <v>29</v>
      </c>
      <c r="Q21" s="3">
        <f t="shared" si="4"/>
        <v>42430</v>
      </c>
      <c r="R21">
        <f t="shared" si="5"/>
        <v>3</v>
      </c>
      <c r="S21" s="78">
        <f t="shared" si="6"/>
        <v>0.46166129032258052</v>
      </c>
      <c r="T21" s="78">
        <f t="shared" si="7"/>
        <v>0.20041935483870965</v>
      </c>
      <c r="U21" s="78">
        <f t="shared" si="8"/>
        <v>0.18231774193548392</v>
      </c>
      <c r="V21" s="78">
        <f t="shared" si="9"/>
        <v>0.33354838709677409</v>
      </c>
      <c r="X21" s="3">
        <f t="shared" si="10"/>
        <v>42430</v>
      </c>
      <c r="Y21">
        <f t="shared" si="11"/>
        <v>3</v>
      </c>
      <c r="Z21" s="62">
        <f>HLOOKUP(Z$18,Data!$T$4:$Z$19,ROW()-17,FALSE)*VLOOKUP($Y21,$C$20:$D$31,2,FALSE)*S21</f>
        <v>1151388.7979999997</v>
      </c>
      <c r="AA21" s="62">
        <f>HLOOKUP(AA$18,Data!$T$4:$Z$19,ROW()-17,FALSE)*VLOOKUP($Y21,$C$20:$D$31,2,FALSE)*T21</f>
        <v>234553.17599999998</v>
      </c>
      <c r="AB21" s="62">
        <f>HLOOKUP(AB$18,Data!$T$4:$Z$19,ROW()-17,FALSE)*VLOOKUP($Y21,$C$20:$D$31,2,FALSE)*U21</f>
        <v>209333.22030000004</v>
      </c>
      <c r="AC21" s="62">
        <f>HLOOKUP(AC$18,Data!$T$4:$Z$19,ROW()-17,FALSE)*VLOOKUP($Y21,$C$20:$D$31,2,FALSE)*V21</f>
        <v>271973.0199999999</v>
      </c>
    </row>
    <row r="22" spans="1:29" x14ac:dyDescent="0.25">
      <c r="A22" s="3">
        <f t="shared" ref="A22:A32" si="13">DATE(YEAR(A21),MONTH(A21)+1,1)</f>
        <v>42430</v>
      </c>
      <c r="C22">
        <f t="shared" si="12"/>
        <v>3</v>
      </c>
      <c r="D22">
        <f t="shared" ref="D22:D31" si="14">A23-A22</f>
        <v>31</v>
      </c>
      <c r="Q22" s="3">
        <f t="shared" si="4"/>
        <v>42461</v>
      </c>
      <c r="R22">
        <f t="shared" si="5"/>
        <v>4</v>
      </c>
      <c r="S22" s="78">
        <f t="shared" si="6"/>
        <v>0.45565500000000009</v>
      </c>
      <c r="T22" s="78">
        <f t="shared" si="7"/>
        <v>0.45746999999999993</v>
      </c>
      <c r="U22" s="78">
        <f t="shared" si="8"/>
        <v>0.33121500000000004</v>
      </c>
      <c r="V22" s="78">
        <f t="shared" si="9"/>
        <v>0.64964999999999995</v>
      </c>
      <c r="X22" s="3">
        <f t="shared" si="10"/>
        <v>42461</v>
      </c>
      <c r="Y22">
        <f t="shared" si="11"/>
        <v>4</v>
      </c>
      <c r="Z22" s="62">
        <f>HLOOKUP(Z$18,Data!$T$4:$Z$19,ROW()-17,FALSE)*VLOOKUP($Y22,$C$20:$D$31,2,FALSE)*S22</f>
        <v>1099668.6639000003</v>
      </c>
      <c r="AA22" s="62">
        <f>HLOOKUP(AA$18,Data!$T$4:$Z$19,ROW()-17,FALSE)*VLOOKUP($Y22,$C$20:$D$31,2,FALSE)*T22</f>
        <v>517920.08579999994</v>
      </c>
      <c r="AB22" s="62">
        <f>HLOOKUP(AB$18,Data!$T$4:$Z$19,ROW()-17,FALSE)*VLOOKUP($Y22,$C$20:$D$31,2,FALSE)*U22</f>
        <v>367529.41260000004</v>
      </c>
      <c r="AC22" s="62">
        <f>HLOOKUP(AC$18,Data!$T$4:$Z$19,ROW()-17,FALSE)*VLOOKUP($Y22,$C$20:$D$31,2,FALSE)*V22</f>
        <v>509260.63499999995</v>
      </c>
    </row>
    <row r="23" spans="1:29" x14ac:dyDescent="0.25">
      <c r="A23" s="3">
        <f t="shared" si="13"/>
        <v>42461</v>
      </c>
      <c r="C23">
        <f t="shared" si="12"/>
        <v>4</v>
      </c>
      <c r="D23">
        <f t="shared" si="14"/>
        <v>30</v>
      </c>
      <c r="Q23" s="3">
        <f t="shared" si="4"/>
        <v>42491</v>
      </c>
      <c r="R23">
        <f t="shared" si="5"/>
        <v>5</v>
      </c>
      <c r="S23" s="78">
        <f t="shared" si="6"/>
        <v>0.20699032258064515</v>
      </c>
      <c r="T23" s="78">
        <f t="shared" si="7"/>
        <v>0.16592419354838708</v>
      </c>
      <c r="U23" s="78">
        <f t="shared" si="8"/>
        <v>9.6593548387096786E-2</v>
      </c>
      <c r="V23" s="78">
        <f t="shared" si="9"/>
        <v>0.3001677419354839</v>
      </c>
      <c r="X23" s="3">
        <f t="shared" si="10"/>
        <v>42491</v>
      </c>
      <c r="Y23">
        <f t="shared" si="11"/>
        <v>5</v>
      </c>
      <c r="Z23" s="62">
        <f>HLOOKUP(Z$18,Data!$T$4:$Z$19,ROW()-17,FALSE)*VLOOKUP($Y23,$C$20:$D$31,2,FALSE)*S23</f>
        <v>516236.34839999996</v>
      </c>
      <c r="AA23" s="62">
        <f>HLOOKUP(AA$18,Data!$T$4:$Z$19,ROW()-17,FALSE)*VLOOKUP($Y23,$C$20:$D$31,2,FALSE)*T23</f>
        <v>193843.59389999998</v>
      </c>
      <c r="AB23" s="62">
        <f>HLOOKUP(AB$18,Data!$T$4:$Z$19,ROW()-17,FALSE)*VLOOKUP($Y23,$C$20:$D$31,2,FALSE)*U23</f>
        <v>110822.74400000002</v>
      </c>
      <c r="AC23" s="62">
        <f>HLOOKUP(AC$18,Data!$T$4:$Z$19,ROW()-17,FALSE)*VLOOKUP($Y23,$C$20:$D$31,2,FALSE)*V23</f>
        <v>241786.31680000003</v>
      </c>
    </row>
    <row r="24" spans="1:29" x14ac:dyDescent="0.25">
      <c r="A24" s="3">
        <f t="shared" si="13"/>
        <v>42491</v>
      </c>
      <c r="C24">
        <f t="shared" si="12"/>
        <v>5</v>
      </c>
      <c r="D24">
        <f t="shared" si="14"/>
        <v>31</v>
      </c>
      <c r="Q24" s="3">
        <f t="shared" si="4"/>
        <v>42522</v>
      </c>
      <c r="R24">
        <f t="shared" si="5"/>
        <v>6</v>
      </c>
      <c r="S24" s="78">
        <f t="shared" si="6"/>
        <v>7.9586666666666694E-2</v>
      </c>
      <c r="T24" s="78">
        <f t="shared" si="7"/>
        <v>4.8959999999999969E-2</v>
      </c>
      <c r="U24" s="78">
        <f t="shared" si="8"/>
        <v>0</v>
      </c>
      <c r="V24" s="78">
        <f t="shared" si="9"/>
        <v>3.4320000000000003E-2</v>
      </c>
      <c r="X24" s="3">
        <f t="shared" si="10"/>
        <v>42522</v>
      </c>
      <c r="Y24">
        <f t="shared" si="11"/>
        <v>6</v>
      </c>
      <c r="Z24" s="62">
        <f>HLOOKUP(Z$18,Data!$T$4:$Z$19,ROW()-17,FALSE)*VLOOKUP($Y24,$C$20:$D$31,2,FALSE)*S24</f>
        <v>191853.21040000007</v>
      </c>
      <c r="AA24" s="62">
        <f>HLOOKUP(AA$18,Data!$T$4:$Z$19,ROW()-17,FALSE)*VLOOKUP($Y24,$C$20:$D$31,2,FALSE)*T24</f>
        <v>55337.039999999964</v>
      </c>
      <c r="AB24" s="62">
        <f>HLOOKUP(AB$18,Data!$T$4:$Z$19,ROW()-17,FALSE)*VLOOKUP($Y24,$C$20:$D$31,2,FALSE)*U24</f>
        <v>0</v>
      </c>
      <c r="AC24" s="62">
        <f>HLOOKUP(AC$18,Data!$T$4:$Z$19,ROW()-17,FALSE)*VLOOKUP($Y24,$C$20:$D$31,2,FALSE)*V24</f>
        <v>26650.166400000002</v>
      </c>
    </row>
    <row r="25" spans="1:29" x14ac:dyDescent="0.25">
      <c r="A25" s="3">
        <f t="shared" si="13"/>
        <v>42522</v>
      </c>
      <c r="C25">
        <f t="shared" si="12"/>
        <v>6</v>
      </c>
      <c r="D25">
        <f t="shared" si="14"/>
        <v>30</v>
      </c>
      <c r="Q25" s="3">
        <f t="shared" si="4"/>
        <v>42552</v>
      </c>
      <c r="R25">
        <f t="shared" si="5"/>
        <v>7</v>
      </c>
      <c r="S25" s="78">
        <f t="shared" si="6"/>
        <v>0.10379032258064518</v>
      </c>
      <c r="T25" s="78">
        <f t="shared" si="7"/>
        <v>5.9003225806451599E-2</v>
      </c>
      <c r="U25" s="78">
        <f t="shared" si="8"/>
        <v>0</v>
      </c>
      <c r="V25" s="78">
        <f t="shared" si="9"/>
        <v>0</v>
      </c>
      <c r="X25" s="3">
        <f t="shared" si="10"/>
        <v>42552</v>
      </c>
      <c r="Y25">
        <f t="shared" si="11"/>
        <v>7</v>
      </c>
      <c r="Z25" s="62">
        <f>HLOOKUP(Z$18,Data!$T$4:$Z$19,ROW()-17,FALSE)*VLOOKUP($Y25,$C$20:$D$31,2,FALSE)*S25</f>
        <v>258645.17250000004</v>
      </c>
      <c r="AA25" s="62">
        <f>HLOOKUP(AA$18,Data!$T$4:$Z$19,ROW()-17,FALSE)*VLOOKUP($Y25,$C$20:$D$31,2,FALSE)*T25</f>
        <v>68918.65889999998</v>
      </c>
      <c r="AB25" s="62">
        <f>HLOOKUP(AB$18,Data!$T$4:$Z$19,ROW()-17,FALSE)*VLOOKUP($Y25,$C$20:$D$31,2,FALSE)*U25</f>
        <v>0</v>
      </c>
      <c r="AC25" s="62">
        <f>HLOOKUP(AC$18,Data!$T$4:$Z$19,ROW()-17,FALSE)*VLOOKUP($Y25,$C$20:$D$31,2,FALSE)*V25</f>
        <v>0</v>
      </c>
    </row>
    <row r="26" spans="1:29" x14ac:dyDescent="0.25">
      <c r="A26" s="3">
        <f t="shared" si="13"/>
        <v>42552</v>
      </c>
      <c r="C26">
        <f t="shared" si="12"/>
        <v>7</v>
      </c>
      <c r="D26">
        <f t="shared" si="14"/>
        <v>31</v>
      </c>
      <c r="Q26" s="3">
        <f t="shared" si="4"/>
        <v>42583</v>
      </c>
      <c r="R26">
        <f t="shared" si="5"/>
        <v>8</v>
      </c>
      <c r="S26" s="78">
        <f t="shared" si="6"/>
        <v>0.11792258064516128</v>
      </c>
      <c r="T26" s="78">
        <f t="shared" si="7"/>
        <v>9.0367741935483872E-2</v>
      </c>
      <c r="U26" s="78">
        <f t="shared" si="8"/>
        <v>0</v>
      </c>
      <c r="V26" s="78">
        <f t="shared" si="9"/>
        <v>0</v>
      </c>
      <c r="X26" s="3">
        <f t="shared" si="10"/>
        <v>42583</v>
      </c>
      <c r="Y26">
        <f t="shared" si="11"/>
        <v>8</v>
      </c>
      <c r="Z26" s="62">
        <f>HLOOKUP(Z$18,Data!$T$4:$Z$19,ROW()-17,FALSE)*VLOOKUP($Y26,$C$20:$D$31,2,FALSE)*S26</f>
        <v>293668.97039999999</v>
      </c>
      <c r="AA26" s="62">
        <f>HLOOKUP(AA$18,Data!$T$4:$Z$19,ROW()-17,FALSE)*VLOOKUP($Y26,$C$20:$D$31,2,FALSE)*T26</f>
        <v>105416.682</v>
      </c>
      <c r="AB26" s="62">
        <f>HLOOKUP(AB$18,Data!$T$4:$Z$19,ROW()-17,FALSE)*VLOOKUP($Y26,$C$20:$D$31,2,FALSE)*U26</f>
        <v>0</v>
      </c>
      <c r="AC26" s="62">
        <f>HLOOKUP(AC$18,Data!$T$4:$Z$19,ROW()-17,FALSE)*VLOOKUP($Y26,$C$20:$D$31,2,FALSE)*V26</f>
        <v>0</v>
      </c>
    </row>
    <row r="27" spans="1:29" x14ac:dyDescent="0.25">
      <c r="A27" s="3">
        <f t="shared" si="13"/>
        <v>42583</v>
      </c>
      <c r="C27">
        <f t="shared" si="12"/>
        <v>8</v>
      </c>
      <c r="D27">
        <f t="shared" si="14"/>
        <v>31</v>
      </c>
      <c r="Q27" s="3">
        <f t="shared" si="4"/>
        <v>42614</v>
      </c>
      <c r="R27">
        <f t="shared" si="5"/>
        <v>9</v>
      </c>
      <c r="S27" s="78">
        <f t="shared" si="6"/>
        <v>3.8628333333333327E-2</v>
      </c>
      <c r="T27" s="78">
        <f t="shared" si="7"/>
        <v>-3.0660000000000007E-2</v>
      </c>
      <c r="U27" s="78">
        <f t="shared" si="8"/>
        <v>8.5800000000000112E-3</v>
      </c>
      <c r="V27" s="78">
        <f t="shared" si="9"/>
        <v>7.1976666666666661E-2</v>
      </c>
      <c r="X27" s="3">
        <f t="shared" si="10"/>
        <v>42614</v>
      </c>
      <c r="Y27">
        <f t="shared" si="11"/>
        <v>9</v>
      </c>
      <c r="Z27" s="62">
        <f>HLOOKUP(Z$18,Data!$T$4:$Z$19,ROW()-17,FALSE)*VLOOKUP($Y27,$C$20:$D$31,2,FALSE)*S27</f>
        <v>93299.013499999986</v>
      </c>
      <c r="AA27" s="62">
        <f>HLOOKUP(AA$18,Data!$T$4:$Z$19,ROW()-17,FALSE)*VLOOKUP($Y27,$C$20:$D$31,2,FALSE)*T27</f>
        <v>-34665.42240000001</v>
      </c>
      <c r="AB27" s="62">
        <f>HLOOKUP(AB$18,Data!$T$4:$Z$19,ROW()-17,FALSE)*VLOOKUP($Y27,$C$20:$D$31,2,FALSE)*U27</f>
        <v>9576.5670000000118</v>
      </c>
      <c r="AC27" s="62">
        <f>HLOOKUP(AC$18,Data!$T$4:$Z$19,ROW()-17,FALSE)*VLOOKUP($Y27,$C$20:$D$31,2,FALSE)*V27</f>
        <v>55461.620499999997</v>
      </c>
    </row>
    <row r="28" spans="1:29" x14ac:dyDescent="0.25">
      <c r="A28" s="3">
        <f t="shared" si="13"/>
        <v>42614</v>
      </c>
      <c r="C28">
        <f t="shared" si="12"/>
        <v>9</v>
      </c>
      <c r="D28">
        <f t="shared" si="14"/>
        <v>30</v>
      </c>
      <c r="Q28" s="3">
        <f t="shared" si="4"/>
        <v>42644</v>
      </c>
      <c r="R28">
        <f t="shared" si="5"/>
        <v>10</v>
      </c>
      <c r="S28" s="78">
        <f t="shared" si="6"/>
        <v>0.27198709677419358</v>
      </c>
      <c r="T28" s="78">
        <f t="shared" si="7"/>
        <v>0.14846129032258076</v>
      </c>
      <c r="U28" s="78">
        <f t="shared" si="8"/>
        <v>5.8995161290322548E-2</v>
      </c>
      <c r="V28" s="78">
        <f t="shared" si="9"/>
        <v>0.15047903225806453</v>
      </c>
      <c r="X28" s="3">
        <f t="shared" si="10"/>
        <v>42644</v>
      </c>
      <c r="Y28">
        <f t="shared" si="11"/>
        <v>10</v>
      </c>
      <c r="Z28" s="62">
        <f>HLOOKUP(Z$18,Data!$T$4:$Z$19,ROW()-17,FALSE)*VLOOKUP($Y28,$C$20:$D$31,2,FALSE)*S28</f>
        <v>681551.52280000004</v>
      </c>
      <c r="AA28" s="62">
        <f>HLOOKUP(AA$18,Data!$T$4:$Z$19,ROW()-17,FALSE)*VLOOKUP($Y28,$C$20:$D$31,2,FALSE)*T28</f>
        <v>174215.46420000013</v>
      </c>
      <c r="AB28" s="62">
        <f>HLOOKUP(AB$18,Data!$T$4:$Z$19,ROW()-17,FALSE)*VLOOKUP($Y28,$C$20:$D$31,2,FALSE)*U28</f>
        <v>68547.126849999957</v>
      </c>
      <c r="AC28" s="62">
        <f>HLOOKUP(AC$18,Data!$T$4:$Z$19,ROW()-17,FALSE)*VLOOKUP($Y28,$C$20:$D$31,2,FALSE)*V28</f>
        <v>121715.26620000001</v>
      </c>
    </row>
    <row r="29" spans="1:29" x14ac:dyDescent="0.25">
      <c r="A29" s="3">
        <f t="shared" si="13"/>
        <v>42644</v>
      </c>
      <c r="C29">
        <f t="shared" si="12"/>
        <v>10</v>
      </c>
      <c r="D29">
        <f t="shared" si="14"/>
        <v>31</v>
      </c>
      <c r="Q29" s="3">
        <f t="shared" si="4"/>
        <v>42675</v>
      </c>
      <c r="R29">
        <f t="shared" si="5"/>
        <v>11</v>
      </c>
      <c r="S29" s="78">
        <f t="shared" si="6"/>
        <v>0.90948000000000007</v>
      </c>
      <c r="T29" s="78">
        <f t="shared" si="7"/>
        <v>0.72951333333333312</v>
      </c>
      <c r="U29" s="78">
        <f t="shared" si="8"/>
        <v>0.50511499999999998</v>
      </c>
      <c r="V29" s="78">
        <f t="shared" si="9"/>
        <v>0.68251500000000009</v>
      </c>
      <c r="X29" s="3">
        <f t="shared" si="10"/>
        <v>42675</v>
      </c>
      <c r="Y29">
        <f t="shared" si="11"/>
        <v>11</v>
      </c>
      <c r="Z29" s="62">
        <f>HLOOKUP(Z$18,Data!$T$4:$Z$19,ROW()-17,FALSE)*VLOOKUP($Y29,$C$20:$D$31,2,FALSE)*S29</f>
        <v>2210663.9412000002</v>
      </c>
      <c r="AA29" s="62">
        <f>HLOOKUP(AA$18,Data!$T$4:$Z$19,ROW()-17,FALSE)*VLOOKUP($Y29,$C$20:$D$31,2,FALSE)*T29</f>
        <v>831798.3977999998</v>
      </c>
      <c r="AB29" s="62">
        <f>HLOOKUP(AB$18,Data!$T$4:$Z$19,ROW()-17,FALSE)*VLOOKUP($Y29,$C$20:$D$31,2,FALSE)*U29</f>
        <v>571421.44605000003</v>
      </c>
      <c r="AC29" s="62">
        <f>HLOOKUP(AC$18,Data!$T$4:$Z$19,ROW()-17,FALSE)*VLOOKUP($Y29,$C$20:$D$31,2,FALSE)*V29</f>
        <v>539016.22125000006</v>
      </c>
    </row>
    <row r="30" spans="1:29" x14ac:dyDescent="0.25">
      <c r="A30" s="3">
        <f t="shared" si="13"/>
        <v>42675</v>
      </c>
      <c r="C30">
        <f t="shared" si="12"/>
        <v>11</v>
      </c>
      <c r="D30">
        <f t="shared" si="14"/>
        <v>30</v>
      </c>
      <c r="Q30" s="3">
        <f t="shared" si="4"/>
        <v>42705</v>
      </c>
      <c r="R30">
        <f t="shared" si="5"/>
        <v>12</v>
      </c>
      <c r="S30" s="78">
        <f t="shared" si="6"/>
        <v>-0.52353387096774229</v>
      </c>
      <c r="T30" s="78">
        <f t="shared" si="7"/>
        <v>-0.39851290322580657</v>
      </c>
      <c r="U30" s="78">
        <f t="shared" si="8"/>
        <v>-0.38764838709677424</v>
      </c>
      <c r="V30" s="78">
        <f t="shared" si="9"/>
        <v>-0.28307741935483838</v>
      </c>
      <c r="X30" s="3">
        <f t="shared" si="10"/>
        <v>42705</v>
      </c>
      <c r="Y30">
        <f t="shared" si="11"/>
        <v>12</v>
      </c>
      <c r="Z30" s="62">
        <f>HLOOKUP(Z$18,Data!$T$4:$Z$19,ROW()-17,FALSE)*VLOOKUP($Y30,$C$20:$D$31,2,FALSE)*S30</f>
        <v>-1318975.5285000009</v>
      </c>
      <c r="AA30" s="62">
        <f>HLOOKUP(AA$18,Data!$T$4:$Z$19,ROW()-17,FALSE)*VLOOKUP($Y30,$C$20:$D$31,2,FALSE)*T30</f>
        <v>-471214.80770000012</v>
      </c>
      <c r="AB30" s="62">
        <f>HLOOKUP(AB$18,Data!$T$4:$Z$19,ROW()-17,FALSE)*VLOOKUP($Y30,$C$20:$D$31,2,FALSE)*U30</f>
        <v>-455363.97030000004</v>
      </c>
      <c r="AC30" s="62">
        <f>HLOOKUP(AC$18,Data!$T$4:$Z$19,ROW()-17,FALSE)*VLOOKUP($Y30,$C$20:$D$31,2,FALSE)*V30</f>
        <v>-232627.07859999972</v>
      </c>
    </row>
    <row r="31" spans="1:29" x14ac:dyDescent="0.25">
      <c r="A31" s="3">
        <f t="shared" si="13"/>
        <v>42705</v>
      </c>
      <c r="C31">
        <f t="shared" si="12"/>
        <v>12</v>
      </c>
      <c r="D31">
        <f t="shared" si="14"/>
        <v>31</v>
      </c>
    </row>
    <row r="32" spans="1:29" x14ac:dyDescent="0.25">
      <c r="A32" s="3">
        <f t="shared" si="13"/>
        <v>42736</v>
      </c>
      <c r="S32" s="62"/>
    </row>
    <row r="33" spans="19:19" x14ac:dyDescent="0.25">
      <c r="S33" s="62"/>
    </row>
  </sheetData>
  <mergeCells count="20">
    <mergeCell ref="Z2:AC2"/>
    <mergeCell ref="S17:V17"/>
    <mergeCell ref="Z17:AC17"/>
    <mergeCell ref="A1:C1"/>
    <mergeCell ref="A2:A3"/>
    <mergeCell ref="B2:B3"/>
    <mergeCell ref="C2:C3"/>
    <mergeCell ref="E1:G1"/>
    <mergeCell ref="E2:E3"/>
    <mergeCell ref="F2:F3"/>
    <mergeCell ref="G2:G3"/>
    <mergeCell ref="I1:K1"/>
    <mergeCell ref="I2:I3"/>
    <mergeCell ref="J2:J3"/>
    <mergeCell ref="K2:K3"/>
    <mergeCell ref="M1:O1"/>
    <mergeCell ref="M2:M3"/>
    <mergeCell ref="N2:N3"/>
    <mergeCell ref="O2:O3"/>
    <mergeCell ref="S2:V2"/>
  </mergeCells>
  <printOptions horizontalCentered="1"/>
  <pageMargins left="0.7" right="0.7" top="0.75" bottom="0.75" header="0.3" footer="0.3"/>
  <pageSetup scale="85" orientation="landscape" r:id="rId1"/>
  <headerFooter scaleWithDoc="0" alignWithMargins="0">
    <oddHeader>&amp;RExhibit No. ___ (BR-4)
503-65
Page &amp;P of  &amp;N</oddHeader>
  </headerFooter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AC32"/>
  <sheetViews>
    <sheetView view="pageBreakPreview" zoomScale="60" zoomScaleNormal="100" workbookViewId="0">
      <selection activeCell="M1" sqref="A1:XFD1"/>
    </sheetView>
  </sheetViews>
  <sheetFormatPr defaultRowHeight="15" x14ac:dyDescent="0.25"/>
  <cols>
    <col min="1" max="1" width="9.7109375" bestFit="1" customWidth="1"/>
    <col min="2" max="2" width="3.85546875" customWidth="1"/>
    <col min="3" max="3" width="8.7109375" bestFit="1" customWidth="1"/>
    <col min="4" max="4" width="13.7109375" bestFit="1" customWidth="1"/>
    <col min="6" max="6" width="3.85546875" bestFit="1" customWidth="1"/>
    <col min="7" max="7" width="8.7109375" bestFit="1" customWidth="1"/>
    <col min="10" max="10" width="3.85546875" customWidth="1"/>
    <col min="11" max="11" width="8.7109375" bestFit="1" customWidth="1"/>
    <col min="14" max="14" width="3.85546875" customWidth="1"/>
    <col min="15" max="15" width="8.7109375" bestFit="1" customWidth="1"/>
    <col min="17" max="17" width="9.7109375" bestFit="1" customWidth="1"/>
    <col min="18" max="18" width="3" bestFit="1" customWidth="1"/>
    <col min="19" max="21" width="15.28515625" customWidth="1"/>
    <col min="22" max="22" width="12.5703125" customWidth="1"/>
    <col min="23" max="23" width="4" customWidth="1"/>
    <col min="24" max="24" width="9.7109375" bestFit="1" customWidth="1"/>
    <col min="25" max="25" width="3" bestFit="1" customWidth="1"/>
    <col min="26" max="29" width="11.28515625" bestFit="1" customWidth="1"/>
  </cols>
  <sheetData>
    <row r="1" spans="1:29" x14ac:dyDescent="0.25">
      <c r="A1" s="94" t="s">
        <v>29</v>
      </c>
      <c r="B1" s="94"/>
      <c r="C1" s="94"/>
      <c r="E1" s="94" t="s">
        <v>30</v>
      </c>
      <c r="F1" s="94"/>
      <c r="G1" s="94"/>
      <c r="I1" s="94" t="s">
        <v>31</v>
      </c>
      <c r="J1" s="94"/>
      <c r="K1" s="94"/>
      <c r="M1" s="94" t="s">
        <v>32</v>
      </c>
      <c r="N1" s="94"/>
      <c r="O1" s="94"/>
    </row>
    <row r="2" spans="1:29" x14ac:dyDescent="0.25">
      <c r="A2" s="95" t="s">
        <v>37</v>
      </c>
      <c r="B2" s="96"/>
      <c r="C2" s="96" t="s">
        <v>38</v>
      </c>
      <c r="E2" s="95" t="s">
        <v>37</v>
      </c>
      <c r="F2" s="96"/>
      <c r="G2" s="96" t="s">
        <v>38</v>
      </c>
      <c r="I2" s="95" t="s">
        <v>37</v>
      </c>
      <c r="J2" s="96"/>
      <c r="K2" s="96" t="s">
        <v>38</v>
      </c>
      <c r="M2" s="95" t="s">
        <v>37</v>
      </c>
      <c r="N2" s="96"/>
      <c r="O2" s="96" t="s">
        <v>38</v>
      </c>
      <c r="Q2" s="76" t="s">
        <v>42</v>
      </c>
      <c r="S2" s="93" t="s">
        <v>43</v>
      </c>
      <c r="T2" s="93"/>
      <c r="U2" s="93"/>
      <c r="V2" s="93"/>
      <c r="X2" s="76" t="s">
        <v>44</v>
      </c>
      <c r="Z2" s="93" t="s">
        <v>45</v>
      </c>
      <c r="AA2" s="93"/>
      <c r="AB2" s="93"/>
      <c r="AC2" s="93"/>
    </row>
    <row r="3" spans="1:29" x14ac:dyDescent="0.25">
      <c r="A3" s="95"/>
      <c r="B3" s="96"/>
      <c r="C3" s="96"/>
      <c r="E3" s="95"/>
      <c r="F3" s="96"/>
      <c r="G3" s="96"/>
      <c r="I3" s="95"/>
      <c r="J3" s="96"/>
      <c r="K3" s="96"/>
      <c r="M3" s="95"/>
      <c r="N3" s="96"/>
      <c r="O3" s="96"/>
      <c r="S3" t="s">
        <v>29</v>
      </c>
      <c r="T3" t="s">
        <v>30</v>
      </c>
      <c r="U3" t="s">
        <v>31</v>
      </c>
      <c r="V3" t="s">
        <v>32</v>
      </c>
      <c r="Z3" t="s">
        <v>29</v>
      </c>
      <c r="AA3" t="s">
        <v>30</v>
      </c>
      <c r="AB3" t="s">
        <v>31</v>
      </c>
      <c r="AC3" t="s">
        <v>32</v>
      </c>
    </row>
    <row r="4" spans="1:29" x14ac:dyDescent="0.25">
      <c r="A4" s="70" t="s">
        <v>39</v>
      </c>
      <c r="B4" s="71"/>
      <c r="C4" s="71">
        <v>0.62343999999999999</v>
      </c>
      <c r="E4" s="70" t="s">
        <v>39</v>
      </c>
      <c r="F4" s="71"/>
      <c r="G4" s="71">
        <v>0.70989999999999998</v>
      </c>
      <c r="I4" s="70" t="s">
        <v>39</v>
      </c>
      <c r="J4" s="71"/>
      <c r="K4" s="71">
        <v>0.59418000000000004</v>
      </c>
      <c r="M4" s="70" t="s">
        <v>39</v>
      </c>
      <c r="N4" s="71"/>
      <c r="O4" s="71">
        <v>0.34168999999999999</v>
      </c>
      <c r="Q4" s="3">
        <f>Data!A1</f>
        <v>42370</v>
      </c>
      <c r="R4">
        <f>MONTH(Q4)</f>
        <v>1</v>
      </c>
      <c r="S4" s="77">
        <f>HLOOKUP(S$3,Normals!$B$17:$H$29,$R4+1,FALSE)/VLOOKUP($R4,$C$20:$D$31,2,FALSE)</f>
        <v>20.774193548387096</v>
      </c>
      <c r="T4" s="77">
        <f>HLOOKUP(T$3,Normals!$B$17:$H$29,$R4+1,FALSE)/VLOOKUP($R4,$C$20:$D$31,2,FALSE)</f>
        <v>17.387096774193548</v>
      </c>
      <c r="U4" s="77">
        <f>HLOOKUP(U$3,Normals!$B$17:$H$29,$R4+1,FALSE)/VLOOKUP($R4,$C$20:$D$31,2,FALSE)</f>
        <v>24.483870967741936</v>
      </c>
      <c r="V4" s="77">
        <f>HLOOKUP(V$3,Normals!$B$17:$H$29,$R4+1,FALSE)/VLOOKUP($R4,$C$20:$D$31,2,FALSE)</f>
        <v>29.096774193548388</v>
      </c>
      <c r="X4" s="3">
        <f>Q4</f>
        <v>42370</v>
      </c>
      <c r="Y4">
        <f>MONTH(X4)</f>
        <v>1</v>
      </c>
      <c r="Z4" s="77">
        <f>HLOOKUP(Z$3,Data!$AU$4:$BA$19,ROW()-2,FALSE)/VLOOKUP($Y4,$C$20:$D$31,2,FALSE)</f>
        <v>18.806451612903224</v>
      </c>
      <c r="AA4" s="77">
        <f>HLOOKUP(AA$3,Data!$AU$4:$BA$19,ROW()-2,FALSE)/VLOOKUP($Y4,$C$20:$D$31,2,FALSE)</f>
        <v>15.951612903225806</v>
      </c>
      <c r="AB4" s="77">
        <f>HLOOKUP(AB$3,Data!$AU$4:$BA$19,ROW()-2,FALSE)/VLOOKUP($Y4,$C$20:$D$31,2,FALSE)</f>
        <v>23.70967741935484</v>
      </c>
      <c r="AC4" s="77">
        <f>HLOOKUP(AC$3,Data!$AU$4:$BA$19,ROW()-2,FALSE)/VLOOKUP($Y4,$C$20:$D$31,2,FALSE)</f>
        <v>26.306451612903224</v>
      </c>
    </row>
    <row r="5" spans="1:29" x14ac:dyDescent="0.25">
      <c r="A5" s="70" t="s">
        <v>54</v>
      </c>
      <c r="B5" s="71"/>
      <c r="C5" s="71">
        <v>0</v>
      </c>
      <c r="E5" s="70" t="s">
        <v>54</v>
      </c>
      <c r="F5" s="71"/>
      <c r="G5" s="71">
        <v>-1.596E-3</v>
      </c>
      <c r="I5" s="70" t="s">
        <v>54</v>
      </c>
      <c r="J5" s="71"/>
      <c r="K5" s="71">
        <v>-2.0300000000000001E-3</v>
      </c>
      <c r="M5" s="70" t="s">
        <v>54</v>
      </c>
      <c r="N5" s="71"/>
      <c r="O5" s="71">
        <v>1.65E-3</v>
      </c>
      <c r="Q5" s="3">
        <f>DATE(YEAR(Q4),MONTH(Q4)+1,1)</f>
        <v>42401</v>
      </c>
      <c r="R5">
        <f t="shared" ref="R5:R15" si="0">MONTH(Q5)</f>
        <v>2</v>
      </c>
      <c r="S5" s="77">
        <f>HLOOKUP(S$3,Normals!$B$17:$H$29,$R5+1,FALSE)/VLOOKUP($R5,$C$20:$D$31,2,FALSE)</f>
        <v>18.620689655172413</v>
      </c>
      <c r="T5" s="77">
        <f>HLOOKUP(T$3,Normals!$B$17:$H$29,$R5+1,FALSE)/VLOOKUP($R5,$C$20:$D$31,2,FALSE)</f>
        <v>15.827586206896552</v>
      </c>
      <c r="U5" s="77">
        <f>HLOOKUP(U$3,Normals!$B$17:$H$29,$R5+1,FALSE)/VLOOKUP($R5,$C$20:$D$31,2,FALSE)</f>
        <v>20.206896551724139</v>
      </c>
      <c r="V5" s="77">
        <f>HLOOKUP(V$3,Normals!$B$17:$H$29,$R5+1,FALSE)/VLOOKUP($R5,$C$20:$D$31,2,FALSE)</f>
        <v>23.068965517241381</v>
      </c>
      <c r="X5" s="3">
        <f t="shared" ref="X5:X15" si="1">Q5</f>
        <v>42401</v>
      </c>
      <c r="Y5">
        <f t="shared" ref="Y5:Y15" si="2">MONTH(X5)</f>
        <v>2</v>
      </c>
      <c r="Z5" s="77">
        <f>HLOOKUP(Z$3,Data!$AU$4:$BA$19,ROW()-2,FALSE)/VLOOKUP($Y5,$C$20:$D$31,2,FALSE)</f>
        <v>14.03448275862069</v>
      </c>
      <c r="AA5" s="77">
        <f>HLOOKUP(AA$3,Data!$AU$4:$BA$19,ROW()-2,FALSE)/VLOOKUP($Y5,$C$20:$D$31,2,FALSE)</f>
        <v>12.086206896551724</v>
      </c>
      <c r="AB5" s="77">
        <f>HLOOKUP(AB$3,Data!$AU$4:$BA$19,ROW()-2,FALSE)/VLOOKUP($Y5,$C$20:$D$31,2,FALSE)</f>
        <v>15.293103448275861</v>
      </c>
      <c r="AC5" s="77">
        <f>HLOOKUP(AC$3,Data!$AU$4:$BA$19,ROW()-2,FALSE)/VLOOKUP($Y5,$C$20:$D$31,2,FALSE)</f>
        <v>17.258620689655171</v>
      </c>
    </row>
    <row r="6" spans="1:29" x14ac:dyDescent="0.25">
      <c r="A6" s="70">
        <v>1</v>
      </c>
      <c r="B6" s="71"/>
      <c r="C6" s="71">
        <v>0.14166999999999999</v>
      </c>
      <c r="E6" s="70">
        <v>1</v>
      </c>
      <c r="F6" s="71"/>
      <c r="G6" s="71">
        <v>0.16600000000000001</v>
      </c>
      <c r="I6" s="70">
        <v>1</v>
      </c>
      <c r="J6" s="71"/>
      <c r="K6" s="71">
        <v>0.12303</v>
      </c>
      <c r="M6" s="70">
        <v>1</v>
      </c>
      <c r="N6" s="71"/>
      <c r="O6" s="71">
        <v>0.12250999999999999</v>
      </c>
      <c r="Q6" s="3">
        <f t="shared" ref="Q6:Q15" si="3">DATE(YEAR(Q5),MONTH(Q5)+1,1)</f>
        <v>42430</v>
      </c>
      <c r="R6">
        <f t="shared" si="0"/>
        <v>3</v>
      </c>
      <c r="S6" s="77">
        <f>HLOOKUP(S$3,Normals!$B$17:$H$29,$R6+1,FALSE)/VLOOKUP($R6,$C$20:$D$31,2,FALSE)</f>
        <v>15.774193548387096</v>
      </c>
      <c r="T6" s="77">
        <f>HLOOKUP(T$3,Normals!$B$17:$H$29,$R6+1,FALSE)/VLOOKUP($R6,$C$20:$D$31,2,FALSE)</f>
        <v>14</v>
      </c>
      <c r="U6" s="77">
        <f>HLOOKUP(U$3,Normals!$B$17:$H$29,$R6+1,FALSE)/VLOOKUP($R6,$C$20:$D$31,2,FALSE)</f>
        <v>13.709677419354838</v>
      </c>
      <c r="V6" s="77">
        <f>HLOOKUP(V$3,Normals!$B$17:$H$29,$R6+1,FALSE)/VLOOKUP($R6,$C$20:$D$31,2,FALSE)</f>
        <v>16.838709677419356</v>
      </c>
      <c r="X6" s="3">
        <f t="shared" si="1"/>
        <v>42430</v>
      </c>
      <c r="Y6">
        <f t="shared" si="2"/>
        <v>3</v>
      </c>
      <c r="Z6" s="77">
        <f>HLOOKUP(Z$3,Data!$AU$4:$BA$19,ROW()-2,FALSE)/VLOOKUP($Y6,$C$20:$D$31,2,FALSE)</f>
        <v>11.225806451612904</v>
      </c>
      <c r="AA6" s="77">
        <f>HLOOKUP(AA$3,Data!$AU$4:$BA$19,ROW()-2,FALSE)/VLOOKUP($Y6,$C$20:$D$31,2,FALSE)</f>
        <v>12.241935483870968</v>
      </c>
      <c r="AB6" s="77">
        <f>HLOOKUP(AB$3,Data!$AU$4:$BA$19,ROW()-2,FALSE)/VLOOKUP($Y6,$C$20:$D$31,2,FALSE)</f>
        <v>11.725806451612904</v>
      </c>
      <c r="AC6" s="77">
        <f>HLOOKUP(AC$3,Data!$AU$4:$BA$19,ROW()-2,FALSE)/VLOOKUP($Y6,$C$20:$D$31,2,FALSE)</f>
        <v>13.258064516129032</v>
      </c>
    </row>
    <row r="7" spans="1:29" x14ac:dyDescent="0.25">
      <c r="A7" s="70">
        <v>2</v>
      </c>
      <c r="B7" s="71"/>
      <c r="C7" s="71">
        <v>0.12995000000000001</v>
      </c>
      <c r="E7" s="70">
        <v>2</v>
      </c>
      <c r="F7" s="71"/>
      <c r="G7" s="71">
        <v>0.1454</v>
      </c>
      <c r="I7" s="70">
        <v>2</v>
      </c>
      <c r="J7" s="71"/>
      <c r="K7" s="71">
        <v>0.12318999999999999</v>
      </c>
      <c r="M7" s="70">
        <v>2</v>
      </c>
      <c r="N7" s="71"/>
      <c r="O7" s="71">
        <v>0.12923999999999999</v>
      </c>
      <c r="Q7" s="3">
        <f t="shared" si="3"/>
        <v>42461</v>
      </c>
      <c r="R7">
        <f t="shared" si="0"/>
        <v>4</v>
      </c>
      <c r="S7" s="77">
        <f>HLOOKUP(S$3,Normals!$B$17:$H$29,$R7+1,FALSE)/VLOOKUP($R7,$C$20:$D$31,2,FALSE)</f>
        <v>11.633333333333333</v>
      </c>
      <c r="T7" s="77">
        <f>HLOOKUP(T$3,Normals!$B$17:$H$29,$R7+1,FALSE)/VLOOKUP($R7,$C$20:$D$31,2,FALSE)</f>
        <v>11.366666666666667</v>
      </c>
      <c r="U7" s="77">
        <f>HLOOKUP(U$3,Normals!$B$17:$H$29,$R7+1,FALSE)/VLOOKUP($R7,$C$20:$D$31,2,FALSE)</f>
        <v>8.1</v>
      </c>
      <c r="V7" s="77">
        <f>HLOOKUP(V$3,Normals!$B$17:$H$29,$R7+1,FALSE)/VLOOKUP($R7,$C$20:$D$31,2,FALSE)</f>
        <v>11.033333333333333</v>
      </c>
      <c r="X7" s="3">
        <f t="shared" si="1"/>
        <v>42461</v>
      </c>
      <c r="Y7">
        <f t="shared" si="2"/>
        <v>4</v>
      </c>
      <c r="Z7" s="77">
        <f>HLOOKUP(Z$3,Data!$AU$4:$BA$19,ROW()-2,FALSE)/VLOOKUP($Y7,$C$20:$D$31,2,FALSE)</f>
        <v>6.2333333333333334</v>
      </c>
      <c r="AA7" s="77">
        <f>HLOOKUP(AA$3,Data!$AU$4:$BA$19,ROW()-2,FALSE)/VLOOKUP($Y7,$C$20:$D$31,2,FALSE)</f>
        <v>6.7666666666666666</v>
      </c>
      <c r="AB7" s="77">
        <f>HLOOKUP(AB$3,Data!$AU$4:$BA$19,ROW()-2,FALSE)/VLOOKUP($Y7,$C$20:$D$31,2,FALSE)</f>
        <v>3.5166666666666666</v>
      </c>
      <c r="AC7" s="77">
        <f>HLOOKUP(AC$3,Data!$AU$4:$BA$19,ROW()-2,FALSE)/VLOOKUP($Y7,$C$20:$D$31,2,FALSE)</f>
        <v>3.1833333333333331</v>
      </c>
    </row>
    <row r="8" spans="1:29" x14ac:dyDescent="0.25">
      <c r="A8" s="70">
        <v>3</v>
      </c>
      <c r="B8" s="71"/>
      <c r="C8" s="71">
        <v>0.12311</v>
      </c>
      <c r="E8" s="70">
        <v>3</v>
      </c>
      <c r="F8" s="71"/>
      <c r="G8" s="71">
        <v>0.13370000000000001</v>
      </c>
      <c r="I8" s="70">
        <v>3</v>
      </c>
      <c r="J8" s="71"/>
      <c r="K8" s="71">
        <v>0.12332</v>
      </c>
      <c r="M8" s="70">
        <v>3</v>
      </c>
      <c r="N8" s="71"/>
      <c r="O8" s="71">
        <v>0.11813</v>
      </c>
      <c r="Q8" s="3">
        <f t="shared" si="3"/>
        <v>42491</v>
      </c>
      <c r="R8">
        <f t="shared" si="0"/>
        <v>5</v>
      </c>
      <c r="S8" s="77">
        <f>HLOOKUP(S$3,Normals!$B$17:$H$29,$R8+1,FALSE)/VLOOKUP($R8,$C$20:$D$31,2,FALSE)</f>
        <v>6.354838709677419</v>
      </c>
      <c r="T8" s="77">
        <f>HLOOKUP(T$3,Normals!$B$17:$H$29,$R8+1,FALSE)/VLOOKUP($R8,$C$20:$D$31,2,FALSE)</f>
        <v>7.193548387096774</v>
      </c>
      <c r="U8" s="77">
        <f>HLOOKUP(U$3,Normals!$B$17:$H$29,$R8+1,FALSE)/VLOOKUP($R8,$C$20:$D$31,2,FALSE)</f>
        <v>3.2580645161290325</v>
      </c>
      <c r="V8" s="77">
        <f>HLOOKUP(V$3,Normals!$B$17:$H$29,$R8+1,FALSE)/VLOOKUP($R8,$C$20:$D$31,2,FALSE)</f>
        <v>4.645161290322581</v>
      </c>
      <c r="X8" s="3">
        <f t="shared" si="1"/>
        <v>42491</v>
      </c>
      <c r="Y8">
        <f t="shared" si="2"/>
        <v>5</v>
      </c>
      <c r="Z8" s="77">
        <f>HLOOKUP(Z$3,Data!$AU$4:$BA$19,ROW()-2,FALSE)/VLOOKUP($Y8,$C$20:$D$31,2,FALSE)</f>
        <v>3.032258064516129</v>
      </c>
      <c r="AA8" s="77">
        <f>HLOOKUP(AA$3,Data!$AU$4:$BA$19,ROW()-2,FALSE)/VLOOKUP($Y8,$C$20:$D$31,2,FALSE)</f>
        <v>4.725806451612903</v>
      </c>
      <c r="AB8" s="77">
        <f>HLOOKUP(AB$3,Data!$AU$4:$BA$19,ROW()-2,FALSE)/VLOOKUP($Y8,$C$20:$D$31,2,FALSE)</f>
        <v>1.3709677419354838</v>
      </c>
      <c r="AC8" s="77">
        <f>HLOOKUP(AC$3,Data!$AU$4:$BA$19,ROW()-2,FALSE)/VLOOKUP($Y8,$C$20:$D$31,2,FALSE)</f>
        <v>0.38709677419354838</v>
      </c>
    </row>
    <row r="9" spans="1:29" x14ac:dyDescent="0.25">
      <c r="A9" s="70">
        <v>4</v>
      </c>
      <c r="B9" s="71"/>
      <c r="C9" s="71">
        <v>0.10237</v>
      </c>
      <c r="E9" s="70">
        <v>4</v>
      </c>
      <c r="F9" s="71"/>
      <c r="G9" s="71">
        <v>0.10539999999999999</v>
      </c>
      <c r="I9" s="70">
        <v>4</v>
      </c>
      <c r="J9" s="71"/>
      <c r="K9" s="71">
        <v>9.2920000000000003E-2</v>
      </c>
      <c r="M9" s="70">
        <v>4</v>
      </c>
      <c r="N9" s="71"/>
      <c r="O9" s="71">
        <v>9.5119999999999996E-2</v>
      </c>
      <c r="Q9" s="3">
        <f t="shared" si="3"/>
        <v>42522</v>
      </c>
      <c r="R9">
        <f t="shared" si="0"/>
        <v>6</v>
      </c>
      <c r="S9" s="77">
        <f>HLOOKUP(S$3,Normals!$B$17:$H$29,$R9+1,FALSE)/VLOOKUP($R9,$C$20:$D$31,2,FALSE)</f>
        <v>2.5</v>
      </c>
      <c r="T9" s="77">
        <f>HLOOKUP(T$3,Normals!$B$17:$H$29,$R9+1,FALSE)/VLOOKUP($R9,$C$20:$D$31,2,FALSE)</f>
        <v>3.5</v>
      </c>
      <c r="U9" s="77">
        <f>HLOOKUP(U$3,Normals!$B$17:$H$29,$R9+1,FALSE)/VLOOKUP($R9,$C$20:$D$31,2,FALSE)</f>
        <v>0.4</v>
      </c>
      <c r="V9" s="77">
        <f>HLOOKUP(V$3,Normals!$B$17:$H$29,$R9+1,FALSE)/VLOOKUP($R9,$C$20:$D$31,2,FALSE)</f>
        <v>1.1333333333333333</v>
      </c>
      <c r="X9" s="3">
        <f t="shared" si="1"/>
        <v>42522</v>
      </c>
      <c r="Y9">
        <f t="shared" si="2"/>
        <v>6</v>
      </c>
      <c r="Z9" s="77">
        <f>HLOOKUP(Z$3,Data!$AU$4:$BA$19,ROW()-2,FALSE)/VLOOKUP($Y9,$C$20:$D$31,2,FALSE)</f>
        <v>1.5333333333333334</v>
      </c>
      <c r="AA9" s="77">
        <f>HLOOKUP(AA$3,Data!$AU$4:$BA$19,ROW()-2,FALSE)/VLOOKUP($Y9,$C$20:$D$31,2,FALSE)</f>
        <v>2.9166666666666665</v>
      </c>
      <c r="AB9" s="77">
        <f>HLOOKUP(AB$3,Data!$AU$4:$BA$19,ROW()-2,FALSE)/VLOOKUP($Y9,$C$20:$D$31,2,FALSE)</f>
        <v>0.33333333333333331</v>
      </c>
      <c r="AC9" s="77">
        <f>HLOOKUP(AC$3,Data!$AU$4:$BA$19,ROW()-2,FALSE)/VLOOKUP($Y9,$C$20:$D$31,2,FALSE)</f>
        <v>0.75</v>
      </c>
    </row>
    <row r="10" spans="1:29" x14ac:dyDescent="0.25">
      <c r="A10" s="70">
        <v>5</v>
      </c>
      <c r="B10" s="71"/>
      <c r="C10" s="71">
        <v>7.6139999999999999E-2</v>
      </c>
      <c r="E10" s="70">
        <v>5</v>
      </c>
      <c r="F10" s="71"/>
      <c r="G10" s="71">
        <v>6.8900000000000003E-2</v>
      </c>
      <c r="I10" s="70">
        <v>5</v>
      </c>
      <c r="J10" s="71"/>
      <c r="K10" s="71">
        <v>6.7169999999999994E-2</v>
      </c>
      <c r="M10" s="70">
        <v>5</v>
      </c>
      <c r="N10" s="71"/>
      <c r="O10" s="71">
        <v>8.6190000000000003E-2</v>
      </c>
      <c r="Q10" s="3">
        <f t="shared" si="3"/>
        <v>42552</v>
      </c>
      <c r="R10">
        <f t="shared" si="0"/>
        <v>7</v>
      </c>
      <c r="S10" s="77">
        <f>HLOOKUP(S$3,Normals!$B$17:$H$29,$R10+1,FALSE)/VLOOKUP($R10,$C$20:$D$31,2,FALSE)</f>
        <v>0.35483870967741937</v>
      </c>
      <c r="T10" s="77">
        <f>HLOOKUP(T$3,Normals!$B$17:$H$29,$R10+1,FALSE)/VLOOKUP($R10,$C$20:$D$31,2,FALSE)</f>
        <v>1.1935483870967742</v>
      </c>
      <c r="U10" s="77">
        <f>HLOOKUP(U$3,Normals!$B$17:$H$29,$R10+1,FALSE)/VLOOKUP($R10,$C$20:$D$31,2,FALSE)</f>
        <v>0</v>
      </c>
      <c r="V10" s="77">
        <f>HLOOKUP(V$3,Normals!$B$17:$H$29,$R10+1,FALSE)/VLOOKUP($R10,$C$20:$D$31,2,FALSE)</f>
        <v>0</v>
      </c>
      <c r="X10" s="3">
        <f t="shared" si="1"/>
        <v>42552</v>
      </c>
      <c r="Y10">
        <f t="shared" si="2"/>
        <v>7</v>
      </c>
      <c r="Z10" s="77">
        <f>HLOOKUP(Z$3,Data!$AU$4:$BA$19,ROW()-2,FALSE)/VLOOKUP($Y10,$C$20:$D$31,2,FALSE)</f>
        <v>0.12903225806451613</v>
      </c>
      <c r="AA10" s="77">
        <f>HLOOKUP(AA$3,Data!$AU$4:$BA$19,ROW()-2,FALSE)/VLOOKUP($Y10,$C$20:$D$31,2,FALSE)</f>
        <v>0.25806451612903225</v>
      </c>
      <c r="AB10" s="77">
        <f>HLOOKUP(AB$3,Data!$AU$4:$BA$19,ROW()-2,FALSE)/VLOOKUP($Y10,$C$20:$D$31,2,FALSE)</f>
        <v>0</v>
      </c>
      <c r="AC10" s="77">
        <f>HLOOKUP(AC$3,Data!$AU$4:$BA$19,ROW()-2,FALSE)/VLOOKUP($Y10,$C$20:$D$31,2,FALSE)</f>
        <v>0</v>
      </c>
    </row>
    <row r="11" spans="1:29" x14ac:dyDescent="0.25">
      <c r="A11" s="70">
        <v>6</v>
      </c>
      <c r="B11" s="71"/>
      <c r="C11" s="71">
        <v>6.8940000000000001E-2</v>
      </c>
      <c r="E11" s="70">
        <v>6</v>
      </c>
      <c r="F11" s="71"/>
      <c r="G11" s="71">
        <v>5.2299999999999999E-2</v>
      </c>
      <c r="I11" s="70">
        <v>6</v>
      </c>
      <c r="J11" s="71"/>
      <c r="K11" s="71">
        <v>0</v>
      </c>
      <c r="M11" s="70">
        <v>6</v>
      </c>
      <c r="N11" s="71"/>
      <c r="O11" s="71">
        <v>0</v>
      </c>
      <c r="Q11" s="3">
        <f t="shared" si="3"/>
        <v>42583</v>
      </c>
      <c r="R11">
        <f t="shared" si="0"/>
        <v>8</v>
      </c>
      <c r="S11" s="77">
        <f>HLOOKUP(S$3,Normals!$B$17:$H$29,$R11+1,FALSE)/VLOOKUP($R11,$C$20:$D$31,2,FALSE)</f>
        <v>0.25806451612903225</v>
      </c>
      <c r="T11" s="77">
        <f>HLOOKUP(T$3,Normals!$B$17:$H$29,$R11+1,FALSE)/VLOOKUP($R11,$C$20:$D$31,2,FALSE)</f>
        <v>1</v>
      </c>
      <c r="U11" s="77">
        <f>HLOOKUP(U$3,Normals!$B$17:$H$29,$R11+1,FALSE)/VLOOKUP($R11,$C$20:$D$31,2,FALSE)</f>
        <v>0</v>
      </c>
      <c r="V11" s="77">
        <f>HLOOKUP(V$3,Normals!$B$17:$H$29,$R11+1,FALSE)/VLOOKUP($R11,$C$20:$D$31,2,FALSE)</f>
        <v>0</v>
      </c>
      <c r="X11" s="3">
        <f t="shared" si="1"/>
        <v>42583</v>
      </c>
      <c r="Y11">
        <f t="shared" si="2"/>
        <v>8</v>
      </c>
      <c r="Z11" s="77">
        <f>HLOOKUP(Z$3,Data!$AU$4:$BA$19,ROW()-2,FALSE)/VLOOKUP($Y11,$C$20:$D$31,2,FALSE)</f>
        <v>0</v>
      </c>
      <c r="AA11" s="77">
        <f>HLOOKUP(AA$3,Data!$AU$4:$BA$19,ROW()-2,FALSE)/VLOOKUP($Y11,$C$20:$D$31,2,FALSE)</f>
        <v>0.30645161290322581</v>
      </c>
      <c r="AB11" s="77">
        <f>HLOOKUP(AB$3,Data!$AU$4:$BA$19,ROW()-2,FALSE)/VLOOKUP($Y11,$C$20:$D$31,2,FALSE)</f>
        <v>0</v>
      </c>
      <c r="AC11" s="77">
        <f>HLOOKUP(AC$3,Data!$AU$4:$BA$19,ROW()-2,FALSE)/VLOOKUP($Y11,$C$20:$D$31,2,FALSE)</f>
        <v>0</v>
      </c>
    </row>
    <row r="12" spans="1:29" x14ac:dyDescent="0.25">
      <c r="A12" s="70">
        <v>7</v>
      </c>
      <c r="B12" s="71"/>
      <c r="C12" s="71">
        <v>0</v>
      </c>
      <c r="E12" s="70">
        <v>7</v>
      </c>
      <c r="F12" s="71"/>
      <c r="G12" s="71">
        <v>0</v>
      </c>
      <c r="I12" s="70">
        <v>7</v>
      </c>
      <c r="J12" s="71"/>
      <c r="K12" s="71">
        <v>0</v>
      </c>
      <c r="M12" s="70">
        <v>7</v>
      </c>
      <c r="N12" s="71"/>
      <c r="O12" s="71">
        <v>0</v>
      </c>
      <c r="Q12" s="3">
        <f t="shared" si="3"/>
        <v>42614</v>
      </c>
      <c r="R12">
        <f t="shared" si="0"/>
        <v>9</v>
      </c>
      <c r="S12" s="77">
        <f>HLOOKUP(S$3,Normals!$B$17:$H$29,$R12+1,FALSE)/VLOOKUP($R12,$C$20:$D$31,2,FALSE)</f>
        <v>3.4666666666666668</v>
      </c>
      <c r="T12" s="77">
        <f>HLOOKUP(T$3,Normals!$B$17:$H$29,$R12+1,FALSE)/VLOOKUP($R12,$C$20:$D$31,2,FALSE)</f>
        <v>2.3666666666666667</v>
      </c>
      <c r="U12" s="77">
        <f>HLOOKUP(U$3,Normals!$B$17:$H$29,$R12+1,FALSE)/VLOOKUP($R12,$C$20:$D$31,2,FALSE)</f>
        <v>0.96666666666666667</v>
      </c>
      <c r="V12" s="77">
        <f>HLOOKUP(V$3,Normals!$B$17:$H$29,$R12+1,FALSE)/VLOOKUP($R12,$C$20:$D$31,2,FALSE)</f>
        <v>2.4666666666666668</v>
      </c>
      <c r="X12" s="3">
        <f t="shared" si="1"/>
        <v>42614</v>
      </c>
      <c r="Y12">
        <f t="shared" si="2"/>
        <v>9</v>
      </c>
      <c r="Z12" s="77">
        <f>HLOOKUP(Z$3,Data!$AU$4:$BA$19,ROW()-2,FALSE)/VLOOKUP($Y12,$C$20:$D$31,2,FALSE)</f>
        <v>2.3666666666666667</v>
      </c>
      <c r="AA12" s="77">
        <f>HLOOKUP(AA$3,Data!$AU$4:$BA$19,ROW()-2,FALSE)/VLOOKUP($Y12,$C$20:$D$31,2,FALSE)</f>
        <v>2.4166666666666665</v>
      </c>
      <c r="AB12" s="77">
        <f>HLOOKUP(AB$3,Data!$AU$4:$BA$19,ROW()-2,FALSE)/VLOOKUP($Y12,$C$20:$D$31,2,FALSE)</f>
        <v>0.6333333333333333</v>
      </c>
      <c r="AC12" s="77">
        <f>HLOOKUP(AC$3,Data!$AU$4:$BA$19,ROW()-2,FALSE)/VLOOKUP($Y12,$C$20:$D$31,2,FALSE)</f>
        <v>0.58333333333333337</v>
      </c>
    </row>
    <row r="13" spans="1:29" x14ac:dyDescent="0.25">
      <c r="A13" s="70">
        <v>8</v>
      </c>
      <c r="B13" s="71"/>
      <c r="C13" s="71">
        <v>0</v>
      </c>
      <c r="E13" s="70">
        <v>8</v>
      </c>
      <c r="F13" s="71"/>
      <c r="G13" s="71">
        <v>0</v>
      </c>
      <c r="I13" s="70">
        <v>8</v>
      </c>
      <c r="J13" s="71"/>
      <c r="K13" s="71">
        <v>0</v>
      </c>
      <c r="M13" s="70">
        <v>8</v>
      </c>
      <c r="N13" s="71"/>
      <c r="O13" s="71">
        <v>0</v>
      </c>
      <c r="Q13" s="3">
        <f t="shared" si="3"/>
        <v>42644</v>
      </c>
      <c r="R13">
        <f t="shared" si="0"/>
        <v>10</v>
      </c>
      <c r="S13" s="77">
        <f>HLOOKUP(S$3,Normals!$B$17:$H$29,$R13+1,FALSE)/VLOOKUP($R13,$C$20:$D$31,2,FALSE)</f>
        <v>10.225806451612904</v>
      </c>
      <c r="T13" s="77">
        <f>HLOOKUP(T$3,Normals!$B$17:$H$29,$R13+1,FALSE)/VLOOKUP($R13,$C$20:$D$31,2,FALSE)</f>
        <v>7.870967741935484</v>
      </c>
      <c r="U13" s="77">
        <f>HLOOKUP(U$3,Normals!$B$17:$H$29,$R13+1,FALSE)/VLOOKUP($R13,$C$20:$D$31,2,FALSE)</f>
        <v>7.419354838709677</v>
      </c>
      <c r="V13" s="77">
        <f>HLOOKUP(V$3,Normals!$B$17:$H$29,$R13+1,FALSE)/VLOOKUP($R13,$C$20:$D$31,2,FALSE)</f>
        <v>11.161290322580646</v>
      </c>
      <c r="X13" s="3">
        <f t="shared" si="1"/>
        <v>42644</v>
      </c>
      <c r="Y13">
        <f t="shared" si="2"/>
        <v>10</v>
      </c>
      <c r="Z13" s="77">
        <f>HLOOKUP(Z$3,Data!$AU$4:$BA$19,ROW()-2,FALSE)/VLOOKUP($Y13,$C$20:$D$31,2,FALSE)</f>
        <v>7.0161290322580649</v>
      </c>
      <c r="AA13" s="77">
        <f>HLOOKUP(AA$3,Data!$AU$4:$BA$19,ROW()-2,FALSE)/VLOOKUP($Y13,$C$20:$D$31,2,FALSE)</f>
        <v>6.338709677419355</v>
      </c>
      <c r="AB13" s="77">
        <f>HLOOKUP(AB$3,Data!$AU$4:$BA$19,ROW()-2,FALSE)/VLOOKUP($Y13,$C$20:$D$31,2,FALSE)</f>
        <v>5.67741935483871</v>
      </c>
      <c r="AC13" s="77">
        <f>HLOOKUP(AC$3,Data!$AU$4:$BA$19,ROW()-2,FALSE)/VLOOKUP($Y13,$C$20:$D$31,2,FALSE)</f>
        <v>7.467741935483871</v>
      </c>
    </row>
    <row r="14" spans="1:29" x14ac:dyDescent="0.25">
      <c r="A14" s="70">
        <v>9</v>
      </c>
      <c r="B14" s="71"/>
      <c r="C14" s="71">
        <v>5.4949999999999999E-2</v>
      </c>
      <c r="E14" s="70">
        <v>9</v>
      </c>
      <c r="F14" s="71"/>
      <c r="G14" s="71">
        <v>0</v>
      </c>
      <c r="I14" s="70">
        <v>9</v>
      </c>
      <c r="J14" s="71"/>
      <c r="K14" s="71">
        <v>0</v>
      </c>
      <c r="M14" s="70">
        <v>9</v>
      </c>
      <c r="N14" s="71"/>
      <c r="O14" s="71">
        <v>0</v>
      </c>
      <c r="Q14" s="3">
        <f t="shared" si="3"/>
        <v>42675</v>
      </c>
      <c r="R14">
        <f t="shared" si="0"/>
        <v>11</v>
      </c>
      <c r="S14" s="77">
        <f>HLOOKUP(S$3,Normals!$B$17:$H$29,$R14+1,FALSE)/VLOOKUP($R14,$C$20:$D$31,2,FALSE)</f>
        <v>16.8</v>
      </c>
      <c r="T14" s="77">
        <f>HLOOKUP(T$3,Normals!$B$17:$H$29,$R14+1,FALSE)/VLOOKUP($R14,$C$20:$D$31,2,FALSE)</f>
        <v>14.266666666666667</v>
      </c>
      <c r="U14" s="77">
        <f>HLOOKUP(U$3,Normals!$B$17:$H$29,$R14+1,FALSE)/VLOOKUP($R14,$C$20:$D$31,2,FALSE)</f>
        <v>18.166666666666668</v>
      </c>
      <c r="V14" s="77">
        <f>HLOOKUP(V$3,Normals!$B$17:$H$29,$R14+1,FALSE)/VLOOKUP($R14,$C$20:$D$31,2,FALSE)</f>
        <v>22.666666666666668</v>
      </c>
      <c r="X14" s="3">
        <f t="shared" si="1"/>
        <v>42675</v>
      </c>
      <c r="Y14">
        <f t="shared" si="2"/>
        <v>11</v>
      </c>
      <c r="Z14" s="77">
        <f>HLOOKUP(Z$3,Data!$AU$4:$BA$19,ROW()-2,FALSE)/VLOOKUP($Y14,$C$20:$D$31,2,FALSE)</f>
        <v>9.6666666666666661</v>
      </c>
      <c r="AA14" s="77">
        <f>HLOOKUP(AA$3,Data!$AU$4:$BA$19,ROW()-2,FALSE)/VLOOKUP($Y14,$C$20:$D$31,2,FALSE)</f>
        <v>9.4</v>
      </c>
      <c r="AB14" s="77">
        <f>HLOOKUP(AB$3,Data!$AU$4:$BA$19,ROW()-2,FALSE)/VLOOKUP($Y14,$C$20:$D$31,2,FALSE)</f>
        <v>11.316666666666666</v>
      </c>
      <c r="AC14" s="77">
        <f>HLOOKUP(AC$3,Data!$AU$4:$BA$19,ROW()-2,FALSE)/VLOOKUP($Y14,$C$20:$D$31,2,FALSE)</f>
        <v>13.95</v>
      </c>
    </row>
    <row r="15" spans="1:29" x14ac:dyDescent="0.25">
      <c r="A15" s="70">
        <v>10</v>
      </c>
      <c r="B15" s="71"/>
      <c r="C15" s="71">
        <v>0.11226999999999999</v>
      </c>
      <c r="E15" s="70">
        <v>10</v>
      </c>
      <c r="F15" s="71"/>
      <c r="G15" s="71">
        <v>0.13089999999999999</v>
      </c>
      <c r="I15" s="70">
        <v>10</v>
      </c>
      <c r="J15" s="71"/>
      <c r="K15" s="71">
        <v>7.0550000000000002E-2</v>
      </c>
      <c r="M15" s="70">
        <v>10</v>
      </c>
      <c r="N15" s="71"/>
      <c r="O15" s="71">
        <v>5.4330000000000003E-2</v>
      </c>
      <c r="Q15" s="3">
        <f t="shared" si="3"/>
        <v>42705</v>
      </c>
      <c r="R15">
        <f t="shared" si="0"/>
        <v>12</v>
      </c>
      <c r="S15" s="77">
        <f>HLOOKUP(S$3,Normals!$B$17:$H$29,$R15+1,FALSE)/VLOOKUP($R15,$C$20:$D$31,2,FALSE)</f>
        <v>21.677419354838708</v>
      </c>
      <c r="T15" s="77">
        <f>HLOOKUP(T$3,Normals!$B$17:$H$29,$R15+1,FALSE)/VLOOKUP($R15,$C$20:$D$31,2,FALSE)</f>
        <v>18.548387096774192</v>
      </c>
      <c r="U15" s="77">
        <f>HLOOKUP(U$3,Normals!$B$17:$H$29,$R15+1,FALSE)/VLOOKUP($R15,$C$20:$D$31,2,FALSE)</f>
        <v>26.451612903225808</v>
      </c>
      <c r="V15" s="77">
        <f>HLOOKUP(V$3,Normals!$B$17:$H$29,$R15+1,FALSE)/VLOOKUP($R15,$C$20:$D$31,2,FALSE)</f>
        <v>31.387096774193548</v>
      </c>
      <c r="X15" s="3">
        <f t="shared" si="1"/>
        <v>42705</v>
      </c>
      <c r="Y15">
        <f t="shared" si="2"/>
        <v>12</v>
      </c>
      <c r="Z15" s="77">
        <f>HLOOKUP(Z$3,Data!$AU$4:$BA$19,ROW()-2,FALSE)/VLOOKUP($Y15,$C$20:$D$31,2,FALSE)</f>
        <v>25.822580645161292</v>
      </c>
      <c r="AA15" s="77">
        <f>HLOOKUP(AA$3,Data!$AU$4:$BA$19,ROW()-2,FALSE)/VLOOKUP($Y15,$C$20:$D$31,2,FALSE)</f>
        <v>21.274193548387096</v>
      </c>
      <c r="AB15" s="77">
        <f>HLOOKUP(AB$3,Data!$AU$4:$BA$19,ROW()-2,FALSE)/VLOOKUP($Y15,$C$20:$D$31,2,FALSE)</f>
        <v>30.419354838709676</v>
      </c>
      <c r="AC15" s="77">
        <f>HLOOKUP(AC$3,Data!$AU$4:$BA$19,ROW()-2,FALSE)/VLOOKUP($Y15,$C$20:$D$31,2,FALSE)</f>
        <v>34.258064516129032</v>
      </c>
    </row>
    <row r="16" spans="1:29" x14ac:dyDescent="0.25">
      <c r="A16" s="70">
        <v>11</v>
      </c>
      <c r="B16" s="71"/>
      <c r="C16" s="71">
        <v>0.15575</v>
      </c>
      <c r="E16" s="70">
        <v>11</v>
      </c>
      <c r="F16" s="71"/>
      <c r="G16" s="71">
        <v>0.18099999999999999</v>
      </c>
      <c r="I16" s="70">
        <v>11</v>
      </c>
      <c r="J16" s="71"/>
      <c r="K16" s="71">
        <v>9.2319999999999999E-2</v>
      </c>
      <c r="M16" s="70">
        <v>11</v>
      </c>
      <c r="N16" s="71"/>
      <c r="O16" s="71">
        <v>9.325E-2</v>
      </c>
    </row>
    <row r="17" spans="1:29" x14ac:dyDescent="0.25">
      <c r="A17" s="70">
        <v>12</v>
      </c>
      <c r="B17" s="71"/>
      <c r="C17" s="71">
        <v>0.14688999999999999</v>
      </c>
      <c r="E17" s="70">
        <v>12</v>
      </c>
      <c r="F17" s="71"/>
      <c r="G17" s="71">
        <v>0.16830000000000001</v>
      </c>
      <c r="I17" s="70">
        <v>12</v>
      </c>
      <c r="J17" s="71"/>
      <c r="K17" s="71">
        <v>0.11464000000000001</v>
      </c>
      <c r="M17" s="70">
        <v>12</v>
      </c>
      <c r="N17" s="71"/>
      <c r="O17" s="71">
        <v>0.11212</v>
      </c>
      <c r="Q17" s="76" t="s">
        <v>46</v>
      </c>
      <c r="S17" s="93" t="s">
        <v>47</v>
      </c>
      <c r="T17" s="93"/>
      <c r="U17" s="93"/>
      <c r="V17" s="93"/>
      <c r="X17" s="76" t="s">
        <v>48</v>
      </c>
      <c r="Z17" s="93" t="s">
        <v>49</v>
      </c>
      <c r="AA17" s="93"/>
      <c r="AB17" s="93"/>
      <c r="AC17" s="93"/>
    </row>
    <row r="18" spans="1:29" x14ac:dyDescent="0.25">
      <c r="F18" s="71"/>
      <c r="G18" s="71"/>
      <c r="S18" t="s">
        <v>29</v>
      </c>
      <c r="T18" t="s">
        <v>30</v>
      </c>
      <c r="U18" t="s">
        <v>31</v>
      </c>
      <c r="V18" t="s">
        <v>32</v>
      </c>
      <c r="Z18" t="s">
        <v>29</v>
      </c>
      <c r="AA18" t="s">
        <v>30</v>
      </c>
      <c r="AB18" t="s">
        <v>31</v>
      </c>
      <c r="AC18" t="s">
        <v>32</v>
      </c>
    </row>
    <row r="19" spans="1:29" x14ac:dyDescent="0.25">
      <c r="D19" t="s">
        <v>40</v>
      </c>
      <c r="Q19" s="3">
        <f>Q4</f>
        <v>42370</v>
      </c>
      <c r="R19">
        <f>MONTH(Q19)</f>
        <v>1</v>
      </c>
      <c r="S19" s="78">
        <f>(S4-Z4)*VLOOKUP($R19,$A$6:$C$17,3,FALSE)</f>
        <v>0.27877000000000013</v>
      </c>
      <c r="T19" s="78">
        <f>(T4-AA4)*VLOOKUP($R19,$E$6:$G$17,3,FALSE)</f>
        <v>0.23829032258064517</v>
      </c>
      <c r="U19" s="78">
        <f>(U4-AB4)*VLOOKUP($R19,$I$6:$K$17,3,FALSE)</f>
        <v>9.5249032258064428E-2</v>
      </c>
      <c r="V19" s="78">
        <f>(V4-AC4)*VLOOKUP($R19,$M$6:$O$17,3,FALSE)</f>
        <v>0.341842419354839</v>
      </c>
      <c r="X19" s="3">
        <f>Q4</f>
        <v>42370</v>
      </c>
      <c r="Y19">
        <f>MONTH(X19)</f>
        <v>1</v>
      </c>
      <c r="Z19" s="62">
        <f>HLOOKUP(Z$18,Data!$T$4:$Z$19,ROW()-17,FALSE)*VLOOKUP($Y19,$C$20:$D$31,2,FALSE)*S19</f>
        <v>694927.33418000035</v>
      </c>
      <c r="AA19" s="62">
        <f>HLOOKUP(AA$18,Data!$T$4:$Z$19,ROW()-17,FALSE)*VLOOKUP($Y19,$C$20:$D$31,2,FALSE)*T19</f>
        <v>278356.93400000001</v>
      </c>
      <c r="AB19" s="62">
        <f>HLOOKUP(AB$18,Data!$T$4:$Z$19,ROW()-17,FALSE)*VLOOKUP($Y19,$C$20:$D$31,2,FALSE)*U19</f>
        <v>109188.6328799999</v>
      </c>
      <c r="AC19" s="62">
        <f>HLOOKUP(AC$18,Data!$T$4:$Z$19,ROW()-17,FALSE)*VLOOKUP($Y19,$C$20:$D$31,2,FALSE)*V19</f>
        <v>279424.72832000023</v>
      </c>
    </row>
    <row r="20" spans="1:29" x14ac:dyDescent="0.25">
      <c r="A20" s="3">
        <f>Data!A1</f>
        <v>42370</v>
      </c>
      <c r="C20">
        <f>MONTH(A20)</f>
        <v>1</v>
      </c>
      <c r="D20">
        <f>A21-A20</f>
        <v>31</v>
      </c>
      <c r="Q20" s="3">
        <f t="shared" ref="Q20:Q30" si="4">Q5</f>
        <v>42401</v>
      </c>
      <c r="R20">
        <f t="shared" ref="R20:R30" si="5">MONTH(Q20)</f>
        <v>2</v>
      </c>
      <c r="S20" s="78">
        <f t="shared" ref="S20:S30" si="6">(S5-Z5)*VLOOKUP($R20,$A$6:$C$17,3,FALSE)</f>
        <v>0.59597758620689634</v>
      </c>
      <c r="T20" s="78">
        <f t="shared" ref="T20:T30" si="7">(T5-AA5)*VLOOKUP($R20,$E$6:$G$17,3,FALSE)</f>
        <v>0.54399655172413786</v>
      </c>
      <c r="U20" s="78">
        <f t="shared" ref="U20:U30" si="8">(U5-AB5)*VLOOKUP($R20,$I$6:$K$17,3,FALSE)</f>
        <v>0.60533017241379328</v>
      </c>
      <c r="V20" s="78">
        <f t="shared" ref="V20:V30" si="9">(V5-AC5)*VLOOKUP($R20,$M$6:$O$17,3,FALSE)</f>
        <v>0.75092896551724175</v>
      </c>
      <c r="X20" s="3">
        <f t="shared" ref="X20:X30" si="10">Q5</f>
        <v>42401</v>
      </c>
      <c r="Y20">
        <f t="shared" ref="Y20:Y30" si="11">MONTH(X20)</f>
        <v>2</v>
      </c>
      <c r="Z20" s="62">
        <f>HLOOKUP(Z$18,Data!$T$4:$Z$19,ROW()-17,FALSE)*VLOOKUP($Y20,$C$20:$D$31,2,FALSE)*S20</f>
        <v>1390964.0079999994</v>
      </c>
      <c r="AA20" s="62">
        <f>HLOOKUP(AA$18,Data!$T$4:$Z$19,ROW()-17,FALSE)*VLOOKUP($Y20,$C$20:$D$31,2,FALSE)*T20</f>
        <v>595398.24189999991</v>
      </c>
      <c r="AB20" s="62">
        <f>HLOOKUP(AB$18,Data!$T$4:$Z$19,ROW()-17,FALSE)*VLOOKUP($Y20,$C$20:$D$31,2,FALSE)*U20</f>
        <v>649887.92107500019</v>
      </c>
      <c r="AC20" s="62">
        <f>HLOOKUP(AC$18,Data!$T$4:$Z$19,ROW()-17,FALSE)*VLOOKUP($Y20,$C$20:$D$31,2,FALSE)*V20</f>
        <v>573452.16102000023</v>
      </c>
    </row>
    <row r="21" spans="1:29" x14ac:dyDescent="0.25">
      <c r="A21" s="3">
        <f>DATE(YEAR(A20),MONTH(A20)+1,1)</f>
        <v>42401</v>
      </c>
      <c r="C21">
        <f t="shared" ref="C21:C31" si="12">MONTH(A21)</f>
        <v>2</v>
      </c>
      <c r="D21">
        <f>A22-A21</f>
        <v>29</v>
      </c>
      <c r="Q21" s="3">
        <f t="shared" si="4"/>
        <v>42430</v>
      </c>
      <c r="R21">
        <f t="shared" si="5"/>
        <v>3</v>
      </c>
      <c r="S21" s="78">
        <f t="shared" si="6"/>
        <v>0.55995193548387079</v>
      </c>
      <c r="T21" s="78">
        <f t="shared" si="7"/>
        <v>0.2350532258064516</v>
      </c>
      <c r="U21" s="78">
        <f t="shared" si="8"/>
        <v>0.24465096774193532</v>
      </c>
      <c r="V21" s="78">
        <f t="shared" si="9"/>
        <v>0.42298161290322595</v>
      </c>
      <c r="X21" s="3">
        <f t="shared" si="10"/>
        <v>42430</v>
      </c>
      <c r="Y21">
        <f t="shared" si="11"/>
        <v>3</v>
      </c>
      <c r="Z21" s="62">
        <f>HLOOKUP(Z$18,Data!$T$4:$Z$19,ROW()-17,FALSE)*VLOOKUP($Y21,$C$20:$D$31,2,FALSE)*S21</f>
        <v>1396526.8465199994</v>
      </c>
      <c r="AA21" s="62">
        <f>HLOOKUP(AA$18,Data!$T$4:$Z$19,ROW()-17,FALSE)*VLOOKUP($Y21,$C$20:$D$31,2,FALSE)*T21</f>
        <v>275085.61079999997</v>
      </c>
      <c r="AB21" s="62">
        <f>HLOOKUP(AB$18,Data!$T$4:$Z$19,ROW()-17,FALSE)*VLOOKUP($Y21,$C$20:$D$31,2,FALSE)*U21</f>
        <v>280902.85883999983</v>
      </c>
      <c r="AC21" s="62">
        <f>HLOOKUP(AC$18,Data!$T$4:$Z$19,ROW()-17,FALSE)*VLOOKUP($Y21,$C$20:$D$31,2,FALSE)*V21</f>
        <v>344896.2462900001</v>
      </c>
    </row>
    <row r="22" spans="1:29" x14ac:dyDescent="0.25">
      <c r="A22" s="3">
        <f t="shared" ref="A22:A32" si="13">DATE(YEAR(A21),MONTH(A21)+1,1)</f>
        <v>42430</v>
      </c>
      <c r="C22">
        <f t="shared" si="12"/>
        <v>3</v>
      </c>
      <c r="D22">
        <f t="shared" ref="D22:D31" si="14">A23-A22</f>
        <v>31</v>
      </c>
      <c r="Q22" s="3">
        <f t="shared" si="4"/>
        <v>42461</v>
      </c>
      <c r="R22">
        <f t="shared" si="5"/>
        <v>4</v>
      </c>
      <c r="S22" s="78">
        <f t="shared" si="6"/>
        <v>0.55279800000000001</v>
      </c>
      <c r="T22" s="78">
        <f t="shared" si="7"/>
        <v>0.48484000000000005</v>
      </c>
      <c r="U22" s="78">
        <f t="shared" si="8"/>
        <v>0.42588333333333334</v>
      </c>
      <c r="V22" s="78">
        <f t="shared" si="9"/>
        <v>0.74669199999999991</v>
      </c>
      <c r="X22" s="3">
        <f t="shared" si="10"/>
        <v>42461</v>
      </c>
      <c r="Y22">
        <f t="shared" si="11"/>
        <v>4</v>
      </c>
      <c r="Z22" s="62">
        <f>HLOOKUP(Z$18,Data!$T$4:$Z$19,ROW()-17,FALSE)*VLOOKUP($Y22,$C$20:$D$31,2,FALSE)*S22</f>
        <v>1334111.6372400001</v>
      </c>
      <c r="AA22" s="62">
        <f>HLOOKUP(AA$18,Data!$T$4:$Z$19,ROW()-17,FALSE)*VLOOKUP($Y22,$C$20:$D$31,2,FALSE)*T22</f>
        <v>548906.75760000001</v>
      </c>
      <c r="AB22" s="62">
        <f>HLOOKUP(AB$18,Data!$T$4:$Z$19,ROW()-17,FALSE)*VLOOKUP($Y22,$C$20:$D$31,2,FALSE)*U22</f>
        <v>472577.18200000003</v>
      </c>
      <c r="AC22" s="62">
        <f>HLOOKUP(AC$18,Data!$T$4:$Z$19,ROW()-17,FALSE)*VLOOKUP($Y22,$C$20:$D$31,2,FALSE)*V22</f>
        <v>585331.85879999993</v>
      </c>
    </row>
    <row r="23" spans="1:29" x14ac:dyDescent="0.25">
      <c r="A23" s="3">
        <f t="shared" si="13"/>
        <v>42461</v>
      </c>
      <c r="C23">
        <f t="shared" si="12"/>
        <v>4</v>
      </c>
      <c r="D23">
        <f t="shared" si="14"/>
        <v>30</v>
      </c>
      <c r="Q23" s="3">
        <f t="shared" si="4"/>
        <v>42491</v>
      </c>
      <c r="R23">
        <f t="shared" si="5"/>
        <v>5</v>
      </c>
      <c r="S23" s="78">
        <f t="shared" si="6"/>
        <v>0.2529812903225806</v>
      </c>
      <c r="T23" s="78">
        <f t="shared" si="7"/>
        <v>0.17002741935483873</v>
      </c>
      <c r="U23" s="78">
        <f t="shared" si="8"/>
        <v>0.12675629032258065</v>
      </c>
      <c r="V23" s="78">
        <f t="shared" si="9"/>
        <v>0.36700258064516134</v>
      </c>
      <c r="X23" s="3">
        <f t="shared" si="10"/>
        <v>42491</v>
      </c>
      <c r="Y23">
        <f t="shared" si="11"/>
        <v>5</v>
      </c>
      <c r="Z23" s="62">
        <f>HLOOKUP(Z$18,Data!$T$4:$Z$19,ROW()-17,FALSE)*VLOOKUP($Y23,$C$20:$D$31,2,FALSE)*S23</f>
        <v>630938.3738399999</v>
      </c>
      <c r="AA23" s="62">
        <f>HLOOKUP(AA$18,Data!$T$4:$Z$19,ROW()-17,FALSE)*VLOOKUP($Y23,$C$20:$D$31,2,FALSE)*T23</f>
        <v>198637.25310000003</v>
      </c>
      <c r="AB23" s="62">
        <f>HLOOKUP(AB$18,Data!$T$4:$Z$19,ROW()-17,FALSE)*VLOOKUP($Y23,$C$20:$D$31,2,FALSE)*U23</f>
        <v>145428.75945000001</v>
      </c>
      <c r="AC23" s="62">
        <f>HLOOKUP(AC$18,Data!$T$4:$Z$19,ROW()-17,FALSE)*VLOOKUP($Y23,$C$20:$D$31,2,FALSE)*V23</f>
        <v>295622.04672000004</v>
      </c>
    </row>
    <row r="24" spans="1:29" x14ac:dyDescent="0.25">
      <c r="A24" s="3">
        <f t="shared" si="13"/>
        <v>42491</v>
      </c>
      <c r="C24">
        <f t="shared" si="12"/>
        <v>5</v>
      </c>
      <c r="D24">
        <f t="shared" si="14"/>
        <v>31</v>
      </c>
      <c r="Q24" s="3">
        <f t="shared" si="4"/>
        <v>42522</v>
      </c>
      <c r="R24">
        <f t="shared" si="5"/>
        <v>6</v>
      </c>
      <c r="S24" s="78">
        <f t="shared" si="6"/>
        <v>6.6641999999999993E-2</v>
      </c>
      <c r="T24" s="78">
        <f t="shared" si="7"/>
        <v>3.0508333333333342E-2</v>
      </c>
      <c r="U24" s="78">
        <f t="shared" si="8"/>
        <v>0</v>
      </c>
      <c r="V24" s="78">
        <f t="shared" si="9"/>
        <v>0</v>
      </c>
      <c r="X24" s="3">
        <f t="shared" si="10"/>
        <v>42522</v>
      </c>
      <c r="Y24">
        <f t="shared" si="11"/>
        <v>6</v>
      </c>
      <c r="Z24" s="62">
        <f>HLOOKUP(Z$18,Data!$T$4:$Z$19,ROW()-17,FALSE)*VLOOKUP($Y24,$C$20:$D$31,2,FALSE)*S24</f>
        <v>160648.53803999998</v>
      </c>
      <c r="AA24" s="62">
        <f>HLOOKUP(AA$18,Data!$T$4:$Z$19,ROW()-17,FALSE)*VLOOKUP($Y24,$C$20:$D$31,2,FALSE)*T24</f>
        <v>34482.043750000012</v>
      </c>
      <c r="AB24" s="62">
        <f>HLOOKUP(AB$18,Data!$T$4:$Z$19,ROW()-17,FALSE)*VLOOKUP($Y24,$C$20:$D$31,2,FALSE)*U24</f>
        <v>0</v>
      </c>
      <c r="AC24" s="62">
        <f>HLOOKUP(AC$18,Data!$T$4:$Z$19,ROW()-17,FALSE)*VLOOKUP($Y24,$C$20:$D$31,2,FALSE)*V24</f>
        <v>0</v>
      </c>
    </row>
    <row r="25" spans="1:29" x14ac:dyDescent="0.25">
      <c r="A25" s="3">
        <f t="shared" si="13"/>
        <v>42522</v>
      </c>
      <c r="C25">
        <f t="shared" si="12"/>
        <v>6</v>
      </c>
      <c r="D25">
        <f t="shared" si="14"/>
        <v>30</v>
      </c>
      <c r="Q25" s="3">
        <f t="shared" si="4"/>
        <v>42552</v>
      </c>
      <c r="R25">
        <f t="shared" si="5"/>
        <v>7</v>
      </c>
      <c r="S25" s="78">
        <f t="shared" si="6"/>
        <v>0</v>
      </c>
      <c r="T25" s="78">
        <f t="shared" si="7"/>
        <v>0</v>
      </c>
      <c r="U25" s="78">
        <f t="shared" si="8"/>
        <v>0</v>
      </c>
      <c r="V25" s="78">
        <f t="shared" si="9"/>
        <v>0</v>
      </c>
      <c r="X25" s="3">
        <f t="shared" si="10"/>
        <v>42552</v>
      </c>
      <c r="Y25">
        <f t="shared" si="11"/>
        <v>7</v>
      </c>
      <c r="Z25" s="62">
        <f>HLOOKUP(Z$18,Data!$T$4:$Z$19,ROW()-17,FALSE)*VLOOKUP($Y25,$C$20:$D$31,2,FALSE)*S25</f>
        <v>0</v>
      </c>
      <c r="AA25" s="62">
        <f>HLOOKUP(AA$18,Data!$T$4:$Z$19,ROW()-17,FALSE)*VLOOKUP($Y25,$C$20:$D$31,2,FALSE)*T25</f>
        <v>0</v>
      </c>
      <c r="AB25" s="62">
        <f>HLOOKUP(AB$18,Data!$T$4:$Z$19,ROW()-17,FALSE)*VLOOKUP($Y25,$C$20:$D$31,2,FALSE)*U25</f>
        <v>0</v>
      </c>
      <c r="AC25" s="62">
        <f>HLOOKUP(AC$18,Data!$T$4:$Z$19,ROW()-17,FALSE)*VLOOKUP($Y25,$C$20:$D$31,2,FALSE)*V25</f>
        <v>0</v>
      </c>
    </row>
    <row r="26" spans="1:29" x14ac:dyDescent="0.25">
      <c r="A26" s="3">
        <f t="shared" si="13"/>
        <v>42552</v>
      </c>
      <c r="C26">
        <f t="shared" si="12"/>
        <v>7</v>
      </c>
      <c r="D26">
        <f t="shared" si="14"/>
        <v>31</v>
      </c>
      <c r="Q26" s="3">
        <f t="shared" si="4"/>
        <v>42583</v>
      </c>
      <c r="R26">
        <f t="shared" si="5"/>
        <v>8</v>
      </c>
      <c r="S26" s="78">
        <f t="shared" si="6"/>
        <v>0</v>
      </c>
      <c r="T26" s="78">
        <f t="shared" si="7"/>
        <v>0</v>
      </c>
      <c r="U26" s="78">
        <f t="shared" si="8"/>
        <v>0</v>
      </c>
      <c r="V26" s="78">
        <f t="shared" si="9"/>
        <v>0</v>
      </c>
      <c r="X26" s="3">
        <f t="shared" si="10"/>
        <v>42583</v>
      </c>
      <c r="Y26">
        <f t="shared" si="11"/>
        <v>8</v>
      </c>
      <c r="Z26" s="62">
        <f>HLOOKUP(Z$18,Data!$T$4:$Z$19,ROW()-17,FALSE)*VLOOKUP($Y26,$C$20:$D$31,2,FALSE)*S26</f>
        <v>0</v>
      </c>
      <c r="AA26" s="62">
        <f>HLOOKUP(AA$18,Data!$T$4:$Z$19,ROW()-17,FALSE)*VLOOKUP($Y26,$C$20:$D$31,2,FALSE)*T26</f>
        <v>0</v>
      </c>
      <c r="AB26" s="62">
        <f>HLOOKUP(AB$18,Data!$T$4:$Z$19,ROW()-17,FALSE)*VLOOKUP($Y26,$C$20:$D$31,2,FALSE)*U26</f>
        <v>0</v>
      </c>
      <c r="AC26" s="62">
        <f>HLOOKUP(AC$18,Data!$T$4:$Z$19,ROW()-17,FALSE)*VLOOKUP($Y26,$C$20:$D$31,2,FALSE)*V26</f>
        <v>0</v>
      </c>
    </row>
    <row r="27" spans="1:29" x14ac:dyDescent="0.25">
      <c r="A27" s="3">
        <f t="shared" si="13"/>
        <v>42583</v>
      </c>
      <c r="C27">
        <f t="shared" si="12"/>
        <v>8</v>
      </c>
      <c r="D27">
        <f t="shared" si="14"/>
        <v>31</v>
      </c>
      <c r="Q27" s="3">
        <f t="shared" si="4"/>
        <v>42614</v>
      </c>
      <c r="R27">
        <f t="shared" si="5"/>
        <v>9</v>
      </c>
      <c r="S27" s="78">
        <f t="shared" si="6"/>
        <v>6.0445000000000006E-2</v>
      </c>
      <c r="T27" s="78">
        <f t="shared" si="7"/>
        <v>0</v>
      </c>
      <c r="U27" s="78">
        <f t="shared" si="8"/>
        <v>0</v>
      </c>
      <c r="V27" s="78">
        <f t="shared" si="9"/>
        <v>0</v>
      </c>
      <c r="X27" s="3">
        <f t="shared" si="10"/>
        <v>42614</v>
      </c>
      <c r="Y27">
        <f t="shared" si="11"/>
        <v>9</v>
      </c>
      <c r="Z27" s="62">
        <f>HLOOKUP(Z$18,Data!$T$4:$Z$19,ROW()-17,FALSE)*VLOOKUP($Y27,$C$20:$D$31,2,FALSE)*S27</f>
        <v>145992.80850000001</v>
      </c>
      <c r="AA27" s="62">
        <f>HLOOKUP(AA$18,Data!$T$4:$Z$19,ROW()-17,FALSE)*VLOOKUP($Y27,$C$20:$D$31,2,FALSE)*T27</f>
        <v>0</v>
      </c>
      <c r="AB27" s="62">
        <f>HLOOKUP(AB$18,Data!$T$4:$Z$19,ROW()-17,FALSE)*VLOOKUP($Y27,$C$20:$D$31,2,FALSE)*U27</f>
        <v>0</v>
      </c>
      <c r="AC27" s="62">
        <f>HLOOKUP(AC$18,Data!$T$4:$Z$19,ROW()-17,FALSE)*VLOOKUP($Y27,$C$20:$D$31,2,FALSE)*V27</f>
        <v>0</v>
      </c>
    </row>
    <row r="28" spans="1:29" x14ac:dyDescent="0.25">
      <c r="A28" s="3">
        <f t="shared" si="13"/>
        <v>42614</v>
      </c>
      <c r="C28">
        <f t="shared" si="12"/>
        <v>9</v>
      </c>
      <c r="D28">
        <f t="shared" si="14"/>
        <v>30</v>
      </c>
      <c r="Q28" s="3">
        <f t="shared" si="4"/>
        <v>42644</v>
      </c>
      <c r="R28">
        <f t="shared" si="5"/>
        <v>10</v>
      </c>
      <c r="S28" s="78">
        <f t="shared" si="6"/>
        <v>0.36035048387096774</v>
      </c>
      <c r="T28" s="78">
        <f t="shared" si="7"/>
        <v>0.20057258064516126</v>
      </c>
      <c r="U28" s="78">
        <f t="shared" si="8"/>
        <v>0.12289354838709673</v>
      </c>
      <c r="V28" s="78">
        <f t="shared" si="9"/>
        <v>0.20067048387096778</v>
      </c>
      <c r="X28" s="3">
        <f t="shared" si="10"/>
        <v>42644</v>
      </c>
      <c r="Y28">
        <f t="shared" si="11"/>
        <v>10</v>
      </c>
      <c r="Z28" s="62">
        <f>HLOOKUP(Z$18,Data!$T$4:$Z$19,ROW()-17,FALSE)*VLOOKUP($Y28,$C$20:$D$31,2,FALSE)*S28</f>
        <v>902974.53054499999</v>
      </c>
      <c r="AA28" s="62">
        <f>HLOOKUP(AA$18,Data!$T$4:$Z$19,ROW()-17,FALSE)*VLOOKUP($Y28,$C$20:$D$31,2,FALSE)*T28</f>
        <v>235366.70849999995</v>
      </c>
      <c r="AB28" s="62">
        <f>HLOOKUP(AB$18,Data!$T$4:$Z$19,ROW()-17,FALSE)*VLOOKUP($Y28,$C$20:$D$31,2,FALSE)*U28</f>
        <v>142791.36569999997</v>
      </c>
      <c r="AC28" s="62">
        <f>HLOOKUP(AC$18,Data!$T$4:$Z$19,ROW()-17,FALSE)*VLOOKUP($Y28,$C$20:$D$31,2,FALSE)*V28</f>
        <v>162312.72222000003</v>
      </c>
    </row>
    <row r="29" spans="1:29" x14ac:dyDescent="0.25">
      <c r="A29" s="3">
        <f t="shared" si="13"/>
        <v>42644</v>
      </c>
      <c r="C29">
        <f t="shared" si="12"/>
        <v>10</v>
      </c>
      <c r="D29">
        <f t="shared" si="14"/>
        <v>31</v>
      </c>
      <c r="Q29" s="3">
        <f t="shared" si="4"/>
        <v>42675</v>
      </c>
      <c r="R29">
        <f t="shared" si="5"/>
        <v>11</v>
      </c>
      <c r="S29" s="78">
        <f t="shared" si="6"/>
        <v>1.1110166666666668</v>
      </c>
      <c r="T29" s="78">
        <f t="shared" si="7"/>
        <v>0.88086666666666669</v>
      </c>
      <c r="U29" s="78">
        <f t="shared" si="8"/>
        <v>0.63239200000000018</v>
      </c>
      <c r="V29" s="78">
        <f t="shared" si="9"/>
        <v>0.81282916666666682</v>
      </c>
      <c r="X29" s="3">
        <f t="shared" si="10"/>
        <v>42675</v>
      </c>
      <c r="Y29">
        <f t="shared" si="11"/>
        <v>11</v>
      </c>
      <c r="Z29" s="62">
        <f>HLOOKUP(Z$18,Data!$T$4:$Z$19,ROW()-17,FALSE)*VLOOKUP($Y29,$C$20:$D$31,2,FALSE)*S29</f>
        <v>2700537.1015000003</v>
      </c>
      <c r="AA29" s="62">
        <f>HLOOKUP(AA$18,Data!$T$4:$Z$19,ROW()-17,FALSE)*VLOOKUP($Y29,$C$20:$D$31,2,FALSE)*T29</f>
        <v>1004372.9820000001</v>
      </c>
      <c r="AB29" s="62">
        <f>HLOOKUP(AB$18,Data!$T$4:$Z$19,ROW()-17,FALSE)*VLOOKUP($Y29,$C$20:$D$31,2,FALSE)*U29</f>
        <v>715406.09784000018</v>
      </c>
      <c r="AC29" s="62">
        <f>HLOOKUP(AC$18,Data!$T$4:$Z$19,ROW()-17,FALSE)*VLOOKUP($Y29,$C$20:$D$31,2,FALSE)*V29</f>
        <v>641931.83437500009</v>
      </c>
    </row>
    <row r="30" spans="1:29" x14ac:dyDescent="0.25">
      <c r="A30" s="3">
        <f t="shared" si="13"/>
        <v>42675</v>
      </c>
      <c r="C30">
        <f t="shared" si="12"/>
        <v>11</v>
      </c>
      <c r="D30">
        <f t="shared" si="14"/>
        <v>30</v>
      </c>
      <c r="Q30" s="3">
        <f t="shared" si="4"/>
        <v>42705</v>
      </c>
      <c r="R30">
        <f t="shared" si="5"/>
        <v>12</v>
      </c>
      <c r="S30" s="78">
        <f t="shared" si="6"/>
        <v>-0.60888274193548431</v>
      </c>
      <c r="T30" s="78">
        <f t="shared" si="7"/>
        <v>-0.45875322580645173</v>
      </c>
      <c r="U30" s="78">
        <f t="shared" si="8"/>
        <v>-0.45486193548387066</v>
      </c>
      <c r="V30" s="78">
        <f t="shared" si="9"/>
        <v>-0.32189290322580644</v>
      </c>
      <c r="X30" s="3">
        <f t="shared" si="10"/>
        <v>42705</v>
      </c>
      <c r="Y30">
        <f t="shared" si="11"/>
        <v>12</v>
      </c>
      <c r="Z30" s="62">
        <f>HLOOKUP(Z$18,Data!$T$4:$Z$19,ROW()-17,FALSE)*VLOOKUP($Y30,$C$20:$D$31,2,FALSE)*S30</f>
        <v>-1534000.9135500011</v>
      </c>
      <c r="AA30" s="62">
        <f>HLOOKUP(AA$18,Data!$T$4:$Z$19,ROW()-17,FALSE)*VLOOKUP($Y30,$C$20:$D$31,2,FALSE)*T30</f>
        <v>-542444.95305000013</v>
      </c>
      <c r="AB30" s="62">
        <f>HLOOKUP(AB$18,Data!$T$4:$Z$19,ROW()-17,FALSE)*VLOOKUP($Y30,$C$20:$D$31,2,FALSE)*U30</f>
        <v>-534318.58295999968</v>
      </c>
      <c r="AC30" s="62">
        <f>HLOOKUP(AC$18,Data!$T$4:$Z$19,ROW()-17,FALSE)*VLOOKUP($Y30,$C$20:$D$31,2,FALSE)*V30</f>
        <v>-264524.82811999996</v>
      </c>
    </row>
    <row r="31" spans="1:29" x14ac:dyDescent="0.25">
      <c r="A31" s="3">
        <f t="shared" si="13"/>
        <v>42705</v>
      </c>
      <c r="C31">
        <f t="shared" si="12"/>
        <v>12</v>
      </c>
      <c r="D31">
        <f t="shared" si="14"/>
        <v>31</v>
      </c>
    </row>
    <row r="32" spans="1:29" x14ac:dyDescent="0.25">
      <c r="A32" s="3">
        <f t="shared" si="13"/>
        <v>42736</v>
      </c>
    </row>
  </sheetData>
  <mergeCells count="20">
    <mergeCell ref="A1:C1"/>
    <mergeCell ref="E1:G1"/>
    <mergeCell ref="I1:K1"/>
    <mergeCell ref="M1:O1"/>
    <mergeCell ref="A2:A3"/>
    <mergeCell ref="B2:B3"/>
    <mergeCell ref="C2:C3"/>
    <mergeCell ref="E2:E3"/>
    <mergeCell ref="F2:F3"/>
    <mergeCell ref="G2:G3"/>
    <mergeCell ref="I2:I3"/>
    <mergeCell ref="J2:J3"/>
    <mergeCell ref="K2:K3"/>
    <mergeCell ref="M2:M3"/>
    <mergeCell ref="N2:N3"/>
    <mergeCell ref="S2:V2"/>
    <mergeCell ref="Z2:AC2"/>
    <mergeCell ref="S17:V17"/>
    <mergeCell ref="Z17:AC17"/>
    <mergeCell ref="O2:O3"/>
  </mergeCells>
  <printOptions horizontalCentered="1"/>
  <pageMargins left="0.7" right="0.7" top="0.75" bottom="0.75" header="0.3" footer="0.3"/>
  <pageSetup scale="85" orientation="landscape" r:id="rId1"/>
  <headerFooter scaleWithDoc="0" alignWithMargins="0">
    <oddHeader>&amp;RExhibit No. ___ (BR-4)
503-60
Page &amp;P of  &amp;N</oddHeader>
  </headerFooter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AC32"/>
  <sheetViews>
    <sheetView view="pageBreakPreview" zoomScale="60" zoomScaleNormal="100" workbookViewId="0">
      <selection activeCell="M1" sqref="A1:XFD1"/>
    </sheetView>
  </sheetViews>
  <sheetFormatPr defaultRowHeight="15" x14ac:dyDescent="0.25"/>
  <cols>
    <col min="1" max="1" width="9.7109375" bestFit="1" customWidth="1"/>
    <col min="2" max="2" width="3.85546875" customWidth="1"/>
    <col min="3" max="3" width="8.7109375" bestFit="1" customWidth="1"/>
    <col min="4" max="4" width="13.7109375" bestFit="1" customWidth="1"/>
    <col min="6" max="6" width="3.85546875" bestFit="1" customWidth="1"/>
    <col min="7" max="7" width="8.7109375" bestFit="1" customWidth="1"/>
    <col min="10" max="10" width="3.85546875" customWidth="1"/>
    <col min="11" max="11" width="8.7109375" bestFit="1" customWidth="1"/>
    <col min="14" max="14" width="3.85546875" customWidth="1"/>
    <col min="15" max="15" width="8.7109375" bestFit="1" customWidth="1"/>
    <col min="17" max="17" width="9.7109375" bestFit="1" customWidth="1"/>
    <col min="18" max="18" width="3" bestFit="1" customWidth="1"/>
    <col min="19" max="21" width="15.28515625" customWidth="1"/>
    <col min="22" max="22" width="11.85546875" customWidth="1"/>
    <col min="23" max="23" width="3.85546875" customWidth="1"/>
    <col min="24" max="24" width="9.7109375" bestFit="1" customWidth="1"/>
    <col min="25" max="25" width="3" bestFit="1" customWidth="1"/>
    <col min="26" max="26" width="10.5703125" bestFit="1" customWidth="1"/>
    <col min="27" max="29" width="11.28515625" bestFit="1" customWidth="1"/>
  </cols>
  <sheetData>
    <row r="1" spans="1:29" x14ac:dyDescent="0.25">
      <c r="A1" s="94" t="s">
        <v>29</v>
      </c>
      <c r="B1" s="94"/>
      <c r="C1" s="94"/>
      <c r="E1" s="94" t="s">
        <v>30</v>
      </c>
      <c r="F1" s="94"/>
      <c r="G1" s="94"/>
      <c r="I1" s="94" t="s">
        <v>31</v>
      </c>
      <c r="J1" s="94"/>
      <c r="K1" s="94"/>
      <c r="M1" s="94" t="s">
        <v>32</v>
      </c>
      <c r="N1" s="94"/>
      <c r="O1" s="94"/>
    </row>
    <row r="2" spans="1:29" x14ac:dyDescent="0.25">
      <c r="A2" s="95" t="s">
        <v>37</v>
      </c>
      <c r="B2" s="96"/>
      <c r="C2" s="96" t="s">
        <v>38</v>
      </c>
      <c r="E2" s="95" t="s">
        <v>37</v>
      </c>
      <c r="F2" s="96"/>
      <c r="G2" s="96" t="s">
        <v>38</v>
      </c>
      <c r="I2" s="95" t="s">
        <v>37</v>
      </c>
      <c r="J2" s="96"/>
      <c r="K2" s="96" t="s">
        <v>38</v>
      </c>
      <c r="M2" s="95" t="s">
        <v>37</v>
      </c>
      <c r="N2" s="96"/>
      <c r="O2" s="96" t="s">
        <v>38</v>
      </c>
      <c r="Q2" s="76" t="s">
        <v>42</v>
      </c>
      <c r="S2" s="93" t="s">
        <v>43</v>
      </c>
      <c r="T2" s="93"/>
      <c r="U2" s="93"/>
      <c r="V2" s="93"/>
      <c r="X2" s="76" t="s">
        <v>44</v>
      </c>
      <c r="Z2" s="93" t="s">
        <v>45</v>
      </c>
      <c r="AA2" s="93"/>
      <c r="AB2" s="93"/>
      <c r="AC2" s="93"/>
    </row>
    <row r="3" spans="1:29" x14ac:dyDescent="0.25">
      <c r="A3" s="95"/>
      <c r="B3" s="96"/>
      <c r="C3" s="96"/>
      <c r="E3" s="95"/>
      <c r="F3" s="96"/>
      <c r="G3" s="96"/>
      <c r="I3" s="95"/>
      <c r="J3" s="96"/>
      <c r="K3" s="96"/>
      <c r="M3" s="95"/>
      <c r="N3" s="96"/>
      <c r="O3" s="96"/>
      <c r="S3" t="s">
        <v>29</v>
      </c>
      <c r="T3" t="s">
        <v>30</v>
      </c>
      <c r="U3" t="s">
        <v>31</v>
      </c>
      <c r="V3" t="s">
        <v>32</v>
      </c>
      <c r="Z3" t="s">
        <v>29</v>
      </c>
      <c r="AA3" t="s">
        <v>30</v>
      </c>
      <c r="AB3" t="s">
        <v>31</v>
      </c>
      <c r="AC3" t="s">
        <v>32</v>
      </c>
    </row>
    <row r="4" spans="1:29" x14ac:dyDescent="0.25">
      <c r="A4" s="70" t="s">
        <v>39</v>
      </c>
      <c r="B4" s="71"/>
      <c r="C4" s="71">
        <v>3.9567000000000001</v>
      </c>
      <c r="E4" s="70" t="s">
        <v>39</v>
      </c>
      <c r="F4" s="71"/>
      <c r="G4" s="71">
        <v>5.6012000000000004</v>
      </c>
      <c r="I4" s="70" t="s">
        <v>39</v>
      </c>
      <c r="J4" s="71"/>
      <c r="K4" s="71">
        <v>4.8757000000000001</v>
      </c>
      <c r="M4" s="70" t="s">
        <v>39</v>
      </c>
      <c r="N4" s="71"/>
      <c r="O4" s="71">
        <v>3.0830000000000002</v>
      </c>
      <c r="Q4" s="3">
        <f>Data!A1</f>
        <v>42370</v>
      </c>
      <c r="R4">
        <f>MONTH(Q4)</f>
        <v>1</v>
      </c>
      <c r="S4" s="77">
        <f>HLOOKUP(S$3,Normals!$B$2:$H$14,$R4+1,FALSE)/VLOOKUP($R4,$C$20:$D$31,2,FALSE)</f>
        <v>25.774193548387096</v>
      </c>
      <c r="T4" s="77">
        <f>HLOOKUP(T$3,Normals!$B$2:$H$14,$R4+1,FALSE)/VLOOKUP($R4,$C$20:$D$31,2,FALSE)</f>
        <v>22.387096774193548</v>
      </c>
      <c r="U4" s="77">
        <f>HLOOKUP(U$3,Normals!$B$2:$H$14,$R4+1,FALSE)/VLOOKUP($R4,$C$20:$D$31,2,FALSE)</f>
        <v>29.483870967741936</v>
      </c>
      <c r="V4" s="77">
        <f>HLOOKUP(V$3,Normals!$B$2:$H$14,$R4+1,FALSE)/VLOOKUP($R4,$C$20:$D$31,2,FALSE)</f>
        <v>34.096774193548384</v>
      </c>
      <c r="X4" s="3">
        <f>Q4</f>
        <v>42370</v>
      </c>
      <c r="Y4">
        <f>MONTH(X4)</f>
        <v>1</v>
      </c>
      <c r="Z4" s="77">
        <f>HLOOKUP(Z$3,Data!$AL$4:$AR$19,ROW()-2,FALSE)/VLOOKUP($Y4,$C$20:$D$31,2,FALSE)</f>
        <v>23.806451612903224</v>
      </c>
      <c r="AA4" s="77">
        <f>HLOOKUP(AA$3,Data!$AL$4:$AR$19,ROW()-2,FALSE)/VLOOKUP($Y4,$C$20:$D$31,2,FALSE)</f>
        <v>20.951612903225808</v>
      </c>
      <c r="AB4" s="77">
        <f>HLOOKUP(AB$3,Data!$AL$4:$AR$19,ROW()-2,FALSE)/VLOOKUP($Y4,$C$20:$D$31,2,FALSE)</f>
        <v>28.70967741935484</v>
      </c>
      <c r="AC4" s="77">
        <f>HLOOKUP(AC$3,Data!$AL$4:$AR$19,ROW()-2,FALSE)/VLOOKUP($Y4,$C$20:$D$31,2,FALSE)</f>
        <v>31.306451612903224</v>
      </c>
    </row>
    <row r="5" spans="1:29" x14ac:dyDescent="0.25">
      <c r="A5" s="70" t="s">
        <v>54</v>
      </c>
      <c r="B5" s="71"/>
      <c r="C5" s="71">
        <v>-8.3219999999999995E-3</v>
      </c>
      <c r="E5" s="70" t="s">
        <v>54</v>
      </c>
      <c r="F5" s="71"/>
      <c r="G5" s="71">
        <v>-1.34E-2</v>
      </c>
      <c r="I5" s="70" t="s">
        <v>54</v>
      </c>
      <c r="J5" s="71"/>
      <c r="K5" s="71">
        <v>-2.2100000000000002E-2</v>
      </c>
      <c r="M5" s="70" t="s">
        <v>54</v>
      </c>
      <c r="N5" s="71"/>
      <c r="O5" s="71">
        <v>9.1900000000000003E-3</v>
      </c>
      <c r="Q5" s="3">
        <f>DATE(YEAR(Q4),MONTH(Q4)+1,1)</f>
        <v>42401</v>
      </c>
      <c r="R5">
        <f t="shared" ref="R5:R15" si="0">MONTH(Q5)</f>
        <v>2</v>
      </c>
      <c r="S5" s="77">
        <f>HLOOKUP(S$3,Normals!$B$2:$H$14,$R5+1,FALSE)/VLOOKUP($R5,$C$20:$D$31,2,FALSE)</f>
        <v>23.448275862068964</v>
      </c>
      <c r="T5" s="77">
        <f>HLOOKUP(T$3,Normals!$B$2:$H$14,$R5+1,FALSE)/VLOOKUP($R5,$C$20:$D$31,2,FALSE)</f>
        <v>20.655172413793103</v>
      </c>
      <c r="U5" s="77">
        <f>HLOOKUP(U$3,Normals!$B$2:$H$14,$R5+1,FALSE)/VLOOKUP($R5,$C$20:$D$31,2,FALSE)</f>
        <v>25</v>
      </c>
      <c r="V5" s="77">
        <f>HLOOKUP(V$3,Normals!$B$2:$H$14,$R5+1,FALSE)/VLOOKUP($R5,$C$20:$D$31,2,FALSE)</f>
        <v>27.896551724137932</v>
      </c>
      <c r="X5" s="3">
        <f t="shared" ref="X5:X15" si="1">Q5</f>
        <v>42401</v>
      </c>
      <c r="Y5">
        <f t="shared" ref="Y5:Y15" si="2">MONTH(X5)</f>
        <v>2</v>
      </c>
      <c r="Z5" s="77">
        <f>HLOOKUP(Z$3,Data!$AL$4:$AR$19,ROW()-2,FALSE)/VLOOKUP($Y5,$C$20:$D$31,2,FALSE)</f>
        <v>19.03448275862069</v>
      </c>
      <c r="AA5" s="77">
        <f>HLOOKUP(AA$3,Data!$AL$4:$AR$19,ROW()-2,FALSE)/VLOOKUP($Y5,$C$20:$D$31,2,FALSE)</f>
        <v>17.086206896551722</v>
      </c>
      <c r="AB5" s="77">
        <f>HLOOKUP(AB$3,Data!$AL$4:$AR$19,ROW()-2,FALSE)/VLOOKUP($Y5,$C$20:$D$31,2,FALSE)</f>
        <v>20.293103448275861</v>
      </c>
      <c r="AC5" s="77">
        <f>HLOOKUP(AC$3,Data!$AL$4:$AR$19,ROW()-2,FALSE)/VLOOKUP($Y5,$C$20:$D$31,2,FALSE)</f>
        <v>22.258620689655171</v>
      </c>
    </row>
    <row r="6" spans="1:29" x14ac:dyDescent="0.25">
      <c r="A6" s="70">
        <v>1</v>
      </c>
      <c r="B6" s="71"/>
      <c r="C6" s="71">
        <v>0.41020000000000001</v>
      </c>
      <c r="E6" s="70">
        <v>1</v>
      </c>
      <c r="F6" s="71"/>
      <c r="G6" s="71">
        <v>0.57010000000000005</v>
      </c>
      <c r="I6" s="70">
        <v>1</v>
      </c>
      <c r="J6" s="71"/>
      <c r="K6" s="71">
        <v>0.55110000000000003</v>
      </c>
      <c r="M6" s="70">
        <v>1</v>
      </c>
      <c r="N6" s="71"/>
      <c r="O6" s="71">
        <v>0.56779999999999997</v>
      </c>
      <c r="Q6" s="3">
        <f t="shared" ref="Q6:Q15" si="3">DATE(YEAR(Q5),MONTH(Q5)+1,1)</f>
        <v>42430</v>
      </c>
      <c r="R6">
        <f t="shared" si="0"/>
        <v>3</v>
      </c>
      <c r="S6" s="77">
        <f>HLOOKUP(S$3,Normals!$B$2:$H$14,$R6+1,FALSE)/VLOOKUP($R6,$C$20:$D$31,2,FALSE)</f>
        <v>20.774193548387096</v>
      </c>
      <c r="T6" s="77">
        <f>HLOOKUP(T$3,Normals!$B$2:$H$14,$R6+1,FALSE)/VLOOKUP($R6,$C$20:$D$31,2,FALSE)</f>
        <v>19</v>
      </c>
      <c r="U6" s="77">
        <f>HLOOKUP(U$3,Normals!$B$2:$H$14,$R6+1,FALSE)/VLOOKUP($R6,$C$20:$D$31,2,FALSE)</f>
        <v>18.70967741935484</v>
      </c>
      <c r="V6" s="77">
        <f>HLOOKUP(V$3,Normals!$B$2:$H$14,$R6+1,FALSE)/VLOOKUP($R6,$C$20:$D$31,2,FALSE)</f>
        <v>21.806451612903224</v>
      </c>
      <c r="X6" s="3">
        <f t="shared" si="1"/>
        <v>42430</v>
      </c>
      <c r="Y6">
        <f t="shared" si="2"/>
        <v>3</v>
      </c>
      <c r="Z6" s="77">
        <f>HLOOKUP(Z$3,Data!$AL$4:$AR$19,ROW()-2,FALSE)/VLOOKUP($Y6,$C$20:$D$31,2,FALSE)</f>
        <v>16.225806451612904</v>
      </c>
      <c r="AA6" s="77">
        <f>HLOOKUP(AA$3,Data!$AL$4:$AR$19,ROW()-2,FALSE)/VLOOKUP($Y6,$C$20:$D$31,2,FALSE)</f>
        <v>17.241935483870968</v>
      </c>
      <c r="AB6" s="77">
        <f>HLOOKUP(AB$3,Data!$AL$4:$AR$19,ROW()-2,FALSE)/VLOOKUP($Y6,$C$20:$D$31,2,FALSE)</f>
        <v>16.725806451612904</v>
      </c>
      <c r="AC6" s="77">
        <f>HLOOKUP(AC$3,Data!$AL$4:$AR$19,ROW()-2,FALSE)/VLOOKUP($Y6,$C$20:$D$31,2,FALSE)</f>
        <v>18.258064516129032</v>
      </c>
    </row>
    <row r="7" spans="1:29" x14ac:dyDescent="0.25">
      <c r="A7" s="70">
        <v>2</v>
      </c>
      <c r="B7" s="71"/>
      <c r="C7" s="71">
        <v>0.35949999999999999</v>
      </c>
      <c r="E7" s="70">
        <v>2</v>
      </c>
      <c r="F7" s="71"/>
      <c r="G7" s="71">
        <v>0.4698</v>
      </c>
      <c r="I7" s="70">
        <v>2</v>
      </c>
      <c r="J7" s="71"/>
      <c r="K7" s="71">
        <v>0.51459999999999995</v>
      </c>
      <c r="M7" s="70">
        <v>2</v>
      </c>
      <c r="N7" s="71"/>
      <c r="O7" s="71">
        <v>0.53669999999999995</v>
      </c>
      <c r="Q7" s="3">
        <f t="shared" si="3"/>
        <v>42461</v>
      </c>
      <c r="R7">
        <f t="shared" si="0"/>
        <v>4</v>
      </c>
      <c r="S7" s="77">
        <f>HLOOKUP(S$3,Normals!$B$2:$H$14,$R7+1,FALSE)/VLOOKUP($R7,$C$20:$D$31,2,FALSE)</f>
        <v>16.600000000000001</v>
      </c>
      <c r="T7" s="77">
        <f>HLOOKUP(T$3,Normals!$B$2:$H$14,$R7+1,FALSE)/VLOOKUP($R7,$C$20:$D$31,2,FALSE)</f>
        <v>16.266666666666666</v>
      </c>
      <c r="U7" s="77">
        <f>HLOOKUP(U$3,Normals!$B$2:$H$14,$R7+1,FALSE)/VLOOKUP($R7,$C$20:$D$31,2,FALSE)</f>
        <v>12.8</v>
      </c>
      <c r="V7" s="77">
        <f>HLOOKUP(V$3,Normals!$B$2:$H$14,$R7+1,FALSE)/VLOOKUP($R7,$C$20:$D$31,2,FALSE)</f>
        <v>15.9</v>
      </c>
      <c r="X7" s="3">
        <f t="shared" si="1"/>
        <v>42461</v>
      </c>
      <c r="Y7">
        <f t="shared" si="2"/>
        <v>4</v>
      </c>
      <c r="Z7" s="77">
        <f>HLOOKUP(Z$3,Data!$AL$4:$AR$19,ROW()-2,FALSE)/VLOOKUP($Y7,$C$20:$D$31,2,FALSE)</f>
        <v>11.05</v>
      </c>
      <c r="AA7" s="77">
        <f>HLOOKUP(AA$3,Data!$AL$4:$AR$19,ROW()-2,FALSE)/VLOOKUP($Y7,$C$20:$D$31,2,FALSE)</f>
        <v>11.283333333333333</v>
      </c>
      <c r="AB7" s="77">
        <f>HLOOKUP(AB$3,Data!$AL$4:$AR$19,ROW()-2,FALSE)/VLOOKUP($Y7,$C$20:$D$31,2,FALSE)</f>
        <v>7.6166666666666663</v>
      </c>
      <c r="AC7" s="77">
        <f>HLOOKUP(AC$3,Data!$AL$4:$AR$19,ROW()-2,FALSE)/VLOOKUP($Y7,$C$20:$D$31,2,FALSE)</f>
        <v>6.75</v>
      </c>
    </row>
    <row r="8" spans="1:29" x14ac:dyDescent="0.25">
      <c r="A8" s="70">
        <v>3</v>
      </c>
      <c r="B8" s="71"/>
      <c r="C8" s="71">
        <v>0.29659999999999997</v>
      </c>
      <c r="E8" s="70">
        <v>3</v>
      </c>
      <c r="F8" s="71"/>
      <c r="G8" s="71">
        <v>0.38129999999999997</v>
      </c>
      <c r="I8" s="70">
        <v>3</v>
      </c>
      <c r="J8" s="71"/>
      <c r="K8" s="71">
        <v>0.43149999999999999</v>
      </c>
      <c r="M8" s="70">
        <v>3</v>
      </c>
      <c r="N8" s="71"/>
      <c r="O8" s="71">
        <v>0.4224</v>
      </c>
      <c r="Q8" s="3">
        <f t="shared" si="3"/>
        <v>42491</v>
      </c>
      <c r="R8">
        <f t="shared" si="0"/>
        <v>5</v>
      </c>
      <c r="S8" s="77">
        <f>HLOOKUP(S$3,Normals!$B$2:$H$14,$R8+1,FALSE)/VLOOKUP($R8,$C$20:$D$31,2,FALSE)</f>
        <v>11.129032258064516</v>
      </c>
      <c r="T8" s="77">
        <f>HLOOKUP(T$3,Normals!$B$2:$H$14,$R8+1,FALSE)/VLOOKUP($R8,$C$20:$D$31,2,FALSE)</f>
        <v>12.064516129032258</v>
      </c>
      <c r="U8" s="77">
        <f>HLOOKUP(U$3,Normals!$B$2:$H$14,$R8+1,FALSE)/VLOOKUP($R8,$C$20:$D$31,2,FALSE)</f>
        <v>6.709677419354839</v>
      </c>
      <c r="V8" s="77">
        <f>HLOOKUP(V$3,Normals!$B$2:$H$14,$R8+1,FALSE)/VLOOKUP($R8,$C$20:$D$31,2,FALSE)</f>
        <v>8.4193548387096779</v>
      </c>
      <c r="X8" s="3">
        <f t="shared" si="1"/>
        <v>42491</v>
      </c>
      <c r="Y8">
        <f t="shared" si="2"/>
        <v>5</v>
      </c>
      <c r="Z8" s="77">
        <f>HLOOKUP(Z$3,Data!$AL$4:$AR$19,ROW()-2,FALSE)/VLOOKUP($Y8,$C$20:$D$31,2,FALSE)</f>
        <v>7.596774193548387</v>
      </c>
      <c r="AA8" s="77">
        <f>HLOOKUP(AA$3,Data!$AL$4:$AR$19,ROW()-2,FALSE)/VLOOKUP($Y8,$C$20:$D$31,2,FALSE)</f>
        <v>9.5</v>
      </c>
      <c r="AB8" s="77">
        <f>HLOOKUP(AB$3,Data!$AL$4:$AR$19,ROW()-2,FALSE)/VLOOKUP($Y8,$C$20:$D$31,2,FALSE)</f>
        <v>4.258064516129032</v>
      </c>
      <c r="AC8" s="77">
        <f>HLOOKUP(AC$3,Data!$AL$4:$AR$19,ROW()-2,FALSE)/VLOOKUP($Y8,$C$20:$D$31,2,FALSE)</f>
        <v>2.870967741935484</v>
      </c>
    </row>
    <row r="9" spans="1:29" x14ac:dyDescent="0.25">
      <c r="A9" s="70">
        <v>4</v>
      </c>
      <c r="B9" s="71"/>
      <c r="C9" s="71">
        <v>0.20039999999999999</v>
      </c>
      <c r="E9" s="70">
        <v>4</v>
      </c>
      <c r="F9" s="71"/>
      <c r="G9" s="71">
        <v>0.23730000000000001</v>
      </c>
      <c r="I9" s="70">
        <v>4</v>
      </c>
      <c r="J9" s="71"/>
      <c r="K9" s="71">
        <v>0.25580000000000003</v>
      </c>
      <c r="M9" s="70">
        <v>4</v>
      </c>
      <c r="N9" s="71"/>
      <c r="O9" s="71">
        <v>0.2757</v>
      </c>
      <c r="Q9" s="3">
        <f t="shared" si="3"/>
        <v>42522</v>
      </c>
      <c r="R9">
        <f t="shared" si="0"/>
        <v>6</v>
      </c>
      <c r="S9" s="77">
        <f>HLOOKUP(S$3,Normals!$B$2:$H$14,$R9+1,FALSE)/VLOOKUP($R9,$C$20:$D$31,2,FALSE)</f>
        <v>6.666666666666667</v>
      </c>
      <c r="T9" s="77">
        <f>HLOOKUP(T$3,Normals!$B$2:$H$14,$R9+1,FALSE)/VLOOKUP($R9,$C$20:$D$31,2,FALSE)</f>
        <v>8.2333333333333325</v>
      </c>
      <c r="U9" s="77">
        <f>HLOOKUP(U$3,Normals!$B$2:$H$14,$R9+1,FALSE)/VLOOKUP($R9,$C$20:$D$31,2,FALSE)</f>
        <v>2.0666666666666669</v>
      </c>
      <c r="V9" s="77">
        <f>HLOOKUP(V$3,Normals!$B$2:$H$14,$R9+1,FALSE)/VLOOKUP($R9,$C$20:$D$31,2,FALSE)</f>
        <v>3.2666666666666666</v>
      </c>
      <c r="X9" s="3">
        <f t="shared" si="1"/>
        <v>42522</v>
      </c>
      <c r="Y9">
        <f t="shared" si="2"/>
        <v>6</v>
      </c>
      <c r="Z9" s="77">
        <f>HLOOKUP(Z$3,Data!$AL$4:$AR$19,ROW()-2,FALSE)/VLOOKUP($Y9,$C$20:$D$31,2,FALSE)</f>
        <v>5.0999999999999996</v>
      </c>
      <c r="AA9" s="77">
        <f>HLOOKUP(AA$3,Data!$AL$4:$AR$19,ROW()-2,FALSE)/VLOOKUP($Y9,$C$20:$D$31,2,FALSE)</f>
        <v>7.333333333333333</v>
      </c>
      <c r="AB9" s="77">
        <f>HLOOKUP(AB$3,Data!$AL$4:$AR$19,ROW()-2,FALSE)/VLOOKUP($Y9,$C$20:$D$31,2,FALSE)</f>
        <v>1.7166666666666666</v>
      </c>
      <c r="AC9" s="77">
        <f>HLOOKUP(AC$3,Data!$AL$4:$AR$19,ROW()-2,FALSE)/VLOOKUP($Y9,$C$20:$D$31,2,FALSE)</f>
        <v>2.4</v>
      </c>
    </row>
    <row r="10" spans="1:29" x14ac:dyDescent="0.25">
      <c r="A10" s="70">
        <v>5</v>
      </c>
      <c r="B10" s="71"/>
      <c r="C10" s="71">
        <v>0.1113</v>
      </c>
      <c r="E10" s="70">
        <v>5</v>
      </c>
      <c r="F10" s="71"/>
      <c r="G10" s="71">
        <v>0.11210000000000001</v>
      </c>
      <c r="I10" s="70">
        <v>5</v>
      </c>
      <c r="J10" s="71"/>
      <c r="K10" s="71">
        <v>0.13320000000000001</v>
      </c>
      <c r="M10" s="70">
        <v>5</v>
      </c>
      <c r="N10" s="71"/>
      <c r="O10" s="71">
        <v>0.17799999999999999</v>
      </c>
      <c r="Q10" s="3">
        <f t="shared" si="3"/>
        <v>42552</v>
      </c>
      <c r="R10">
        <f t="shared" si="0"/>
        <v>7</v>
      </c>
      <c r="S10" s="77">
        <f>HLOOKUP(S$3,Normals!$B$2:$H$14,$R10+1,FALSE)/VLOOKUP($R10,$C$20:$D$31,2,FALSE)</f>
        <v>3.2580645161290325</v>
      </c>
      <c r="T10" s="77">
        <f>HLOOKUP(T$3,Normals!$B$2:$H$14,$R10+1,FALSE)/VLOOKUP($R10,$C$20:$D$31,2,FALSE)</f>
        <v>5.32258064516129</v>
      </c>
      <c r="U10" s="77">
        <f>HLOOKUP(U$3,Normals!$B$2:$H$14,$R10+1,FALSE)/VLOOKUP($R10,$C$20:$D$31,2,FALSE)</f>
        <v>6.4516129032258063E-2</v>
      </c>
      <c r="V10" s="77">
        <f>HLOOKUP(V$3,Normals!$B$2:$H$14,$R10+1,FALSE)/VLOOKUP($R10,$C$20:$D$31,2,FALSE)</f>
        <v>0.61290322580645162</v>
      </c>
      <c r="X10" s="3">
        <f t="shared" si="1"/>
        <v>42552</v>
      </c>
      <c r="Y10">
        <f t="shared" si="2"/>
        <v>7</v>
      </c>
      <c r="Z10" s="77">
        <f>HLOOKUP(Z$3,Data!$AL$4:$AR$19,ROW()-2,FALSE)/VLOOKUP($Y10,$C$20:$D$31,2,FALSE)</f>
        <v>1.4838709677419355</v>
      </c>
      <c r="AA10" s="77">
        <f>HLOOKUP(AA$3,Data!$AL$4:$AR$19,ROW()-2,FALSE)/VLOOKUP($Y10,$C$20:$D$31,2,FALSE)</f>
        <v>4.064516129032258</v>
      </c>
      <c r="AB10" s="77">
        <f>HLOOKUP(AB$3,Data!$AL$4:$AR$19,ROW()-2,FALSE)/VLOOKUP($Y10,$C$20:$D$31,2,FALSE)</f>
        <v>9.6774193548387094E-2</v>
      </c>
      <c r="AC10" s="77">
        <f>HLOOKUP(AC$3,Data!$AL$4:$AR$19,ROW()-2,FALSE)/VLOOKUP($Y10,$C$20:$D$31,2,FALSE)</f>
        <v>0</v>
      </c>
    </row>
    <row r="11" spans="1:29" x14ac:dyDescent="0.25">
      <c r="A11" s="70">
        <v>6</v>
      </c>
      <c r="B11" s="71"/>
      <c r="C11" s="71">
        <v>0</v>
      </c>
      <c r="E11" s="70">
        <v>6</v>
      </c>
      <c r="F11" s="71"/>
      <c r="G11" s="71">
        <v>0</v>
      </c>
      <c r="I11" s="70">
        <v>6</v>
      </c>
      <c r="J11" s="71"/>
      <c r="K11" s="71">
        <v>0</v>
      </c>
      <c r="M11" s="70">
        <v>6</v>
      </c>
      <c r="N11" s="71"/>
      <c r="O11" s="71">
        <v>0</v>
      </c>
      <c r="Q11" s="3">
        <f t="shared" si="3"/>
        <v>42583</v>
      </c>
      <c r="R11">
        <f t="shared" si="0"/>
        <v>8</v>
      </c>
      <c r="S11" s="77">
        <f>HLOOKUP(S$3,Normals!$B$2:$H$14,$R11+1,FALSE)/VLOOKUP($R11,$C$20:$D$31,2,FALSE)</f>
        <v>3.064516129032258</v>
      </c>
      <c r="T11" s="77">
        <f>HLOOKUP(T$3,Normals!$B$2:$H$14,$R11+1,FALSE)/VLOOKUP($R11,$C$20:$D$31,2,FALSE)</f>
        <v>4.935483870967742</v>
      </c>
      <c r="U11" s="77">
        <f>HLOOKUP(U$3,Normals!$B$2:$H$14,$R11+1,FALSE)/VLOOKUP($R11,$C$20:$D$31,2,FALSE)</f>
        <v>0.12903225806451613</v>
      </c>
      <c r="V11" s="77">
        <f>HLOOKUP(V$3,Normals!$B$2:$H$14,$R11+1,FALSE)/VLOOKUP($R11,$C$20:$D$31,2,FALSE)</f>
        <v>0.90322580645161288</v>
      </c>
      <c r="X11" s="3">
        <f t="shared" si="1"/>
        <v>42583</v>
      </c>
      <c r="Y11">
        <f t="shared" si="2"/>
        <v>8</v>
      </c>
      <c r="Z11" s="77">
        <f>HLOOKUP(Z$3,Data!$AL$4:$AR$19,ROW()-2,FALSE)/VLOOKUP($Y11,$C$20:$D$31,2,FALSE)</f>
        <v>1.3870967741935485</v>
      </c>
      <c r="AA11" s="77">
        <f>HLOOKUP(AA$3,Data!$AL$4:$AR$19,ROW()-2,FALSE)/VLOOKUP($Y11,$C$20:$D$31,2,FALSE)</f>
        <v>3.5806451612903225</v>
      </c>
      <c r="AB11" s="77">
        <f>HLOOKUP(AB$3,Data!$AL$4:$AR$19,ROW()-2,FALSE)/VLOOKUP($Y11,$C$20:$D$31,2,FALSE)</f>
        <v>0</v>
      </c>
      <c r="AC11" s="77">
        <f>HLOOKUP(AC$3,Data!$AL$4:$AR$19,ROW()-2,FALSE)/VLOOKUP($Y11,$C$20:$D$31,2,FALSE)</f>
        <v>9.6774193548387094E-2</v>
      </c>
    </row>
    <row r="12" spans="1:29" x14ac:dyDescent="0.25">
      <c r="A12" s="70">
        <v>7</v>
      </c>
      <c r="B12" s="71"/>
      <c r="C12" s="71">
        <v>0</v>
      </c>
      <c r="E12" s="70">
        <v>7</v>
      </c>
      <c r="F12" s="71"/>
      <c r="G12" s="71">
        <v>0</v>
      </c>
      <c r="I12" s="70">
        <v>7</v>
      </c>
      <c r="J12" s="71"/>
      <c r="K12" s="71">
        <v>0</v>
      </c>
      <c r="M12" s="70">
        <v>7</v>
      </c>
      <c r="N12" s="71"/>
      <c r="O12" s="71">
        <v>0</v>
      </c>
      <c r="Q12" s="3">
        <f t="shared" si="3"/>
        <v>42614</v>
      </c>
      <c r="R12">
        <f t="shared" si="0"/>
        <v>9</v>
      </c>
      <c r="S12" s="77">
        <f>HLOOKUP(S$3,Normals!$B$2:$H$14,$R12+1,FALSE)/VLOOKUP($R12,$C$20:$D$31,2,FALSE)</f>
        <v>7.833333333333333</v>
      </c>
      <c r="T12" s="77">
        <f>HLOOKUP(T$3,Normals!$B$2:$H$14,$R12+1,FALSE)/VLOOKUP($R12,$C$20:$D$31,2,FALSE)</f>
        <v>6.5333333333333332</v>
      </c>
      <c r="U12" s="77">
        <f>HLOOKUP(U$3,Normals!$B$2:$H$14,$R12+1,FALSE)/VLOOKUP($R12,$C$20:$D$31,2,FALSE)</f>
        <v>2.8666666666666667</v>
      </c>
      <c r="V12" s="77">
        <f>HLOOKUP(V$3,Normals!$B$2:$H$14,$R12+1,FALSE)/VLOOKUP($R12,$C$20:$D$31,2,FALSE)</f>
        <v>5.333333333333333</v>
      </c>
      <c r="X12" s="3">
        <f t="shared" si="1"/>
        <v>42614</v>
      </c>
      <c r="Y12">
        <f t="shared" si="2"/>
        <v>9</v>
      </c>
      <c r="Z12" s="77">
        <f>HLOOKUP(Z$3,Data!$AL$4:$AR$19,ROW()-2,FALSE)/VLOOKUP($Y12,$C$20:$D$31,2,FALSE)</f>
        <v>7.0166666666666666</v>
      </c>
      <c r="AA12" s="77">
        <f>HLOOKUP(AA$3,Data!$AL$4:$AR$19,ROW()-2,FALSE)/VLOOKUP($Y12,$C$20:$D$31,2,FALSE)</f>
        <v>7</v>
      </c>
      <c r="AB12" s="77">
        <f>HLOOKUP(AB$3,Data!$AL$4:$AR$19,ROW()-2,FALSE)/VLOOKUP($Y12,$C$20:$D$31,2,FALSE)</f>
        <v>2.6833333333333331</v>
      </c>
      <c r="AC12" s="77">
        <f>HLOOKUP(AC$3,Data!$AL$4:$AR$19,ROW()-2,FALSE)/VLOOKUP($Y12,$C$20:$D$31,2,FALSE)</f>
        <v>2.95</v>
      </c>
    </row>
    <row r="13" spans="1:29" x14ac:dyDescent="0.25">
      <c r="A13" s="70">
        <v>8</v>
      </c>
      <c r="B13" s="71"/>
      <c r="C13" s="71">
        <v>0</v>
      </c>
      <c r="E13" s="70">
        <v>8</v>
      </c>
      <c r="F13" s="71"/>
      <c r="G13" s="71">
        <v>0</v>
      </c>
      <c r="I13" s="70">
        <v>8</v>
      </c>
      <c r="J13" s="71"/>
      <c r="K13" s="71">
        <v>0</v>
      </c>
      <c r="M13" s="70">
        <v>8</v>
      </c>
      <c r="N13" s="71"/>
      <c r="O13" s="71">
        <v>0</v>
      </c>
      <c r="Q13" s="3">
        <f t="shared" si="3"/>
        <v>42644</v>
      </c>
      <c r="R13">
        <f t="shared" si="0"/>
        <v>10</v>
      </c>
      <c r="S13" s="77">
        <f>HLOOKUP(S$3,Normals!$B$2:$H$14,$R13+1,FALSE)/VLOOKUP($R13,$C$20:$D$31,2,FALSE)</f>
        <v>15.193548387096774</v>
      </c>
      <c r="T13" s="77">
        <f>HLOOKUP(T$3,Normals!$B$2:$H$14,$R13+1,FALSE)/VLOOKUP($R13,$C$20:$D$31,2,FALSE)</f>
        <v>12.741935483870968</v>
      </c>
      <c r="U13" s="77">
        <f>HLOOKUP(U$3,Normals!$B$2:$H$14,$R13+1,FALSE)/VLOOKUP($R13,$C$20:$D$31,2,FALSE)</f>
        <v>11.838709677419354</v>
      </c>
      <c r="V13" s="77">
        <f>HLOOKUP(V$3,Normals!$B$2:$H$14,$R13+1,FALSE)/VLOOKUP($R13,$C$20:$D$31,2,FALSE)</f>
        <v>16</v>
      </c>
      <c r="X13" s="3">
        <f t="shared" si="1"/>
        <v>42644</v>
      </c>
      <c r="Y13">
        <f t="shared" si="2"/>
        <v>10</v>
      </c>
      <c r="Z13" s="77">
        <f>HLOOKUP(Z$3,Data!$AL$4:$AR$19,ROW()-2,FALSE)/VLOOKUP($Y13,$C$20:$D$31,2,FALSE)</f>
        <v>12.016129032258064</v>
      </c>
      <c r="AA13" s="77">
        <f>HLOOKUP(AA$3,Data!$AL$4:$AR$19,ROW()-2,FALSE)/VLOOKUP($Y13,$C$20:$D$31,2,FALSE)</f>
        <v>11.338709677419354</v>
      </c>
      <c r="AB13" s="77">
        <f>HLOOKUP(AB$3,Data!$AL$4:$AR$19,ROW()-2,FALSE)/VLOOKUP($Y13,$C$20:$D$31,2,FALSE)</f>
        <v>10.564516129032258</v>
      </c>
      <c r="AC13" s="77">
        <f>HLOOKUP(AC$3,Data!$AL$4:$AR$19,ROW()-2,FALSE)/VLOOKUP($Y13,$C$20:$D$31,2,FALSE)</f>
        <v>12.338709677419354</v>
      </c>
    </row>
    <row r="14" spans="1:29" x14ac:dyDescent="0.25">
      <c r="A14" s="70">
        <v>9</v>
      </c>
      <c r="B14" s="71"/>
      <c r="C14" s="71">
        <v>8.8999999999999996E-2</v>
      </c>
      <c r="E14" s="70">
        <v>9</v>
      </c>
      <c r="F14" s="71"/>
      <c r="G14" s="71">
        <v>0</v>
      </c>
      <c r="I14" s="70">
        <v>9</v>
      </c>
      <c r="J14" s="71"/>
      <c r="K14" s="71">
        <v>0.47360000000000002</v>
      </c>
      <c r="M14" s="70">
        <v>9</v>
      </c>
      <c r="N14" s="71"/>
      <c r="O14" s="71">
        <v>0.25990000000000002</v>
      </c>
      <c r="Q14" s="3">
        <f t="shared" si="3"/>
        <v>42675</v>
      </c>
      <c r="R14">
        <f t="shared" si="0"/>
        <v>11</v>
      </c>
      <c r="S14" s="77">
        <f>HLOOKUP(S$3,Normals!$B$2:$H$14,$R14+1,FALSE)/VLOOKUP($R14,$C$20:$D$31,2,FALSE)</f>
        <v>21.8</v>
      </c>
      <c r="T14" s="77">
        <f>HLOOKUP(T$3,Normals!$B$2:$H$14,$R14+1,FALSE)/VLOOKUP($R14,$C$20:$D$31,2,FALSE)</f>
        <v>19.266666666666666</v>
      </c>
      <c r="U14" s="77">
        <f>HLOOKUP(U$3,Normals!$B$2:$H$14,$R14+1,FALSE)/VLOOKUP($R14,$C$20:$D$31,2,FALSE)</f>
        <v>23.133333333333333</v>
      </c>
      <c r="V14" s="77">
        <f>HLOOKUP(V$3,Normals!$B$2:$H$14,$R14+1,FALSE)/VLOOKUP($R14,$C$20:$D$31,2,FALSE)</f>
        <v>27.666666666666668</v>
      </c>
      <c r="X14" s="3">
        <f t="shared" si="1"/>
        <v>42675</v>
      </c>
      <c r="Y14">
        <f t="shared" si="2"/>
        <v>11</v>
      </c>
      <c r="Z14" s="77">
        <f>HLOOKUP(Z$3,Data!$AL$4:$AR$19,ROW()-2,FALSE)/VLOOKUP($Y14,$C$20:$D$31,2,FALSE)</f>
        <v>14.65</v>
      </c>
      <c r="AA14" s="77">
        <f>HLOOKUP(AA$3,Data!$AL$4:$AR$19,ROW()-2,FALSE)/VLOOKUP($Y14,$C$20:$D$31,2,FALSE)</f>
        <v>14.4</v>
      </c>
      <c r="AB14" s="77">
        <f>HLOOKUP(AB$3,Data!$AL$4:$AR$19,ROW()-2,FALSE)/VLOOKUP($Y14,$C$20:$D$31,2,FALSE)</f>
        <v>16.316666666666666</v>
      </c>
      <c r="AC14" s="77">
        <f>HLOOKUP(AC$3,Data!$AL$4:$AR$19,ROW()-2,FALSE)/VLOOKUP($Y14,$C$20:$D$31,2,FALSE)</f>
        <v>18.95</v>
      </c>
    </row>
    <row r="15" spans="1:29" x14ac:dyDescent="0.25">
      <c r="A15" s="70">
        <v>10</v>
      </c>
      <c r="B15" s="71"/>
      <c r="C15" s="71">
        <v>0.2319</v>
      </c>
      <c r="E15" s="70">
        <v>10</v>
      </c>
      <c r="F15" s="71"/>
      <c r="G15" s="71">
        <v>0.32429999999999998</v>
      </c>
      <c r="I15" s="70">
        <v>10</v>
      </c>
      <c r="J15" s="71"/>
      <c r="K15" s="71">
        <v>0.27510000000000001</v>
      </c>
      <c r="M15" s="70">
        <v>10</v>
      </c>
      <c r="N15" s="71"/>
      <c r="O15" s="71">
        <v>0.32540000000000002</v>
      </c>
      <c r="Q15" s="3">
        <f t="shared" si="3"/>
        <v>42705</v>
      </c>
      <c r="R15">
        <f t="shared" si="0"/>
        <v>12</v>
      </c>
      <c r="S15" s="77">
        <f>HLOOKUP(S$3,Normals!$B$2:$H$14,$R15+1,FALSE)/VLOOKUP($R15,$C$20:$D$31,2,FALSE)</f>
        <v>26.677419354838708</v>
      </c>
      <c r="T15" s="77">
        <f>HLOOKUP(T$3,Normals!$B$2:$H$14,$R15+1,FALSE)/VLOOKUP($R15,$C$20:$D$31,2,FALSE)</f>
        <v>23.548387096774192</v>
      </c>
      <c r="U15" s="77">
        <f>HLOOKUP(U$3,Normals!$B$2:$H$14,$R15+1,FALSE)/VLOOKUP($R15,$C$20:$D$31,2,FALSE)</f>
        <v>31.451612903225808</v>
      </c>
      <c r="V15" s="77">
        <f>HLOOKUP(V$3,Normals!$B$2:$H$14,$R15+1,FALSE)/VLOOKUP($R15,$C$20:$D$31,2,FALSE)</f>
        <v>36.387096774193552</v>
      </c>
      <c r="X15" s="3">
        <f t="shared" si="1"/>
        <v>42705</v>
      </c>
      <c r="Y15">
        <f t="shared" si="2"/>
        <v>12</v>
      </c>
      <c r="Z15" s="77">
        <f>HLOOKUP(Z$3,Data!$AL$4:$AR$19,ROW()-2,FALSE)/VLOOKUP($Y15,$C$20:$D$31,2,FALSE)</f>
        <v>30.822580645161292</v>
      </c>
      <c r="AA15" s="77">
        <f>HLOOKUP(AA$3,Data!$AL$4:$AR$19,ROW()-2,FALSE)/VLOOKUP($Y15,$C$20:$D$31,2,FALSE)</f>
        <v>26.274193548387096</v>
      </c>
      <c r="AB15" s="77">
        <f>HLOOKUP(AB$3,Data!$AL$4:$AR$19,ROW()-2,FALSE)/VLOOKUP($Y15,$C$20:$D$31,2,FALSE)</f>
        <v>35.41935483870968</v>
      </c>
      <c r="AC15" s="77">
        <f>HLOOKUP(AC$3,Data!$AL$4:$AR$19,ROW()-2,FALSE)/VLOOKUP($Y15,$C$20:$D$31,2,FALSE)</f>
        <v>39.258064516129032</v>
      </c>
    </row>
    <row r="16" spans="1:29" x14ac:dyDescent="0.25">
      <c r="A16" s="70">
        <v>11</v>
      </c>
      <c r="B16" s="71"/>
      <c r="C16" s="71">
        <v>0.38090000000000002</v>
      </c>
      <c r="E16" s="70">
        <v>11</v>
      </c>
      <c r="F16" s="71"/>
      <c r="G16" s="71">
        <v>0.52039999999999997</v>
      </c>
      <c r="I16" s="70">
        <v>11</v>
      </c>
      <c r="J16" s="71"/>
      <c r="K16" s="71">
        <v>0.38369999999999999</v>
      </c>
      <c r="M16" s="70">
        <v>11</v>
      </c>
      <c r="N16" s="71"/>
      <c r="O16" s="71">
        <v>0.40229999999999999</v>
      </c>
    </row>
    <row r="17" spans="1:29" x14ac:dyDescent="0.25">
      <c r="A17" s="70">
        <v>12</v>
      </c>
      <c r="B17" s="71"/>
      <c r="C17" s="71">
        <v>0.40560000000000002</v>
      </c>
      <c r="E17" s="70">
        <v>12</v>
      </c>
      <c r="F17" s="71"/>
      <c r="G17" s="71">
        <v>0.53910000000000002</v>
      </c>
      <c r="I17" s="70">
        <v>12</v>
      </c>
      <c r="J17" s="71"/>
      <c r="K17" s="71">
        <v>0.48470000000000002</v>
      </c>
      <c r="M17" s="70">
        <v>12</v>
      </c>
      <c r="N17" s="71"/>
      <c r="O17" s="71">
        <v>0.48309999999999997</v>
      </c>
      <c r="Q17" s="76" t="s">
        <v>46</v>
      </c>
      <c r="S17" s="93" t="s">
        <v>47</v>
      </c>
      <c r="T17" s="93"/>
      <c r="U17" s="93"/>
      <c r="V17" s="93"/>
      <c r="X17" s="76" t="s">
        <v>48</v>
      </c>
      <c r="Z17" s="93" t="s">
        <v>49</v>
      </c>
      <c r="AA17" s="93"/>
      <c r="AB17" s="93"/>
      <c r="AC17" s="93"/>
    </row>
    <row r="18" spans="1:29" x14ac:dyDescent="0.25">
      <c r="F18" s="71"/>
      <c r="S18" t="s">
        <v>29</v>
      </c>
      <c r="T18" t="s">
        <v>30</v>
      </c>
      <c r="U18" t="s">
        <v>31</v>
      </c>
      <c r="V18" t="s">
        <v>32</v>
      </c>
      <c r="Z18" t="s">
        <v>29</v>
      </c>
      <c r="AA18" t="s">
        <v>30</v>
      </c>
      <c r="AB18" t="s">
        <v>31</v>
      </c>
      <c r="AC18" t="s">
        <v>32</v>
      </c>
    </row>
    <row r="19" spans="1:29" x14ac:dyDescent="0.25">
      <c r="D19" t="s">
        <v>40</v>
      </c>
      <c r="Q19" s="3">
        <f>Q4</f>
        <v>42370</v>
      </c>
      <c r="R19">
        <f>MONTH(Q19)</f>
        <v>1</v>
      </c>
      <c r="S19" s="78">
        <f>(S4-Z4)*VLOOKUP($R19,$A$6:$C$17,3,FALSE)</f>
        <v>0.80716774193548424</v>
      </c>
      <c r="T19" s="78">
        <f>(T4-AA4)*VLOOKUP($R19,$E$6:$G$17,3,FALSE)</f>
        <v>0.81836935483870876</v>
      </c>
      <c r="U19" s="78">
        <f>(U4-AB4)*VLOOKUP($R19,$I$6:$K$17,3,FALSE)</f>
        <v>0.4266580645161287</v>
      </c>
      <c r="V19" s="78">
        <f>(V4-AC4)*VLOOKUP($R19,$M$6:$O$17,3,FALSE)</f>
        <v>1.5843451612903219</v>
      </c>
      <c r="X19" s="3">
        <f>Q4</f>
        <v>42370</v>
      </c>
      <c r="Y19">
        <f>MONTH(X19)</f>
        <v>1</v>
      </c>
      <c r="Z19" s="62">
        <f>HLOOKUP(Z$18,Data!$AC$4:$AI$19,ROW()-17,FALSE)*VLOOKUP($Y19,$C$20:$D$31,2,FALSE)*S19</f>
        <v>244291.7386000001</v>
      </c>
      <c r="AA19" s="62">
        <f>HLOOKUP(AA$18,Data!$AC$4:$AI$19,ROW()-17,FALSE)*VLOOKUP($Y19,$C$20:$D$31,2,FALSE)*T19</f>
        <v>123777.54654999987</v>
      </c>
      <c r="AB19" s="62">
        <f>HLOOKUP(AB$18,Data!$AC$4:$AI$19,ROW()-17,FALSE)*VLOOKUP($Y19,$C$20:$D$31,2,FALSE)*U19</f>
        <v>70298.315999999948</v>
      </c>
      <c r="AC19" s="62">
        <f>HLOOKUP(AC$18,Data!$AC$4:$AI$19,ROW()-17,FALSE)*VLOOKUP($Y19,$C$20:$D$31,2,FALSE)*V19</f>
        <v>278676.80779999989</v>
      </c>
    </row>
    <row r="20" spans="1:29" x14ac:dyDescent="0.25">
      <c r="A20" s="3">
        <f>Data!A1</f>
        <v>42370</v>
      </c>
      <c r="C20">
        <f>MONTH(A20)</f>
        <v>1</v>
      </c>
      <c r="D20">
        <f>A21-A20</f>
        <v>31</v>
      </c>
      <c r="Q20" s="3">
        <f t="shared" ref="Q20:Q30" si="4">Q5</f>
        <v>42401</v>
      </c>
      <c r="R20">
        <f t="shared" ref="R20:R30" si="5">MONTH(Q20)</f>
        <v>2</v>
      </c>
      <c r="S20" s="78">
        <f t="shared" ref="S20:S30" si="6">(S5-Z5)*VLOOKUP($R20,$A$6:$C$17,3,FALSE)</f>
        <v>1.5867586206896545</v>
      </c>
      <c r="T20" s="78">
        <f t="shared" ref="T20:T30" si="7">(T5-AA5)*VLOOKUP($R20,$E$6:$G$17,3,FALSE)</f>
        <v>1.6767000000000007</v>
      </c>
      <c r="U20" s="78">
        <f t="shared" ref="U20:U30" si="8">(U5-AB5)*VLOOKUP($R20,$I$6:$K$17,3,FALSE)</f>
        <v>2.4221689655172414</v>
      </c>
      <c r="V20" s="78">
        <f t="shared" ref="V20:V30" si="9">(V5-AC5)*VLOOKUP($R20,$M$6:$O$17,3,FALSE)</f>
        <v>3.0258775862068981</v>
      </c>
      <c r="X20" s="3">
        <f t="shared" ref="X20:X30" si="10">Q5</f>
        <v>42401</v>
      </c>
      <c r="Y20">
        <f t="shared" ref="Y20:Y30" si="11">MONTH(X20)</f>
        <v>2</v>
      </c>
      <c r="Z20" s="62">
        <f>HLOOKUP(Z$18,Data!$AC$4:$AI$19,ROW()-17,FALSE)*VLOOKUP($Y20,$C$20:$D$31,2,FALSE)*S20</f>
        <v>449300.22399999981</v>
      </c>
      <c r="AA20" s="62">
        <f>HLOOKUP(AA$18,Data!$AC$4:$AI$19,ROW()-17,FALSE)*VLOOKUP($Y20,$C$20:$D$31,2,FALSE)*T20</f>
        <v>237043.46250000011</v>
      </c>
      <c r="AB20" s="62">
        <f>HLOOKUP(AB$18,Data!$AC$4:$AI$19,ROW()-17,FALSE)*VLOOKUP($Y20,$C$20:$D$31,2,FALSE)*U20</f>
        <v>372919.55609999999</v>
      </c>
      <c r="AC20" s="62">
        <f>HLOOKUP(AC$18,Data!$AC$4:$AI$19,ROW()-17,FALSE)*VLOOKUP($Y20,$C$20:$D$31,2,FALSE)*V20</f>
        <v>497106.29925000027</v>
      </c>
    </row>
    <row r="21" spans="1:29" x14ac:dyDescent="0.25">
      <c r="A21" s="3">
        <f>DATE(YEAR(A20),MONTH(A20)+1,1)</f>
        <v>42401</v>
      </c>
      <c r="C21">
        <f t="shared" ref="C21:C31" si="12">MONTH(A21)</f>
        <v>2</v>
      </c>
      <c r="D21">
        <f>A22-A21</f>
        <v>29</v>
      </c>
      <c r="Q21" s="3">
        <f t="shared" si="4"/>
        <v>42430</v>
      </c>
      <c r="R21">
        <f t="shared" si="5"/>
        <v>3</v>
      </c>
      <c r="S21" s="78">
        <f t="shared" si="6"/>
        <v>1.3490516129032253</v>
      </c>
      <c r="T21" s="78">
        <f t="shared" si="7"/>
        <v>0.67034999999999989</v>
      </c>
      <c r="U21" s="78">
        <f t="shared" si="8"/>
        <v>0.85604032258064533</v>
      </c>
      <c r="V21" s="78">
        <f t="shared" si="9"/>
        <v>1.4988387096774187</v>
      </c>
      <c r="X21" s="3">
        <f t="shared" si="10"/>
        <v>42430</v>
      </c>
      <c r="Y21">
        <f t="shared" si="11"/>
        <v>3</v>
      </c>
      <c r="Z21" s="62">
        <f>HLOOKUP(Z$18,Data!$AC$4:$AI$19,ROW()-17,FALSE)*VLOOKUP($Y21,$C$20:$D$31,2,FALSE)*S21</f>
        <v>408461.80019999982</v>
      </c>
      <c r="AA21" s="62">
        <f>HLOOKUP(AA$18,Data!$AC$4:$AI$19,ROW()-17,FALSE)*VLOOKUP($Y21,$C$20:$D$31,2,FALSE)*T21</f>
        <v>101306.64374999999</v>
      </c>
      <c r="AB21" s="62">
        <f>HLOOKUP(AB$18,Data!$AC$4:$AI$19,ROW()-17,FALSE)*VLOOKUP($Y21,$C$20:$D$31,2,FALSE)*U21</f>
        <v>140541.27600000004</v>
      </c>
      <c r="AC21" s="62">
        <f>HLOOKUP(AC$18,Data!$AC$4:$AI$19,ROW()-17,FALSE)*VLOOKUP($Y21,$C$20:$D$31,2,FALSE)*V21</f>
        <v>262103.42399999988</v>
      </c>
    </row>
    <row r="22" spans="1:29" x14ac:dyDescent="0.25">
      <c r="A22" s="3">
        <f t="shared" ref="A22:A32" si="13">DATE(YEAR(A21),MONTH(A21)+1,1)</f>
        <v>42430</v>
      </c>
      <c r="C22">
        <f t="shared" si="12"/>
        <v>3</v>
      </c>
      <c r="D22">
        <f t="shared" ref="D22:D31" si="14">A23-A22</f>
        <v>31</v>
      </c>
      <c r="Q22" s="3">
        <f t="shared" si="4"/>
        <v>42461</v>
      </c>
      <c r="R22">
        <f t="shared" si="5"/>
        <v>4</v>
      </c>
      <c r="S22" s="78">
        <f t="shared" si="6"/>
        <v>1.1122200000000002</v>
      </c>
      <c r="T22" s="78">
        <f t="shared" si="7"/>
        <v>1.182545</v>
      </c>
      <c r="U22" s="78">
        <f t="shared" si="8"/>
        <v>1.3258966666666672</v>
      </c>
      <c r="V22" s="78">
        <f t="shared" si="9"/>
        <v>2.5226550000000003</v>
      </c>
      <c r="X22" s="3">
        <f t="shared" si="10"/>
        <v>42461</v>
      </c>
      <c r="Y22">
        <f t="shared" si="11"/>
        <v>4</v>
      </c>
      <c r="Z22" s="62">
        <f>HLOOKUP(Z$18,Data!$AC$4:$AI$19,ROW()-17,FALSE)*VLOOKUP($Y22,$C$20:$D$31,2,FALSE)*S22</f>
        <v>325557.91620000004</v>
      </c>
      <c r="AA22" s="62">
        <f>HLOOKUP(AA$18,Data!$AC$4:$AI$19,ROW()-17,FALSE)*VLOOKUP($Y22,$C$20:$D$31,2,FALSE)*T22</f>
        <v>172840.77719999998</v>
      </c>
      <c r="AB22" s="62">
        <f>HLOOKUP(AB$18,Data!$AC$4:$AI$19,ROW()-17,FALSE)*VLOOKUP($Y22,$C$20:$D$31,2,FALSE)*U22</f>
        <v>210061.80890000009</v>
      </c>
      <c r="AC22" s="62">
        <f>HLOOKUP(AC$18,Data!$AC$4:$AI$19,ROW()-17,FALSE)*VLOOKUP($Y22,$C$20:$D$31,2,FALSE)*V22</f>
        <v>424335.79755000008</v>
      </c>
    </row>
    <row r="23" spans="1:29" x14ac:dyDescent="0.25">
      <c r="A23" s="3">
        <f t="shared" si="13"/>
        <v>42461</v>
      </c>
      <c r="C23">
        <f t="shared" si="12"/>
        <v>4</v>
      </c>
      <c r="D23">
        <f t="shared" si="14"/>
        <v>30</v>
      </c>
      <c r="Q23" s="3">
        <f t="shared" si="4"/>
        <v>42491</v>
      </c>
      <c r="R23">
        <f t="shared" si="5"/>
        <v>5</v>
      </c>
      <c r="S23" s="78">
        <f t="shared" si="6"/>
        <v>0.39314032258064513</v>
      </c>
      <c r="T23" s="78">
        <f t="shared" si="7"/>
        <v>0.28748225806451616</v>
      </c>
      <c r="U23" s="78">
        <f t="shared" si="8"/>
        <v>0.3265548387096775</v>
      </c>
      <c r="V23" s="78">
        <f t="shared" si="9"/>
        <v>0.98761290322580653</v>
      </c>
      <c r="X23" s="3">
        <f t="shared" si="10"/>
        <v>42491</v>
      </c>
      <c r="Y23">
        <f t="shared" si="11"/>
        <v>5</v>
      </c>
      <c r="Z23" s="62">
        <f>HLOOKUP(Z$18,Data!$AC$4:$AI$19,ROW()-17,FALSE)*VLOOKUP($Y23,$C$20:$D$31,2,FALSE)*S23</f>
        <v>118595.10285</v>
      </c>
      <c r="AA23" s="62">
        <f>HLOOKUP(AA$18,Data!$AC$4:$AI$19,ROW()-17,FALSE)*VLOOKUP($Y23,$C$20:$D$31,2,FALSE)*T23</f>
        <v>43320.988950000006</v>
      </c>
      <c r="AB23" s="62">
        <f>HLOOKUP(AB$18,Data!$AC$4:$AI$19,ROW()-17,FALSE)*VLOOKUP($Y23,$C$20:$D$31,2,FALSE)*U23</f>
        <v>53389.75680000001</v>
      </c>
      <c r="AC23" s="62">
        <f>HLOOKUP(AC$18,Data!$AC$4:$AI$19,ROW()-17,FALSE)*VLOOKUP($Y23,$C$20:$D$31,2,FALSE)*V23</f>
        <v>170776.04800000001</v>
      </c>
    </row>
    <row r="24" spans="1:29" x14ac:dyDescent="0.25">
      <c r="A24" s="3">
        <f t="shared" si="13"/>
        <v>42491</v>
      </c>
      <c r="C24">
        <f t="shared" si="12"/>
        <v>5</v>
      </c>
      <c r="D24">
        <f t="shared" si="14"/>
        <v>31</v>
      </c>
      <c r="Q24" s="3">
        <f t="shared" si="4"/>
        <v>42522</v>
      </c>
      <c r="R24">
        <f t="shared" si="5"/>
        <v>6</v>
      </c>
      <c r="S24" s="78">
        <f t="shared" si="6"/>
        <v>0</v>
      </c>
      <c r="T24" s="78">
        <f t="shared" si="7"/>
        <v>0</v>
      </c>
      <c r="U24" s="78">
        <f t="shared" si="8"/>
        <v>0</v>
      </c>
      <c r="V24" s="78">
        <f t="shared" si="9"/>
        <v>0</v>
      </c>
      <c r="X24" s="3">
        <f t="shared" si="10"/>
        <v>42522</v>
      </c>
      <c r="Y24">
        <f t="shared" si="11"/>
        <v>6</v>
      </c>
      <c r="Z24" s="62">
        <f>HLOOKUP(Z$18,Data!$AC$4:$AI$19,ROW()-17,FALSE)*VLOOKUP($Y24,$C$20:$D$31,2,FALSE)*S24</f>
        <v>0</v>
      </c>
      <c r="AA24" s="62">
        <f>HLOOKUP(AA$18,Data!$AC$4:$AI$19,ROW()-17,FALSE)*VLOOKUP($Y24,$C$20:$D$31,2,FALSE)*T24</f>
        <v>0</v>
      </c>
      <c r="AB24" s="62">
        <f>HLOOKUP(AB$18,Data!$AC$4:$AI$19,ROW()-17,FALSE)*VLOOKUP($Y24,$C$20:$D$31,2,FALSE)*U24</f>
        <v>0</v>
      </c>
      <c r="AC24" s="62">
        <f>HLOOKUP(AC$18,Data!$AC$4:$AI$19,ROW()-17,FALSE)*VLOOKUP($Y24,$C$20:$D$31,2,FALSE)*V24</f>
        <v>0</v>
      </c>
    </row>
    <row r="25" spans="1:29" x14ac:dyDescent="0.25">
      <c r="A25" s="3">
        <f t="shared" si="13"/>
        <v>42522</v>
      </c>
      <c r="C25">
        <f t="shared" si="12"/>
        <v>6</v>
      </c>
      <c r="D25">
        <f t="shared" si="14"/>
        <v>30</v>
      </c>
      <c r="Q25" s="3">
        <f t="shared" si="4"/>
        <v>42552</v>
      </c>
      <c r="R25">
        <f t="shared" si="5"/>
        <v>7</v>
      </c>
      <c r="S25" s="78">
        <f t="shared" si="6"/>
        <v>0</v>
      </c>
      <c r="T25" s="78">
        <f t="shared" si="7"/>
        <v>0</v>
      </c>
      <c r="U25" s="78">
        <f t="shared" si="8"/>
        <v>0</v>
      </c>
      <c r="V25" s="78">
        <f t="shared" si="9"/>
        <v>0</v>
      </c>
      <c r="X25" s="3">
        <f t="shared" si="10"/>
        <v>42552</v>
      </c>
      <c r="Y25">
        <f t="shared" si="11"/>
        <v>7</v>
      </c>
      <c r="Z25" s="62">
        <f>HLOOKUP(Z$18,Data!$AC$4:$AI$19,ROW()-17,FALSE)*VLOOKUP($Y25,$C$20:$D$31,2,FALSE)*S25</f>
        <v>0</v>
      </c>
      <c r="AA25" s="62">
        <f>HLOOKUP(AA$18,Data!$AC$4:$AI$19,ROW()-17,FALSE)*VLOOKUP($Y25,$C$20:$D$31,2,FALSE)*T25</f>
        <v>0</v>
      </c>
      <c r="AB25" s="62">
        <f>HLOOKUP(AB$18,Data!$AC$4:$AI$19,ROW()-17,FALSE)*VLOOKUP($Y25,$C$20:$D$31,2,FALSE)*U25</f>
        <v>0</v>
      </c>
      <c r="AC25" s="62">
        <f>HLOOKUP(AC$18,Data!$AC$4:$AI$19,ROW()-17,FALSE)*VLOOKUP($Y25,$C$20:$D$31,2,FALSE)*V25</f>
        <v>0</v>
      </c>
    </row>
    <row r="26" spans="1:29" x14ac:dyDescent="0.25">
      <c r="A26" s="3">
        <f t="shared" si="13"/>
        <v>42552</v>
      </c>
      <c r="C26">
        <f t="shared" si="12"/>
        <v>7</v>
      </c>
      <c r="D26">
        <f t="shared" si="14"/>
        <v>31</v>
      </c>
      <c r="Q26" s="3">
        <f t="shared" si="4"/>
        <v>42583</v>
      </c>
      <c r="R26">
        <f t="shared" si="5"/>
        <v>8</v>
      </c>
      <c r="S26" s="78">
        <f t="shared" si="6"/>
        <v>0</v>
      </c>
      <c r="T26" s="78">
        <f t="shared" si="7"/>
        <v>0</v>
      </c>
      <c r="U26" s="78">
        <f t="shared" si="8"/>
        <v>0</v>
      </c>
      <c r="V26" s="78">
        <f t="shared" si="9"/>
        <v>0</v>
      </c>
      <c r="X26" s="3">
        <f t="shared" si="10"/>
        <v>42583</v>
      </c>
      <c r="Y26">
        <f t="shared" si="11"/>
        <v>8</v>
      </c>
      <c r="Z26" s="62">
        <f>HLOOKUP(Z$18,Data!$AC$4:$AI$19,ROW()-17,FALSE)*VLOOKUP($Y26,$C$20:$D$31,2,FALSE)*S26</f>
        <v>0</v>
      </c>
      <c r="AA26" s="62">
        <f>HLOOKUP(AA$18,Data!$AC$4:$AI$19,ROW()-17,FALSE)*VLOOKUP($Y26,$C$20:$D$31,2,FALSE)*T26</f>
        <v>0</v>
      </c>
      <c r="AB26" s="62">
        <f>HLOOKUP(AB$18,Data!$AC$4:$AI$19,ROW()-17,FALSE)*VLOOKUP($Y26,$C$20:$D$31,2,FALSE)*U26</f>
        <v>0</v>
      </c>
      <c r="AC26" s="62">
        <f>HLOOKUP(AC$18,Data!$AC$4:$AI$19,ROW()-17,FALSE)*VLOOKUP($Y26,$C$20:$D$31,2,FALSE)*V26</f>
        <v>0</v>
      </c>
    </row>
    <row r="27" spans="1:29" x14ac:dyDescent="0.25">
      <c r="A27" s="3">
        <f t="shared" si="13"/>
        <v>42583</v>
      </c>
      <c r="C27">
        <f t="shared" si="12"/>
        <v>8</v>
      </c>
      <c r="D27">
        <f t="shared" si="14"/>
        <v>31</v>
      </c>
      <c r="Q27" s="3">
        <f t="shared" si="4"/>
        <v>42614</v>
      </c>
      <c r="R27">
        <f t="shared" si="5"/>
        <v>9</v>
      </c>
      <c r="S27" s="78">
        <f t="shared" si="6"/>
        <v>7.2683333333333308E-2</v>
      </c>
      <c r="T27" s="78">
        <f t="shared" si="7"/>
        <v>0</v>
      </c>
      <c r="U27" s="78">
        <f t="shared" si="8"/>
        <v>8.6826666666666788E-2</v>
      </c>
      <c r="V27" s="78">
        <f t="shared" si="9"/>
        <v>0.61942833333333325</v>
      </c>
      <c r="X27" s="3">
        <f t="shared" si="10"/>
        <v>42614</v>
      </c>
      <c r="Y27">
        <f t="shared" si="11"/>
        <v>9</v>
      </c>
      <c r="Z27" s="62">
        <f>HLOOKUP(Z$18,Data!$AC$4:$AI$19,ROW()-17,FALSE)*VLOOKUP($Y27,$C$20:$D$31,2,FALSE)*S27</f>
        <v>21220.625999999993</v>
      </c>
      <c r="AA27" s="62">
        <f>HLOOKUP(AA$18,Data!$AC$4:$AI$19,ROW()-17,FALSE)*VLOOKUP($Y27,$C$20:$D$31,2,FALSE)*T27</f>
        <v>0</v>
      </c>
      <c r="AB27" s="62">
        <f>HLOOKUP(AB$18,Data!$AC$4:$AI$19,ROW()-17,FALSE)*VLOOKUP($Y27,$C$20:$D$31,2,FALSE)*U27</f>
        <v>13677.80480000002</v>
      </c>
      <c r="AC27" s="62">
        <f>HLOOKUP(AC$18,Data!$AC$4:$AI$19,ROW()-17,FALSE)*VLOOKUP($Y27,$C$20:$D$31,2,FALSE)*V27</f>
        <v>102930.40614999998</v>
      </c>
    </row>
    <row r="28" spans="1:29" x14ac:dyDescent="0.25">
      <c r="A28" s="3">
        <f t="shared" si="13"/>
        <v>42614</v>
      </c>
      <c r="C28">
        <f t="shared" si="12"/>
        <v>9</v>
      </c>
      <c r="D28">
        <f t="shared" si="14"/>
        <v>30</v>
      </c>
      <c r="Q28" s="3">
        <f t="shared" si="4"/>
        <v>42644</v>
      </c>
      <c r="R28">
        <f t="shared" si="5"/>
        <v>10</v>
      </c>
      <c r="S28" s="78">
        <f t="shared" si="6"/>
        <v>0.73684354838709687</v>
      </c>
      <c r="T28" s="78">
        <f t="shared" si="7"/>
        <v>0.45506612903225835</v>
      </c>
      <c r="U28" s="78">
        <f t="shared" si="8"/>
        <v>0.35053064516129012</v>
      </c>
      <c r="V28" s="78">
        <f t="shared" si="9"/>
        <v>1.1913838709677422</v>
      </c>
      <c r="X28" s="3">
        <f t="shared" si="10"/>
        <v>42644</v>
      </c>
      <c r="Y28">
        <f t="shared" si="11"/>
        <v>10</v>
      </c>
      <c r="Z28" s="62">
        <f>HLOOKUP(Z$18,Data!$AC$4:$AI$19,ROW()-17,FALSE)*VLOOKUP($Y28,$C$20:$D$31,2,FALSE)*S28</f>
        <v>223716.01710000003</v>
      </c>
      <c r="AA28" s="62">
        <f>HLOOKUP(AA$18,Data!$AC$4:$AI$19,ROW()-17,FALSE)*VLOOKUP($Y28,$C$20:$D$31,2,FALSE)*T28</f>
        <v>68532.048900000038</v>
      </c>
      <c r="AB28" s="62">
        <f>HLOOKUP(AB$18,Data!$AC$4:$AI$19,ROW()-17,FALSE)*VLOOKUP($Y28,$C$20:$D$31,2,FALSE)*U28</f>
        <v>57592.184999999969</v>
      </c>
      <c r="AC28" s="62">
        <f>HLOOKUP(AC$18,Data!$AC$4:$AI$19,ROW()-17,FALSE)*VLOOKUP($Y28,$C$20:$D$31,2,FALSE)*V28</f>
        <v>206639.57550000006</v>
      </c>
    </row>
    <row r="29" spans="1:29" x14ac:dyDescent="0.25">
      <c r="A29" s="3">
        <f t="shared" si="13"/>
        <v>42644</v>
      </c>
      <c r="C29">
        <f t="shared" si="12"/>
        <v>10</v>
      </c>
      <c r="D29">
        <f t="shared" si="14"/>
        <v>31</v>
      </c>
      <c r="Q29" s="3">
        <f t="shared" si="4"/>
        <v>42675</v>
      </c>
      <c r="R29">
        <f t="shared" si="5"/>
        <v>11</v>
      </c>
      <c r="S29" s="78">
        <f t="shared" si="6"/>
        <v>2.7234350000000003</v>
      </c>
      <c r="T29" s="78">
        <f t="shared" si="7"/>
        <v>2.5326133333333325</v>
      </c>
      <c r="U29" s="78">
        <f t="shared" si="8"/>
        <v>2.6155549999999996</v>
      </c>
      <c r="V29" s="78">
        <f t="shared" si="9"/>
        <v>3.5067150000000007</v>
      </c>
      <c r="X29" s="3">
        <f t="shared" si="10"/>
        <v>42675</v>
      </c>
      <c r="Y29">
        <f t="shared" si="11"/>
        <v>11</v>
      </c>
      <c r="Z29" s="62">
        <f>HLOOKUP(Z$18,Data!$AC$4:$AI$19,ROW()-17,FALSE)*VLOOKUP($Y29,$C$20:$D$31,2,FALSE)*S29</f>
        <v>802405.65405000013</v>
      </c>
      <c r="AA29" s="62">
        <f>HLOOKUP(AA$18,Data!$AC$4:$AI$19,ROW()-17,FALSE)*VLOOKUP($Y29,$C$20:$D$31,2,FALSE)*T29</f>
        <v>370850.57039999985</v>
      </c>
      <c r="AB29" s="62">
        <f>HLOOKUP(AB$18,Data!$AC$4:$AI$19,ROW()-17,FALSE)*VLOOKUP($Y29,$C$20:$D$31,2,FALSE)*U29</f>
        <v>419325.77759999991</v>
      </c>
      <c r="AC29" s="62">
        <f>HLOOKUP(AC$18,Data!$AC$4:$AI$19,ROW()-17,FALSE)*VLOOKUP($Y29,$C$20:$D$31,2,FALSE)*V29</f>
        <v>593441.37945000012</v>
      </c>
    </row>
    <row r="30" spans="1:29" x14ac:dyDescent="0.25">
      <c r="A30" s="3">
        <f t="shared" si="13"/>
        <v>42675</v>
      </c>
      <c r="C30">
        <f t="shared" si="12"/>
        <v>11</v>
      </c>
      <c r="D30">
        <f t="shared" si="14"/>
        <v>30</v>
      </c>
      <c r="Q30" s="3">
        <f t="shared" si="4"/>
        <v>42705</v>
      </c>
      <c r="R30">
        <f t="shared" si="5"/>
        <v>12</v>
      </c>
      <c r="S30" s="78">
        <f t="shared" si="6"/>
        <v>-1.6812774193548399</v>
      </c>
      <c r="T30" s="78">
        <f t="shared" si="7"/>
        <v>-1.4694822580645166</v>
      </c>
      <c r="U30" s="78">
        <f t="shared" si="8"/>
        <v>-1.9231645161290327</v>
      </c>
      <c r="V30" s="78">
        <f t="shared" si="9"/>
        <v>-1.3869645161290305</v>
      </c>
      <c r="X30" s="3">
        <f t="shared" si="10"/>
        <v>42705</v>
      </c>
      <c r="Y30">
        <f t="shared" si="11"/>
        <v>12</v>
      </c>
      <c r="Z30" s="62">
        <f>HLOOKUP(Z$18,Data!$AC$4:$AI$19,ROW()-17,FALSE)*VLOOKUP($Y30,$C$20:$D$31,2,FALSE)*S30</f>
        <v>-515931.92040000035</v>
      </c>
      <c r="AA30" s="62">
        <f>HLOOKUP(AA$18,Data!$AC$4:$AI$19,ROW()-17,FALSE)*VLOOKUP($Y30,$C$20:$D$31,2,FALSE)*T30</f>
        <v>-224307.64980000007</v>
      </c>
      <c r="AB30" s="62">
        <f>HLOOKUP(AB$18,Data!$AC$4:$AI$19,ROW()-17,FALSE)*VLOOKUP($Y30,$C$20:$D$31,2,FALSE)*U30</f>
        <v>-320864.61420000007</v>
      </c>
      <c r="AC30" s="62">
        <f>HLOOKUP(AC$18,Data!$AC$4:$AI$19,ROW()-17,FALSE)*VLOOKUP($Y30,$C$20:$D$31,2,FALSE)*V30</f>
        <v>-244646.67099999968</v>
      </c>
    </row>
    <row r="31" spans="1:29" x14ac:dyDescent="0.25">
      <c r="A31" s="3">
        <f t="shared" si="13"/>
        <v>42705</v>
      </c>
      <c r="C31">
        <f t="shared" si="12"/>
        <v>12</v>
      </c>
      <c r="D31">
        <f t="shared" si="14"/>
        <v>31</v>
      </c>
    </row>
    <row r="32" spans="1:29" x14ac:dyDescent="0.25">
      <c r="A32" s="3">
        <f t="shared" si="13"/>
        <v>42736</v>
      </c>
    </row>
  </sheetData>
  <mergeCells count="20">
    <mergeCell ref="A1:C1"/>
    <mergeCell ref="E1:G1"/>
    <mergeCell ref="I1:K1"/>
    <mergeCell ref="M1:O1"/>
    <mergeCell ref="A2:A3"/>
    <mergeCell ref="B2:B3"/>
    <mergeCell ref="C2:C3"/>
    <mergeCell ref="E2:E3"/>
    <mergeCell ref="F2:F3"/>
    <mergeCell ref="G2:G3"/>
    <mergeCell ref="I2:I3"/>
    <mergeCell ref="J2:J3"/>
    <mergeCell ref="K2:K3"/>
    <mergeCell ref="M2:M3"/>
    <mergeCell ref="N2:N3"/>
    <mergeCell ref="S2:V2"/>
    <mergeCell ref="Z2:AC2"/>
    <mergeCell ref="S17:V17"/>
    <mergeCell ref="Z17:AC17"/>
    <mergeCell ref="O2:O3"/>
  </mergeCells>
  <printOptions horizontalCentered="1"/>
  <pageMargins left="0.7" right="0.7" top="0.75" bottom="0.75" header="0.3" footer="0.3"/>
  <pageSetup scale="85" orientation="landscape" r:id="rId1"/>
  <headerFooter scaleWithDoc="0" alignWithMargins="0">
    <oddHeader>&amp;RExhibit No. ___ (BR-4)
504-65
Page &amp;P of  &amp;N</oddHeader>
  </headerFooter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59999389629810485"/>
  </sheetPr>
  <dimension ref="A2:AC33"/>
  <sheetViews>
    <sheetView tabSelected="1" view="pageBreakPreview" zoomScale="60" zoomScaleNormal="100" workbookViewId="0">
      <selection activeCell="M1" sqref="A1:XFD1"/>
    </sheetView>
  </sheetViews>
  <sheetFormatPr defaultRowHeight="15" x14ac:dyDescent="0.25"/>
  <cols>
    <col min="1" max="1" width="9.7109375" bestFit="1" customWidth="1"/>
    <col min="2" max="2" width="3.85546875" customWidth="1"/>
    <col min="3" max="3" width="8.7109375" bestFit="1" customWidth="1"/>
    <col min="4" max="4" width="13.7109375" bestFit="1" customWidth="1"/>
    <col min="6" max="6" width="3.85546875" bestFit="1" customWidth="1"/>
    <col min="7" max="7" width="8.7109375" bestFit="1" customWidth="1"/>
    <col min="8" max="8" width="5.42578125" customWidth="1"/>
    <col min="10" max="10" width="3.85546875" customWidth="1"/>
    <col min="11" max="11" width="8.7109375" bestFit="1" customWidth="1"/>
    <col min="14" max="14" width="3.85546875" customWidth="1"/>
    <col min="15" max="15" width="8.7109375" bestFit="1" customWidth="1"/>
    <col min="17" max="17" width="9.7109375" bestFit="1" customWidth="1"/>
    <col min="18" max="18" width="3" bestFit="1" customWidth="1"/>
    <col min="19" max="21" width="15.28515625" customWidth="1"/>
    <col min="22" max="22" width="11.7109375" customWidth="1"/>
    <col min="23" max="23" width="2.85546875" customWidth="1"/>
    <col min="24" max="24" width="9.7109375" bestFit="1" customWidth="1"/>
    <col min="25" max="25" width="3" bestFit="1" customWidth="1"/>
    <col min="26" max="26" width="10.5703125" bestFit="1" customWidth="1"/>
    <col min="27" max="29" width="11.28515625" bestFit="1" customWidth="1"/>
  </cols>
  <sheetData>
    <row r="2" spans="1:29" x14ac:dyDescent="0.25">
      <c r="A2" s="94" t="s">
        <v>29</v>
      </c>
      <c r="B2" s="94"/>
      <c r="C2" s="94"/>
      <c r="E2" s="94" t="s">
        <v>30</v>
      </c>
      <c r="F2" s="94"/>
      <c r="G2" s="94"/>
      <c r="I2" s="94" t="s">
        <v>31</v>
      </c>
      <c r="J2" s="94"/>
      <c r="K2" s="94"/>
      <c r="M2" s="94" t="s">
        <v>32</v>
      </c>
      <c r="N2" s="94"/>
      <c r="O2" s="94"/>
    </row>
    <row r="3" spans="1:29" x14ac:dyDescent="0.25">
      <c r="A3" s="95" t="s">
        <v>37</v>
      </c>
      <c r="B3" s="96"/>
      <c r="C3" s="96" t="s">
        <v>38</v>
      </c>
      <c r="E3" s="95" t="s">
        <v>37</v>
      </c>
      <c r="F3" s="96"/>
      <c r="G3" s="96" t="s">
        <v>38</v>
      </c>
      <c r="I3" s="95" t="s">
        <v>37</v>
      </c>
      <c r="J3" s="96"/>
      <c r="K3" s="96" t="s">
        <v>38</v>
      </c>
      <c r="M3" s="95" t="s">
        <v>37</v>
      </c>
      <c r="N3" s="96"/>
      <c r="O3" s="96" t="s">
        <v>38</v>
      </c>
      <c r="Q3" s="76" t="s">
        <v>42</v>
      </c>
      <c r="S3" s="93" t="s">
        <v>43</v>
      </c>
      <c r="T3" s="93"/>
      <c r="U3" s="93"/>
      <c r="V3" s="93"/>
      <c r="X3" s="76" t="s">
        <v>44</v>
      </c>
      <c r="Z3" s="93" t="s">
        <v>45</v>
      </c>
      <c r="AA3" s="93"/>
      <c r="AB3" s="93"/>
      <c r="AC3" s="93"/>
    </row>
    <row r="4" spans="1:29" x14ac:dyDescent="0.25">
      <c r="A4" s="95"/>
      <c r="B4" s="96"/>
      <c r="C4" s="96"/>
      <c r="E4" s="95"/>
      <c r="F4" s="96"/>
      <c r="G4" s="96"/>
      <c r="I4" s="95"/>
      <c r="J4" s="96"/>
      <c r="K4" s="96"/>
      <c r="M4" s="95"/>
      <c r="N4" s="96"/>
      <c r="O4" s="96"/>
      <c r="S4" t="s">
        <v>29</v>
      </c>
      <c r="T4" t="s">
        <v>30</v>
      </c>
      <c r="U4" t="s">
        <v>31</v>
      </c>
      <c r="V4" t="s">
        <v>32</v>
      </c>
      <c r="Z4" t="s">
        <v>29</v>
      </c>
      <c r="AA4" t="s">
        <v>30</v>
      </c>
      <c r="AB4" t="s">
        <v>31</v>
      </c>
      <c r="AC4" t="s">
        <v>32</v>
      </c>
    </row>
    <row r="5" spans="1:29" x14ac:dyDescent="0.25">
      <c r="A5" s="70" t="s">
        <v>39</v>
      </c>
      <c r="B5" s="71"/>
      <c r="C5" s="71">
        <v>3.8710399999999998</v>
      </c>
      <c r="E5" s="70" t="s">
        <v>39</v>
      </c>
      <c r="F5" s="71"/>
      <c r="G5" s="71">
        <v>5.5671099999999996</v>
      </c>
      <c r="I5" s="70" t="s">
        <v>39</v>
      </c>
      <c r="J5" s="71"/>
      <c r="K5" s="71">
        <v>5.1788400000000001</v>
      </c>
      <c r="M5" s="70" t="s">
        <v>39</v>
      </c>
      <c r="N5" s="71"/>
      <c r="O5" s="71">
        <v>2.9775499999999999</v>
      </c>
      <c r="Q5" s="3">
        <f>Data!A1</f>
        <v>42370</v>
      </c>
      <c r="R5">
        <f>MONTH(Q5)</f>
        <v>1</v>
      </c>
      <c r="S5" s="77">
        <f>HLOOKUP(S$4,Normals!$B$17:$H$29,$R5+1,FALSE)/VLOOKUP($R5,$C$21:$D$32,2,FALSE)</f>
        <v>20.774193548387096</v>
      </c>
      <c r="T5" s="77">
        <f>HLOOKUP(T$4,Normals!$B$17:$H$29,$R5+1,FALSE)/VLOOKUP($R5,$C$21:$D$32,2,FALSE)</f>
        <v>17.387096774193548</v>
      </c>
      <c r="U5" s="77">
        <f>HLOOKUP(U$4,Normals!$B$17:$H$29,$R5+1,FALSE)/VLOOKUP($R5,$C$21:$D$32,2,FALSE)</f>
        <v>24.483870967741936</v>
      </c>
      <c r="V5" s="77">
        <f>HLOOKUP(V$4,Normals!$B$17:$H$29,$R5+1,FALSE)/VLOOKUP($R5,$C$21:$D$32,2,FALSE)</f>
        <v>29.096774193548388</v>
      </c>
      <c r="X5" s="3">
        <f>Q5</f>
        <v>42370</v>
      </c>
      <c r="Y5">
        <f>MONTH(X5)</f>
        <v>1</v>
      </c>
      <c r="Z5" s="77">
        <f>HLOOKUP(Z$4,Data!$AU$4:$BA$19,ROW()-2,FALSE)/VLOOKUP($Y5,$C$21:$D$32,2,FALSE)</f>
        <v>13.129032258064516</v>
      </c>
      <c r="AA5" s="77">
        <f>HLOOKUP(AA$4,Data!$AU$4:$BA$19,ROW()-2,FALSE)/VLOOKUP($Y5,$C$21:$D$32,2,FALSE)</f>
        <v>11.306451612903226</v>
      </c>
      <c r="AB5" s="77">
        <f>HLOOKUP(AB$4,Data!$AU$4:$BA$19,ROW()-2,FALSE)/VLOOKUP($Y5,$C$21:$D$32,2,FALSE)</f>
        <v>14.306451612903226</v>
      </c>
      <c r="AC5" s="77">
        <f>HLOOKUP(AC$4,Data!$AU$4:$BA$19,ROW()-2,FALSE)/VLOOKUP($Y5,$C$21:$D$32,2,FALSE)</f>
        <v>16.14516129032258</v>
      </c>
    </row>
    <row r="6" spans="1:29" x14ac:dyDescent="0.25">
      <c r="A6" s="70" t="s">
        <v>54</v>
      </c>
      <c r="B6" s="71"/>
      <c r="C6" s="71">
        <v>-5.6699999999999997E-3</v>
      </c>
      <c r="E6" s="70" t="s">
        <v>54</v>
      </c>
      <c r="F6" s="71"/>
      <c r="G6" s="71">
        <v>-1.142E-2</v>
      </c>
      <c r="I6" s="70" t="s">
        <v>54</v>
      </c>
      <c r="J6" s="71"/>
      <c r="K6" s="71">
        <v>-2.0750000000000001E-2</v>
      </c>
      <c r="M6" s="70" t="s">
        <v>54</v>
      </c>
      <c r="N6" s="71"/>
      <c r="O6" s="71">
        <v>1.2930000000000001E-2</v>
      </c>
      <c r="Q6" s="3">
        <f>DATE(YEAR(Q5),MONTH(Q5)+1,1)</f>
        <v>42401</v>
      </c>
      <c r="R6">
        <f t="shared" ref="R6:R16" si="0">MONTH(Q6)</f>
        <v>2</v>
      </c>
      <c r="S6" s="77">
        <f>HLOOKUP(S$4,Normals!$B$17:$H$29,$R6+1,FALSE)/VLOOKUP($R6,$C$21:$D$32,2,FALSE)</f>
        <v>18.620689655172413</v>
      </c>
      <c r="T6" s="77">
        <f>HLOOKUP(T$4,Normals!$B$17:$H$29,$R6+1,FALSE)/VLOOKUP($R6,$C$21:$D$32,2,FALSE)</f>
        <v>15.827586206896552</v>
      </c>
      <c r="U6" s="77">
        <f>HLOOKUP(U$4,Normals!$B$17:$H$29,$R6+1,FALSE)/VLOOKUP($R6,$C$21:$D$32,2,FALSE)</f>
        <v>20.206896551724139</v>
      </c>
      <c r="V6" s="77">
        <f>HLOOKUP(V$4,Normals!$B$17:$H$29,$R6+1,FALSE)/VLOOKUP($R6,$C$21:$D$32,2,FALSE)</f>
        <v>23.068965517241381</v>
      </c>
      <c r="X6" s="3">
        <f t="shared" ref="X6:X16" si="1">Q6</f>
        <v>42401</v>
      </c>
      <c r="Y6">
        <f t="shared" ref="Y6:Y16" si="2">MONTH(X6)</f>
        <v>2</v>
      </c>
      <c r="Z6" s="77">
        <f>HLOOKUP(Z$4,Data!$AU$4:$BA$19,ROW()-2,FALSE)/VLOOKUP($Y6,$C$21:$D$32,2,FALSE)</f>
        <v>12</v>
      </c>
      <c r="AA6" s="77">
        <f>HLOOKUP(AA$4,Data!$AU$4:$BA$19,ROW()-2,FALSE)/VLOOKUP($Y6,$C$21:$D$32,2,FALSE)</f>
        <v>13.086206896551724</v>
      </c>
      <c r="AB6" s="77">
        <f>HLOOKUP(AB$4,Data!$AU$4:$BA$19,ROW()-2,FALSE)/VLOOKUP($Y6,$C$21:$D$32,2,FALSE)</f>
        <v>12.53448275862069</v>
      </c>
      <c r="AC6" s="77">
        <f>HLOOKUP(AC$4,Data!$AU$4:$BA$19,ROW()-2,FALSE)/VLOOKUP($Y6,$C$21:$D$32,2,FALSE)</f>
        <v>14.172413793103448</v>
      </c>
    </row>
    <row r="7" spans="1:29" x14ac:dyDescent="0.25">
      <c r="A7" s="70">
        <v>1</v>
      </c>
      <c r="B7" s="71"/>
      <c r="C7" s="71">
        <v>0.50649</v>
      </c>
      <c r="E7" s="70">
        <v>1</v>
      </c>
      <c r="F7" s="71"/>
      <c r="G7" s="71">
        <v>0.72916000000000003</v>
      </c>
      <c r="I7" s="70">
        <v>1</v>
      </c>
      <c r="J7" s="71"/>
      <c r="K7" s="71">
        <v>0.64890000000000003</v>
      </c>
      <c r="M7" s="70">
        <v>1</v>
      </c>
      <c r="N7" s="71"/>
      <c r="O7" s="71">
        <v>0.66364000000000001</v>
      </c>
      <c r="Q7" s="3">
        <f t="shared" ref="Q7:Q16" si="3">DATE(YEAR(Q6),MONTH(Q6)+1,1)</f>
        <v>42430</v>
      </c>
      <c r="R7">
        <f t="shared" si="0"/>
        <v>3</v>
      </c>
      <c r="S7" s="77">
        <f>HLOOKUP(S$4,Normals!$B$17:$H$29,$R7+1,FALSE)/VLOOKUP($R7,$C$21:$D$32,2,FALSE)</f>
        <v>15.774193548387096</v>
      </c>
      <c r="T7" s="77">
        <f>HLOOKUP(T$4,Normals!$B$17:$H$29,$R7+1,FALSE)/VLOOKUP($R7,$C$21:$D$32,2,FALSE)</f>
        <v>14</v>
      </c>
      <c r="U7" s="77">
        <f>HLOOKUP(U$4,Normals!$B$17:$H$29,$R7+1,FALSE)/VLOOKUP($R7,$C$21:$D$32,2,FALSE)</f>
        <v>13.709677419354838</v>
      </c>
      <c r="V7" s="77">
        <f>HLOOKUP(V$4,Normals!$B$17:$H$29,$R7+1,FALSE)/VLOOKUP($R7,$C$21:$D$32,2,FALSE)</f>
        <v>16.838709677419356</v>
      </c>
      <c r="X7" s="3">
        <f t="shared" si="1"/>
        <v>42430</v>
      </c>
      <c r="Y7">
        <f t="shared" si="2"/>
        <v>3</v>
      </c>
      <c r="Z7" s="77">
        <f>HLOOKUP(Z$4,Data!$AU$4:$BA$19,ROW()-2,FALSE)/VLOOKUP($Y7,$C$21:$D$32,2,FALSE)</f>
        <v>6.032258064516129</v>
      </c>
      <c r="AA7" s="77">
        <f>HLOOKUP(AA$4,Data!$AU$4:$BA$19,ROW()-2,FALSE)/VLOOKUP($Y7,$C$21:$D$32,2,FALSE)</f>
        <v>6.5483870967741939</v>
      </c>
      <c r="AB7" s="77">
        <f>HLOOKUP(AB$4,Data!$AU$4:$BA$19,ROW()-2,FALSE)/VLOOKUP($Y7,$C$21:$D$32,2,FALSE)</f>
        <v>3.403225806451613</v>
      </c>
      <c r="AC7" s="77">
        <f>HLOOKUP(AC$4,Data!$AU$4:$BA$19,ROW()-2,FALSE)/VLOOKUP($Y7,$C$21:$D$32,2,FALSE)</f>
        <v>3.0806451612903225</v>
      </c>
    </row>
    <row r="8" spans="1:29" x14ac:dyDescent="0.25">
      <c r="A8" s="70">
        <v>2</v>
      </c>
      <c r="B8" s="71"/>
      <c r="C8" s="71">
        <v>0.45541999999999999</v>
      </c>
      <c r="E8" s="70">
        <v>2</v>
      </c>
      <c r="F8" s="71"/>
      <c r="G8" s="71">
        <v>0.61312999999999995</v>
      </c>
      <c r="I8" s="70">
        <v>2</v>
      </c>
      <c r="J8" s="71"/>
      <c r="K8" s="71">
        <v>0.62453999999999998</v>
      </c>
      <c r="M8" s="70">
        <v>2</v>
      </c>
      <c r="N8" s="71"/>
      <c r="O8" s="71">
        <v>0.65263000000000004</v>
      </c>
      <c r="Q8" s="3">
        <f t="shared" si="3"/>
        <v>42461</v>
      </c>
      <c r="R8">
        <f t="shared" si="0"/>
        <v>4</v>
      </c>
      <c r="S8" s="77">
        <f>HLOOKUP(S$4,Normals!$B$17:$H$29,$R8+1,FALSE)/VLOOKUP($R8,$C$21:$D$32,2,FALSE)</f>
        <v>11.633333333333333</v>
      </c>
      <c r="T8" s="77">
        <f>HLOOKUP(T$4,Normals!$B$17:$H$29,$R8+1,FALSE)/VLOOKUP($R8,$C$21:$D$32,2,FALSE)</f>
        <v>11.366666666666667</v>
      </c>
      <c r="U8" s="77">
        <f>HLOOKUP(U$4,Normals!$B$17:$H$29,$R8+1,FALSE)/VLOOKUP($R8,$C$21:$D$32,2,FALSE)</f>
        <v>8.1</v>
      </c>
      <c r="V8" s="77">
        <f>HLOOKUP(V$4,Normals!$B$17:$H$29,$R8+1,FALSE)/VLOOKUP($R8,$C$21:$D$32,2,FALSE)</f>
        <v>11.033333333333333</v>
      </c>
      <c r="X8" s="3">
        <f t="shared" si="1"/>
        <v>42461</v>
      </c>
      <c r="Y8">
        <f t="shared" si="2"/>
        <v>4</v>
      </c>
      <c r="Z8" s="77">
        <f>HLOOKUP(Z$4,Data!$AU$4:$BA$19,ROW()-2,FALSE)/VLOOKUP($Y8,$C$21:$D$32,2,FALSE)</f>
        <v>3.1333333333333333</v>
      </c>
      <c r="AA8" s="77">
        <f>HLOOKUP(AA$4,Data!$AU$4:$BA$19,ROW()-2,FALSE)/VLOOKUP($Y8,$C$21:$D$32,2,FALSE)</f>
        <v>4.8833333333333337</v>
      </c>
      <c r="AB8" s="77">
        <f>HLOOKUP(AB$4,Data!$AU$4:$BA$19,ROW()-2,FALSE)/VLOOKUP($Y8,$C$21:$D$32,2,FALSE)</f>
        <v>1.4166666666666667</v>
      </c>
      <c r="AC8" s="77">
        <f>HLOOKUP(AC$4,Data!$AU$4:$BA$19,ROW()-2,FALSE)/VLOOKUP($Y8,$C$21:$D$32,2,FALSE)</f>
        <v>0.4</v>
      </c>
    </row>
    <row r="9" spans="1:29" x14ac:dyDescent="0.25">
      <c r="A9" s="70">
        <v>3</v>
      </c>
      <c r="B9" s="71"/>
      <c r="C9" s="71">
        <v>0.38991999999999999</v>
      </c>
      <c r="E9" s="70">
        <v>3</v>
      </c>
      <c r="F9" s="71"/>
      <c r="G9" s="71">
        <v>0.51166</v>
      </c>
      <c r="I9" s="70">
        <v>3</v>
      </c>
      <c r="J9" s="71"/>
      <c r="K9" s="71">
        <v>0.56569999999999998</v>
      </c>
      <c r="M9" s="70">
        <v>3</v>
      </c>
      <c r="N9" s="71"/>
      <c r="O9" s="71">
        <v>0.54396</v>
      </c>
      <c r="Q9" s="3">
        <f t="shared" si="3"/>
        <v>42491</v>
      </c>
      <c r="R9">
        <f t="shared" si="0"/>
        <v>5</v>
      </c>
      <c r="S9" s="77">
        <f>HLOOKUP(S$4,Normals!$B$17:$H$29,$R9+1,FALSE)/VLOOKUP($R9,$C$21:$D$32,2,FALSE)</f>
        <v>6.354838709677419</v>
      </c>
      <c r="T9" s="77">
        <f>HLOOKUP(T$4,Normals!$B$17:$H$29,$R9+1,FALSE)/VLOOKUP($R9,$C$21:$D$32,2,FALSE)</f>
        <v>7.193548387096774</v>
      </c>
      <c r="U9" s="77">
        <f>HLOOKUP(U$4,Normals!$B$17:$H$29,$R9+1,FALSE)/VLOOKUP($R9,$C$21:$D$32,2,FALSE)</f>
        <v>3.2580645161290325</v>
      </c>
      <c r="V9" s="77">
        <f>HLOOKUP(V$4,Normals!$B$17:$H$29,$R9+1,FALSE)/VLOOKUP($R9,$C$21:$D$32,2,FALSE)</f>
        <v>4.645161290322581</v>
      </c>
      <c r="X9" s="3">
        <f t="shared" si="1"/>
        <v>42491</v>
      </c>
      <c r="Y9">
        <f t="shared" si="2"/>
        <v>5</v>
      </c>
      <c r="Z9" s="77">
        <f>HLOOKUP(Z$4,Data!$AU$4:$BA$19,ROW()-2,FALSE)/VLOOKUP($Y9,$C$21:$D$32,2,FALSE)</f>
        <v>1.4838709677419355</v>
      </c>
      <c r="AA9" s="77">
        <f>HLOOKUP(AA$4,Data!$AU$4:$BA$19,ROW()-2,FALSE)/VLOOKUP($Y9,$C$21:$D$32,2,FALSE)</f>
        <v>2.8225806451612905</v>
      </c>
      <c r="AB9" s="77">
        <f>HLOOKUP(AB$4,Data!$AU$4:$BA$19,ROW()-2,FALSE)/VLOOKUP($Y9,$C$21:$D$32,2,FALSE)</f>
        <v>0.32258064516129031</v>
      </c>
      <c r="AC9" s="77">
        <f>HLOOKUP(AC$4,Data!$AU$4:$BA$19,ROW()-2,FALSE)/VLOOKUP($Y9,$C$21:$D$32,2,FALSE)</f>
        <v>0.72580645161290325</v>
      </c>
    </row>
    <row r="10" spans="1:29" x14ac:dyDescent="0.25">
      <c r="A10" s="70">
        <v>4</v>
      </c>
      <c r="B10" s="71"/>
      <c r="C10" s="71">
        <v>0.28254000000000001</v>
      </c>
      <c r="E10" s="70">
        <v>4</v>
      </c>
      <c r="F10" s="71"/>
      <c r="G10" s="71">
        <v>0.33128000000000002</v>
      </c>
      <c r="I10" s="70">
        <v>4</v>
      </c>
      <c r="J10" s="71"/>
      <c r="K10" s="71">
        <v>0.34791</v>
      </c>
      <c r="M10" s="70">
        <v>4</v>
      </c>
      <c r="N10" s="71"/>
      <c r="O10" s="71">
        <v>0.38756000000000002</v>
      </c>
      <c r="Q10" s="3">
        <f t="shared" si="3"/>
        <v>42522</v>
      </c>
      <c r="R10">
        <f t="shared" si="0"/>
        <v>6</v>
      </c>
      <c r="S10" s="77">
        <f>HLOOKUP(S$4,Normals!$B$17:$H$29,$R10+1,FALSE)/VLOOKUP($R10,$C$21:$D$32,2,FALSE)</f>
        <v>2.5</v>
      </c>
      <c r="T10" s="77">
        <f>HLOOKUP(T$4,Normals!$B$17:$H$29,$R10+1,FALSE)/VLOOKUP($R10,$C$21:$D$32,2,FALSE)</f>
        <v>3.5</v>
      </c>
      <c r="U10" s="77">
        <f>HLOOKUP(U$4,Normals!$B$17:$H$29,$R10+1,FALSE)/VLOOKUP($R10,$C$21:$D$32,2,FALSE)</f>
        <v>0.4</v>
      </c>
      <c r="V10" s="77">
        <f>HLOOKUP(V$4,Normals!$B$17:$H$29,$R10+1,FALSE)/VLOOKUP($R10,$C$21:$D$32,2,FALSE)</f>
        <v>1.1333333333333333</v>
      </c>
      <c r="X10" s="3">
        <f t="shared" si="1"/>
        <v>42522</v>
      </c>
      <c r="Y10">
        <f t="shared" si="2"/>
        <v>6</v>
      </c>
      <c r="Z10" s="77">
        <f>HLOOKUP(Z$4,Data!$AU$4:$BA$19,ROW()-2,FALSE)/VLOOKUP($Y10,$C$21:$D$32,2,FALSE)</f>
        <v>0.13333333333333333</v>
      </c>
      <c r="AA10" s="77">
        <f>HLOOKUP(AA$4,Data!$AU$4:$BA$19,ROW()-2,FALSE)/VLOOKUP($Y10,$C$21:$D$32,2,FALSE)</f>
        <v>0.26666666666666666</v>
      </c>
      <c r="AB10" s="77">
        <f>HLOOKUP(AB$4,Data!$AU$4:$BA$19,ROW()-2,FALSE)/VLOOKUP($Y10,$C$21:$D$32,2,FALSE)</f>
        <v>0</v>
      </c>
      <c r="AC10" s="77">
        <f>HLOOKUP(AC$4,Data!$AU$4:$BA$19,ROW()-2,FALSE)/VLOOKUP($Y10,$C$21:$D$32,2,FALSE)</f>
        <v>0</v>
      </c>
    </row>
    <row r="11" spans="1:29" x14ac:dyDescent="0.25">
      <c r="A11" s="70">
        <v>5</v>
      </c>
      <c r="B11" s="71"/>
      <c r="C11" s="71">
        <v>0.18903</v>
      </c>
      <c r="E11" s="70">
        <v>5</v>
      </c>
      <c r="F11" s="71"/>
      <c r="G11" s="71">
        <v>0.17821000000000001</v>
      </c>
      <c r="I11" s="70">
        <v>5</v>
      </c>
      <c r="J11" s="71"/>
      <c r="K11" s="71">
        <v>0</v>
      </c>
      <c r="M11" s="70">
        <v>5</v>
      </c>
      <c r="N11" s="71"/>
      <c r="O11" s="71">
        <v>0.32112000000000002</v>
      </c>
      <c r="Q11" s="3">
        <f t="shared" si="3"/>
        <v>42552</v>
      </c>
      <c r="R11">
        <f t="shared" si="0"/>
        <v>7</v>
      </c>
      <c r="S11" s="77">
        <f>HLOOKUP(S$4,Normals!$B$17:$H$29,$R11+1,FALSE)/VLOOKUP($R11,$C$21:$D$32,2,FALSE)</f>
        <v>0.35483870967741937</v>
      </c>
      <c r="T11" s="77">
        <f>HLOOKUP(T$4,Normals!$B$17:$H$29,$R11+1,FALSE)/VLOOKUP($R11,$C$21:$D$32,2,FALSE)</f>
        <v>1.1935483870967742</v>
      </c>
      <c r="U11" s="77">
        <f>HLOOKUP(U$4,Normals!$B$17:$H$29,$R11+1,FALSE)/VLOOKUP($R11,$C$21:$D$32,2,FALSE)</f>
        <v>0</v>
      </c>
      <c r="V11" s="77">
        <f>HLOOKUP(V$4,Normals!$B$17:$H$29,$R11+1,FALSE)/VLOOKUP($R11,$C$21:$D$32,2,FALSE)</f>
        <v>0</v>
      </c>
      <c r="X11" s="3">
        <f t="shared" si="1"/>
        <v>42552</v>
      </c>
      <c r="Y11">
        <f t="shared" si="2"/>
        <v>7</v>
      </c>
      <c r="Z11" s="77">
        <f>HLOOKUP(Z$4,Data!$AU$4:$BA$19,ROW()-2,FALSE)/VLOOKUP($Y11,$C$21:$D$32,2,FALSE)</f>
        <v>0</v>
      </c>
      <c r="AA11" s="77">
        <f>HLOOKUP(AA$4,Data!$AU$4:$BA$19,ROW()-2,FALSE)/VLOOKUP($Y11,$C$21:$D$32,2,FALSE)</f>
        <v>0.30645161290322581</v>
      </c>
      <c r="AB11" s="77">
        <f>HLOOKUP(AB$4,Data!$AU$4:$BA$19,ROW()-2,FALSE)/VLOOKUP($Y11,$C$21:$D$32,2,FALSE)</f>
        <v>0</v>
      </c>
      <c r="AC11" s="77">
        <f>HLOOKUP(AC$4,Data!$AU$4:$BA$19,ROW()-2,FALSE)/VLOOKUP($Y11,$C$21:$D$32,2,FALSE)</f>
        <v>0</v>
      </c>
    </row>
    <row r="12" spans="1:29" x14ac:dyDescent="0.25">
      <c r="A12" s="70">
        <v>6</v>
      </c>
      <c r="B12" s="71"/>
      <c r="C12" s="71">
        <v>0</v>
      </c>
      <c r="E12" s="70">
        <v>6</v>
      </c>
      <c r="F12" s="71"/>
      <c r="G12" s="71">
        <v>0</v>
      </c>
      <c r="I12" s="70">
        <v>6</v>
      </c>
      <c r="J12" s="71"/>
      <c r="K12" s="71">
        <v>0</v>
      </c>
      <c r="M12" s="70">
        <v>6</v>
      </c>
      <c r="N12" s="71"/>
      <c r="O12" s="71">
        <v>0</v>
      </c>
      <c r="Q12" s="3">
        <f t="shared" si="3"/>
        <v>42583</v>
      </c>
      <c r="R12">
        <f t="shared" si="0"/>
        <v>8</v>
      </c>
      <c r="S12" s="77">
        <f>HLOOKUP(S$4,Normals!$B$17:$H$29,$R12+1,FALSE)/VLOOKUP($R12,$C$21:$D$32,2,FALSE)</f>
        <v>0.25806451612903225</v>
      </c>
      <c r="T12" s="77">
        <f>HLOOKUP(T$4,Normals!$B$17:$H$29,$R12+1,FALSE)/VLOOKUP($R12,$C$21:$D$32,2,FALSE)</f>
        <v>1</v>
      </c>
      <c r="U12" s="77">
        <f>HLOOKUP(U$4,Normals!$B$17:$H$29,$R12+1,FALSE)/VLOOKUP($R12,$C$21:$D$32,2,FALSE)</f>
        <v>0</v>
      </c>
      <c r="V12" s="77">
        <f>HLOOKUP(V$4,Normals!$B$17:$H$29,$R12+1,FALSE)/VLOOKUP($R12,$C$21:$D$32,2,FALSE)</f>
        <v>0</v>
      </c>
      <c r="X12" s="3">
        <f t="shared" si="1"/>
        <v>42583</v>
      </c>
      <c r="Y12">
        <f t="shared" si="2"/>
        <v>8</v>
      </c>
      <c r="Z12" s="77">
        <f>HLOOKUP(Z$4,Data!$AU$4:$BA$19,ROW()-2,FALSE)/VLOOKUP($Y12,$C$21:$D$32,2,FALSE)</f>
        <v>2.2903225806451615</v>
      </c>
      <c r="AA12" s="77">
        <f>HLOOKUP(AA$4,Data!$AU$4:$BA$19,ROW()-2,FALSE)/VLOOKUP($Y12,$C$21:$D$32,2,FALSE)</f>
        <v>2.338709677419355</v>
      </c>
      <c r="AB12" s="77">
        <f>HLOOKUP(AB$4,Data!$AU$4:$BA$19,ROW()-2,FALSE)/VLOOKUP($Y12,$C$21:$D$32,2,FALSE)</f>
        <v>0.61290322580645162</v>
      </c>
      <c r="AC12" s="77">
        <f>HLOOKUP(AC$4,Data!$AU$4:$BA$19,ROW()-2,FALSE)/VLOOKUP($Y12,$C$21:$D$32,2,FALSE)</f>
        <v>0.56451612903225812</v>
      </c>
    </row>
    <row r="13" spans="1:29" x14ac:dyDescent="0.25">
      <c r="A13" s="70">
        <v>7</v>
      </c>
      <c r="B13" s="71"/>
      <c r="C13" s="71">
        <v>0</v>
      </c>
      <c r="E13" s="70">
        <v>7</v>
      </c>
      <c r="F13" s="71"/>
      <c r="G13" s="71">
        <v>0</v>
      </c>
      <c r="I13" s="70">
        <v>7</v>
      </c>
      <c r="J13" s="71"/>
      <c r="K13" s="71">
        <v>0</v>
      </c>
      <c r="M13" s="70">
        <v>7</v>
      </c>
      <c r="N13" s="71"/>
      <c r="O13" s="71">
        <v>0</v>
      </c>
      <c r="Q13" s="3">
        <f t="shared" si="3"/>
        <v>42614</v>
      </c>
      <c r="R13">
        <f t="shared" si="0"/>
        <v>9</v>
      </c>
      <c r="S13" s="77">
        <f>HLOOKUP(S$4,Normals!$B$17:$H$29,$R13+1,FALSE)/VLOOKUP($R13,$C$21:$D$32,2,FALSE)</f>
        <v>3.4666666666666668</v>
      </c>
      <c r="T13" s="77">
        <f>HLOOKUP(T$4,Normals!$B$17:$H$29,$R13+1,FALSE)/VLOOKUP($R13,$C$21:$D$32,2,FALSE)</f>
        <v>2.3666666666666667</v>
      </c>
      <c r="U13" s="77">
        <f>HLOOKUP(U$4,Normals!$B$17:$H$29,$R13+1,FALSE)/VLOOKUP($R13,$C$21:$D$32,2,FALSE)</f>
        <v>0.96666666666666667</v>
      </c>
      <c r="V13" s="77">
        <f>HLOOKUP(V$4,Normals!$B$17:$H$29,$R13+1,FALSE)/VLOOKUP($R13,$C$21:$D$32,2,FALSE)</f>
        <v>2.4666666666666668</v>
      </c>
      <c r="X13" s="3">
        <f t="shared" si="1"/>
        <v>42614</v>
      </c>
      <c r="Y13">
        <f t="shared" si="2"/>
        <v>9</v>
      </c>
      <c r="Z13" s="77">
        <f>HLOOKUP(Z$4,Data!$AU$4:$BA$19,ROW()-2,FALSE)/VLOOKUP($Y13,$C$21:$D$32,2,FALSE)</f>
        <v>7.25</v>
      </c>
      <c r="AA13" s="77">
        <f>HLOOKUP(AA$4,Data!$AU$4:$BA$19,ROW()-2,FALSE)/VLOOKUP($Y13,$C$21:$D$32,2,FALSE)</f>
        <v>6.55</v>
      </c>
      <c r="AB13" s="77">
        <f>HLOOKUP(AB$4,Data!$AU$4:$BA$19,ROW()-2,FALSE)/VLOOKUP($Y13,$C$21:$D$32,2,FALSE)</f>
        <v>5.8666666666666663</v>
      </c>
      <c r="AC13" s="77">
        <f>HLOOKUP(AC$4,Data!$AU$4:$BA$19,ROW()-2,FALSE)/VLOOKUP($Y13,$C$21:$D$32,2,FALSE)</f>
        <v>7.7166666666666668</v>
      </c>
    </row>
    <row r="14" spans="1:29" x14ac:dyDescent="0.25">
      <c r="A14" s="70">
        <v>8</v>
      </c>
      <c r="B14" s="71"/>
      <c r="C14" s="71">
        <v>0</v>
      </c>
      <c r="E14" s="70">
        <v>8</v>
      </c>
      <c r="F14" s="71"/>
      <c r="G14" s="71">
        <v>0</v>
      </c>
      <c r="I14" s="70">
        <v>8</v>
      </c>
      <c r="J14" s="71"/>
      <c r="K14" s="71">
        <v>0</v>
      </c>
      <c r="M14" s="70">
        <v>8</v>
      </c>
      <c r="N14" s="71"/>
      <c r="O14" s="71">
        <v>0</v>
      </c>
      <c r="Q14" s="3">
        <f t="shared" si="3"/>
        <v>42644</v>
      </c>
      <c r="R14">
        <f t="shared" si="0"/>
        <v>10</v>
      </c>
      <c r="S14" s="77">
        <f>HLOOKUP(S$4,Normals!$B$17:$H$29,$R14+1,FALSE)/VLOOKUP($R14,$C$21:$D$32,2,FALSE)</f>
        <v>10.225806451612904</v>
      </c>
      <c r="T14" s="77">
        <f>HLOOKUP(T$4,Normals!$B$17:$H$29,$R14+1,FALSE)/VLOOKUP($R14,$C$21:$D$32,2,FALSE)</f>
        <v>7.870967741935484</v>
      </c>
      <c r="U14" s="77">
        <f>HLOOKUP(U$4,Normals!$B$17:$H$29,$R14+1,FALSE)/VLOOKUP($R14,$C$21:$D$32,2,FALSE)</f>
        <v>7.419354838709677</v>
      </c>
      <c r="V14" s="77">
        <f>HLOOKUP(V$4,Normals!$B$17:$H$29,$R14+1,FALSE)/VLOOKUP($R14,$C$21:$D$32,2,FALSE)</f>
        <v>11.161290322580646</v>
      </c>
      <c r="X14" s="3">
        <f t="shared" si="1"/>
        <v>42644</v>
      </c>
      <c r="Y14">
        <f t="shared" si="2"/>
        <v>10</v>
      </c>
      <c r="Z14" s="77">
        <f>HLOOKUP(Z$4,Data!$AU$4:$BA$19,ROW()-2,FALSE)/VLOOKUP($Y14,$C$21:$D$32,2,FALSE)</f>
        <v>9.3548387096774199</v>
      </c>
      <c r="AA14" s="77">
        <f>HLOOKUP(AA$4,Data!$AU$4:$BA$19,ROW()-2,FALSE)/VLOOKUP($Y14,$C$21:$D$32,2,FALSE)</f>
        <v>9.0967741935483879</v>
      </c>
      <c r="AB14" s="77">
        <f>HLOOKUP(AB$4,Data!$AU$4:$BA$19,ROW()-2,FALSE)/VLOOKUP($Y14,$C$21:$D$32,2,FALSE)</f>
        <v>10.951612903225806</v>
      </c>
      <c r="AC14" s="77">
        <f>HLOOKUP(AC$4,Data!$AU$4:$BA$19,ROW()-2,FALSE)/VLOOKUP($Y14,$C$21:$D$32,2,FALSE)</f>
        <v>13.5</v>
      </c>
    </row>
    <row r="15" spans="1:29" x14ac:dyDescent="0.25">
      <c r="A15" s="70">
        <v>9</v>
      </c>
      <c r="B15" s="71"/>
      <c r="C15" s="71">
        <v>0.19295999999999999</v>
      </c>
      <c r="E15" s="70">
        <v>9</v>
      </c>
      <c r="F15" s="71"/>
      <c r="G15" s="71">
        <v>0</v>
      </c>
      <c r="I15" s="70">
        <v>9</v>
      </c>
      <c r="J15" s="71"/>
      <c r="K15" s="71">
        <v>0</v>
      </c>
      <c r="M15" s="70">
        <v>9</v>
      </c>
      <c r="N15" s="71"/>
      <c r="O15" s="71">
        <v>0.59618000000000004</v>
      </c>
      <c r="Q15" s="3">
        <f t="shared" si="3"/>
        <v>42675</v>
      </c>
      <c r="R15">
        <f t="shared" si="0"/>
        <v>11</v>
      </c>
      <c r="S15" s="77">
        <f>HLOOKUP(S$4,Normals!$B$17:$H$29,$R15+1,FALSE)/VLOOKUP($R15,$C$21:$D$32,2,FALSE)</f>
        <v>16.8</v>
      </c>
      <c r="T15" s="77">
        <f>HLOOKUP(T$4,Normals!$B$17:$H$29,$R15+1,FALSE)/VLOOKUP($R15,$C$21:$D$32,2,FALSE)</f>
        <v>14.266666666666667</v>
      </c>
      <c r="U15" s="77">
        <f>HLOOKUP(U$4,Normals!$B$17:$H$29,$R15+1,FALSE)/VLOOKUP($R15,$C$21:$D$32,2,FALSE)</f>
        <v>18.166666666666668</v>
      </c>
      <c r="V15" s="77">
        <f>HLOOKUP(V$4,Normals!$B$17:$H$29,$R15+1,FALSE)/VLOOKUP($R15,$C$21:$D$32,2,FALSE)</f>
        <v>22.666666666666668</v>
      </c>
      <c r="X15" s="3">
        <f t="shared" si="1"/>
        <v>42675</v>
      </c>
      <c r="Y15">
        <f t="shared" si="2"/>
        <v>11</v>
      </c>
      <c r="Z15" s="77">
        <f>HLOOKUP(Z$4,Data!$AU$4:$BA$19,ROW()-2,FALSE)/VLOOKUP($Y15,$C$21:$D$32,2,FALSE)</f>
        <v>26.683333333333334</v>
      </c>
      <c r="AA15" s="77">
        <f>HLOOKUP(AA$4,Data!$AU$4:$BA$19,ROW()-2,FALSE)/VLOOKUP($Y15,$C$21:$D$32,2,FALSE)</f>
        <v>21.983333333333334</v>
      </c>
      <c r="AB15" s="77">
        <f>HLOOKUP(AB$4,Data!$AU$4:$BA$19,ROW()-2,FALSE)/VLOOKUP($Y15,$C$21:$D$32,2,FALSE)</f>
        <v>31.433333333333334</v>
      </c>
      <c r="AC15" s="77">
        <f>HLOOKUP(AC$4,Data!$AU$4:$BA$19,ROW()-2,FALSE)/VLOOKUP($Y15,$C$21:$D$32,2,FALSE)</f>
        <v>35.4</v>
      </c>
    </row>
    <row r="16" spans="1:29" x14ac:dyDescent="0.25">
      <c r="A16" s="70">
        <v>10</v>
      </c>
      <c r="B16" s="71"/>
      <c r="C16" s="71">
        <v>0.34584999999999999</v>
      </c>
      <c r="E16" s="70">
        <v>10</v>
      </c>
      <c r="F16" s="71"/>
      <c r="G16" s="71">
        <v>0.52359999999999995</v>
      </c>
      <c r="I16" s="70">
        <v>10</v>
      </c>
      <c r="J16" s="71"/>
      <c r="K16" s="71">
        <v>0.39248</v>
      </c>
      <c r="M16" s="70">
        <v>10</v>
      </c>
      <c r="N16" s="71"/>
      <c r="O16" s="71">
        <v>0.46438000000000001</v>
      </c>
      <c r="Q16" s="3">
        <f t="shared" si="3"/>
        <v>42705</v>
      </c>
      <c r="R16">
        <f t="shared" si="0"/>
        <v>12</v>
      </c>
      <c r="S16" s="77">
        <f>HLOOKUP(S$4,Normals!$B$17:$H$29,$R16+1,FALSE)/VLOOKUP($R16,$C$21:$D$32,2,FALSE)</f>
        <v>21.677419354838708</v>
      </c>
      <c r="T16" s="77">
        <f>HLOOKUP(T$4,Normals!$B$17:$H$29,$R16+1,FALSE)/VLOOKUP($R16,$C$21:$D$32,2,FALSE)</f>
        <v>18.548387096774192</v>
      </c>
      <c r="U16" s="77">
        <f>HLOOKUP(U$4,Normals!$B$17:$H$29,$R16+1,FALSE)/VLOOKUP($R16,$C$21:$D$32,2,FALSE)</f>
        <v>26.451612903225808</v>
      </c>
      <c r="V16" s="77">
        <f>HLOOKUP(V$4,Normals!$B$17:$H$29,$R16+1,FALSE)/VLOOKUP($R16,$C$21:$D$32,2,FALSE)</f>
        <v>31.387096774193548</v>
      </c>
      <c r="X16" s="3">
        <f t="shared" si="1"/>
        <v>42705</v>
      </c>
      <c r="Y16">
        <f t="shared" si="2"/>
        <v>12</v>
      </c>
      <c r="Z16" s="77">
        <f>HLOOKUP(Z$4,Data!$AU$4:$BA$19,ROW()-2,FALSE)/VLOOKUP($Y16,$C$21:$D$32,2,FALSE)</f>
        <v>24.483870967741936</v>
      </c>
      <c r="AA16" s="77">
        <f>HLOOKUP(AA$4,Data!$AU$4:$BA$19,ROW()-2,FALSE)/VLOOKUP($Y16,$C$21:$D$32,2,FALSE)</f>
        <v>20.967741935483872</v>
      </c>
      <c r="AB16" s="77">
        <f>HLOOKUP(AB$4,Data!$AU$4:$BA$19,ROW()-2,FALSE)/VLOOKUP($Y16,$C$21:$D$32,2,FALSE)</f>
        <v>37.62903225806452</v>
      </c>
      <c r="AC16" s="77">
        <f>HLOOKUP(AC$4,Data!$AU$4:$BA$19,ROW()-2,FALSE)/VLOOKUP($Y16,$C$21:$D$32,2,FALSE)</f>
        <v>36.79032258064516</v>
      </c>
    </row>
    <row r="17" spans="1:29" x14ac:dyDescent="0.25">
      <c r="A17" s="70">
        <v>11</v>
      </c>
      <c r="B17" s="71"/>
      <c r="C17" s="71">
        <v>0.49360999999999999</v>
      </c>
      <c r="E17" s="70">
        <v>11</v>
      </c>
      <c r="F17" s="71"/>
      <c r="G17" s="71">
        <v>0.70089999999999997</v>
      </c>
      <c r="I17" s="70">
        <v>11</v>
      </c>
      <c r="J17" s="71"/>
      <c r="K17" s="71">
        <v>0.46901999999999999</v>
      </c>
      <c r="M17" s="70">
        <v>11</v>
      </c>
      <c r="N17" s="71"/>
      <c r="O17" s="71">
        <v>0.48991000000000001</v>
      </c>
    </row>
    <row r="18" spans="1:29" x14ac:dyDescent="0.25">
      <c r="A18" s="70">
        <v>12</v>
      </c>
      <c r="B18" s="71"/>
      <c r="C18" s="71">
        <v>0.49460999999999999</v>
      </c>
      <c r="E18" s="70">
        <v>12</v>
      </c>
      <c r="F18" s="71"/>
      <c r="G18" s="71">
        <v>0.67484</v>
      </c>
      <c r="I18" s="70">
        <v>12</v>
      </c>
      <c r="J18" s="71"/>
      <c r="K18" s="71">
        <v>0.56264999999999998</v>
      </c>
      <c r="M18" s="70">
        <v>12</v>
      </c>
      <c r="N18" s="71"/>
      <c r="O18" s="71">
        <v>0.55625000000000002</v>
      </c>
      <c r="Q18" s="76" t="s">
        <v>46</v>
      </c>
      <c r="S18" s="93" t="s">
        <v>47</v>
      </c>
      <c r="T18" s="93"/>
      <c r="U18" s="93"/>
      <c r="V18" s="93"/>
      <c r="X18" s="76" t="s">
        <v>48</v>
      </c>
      <c r="Z18" s="93" t="s">
        <v>49</v>
      </c>
      <c r="AA18" s="93"/>
      <c r="AB18" s="93"/>
      <c r="AC18" s="93"/>
    </row>
    <row r="19" spans="1:29" x14ac:dyDescent="0.25">
      <c r="F19" s="71"/>
      <c r="G19" s="71"/>
      <c r="S19" t="s">
        <v>29</v>
      </c>
      <c r="T19" t="s">
        <v>30</v>
      </c>
      <c r="U19" t="s">
        <v>31</v>
      </c>
      <c r="V19" t="s">
        <v>32</v>
      </c>
      <c r="Z19" t="s">
        <v>29</v>
      </c>
      <c r="AA19" t="s">
        <v>30</v>
      </c>
      <c r="AB19" t="s">
        <v>31</v>
      </c>
      <c r="AC19" t="s">
        <v>32</v>
      </c>
    </row>
    <row r="20" spans="1:29" x14ac:dyDescent="0.25">
      <c r="D20" t="s">
        <v>40</v>
      </c>
      <c r="Q20" s="3">
        <f>Q5</f>
        <v>42370</v>
      </c>
      <c r="R20">
        <f>MONTH(Q20)</f>
        <v>1</v>
      </c>
      <c r="S20" s="78">
        <f>(S5-Z5)*VLOOKUP($R20,$A$7:$C$18,3,FALSE)</f>
        <v>3.8721977419354836</v>
      </c>
      <c r="T20" s="78">
        <f>(T5-AA5)*VLOOKUP($R20,$E$7:$G$18,3,FALSE)</f>
        <v>4.4337632258064517</v>
      </c>
      <c r="U20" s="78">
        <f>(U5-AB5)*VLOOKUP($R20,$I$7:$K$18,3,FALSE)</f>
        <v>6.6041274193548389</v>
      </c>
      <c r="V20" s="78">
        <f>(V5-AC5)*VLOOKUP($R20,$M$7:$O$18,3,FALSE)</f>
        <v>8.5952083870967755</v>
      </c>
      <c r="X20" s="3">
        <f>Q5</f>
        <v>42370</v>
      </c>
      <c r="Y20">
        <f>MONTH(X20)</f>
        <v>1</v>
      </c>
      <c r="Z20" s="62">
        <f>HLOOKUP(Z$19,Data!$AC$4:$AI$19,ROW()-17,FALSE)*VLOOKUP($Y20,$C$21:$D$32,2,FALSE)*S20</f>
        <v>1172052.3013199999</v>
      </c>
      <c r="AA20" s="62">
        <f>HLOOKUP(AA$19,Data!$AC$4:$AI$19,ROW()-17,FALSE)*VLOOKUP($Y20,$C$21:$D$32,2,FALSE)*T20</f>
        <v>670052.46750000003</v>
      </c>
      <c r="AB20" s="62">
        <f>HLOOKUP(AB$19,Data!$AC$4:$AI$19,ROW()-17,FALSE)*VLOOKUP($Y20,$C$21:$D$32,2,FALSE)*U20</f>
        <v>1086900.68655</v>
      </c>
      <c r="AC20" s="62">
        <f>HLOOKUP(AC$19,Data!$AC$4:$AI$19,ROW()-17,FALSE)*VLOOKUP($Y20,$C$21:$D$32,2,FALSE)*V20</f>
        <v>1509447.5209000001</v>
      </c>
    </row>
    <row r="21" spans="1:29" x14ac:dyDescent="0.25">
      <c r="A21" s="3">
        <f>Data!A1</f>
        <v>42370</v>
      </c>
      <c r="C21">
        <f>MONTH(A21)</f>
        <v>1</v>
      </c>
      <c r="D21">
        <f>A22-A21</f>
        <v>31</v>
      </c>
      <c r="Q21" s="3">
        <f t="shared" ref="Q21:Q31" si="4">Q6</f>
        <v>42401</v>
      </c>
      <c r="R21">
        <f t="shared" ref="R21:R31" si="5">MONTH(Q21)</f>
        <v>2</v>
      </c>
      <c r="S21" s="78">
        <f t="shared" ref="S21:S31" si="6">(S6-Z6)*VLOOKUP($R21,$A$7:$C$18,3,FALSE)</f>
        <v>3.0151944827586203</v>
      </c>
      <c r="T21" s="78">
        <f t="shared" ref="T21:T31" si="7">(T6-AA6)*VLOOKUP($R21,$E$7:$G$18,3,FALSE)</f>
        <v>1.6808218965517239</v>
      </c>
      <c r="U21" s="78">
        <f t="shared" ref="U21:U31" si="8">(U6-AB6)*VLOOKUP($R21,$I$7:$K$18,3,FALSE)</f>
        <v>4.7917293103448273</v>
      </c>
      <c r="V21" s="78">
        <f t="shared" ref="V21:V31" si="9">(V6-AC6)*VLOOKUP($R21,$M$7:$O$18,3,FALSE)</f>
        <v>5.8061565517241389</v>
      </c>
      <c r="X21" s="3">
        <f t="shared" ref="X21:X31" si="10">Q6</f>
        <v>42401</v>
      </c>
      <c r="Y21">
        <f t="shared" ref="Y21:Y31" si="11">MONTH(X21)</f>
        <v>2</v>
      </c>
      <c r="Z21" s="62">
        <f>HLOOKUP(Z$19,Data!$AC$4:$AI$19,ROW()-17,FALSE)*VLOOKUP($Y21,$C$21:$D$32,2,FALSE)*S21</f>
        <v>854032.73087999993</v>
      </c>
      <c r="AA21" s="62">
        <f>HLOOKUP(AA$19,Data!$AC$4:$AI$19,ROW()-17,FALSE)*VLOOKUP($Y21,$C$21:$D$32,2,FALSE)*T21</f>
        <v>237626.19562499996</v>
      </c>
      <c r="AB21" s="62">
        <f>HLOOKUP(AB$19,Data!$AC$4:$AI$19,ROW()-17,FALSE)*VLOOKUP($Y21,$C$21:$D$32,2,FALSE)*U21</f>
        <v>735932.95439999993</v>
      </c>
      <c r="AC21" s="62">
        <f>HLOOKUP(AC$19,Data!$AC$4:$AI$19,ROW()-17,FALSE)*VLOOKUP($Y21,$C$21:$D$32,2,FALSE)*V21</f>
        <v>949823.34414000018</v>
      </c>
    </row>
    <row r="22" spans="1:29" x14ac:dyDescent="0.25">
      <c r="A22" s="3">
        <f>DATE(YEAR(A21),MONTH(A21)+1,1)</f>
        <v>42401</v>
      </c>
      <c r="C22">
        <f t="shared" ref="C22:C32" si="12">MONTH(A22)</f>
        <v>2</v>
      </c>
      <c r="D22">
        <f>A23-A22</f>
        <v>29</v>
      </c>
      <c r="Q22" s="3">
        <f t="shared" si="4"/>
        <v>42430</v>
      </c>
      <c r="R22">
        <f t="shared" si="5"/>
        <v>3</v>
      </c>
      <c r="S22" s="78">
        <f t="shared" si="6"/>
        <v>3.7985754838709678</v>
      </c>
      <c r="T22" s="78">
        <f t="shared" si="7"/>
        <v>3.8126922580645162</v>
      </c>
      <c r="U22" s="78">
        <f t="shared" si="8"/>
        <v>5.830359677419354</v>
      </c>
      <c r="V22" s="78">
        <f t="shared" si="9"/>
        <v>7.4838367741935494</v>
      </c>
      <c r="X22" s="3">
        <f t="shared" si="10"/>
        <v>42430</v>
      </c>
      <c r="Y22">
        <f t="shared" si="11"/>
        <v>3</v>
      </c>
      <c r="Z22" s="62">
        <f>HLOOKUP(Z$19,Data!$AC$4:$AI$19,ROW()-17,FALSE)*VLOOKUP($Y22,$C$21:$D$32,2,FALSE)*S22</f>
        <v>1148943.7308799999</v>
      </c>
      <c r="AA22" s="62">
        <f>HLOOKUP(AA$19,Data!$AC$4:$AI$19,ROW()-17,FALSE)*VLOOKUP($Y22,$C$21:$D$32,2,FALSE)*T22</f>
        <v>575838.53711999999</v>
      </c>
      <c r="AB22" s="62">
        <f>HLOOKUP(AB$19,Data!$AC$4:$AI$19,ROW()-17,FALSE)*VLOOKUP($Y22,$C$21:$D$32,2,FALSE)*U22</f>
        <v>954494.0131499999</v>
      </c>
      <c r="AC22" s="62">
        <f>HLOOKUP(AC$19,Data!$AC$4:$AI$19,ROW()-17,FALSE)*VLOOKUP($Y22,$C$21:$D$32,2,FALSE)*V22</f>
        <v>1300818.0565800001</v>
      </c>
    </row>
    <row r="23" spans="1:29" x14ac:dyDescent="0.25">
      <c r="A23" s="3">
        <f t="shared" ref="A23:A33" si="13">DATE(YEAR(A22),MONTH(A22)+1,1)</f>
        <v>42430</v>
      </c>
      <c r="C23">
        <f t="shared" si="12"/>
        <v>3</v>
      </c>
      <c r="D23">
        <f t="shared" ref="D23:D32" si="14">A24-A23</f>
        <v>31</v>
      </c>
      <c r="Q23" s="3">
        <f t="shared" si="4"/>
        <v>42461</v>
      </c>
      <c r="R23">
        <f t="shared" si="5"/>
        <v>4</v>
      </c>
      <c r="S23" s="78">
        <f t="shared" si="6"/>
        <v>2.4015900000000001</v>
      </c>
      <c r="T23" s="78">
        <f t="shared" si="7"/>
        <v>2.1477986666666666</v>
      </c>
      <c r="U23" s="78">
        <f t="shared" si="8"/>
        <v>2.3251984999999999</v>
      </c>
      <c r="V23" s="78">
        <f t="shared" si="9"/>
        <v>4.1210546666666668</v>
      </c>
      <c r="X23" s="3">
        <f t="shared" si="10"/>
        <v>42461</v>
      </c>
      <c r="Y23">
        <f t="shared" si="11"/>
        <v>4</v>
      </c>
      <c r="Z23" s="62">
        <f>HLOOKUP(Z$19,Data!$AC$4:$AI$19,ROW()-17,FALSE)*VLOOKUP($Y23,$C$21:$D$32,2,FALSE)*S23</f>
        <v>701096.16870000004</v>
      </c>
      <c r="AA23" s="62">
        <f>HLOOKUP(AA$19,Data!$AC$4:$AI$19,ROW()-17,FALSE)*VLOOKUP($Y23,$C$21:$D$32,2,FALSE)*T23</f>
        <v>313213.47956000001</v>
      </c>
      <c r="AB23" s="62">
        <f>HLOOKUP(AB$19,Data!$AC$4:$AI$19,ROW()-17,FALSE)*VLOOKUP($Y23,$C$21:$D$32,2,FALSE)*U23</f>
        <v>367892.90667</v>
      </c>
      <c r="AC23" s="62">
        <f>HLOOKUP(AC$19,Data!$AC$4:$AI$19,ROW()-17,FALSE)*VLOOKUP($Y23,$C$21:$D$32,2,FALSE)*V23</f>
        <v>689617.28792000003</v>
      </c>
    </row>
    <row r="24" spans="1:29" x14ac:dyDescent="0.25">
      <c r="A24" s="3">
        <f t="shared" si="13"/>
        <v>42461</v>
      </c>
      <c r="C24">
        <f t="shared" si="12"/>
        <v>4</v>
      </c>
      <c r="D24">
        <f t="shared" si="14"/>
        <v>30</v>
      </c>
      <c r="Q24" s="3">
        <f t="shared" si="4"/>
        <v>42491</v>
      </c>
      <c r="R24">
        <f t="shared" si="5"/>
        <v>5</v>
      </c>
      <c r="S24" s="78">
        <f t="shared" si="6"/>
        <v>0.92075903225806455</v>
      </c>
      <c r="T24" s="78">
        <f t="shared" si="7"/>
        <v>0.77895016129032268</v>
      </c>
      <c r="U24" s="78">
        <f t="shared" si="8"/>
        <v>0</v>
      </c>
      <c r="V24" s="78">
        <f t="shared" si="9"/>
        <v>1.2585832258064518</v>
      </c>
      <c r="X24" s="3">
        <f t="shared" si="10"/>
        <v>42491</v>
      </c>
      <c r="Y24">
        <f t="shared" si="11"/>
        <v>5</v>
      </c>
      <c r="Z24" s="62">
        <f>HLOOKUP(Z$19,Data!$AC$4:$AI$19,ROW()-17,FALSE)*VLOOKUP($Y24,$C$21:$D$32,2,FALSE)*S24</f>
        <v>278156.69985000003</v>
      </c>
      <c r="AA24" s="62">
        <f>HLOOKUP(AA$19,Data!$AC$4:$AI$19,ROW()-17,FALSE)*VLOOKUP($Y24,$C$21:$D$32,2,FALSE)*T24</f>
        <v>117091.00929500001</v>
      </c>
      <c r="AB24" s="62">
        <f>HLOOKUP(AB$19,Data!$AC$4:$AI$19,ROW()-17,FALSE)*VLOOKUP($Y24,$C$21:$D$32,2,FALSE)*U24</f>
        <v>0</v>
      </c>
      <c r="AC24" s="62">
        <f>HLOOKUP(AC$19,Data!$AC$4:$AI$19,ROW()-17,FALSE)*VLOOKUP($Y24,$C$21:$D$32,2,FALSE)*V24</f>
        <v>216656.29224000004</v>
      </c>
    </row>
    <row r="25" spans="1:29" x14ac:dyDescent="0.25">
      <c r="A25" s="3">
        <f t="shared" si="13"/>
        <v>42491</v>
      </c>
      <c r="C25">
        <f t="shared" si="12"/>
        <v>5</v>
      </c>
      <c r="D25">
        <f t="shared" si="14"/>
        <v>31</v>
      </c>
      <c r="Q25" s="3">
        <f t="shared" si="4"/>
        <v>42522</v>
      </c>
      <c r="R25">
        <f t="shared" si="5"/>
        <v>6</v>
      </c>
      <c r="S25" s="78">
        <f t="shared" si="6"/>
        <v>0</v>
      </c>
      <c r="T25" s="78">
        <f t="shared" si="7"/>
        <v>0</v>
      </c>
      <c r="U25" s="78">
        <f t="shared" si="8"/>
        <v>0</v>
      </c>
      <c r="V25" s="78">
        <f t="shared" si="9"/>
        <v>0</v>
      </c>
      <c r="X25" s="3">
        <f t="shared" si="10"/>
        <v>42522</v>
      </c>
      <c r="Y25">
        <f t="shared" si="11"/>
        <v>6</v>
      </c>
      <c r="Z25" s="62">
        <f>HLOOKUP(Z$19,Data!$AC$4:$AI$19,ROW()-17,FALSE)*VLOOKUP($Y25,$C$21:$D$32,2,FALSE)*S25</f>
        <v>0</v>
      </c>
      <c r="AA25" s="62">
        <f>HLOOKUP(AA$19,Data!$AC$4:$AI$19,ROW()-17,FALSE)*VLOOKUP($Y25,$C$21:$D$32,2,FALSE)*T25</f>
        <v>0</v>
      </c>
      <c r="AB25" s="62">
        <f>HLOOKUP(AB$19,Data!$AC$4:$AI$19,ROW()-17,FALSE)*VLOOKUP($Y25,$C$21:$D$32,2,FALSE)*U25</f>
        <v>0</v>
      </c>
      <c r="AC25" s="62">
        <f>HLOOKUP(AC$19,Data!$AC$4:$AI$19,ROW()-17,FALSE)*VLOOKUP($Y25,$C$21:$D$32,2,FALSE)*V25</f>
        <v>0</v>
      </c>
    </row>
    <row r="26" spans="1:29" x14ac:dyDescent="0.25">
      <c r="A26" s="3">
        <f t="shared" si="13"/>
        <v>42522</v>
      </c>
      <c r="C26">
        <f t="shared" si="12"/>
        <v>6</v>
      </c>
      <c r="D26">
        <f t="shared" si="14"/>
        <v>30</v>
      </c>
      <c r="Q26" s="3">
        <f t="shared" si="4"/>
        <v>42552</v>
      </c>
      <c r="R26">
        <f t="shared" si="5"/>
        <v>7</v>
      </c>
      <c r="S26" s="78">
        <f t="shared" si="6"/>
        <v>0</v>
      </c>
      <c r="T26" s="78">
        <f t="shared" si="7"/>
        <v>0</v>
      </c>
      <c r="U26" s="78">
        <f t="shared" si="8"/>
        <v>0</v>
      </c>
      <c r="V26" s="78">
        <f t="shared" si="9"/>
        <v>0</v>
      </c>
      <c r="X26" s="3">
        <f t="shared" si="10"/>
        <v>42552</v>
      </c>
      <c r="Y26">
        <f t="shared" si="11"/>
        <v>7</v>
      </c>
      <c r="Z26" s="62">
        <f>HLOOKUP(Z$19,Data!$AC$4:$AI$19,ROW()-17,FALSE)*VLOOKUP($Y26,$C$21:$D$32,2,FALSE)*S26</f>
        <v>0</v>
      </c>
      <c r="AA26" s="62">
        <f>HLOOKUP(AA$19,Data!$AC$4:$AI$19,ROW()-17,FALSE)*VLOOKUP($Y26,$C$21:$D$32,2,FALSE)*T26</f>
        <v>0</v>
      </c>
      <c r="AB26" s="62">
        <f>HLOOKUP(AB$19,Data!$AC$4:$AI$19,ROW()-17,FALSE)*VLOOKUP($Y26,$C$21:$D$32,2,FALSE)*U26</f>
        <v>0</v>
      </c>
      <c r="AC26" s="62">
        <f>HLOOKUP(AC$19,Data!$AC$4:$AI$19,ROW()-17,FALSE)*VLOOKUP($Y26,$C$21:$D$32,2,FALSE)*V26</f>
        <v>0</v>
      </c>
    </row>
    <row r="27" spans="1:29" x14ac:dyDescent="0.25">
      <c r="A27" s="3">
        <f t="shared" si="13"/>
        <v>42552</v>
      </c>
      <c r="C27">
        <f t="shared" si="12"/>
        <v>7</v>
      </c>
      <c r="D27">
        <f t="shared" si="14"/>
        <v>31</v>
      </c>
      <c r="Q27" s="3">
        <f t="shared" si="4"/>
        <v>42583</v>
      </c>
      <c r="R27">
        <f t="shared" si="5"/>
        <v>8</v>
      </c>
      <c r="S27" s="78">
        <f t="shared" si="6"/>
        <v>0</v>
      </c>
      <c r="T27" s="78">
        <f t="shared" si="7"/>
        <v>0</v>
      </c>
      <c r="U27" s="78">
        <f t="shared" si="8"/>
        <v>0</v>
      </c>
      <c r="V27" s="78">
        <f t="shared" si="9"/>
        <v>0</v>
      </c>
      <c r="X27" s="3">
        <f t="shared" si="10"/>
        <v>42583</v>
      </c>
      <c r="Y27">
        <f t="shared" si="11"/>
        <v>8</v>
      </c>
      <c r="Z27" s="62">
        <f>HLOOKUP(Z$19,Data!$AC$4:$AI$19,ROW()-17,FALSE)*VLOOKUP($Y27,$C$21:$D$32,2,FALSE)*S27</f>
        <v>0</v>
      </c>
      <c r="AA27" s="62">
        <f>HLOOKUP(AA$19,Data!$AC$4:$AI$19,ROW()-17,FALSE)*VLOOKUP($Y27,$C$21:$D$32,2,FALSE)*T27</f>
        <v>0</v>
      </c>
      <c r="AB27" s="62">
        <f>HLOOKUP(AB$19,Data!$AC$4:$AI$19,ROW()-17,FALSE)*VLOOKUP($Y27,$C$21:$D$32,2,FALSE)*U27</f>
        <v>0</v>
      </c>
      <c r="AC27" s="62">
        <f>HLOOKUP(AC$19,Data!$AC$4:$AI$19,ROW()-17,FALSE)*VLOOKUP($Y27,$C$21:$D$32,2,FALSE)*V27</f>
        <v>0</v>
      </c>
    </row>
    <row r="28" spans="1:29" x14ac:dyDescent="0.25">
      <c r="A28" s="3">
        <f t="shared" si="13"/>
        <v>42583</v>
      </c>
      <c r="C28">
        <f t="shared" si="12"/>
        <v>8</v>
      </c>
      <c r="D28">
        <f t="shared" si="14"/>
        <v>31</v>
      </c>
      <c r="Q28" s="3">
        <f t="shared" si="4"/>
        <v>42614</v>
      </c>
      <c r="R28">
        <f t="shared" si="5"/>
        <v>9</v>
      </c>
      <c r="S28" s="78">
        <f t="shared" si="6"/>
        <v>-0.7300319999999999</v>
      </c>
      <c r="T28" s="78">
        <f t="shared" si="7"/>
        <v>0</v>
      </c>
      <c r="U28" s="78">
        <f t="shared" si="8"/>
        <v>0</v>
      </c>
      <c r="V28" s="78">
        <f t="shared" si="9"/>
        <v>-3.1299450000000002</v>
      </c>
      <c r="X28" s="3">
        <f t="shared" si="10"/>
        <v>42614</v>
      </c>
      <c r="Y28">
        <f t="shared" si="11"/>
        <v>9</v>
      </c>
      <c r="Z28" s="62">
        <f>HLOOKUP(Z$19,Data!$AC$4:$AI$19,ROW()-17,FALSE)*VLOOKUP($Y28,$C$21:$D$32,2,FALSE)*S28</f>
        <v>-214498.00223999997</v>
      </c>
      <c r="AA28" s="62">
        <f>HLOOKUP(AA$19,Data!$AC$4:$AI$19,ROW()-17,FALSE)*VLOOKUP($Y28,$C$21:$D$32,2,FALSE)*T28</f>
        <v>0</v>
      </c>
      <c r="AB28" s="62">
        <f>HLOOKUP(AB$19,Data!$AC$4:$AI$19,ROW()-17,FALSE)*VLOOKUP($Y28,$C$21:$D$32,2,FALSE)*U28</f>
        <v>0</v>
      </c>
      <c r="AC28" s="62">
        <f>HLOOKUP(AC$19,Data!$AC$4:$AI$19,ROW()-17,FALSE)*VLOOKUP($Y28,$C$21:$D$32,2,FALSE)*V28</f>
        <v>-525361.26825000008</v>
      </c>
    </row>
    <row r="29" spans="1:29" x14ac:dyDescent="0.25">
      <c r="A29" s="3">
        <f t="shared" si="13"/>
        <v>42614</v>
      </c>
      <c r="C29">
        <f t="shared" si="12"/>
        <v>9</v>
      </c>
      <c r="D29">
        <f t="shared" si="14"/>
        <v>30</v>
      </c>
      <c r="Q29" s="3">
        <f t="shared" si="4"/>
        <v>42644</v>
      </c>
      <c r="R29">
        <f t="shared" si="5"/>
        <v>10</v>
      </c>
      <c r="S29" s="78">
        <f t="shared" si="6"/>
        <v>0.30122419354838714</v>
      </c>
      <c r="T29" s="78">
        <f t="shared" si="7"/>
        <v>-0.64183225806451638</v>
      </c>
      <c r="U29" s="78">
        <f t="shared" si="8"/>
        <v>-1.3863406451612903</v>
      </c>
      <c r="V29" s="78">
        <f t="shared" si="9"/>
        <v>-1.0860499999999997</v>
      </c>
      <c r="X29" s="3">
        <f t="shared" si="10"/>
        <v>42644</v>
      </c>
      <c r="Y29">
        <f t="shared" si="11"/>
        <v>10</v>
      </c>
      <c r="Z29" s="62">
        <f>HLOOKUP(Z$19,Data!$AC$4:$AI$19,ROW()-17,FALSE)*VLOOKUP($Y29,$C$21:$D$32,2,FALSE)*S29</f>
        <v>91708.00695000001</v>
      </c>
      <c r="AA29" s="62">
        <f>HLOOKUP(AA$19,Data!$AC$4:$AI$19,ROW()-17,FALSE)*VLOOKUP($Y29,$C$21:$D$32,2,FALSE)*T29</f>
        <v>-97116.280800000037</v>
      </c>
      <c r="AB29" s="62">
        <f>HLOOKUP(AB$19,Data!$AC$4:$AI$19,ROW()-17,FALSE)*VLOOKUP($Y29,$C$21:$D$32,2,FALSE)*U29</f>
        <v>-229666.73663999999</v>
      </c>
      <c r="AC29" s="62">
        <f>HLOOKUP(AC$19,Data!$AC$4:$AI$19,ROW()-17,FALSE)*VLOOKUP($Y29,$C$21:$D$32,2,FALSE)*V29</f>
        <v>-189918.64954999994</v>
      </c>
    </row>
    <row r="30" spans="1:29" x14ac:dyDescent="0.25">
      <c r="A30" s="3">
        <f t="shared" si="13"/>
        <v>42644</v>
      </c>
      <c r="C30">
        <f t="shared" si="12"/>
        <v>10</v>
      </c>
      <c r="D30">
        <f t="shared" si="14"/>
        <v>31</v>
      </c>
      <c r="Q30" s="3">
        <f t="shared" si="4"/>
        <v>42675</v>
      </c>
      <c r="R30">
        <f t="shared" si="5"/>
        <v>11</v>
      </c>
      <c r="S30" s="78">
        <f t="shared" si="6"/>
        <v>-4.878512166666666</v>
      </c>
      <c r="T30" s="78">
        <f t="shared" si="7"/>
        <v>-5.4086116666666664</v>
      </c>
      <c r="U30" s="78">
        <f t="shared" si="8"/>
        <v>-6.2223319999999998</v>
      </c>
      <c r="V30" s="78">
        <f t="shared" si="9"/>
        <v>-6.2381873333333324</v>
      </c>
      <c r="X30" s="3">
        <f t="shared" si="10"/>
        <v>42675</v>
      </c>
      <c r="Y30">
        <f t="shared" si="11"/>
        <v>11</v>
      </c>
      <c r="Z30" s="62">
        <f>HLOOKUP(Z$19,Data!$AC$4:$AI$19,ROW()-17,FALSE)*VLOOKUP($Y30,$C$21:$D$32,2,FALSE)*S30</f>
        <v>-1448771.7581349998</v>
      </c>
      <c r="AA30" s="62">
        <f>HLOOKUP(AA$19,Data!$AC$4:$AI$19,ROW()-17,FALSE)*VLOOKUP($Y30,$C$21:$D$32,2,FALSE)*T30</f>
        <v>-798960.11540000001</v>
      </c>
      <c r="AB30" s="62">
        <f>HLOOKUP(AB$19,Data!$AC$4:$AI$19,ROW()-17,FALSE)*VLOOKUP($Y30,$C$21:$D$32,2,FALSE)*U30</f>
        <v>-1004657.7247199999</v>
      </c>
      <c r="AC30" s="62">
        <f>HLOOKUP(AC$19,Data!$AC$4:$AI$19,ROW()-17,FALSE)*VLOOKUP($Y30,$C$21:$D$32,2,FALSE)*V30</f>
        <v>-1064858.5777999999</v>
      </c>
    </row>
    <row r="31" spans="1:29" x14ac:dyDescent="0.25">
      <c r="A31" s="3">
        <f t="shared" si="13"/>
        <v>42675</v>
      </c>
      <c r="C31">
        <f t="shared" si="12"/>
        <v>11</v>
      </c>
      <c r="D31">
        <f t="shared" si="14"/>
        <v>30</v>
      </c>
      <c r="Q31" s="3">
        <f t="shared" si="4"/>
        <v>42705</v>
      </c>
      <c r="R31">
        <f t="shared" si="5"/>
        <v>12</v>
      </c>
      <c r="S31" s="78">
        <f t="shared" si="6"/>
        <v>-1.3880990322580655</v>
      </c>
      <c r="T31" s="78">
        <f t="shared" si="7"/>
        <v>-1.6326774193548403</v>
      </c>
      <c r="U31" s="78">
        <f t="shared" si="8"/>
        <v>-6.2889750000000006</v>
      </c>
      <c r="V31" s="78">
        <f t="shared" si="9"/>
        <v>-3.0055443548387095</v>
      </c>
      <c r="X31" s="3">
        <f t="shared" si="10"/>
        <v>42705</v>
      </c>
      <c r="Y31">
        <f t="shared" si="11"/>
        <v>12</v>
      </c>
      <c r="Z31" s="62">
        <f>HLOOKUP(Z$19,Data!$AC$4:$AI$19,ROW()-17,FALSE)*VLOOKUP($Y31,$C$21:$D$32,2,FALSE)*S31</f>
        <v>-427040.33868000034</v>
      </c>
      <c r="AA31" s="62">
        <f>HLOOKUP(AA$19,Data!$AC$4:$AI$19,ROW()-17,FALSE)*VLOOKUP($Y31,$C$21:$D$32,2,FALSE)*T31</f>
        <v>-250433.12400000024</v>
      </c>
      <c r="AB31" s="62">
        <f>HLOOKUP(AB$19,Data!$AC$4:$AI$19,ROW()-17,FALSE)*VLOOKUP($Y31,$C$21:$D$32,2,FALSE)*U31</f>
        <v>-1051994.5821</v>
      </c>
      <c r="AC31" s="62">
        <f>HLOOKUP(AC$19,Data!$AC$4:$AI$19,ROW()-17,FALSE)*VLOOKUP($Y31,$C$21:$D$32,2,FALSE)*V31</f>
        <v>-531452.375</v>
      </c>
    </row>
    <row r="32" spans="1:29" x14ac:dyDescent="0.25">
      <c r="A32" s="3">
        <f t="shared" si="13"/>
        <v>42705</v>
      </c>
      <c r="C32">
        <f t="shared" si="12"/>
        <v>12</v>
      </c>
      <c r="D32">
        <f t="shared" si="14"/>
        <v>31</v>
      </c>
    </row>
    <row r="33" spans="1:1" x14ac:dyDescent="0.25">
      <c r="A33" s="3">
        <f t="shared" si="13"/>
        <v>42736</v>
      </c>
    </row>
  </sheetData>
  <mergeCells count="20">
    <mergeCell ref="A2:C2"/>
    <mergeCell ref="E2:G2"/>
    <mergeCell ref="I2:K2"/>
    <mergeCell ref="M2:O2"/>
    <mergeCell ref="A3:A4"/>
    <mergeCell ref="B3:B4"/>
    <mergeCell ref="C3:C4"/>
    <mergeCell ref="E3:E4"/>
    <mergeCell ref="F3:F4"/>
    <mergeCell ref="G3:G4"/>
    <mergeCell ref="I3:I4"/>
    <mergeCell ref="J3:J4"/>
    <mergeCell ref="K3:K4"/>
    <mergeCell ref="M3:M4"/>
    <mergeCell ref="N3:N4"/>
    <mergeCell ref="S3:V3"/>
    <mergeCell ref="Z3:AC3"/>
    <mergeCell ref="S18:V18"/>
    <mergeCell ref="Z18:AC18"/>
    <mergeCell ref="O3:O4"/>
  </mergeCells>
  <printOptions horizontalCentered="1"/>
  <pageMargins left="0.7" right="0.7" top="0.75" bottom="0.75" header="0.3" footer="0.3"/>
  <pageSetup scale="85" orientation="portrait" r:id="rId1"/>
  <headerFooter scaleWithDoc="0" alignWithMargins="0">
    <oddHeader>&amp;RExhibit No. ___ (BR-4)
504-60
Page &amp;P of  &amp;N</oddHeader>
  </headerFooter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2017-08-31T07:00:00+00:00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4C4C715-BDC2-4FEB-B38A-339A939A3644}"/>
</file>

<file path=customXml/itemProps2.xml><?xml version="1.0" encoding="utf-8"?>
<ds:datastoreItem xmlns:ds="http://schemas.openxmlformats.org/officeDocument/2006/customXml" ds:itemID="{7DCAAD2C-26B1-4E39-B375-8770407B80BD}"/>
</file>

<file path=customXml/itemProps3.xml><?xml version="1.0" encoding="utf-8"?>
<ds:datastoreItem xmlns:ds="http://schemas.openxmlformats.org/officeDocument/2006/customXml" ds:itemID="{0CD0C7DA-B5A1-4DAD-A3C5-4B33CFFFCCA9}"/>
</file>

<file path=customXml/itemProps4.xml><?xml version="1.0" encoding="utf-8"?>
<ds:datastoreItem xmlns:ds="http://schemas.openxmlformats.org/officeDocument/2006/customXml" ds:itemID="{09EB8315-98A9-4B49-BEFE-2798986A6F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Summary - 65</vt:lpstr>
      <vt:lpstr>Summary - 60</vt:lpstr>
      <vt:lpstr>Data</vt:lpstr>
      <vt:lpstr>Normals</vt:lpstr>
      <vt:lpstr>503 - 65</vt:lpstr>
      <vt:lpstr>503 - 60</vt:lpstr>
      <vt:lpstr>504 - 65</vt:lpstr>
      <vt:lpstr>504 - 60</vt:lpstr>
    </vt:vector>
  </TitlesOfParts>
  <Company>MDU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cp:lastPrinted>2017-08-28T18:14:17Z</cp:lastPrinted>
  <dcterms:created xsi:type="dcterms:W3CDTF">2016-12-19T16:13:13Z</dcterms:created>
  <dcterms:modified xsi:type="dcterms:W3CDTF">2017-08-28T18:14:22Z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