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O:\A_TO_E\COD0812 - Consolidated Disposal Services-3946\Fuel Surcharge\Effective 2022-12-01\Submission\"/>
    </mc:Choice>
  </mc:AlternateContent>
  <xr:revisionPtr revIDLastSave="0" documentId="8_{D68FF308-17F8-4C61-BFCF-6FFB26302AB9}" xr6:coauthVersionLast="47" xr6:coauthVersionMax="47" xr10:uidLastSave="{00000000-0000-0000-0000-000000000000}"/>
  <workbookProtection workbookAlgorithmName="SHA-512" workbookHashValue="N2Gv/l8ffeaCt+EtPb5EA4tw8LGcBmDCtJjPHDWzGXRUdug8vp779y3UcaWWjM8B/TfI9od+hsb8g7iOUwlb6Q==" workbookSaltValue="nMmP9UtX6QFybDzFCzZUrw==" workbookSpinCount="100000" lockStructure="1"/>
  <bookViews>
    <workbookView xWindow="-120" yWindow="-120" windowWidth="24240" windowHeight="131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1" l="1"/>
  <c r="M41" i="7"/>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<sst xmlns="http://schemas.openxmlformats.org/spreadsheetml/2006/main" count="606" uniqueCount="293">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</sst>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F32" sqref="F32"/>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172</v>
      </c>
      <c r="E2" s="241"/>
      <c r="F2" s="241"/>
    </row>
    <row r="3" spans="1:6" ht="5.25" customHeight="1" x14ac:dyDescent="0.25">
      <c r="A3" s="223"/>
      <c r="B3" s="224"/>
      <c r="C3" s="59"/>
      <c r="D3" s="59"/>
      <c r="F3" s="59"/>
    </row>
    <row r="4" spans="1:6" x14ac:dyDescent="0.25">
      <c r="A4" s="223"/>
      <c r="B4" s="224"/>
      <c r="C4" s="60" t="s">
        <v>4</v>
      </c>
      <c r="D4" s="243">
        <v>44896</v>
      </c>
      <c r="E4" s="243"/>
      <c r="F4" s="243"/>
    </row>
    <row r="5" spans="1:6" ht="5.25" customHeight="1" x14ac:dyDescent="0.25">
      <c r="A5" s="223"/>
      <c r="B5" s="224"/>
      <c r="C5" s="59"/>
      <c r="D5" s="59"/>
      <c r="F5" s="59"/>
    </row>
    <row r="6" spans="1:6" x14ac:dyDescent="0.25">
      <c r="A6" s="223"/>
      <c r="B6" s="224"/>
      <c r="C6" s="60" t="s">
        <v>5</v>
      </c>
      <c r="D6" s="228">
        <f>F22</f>
        <v>5531977</v>
      </c>
      <c r="E6" s="228"/>
      <c r="F6" s="228"/>
    </row>
    <row r="7" spans="1:6" x14ac:dyDescent="0.25">
      <c r="A7" s="244"/>
      <c r="B7" s="244"/>
      <c r="C7" s="244"/>
      <c r="D7" s="244"/>
      <c r="E7" s="244"/>
      <c r="F7" s="244"/>
    </row>
    <row r="8" spans="1:6" ht="28.5" customHeight="1" x14ac:dyDescent="0.25">
      <c r="A8" s="221" t="s">
        <v>6</v>
      </c>
      <c r="B8" s="222"/>
      <c r="C8" s="61" t="s">
        <v>7</v>
      </c>
      <c r="D8" s="230">
        <f>IF(AND(D2&gt;"", D4&gt;0, D6&gt;0), F45, 0)</f>
        <v>5.160464E-2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9.8108931736194966E-3</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4344178</v>
      </c>
    </row>
    <row r="17" spans="1:6" x14ac:dyDescent="0.25">
      <c r="A17" s="59">
        <v>3</v>
      </c>
      <c r="C17" s="57" t="s">
        <v>12</v>
      </c>
      <c r="F17" s="67">
        <f>IF(D2="","",VLOOKUP(D2,CompanyInfo,4, FALSE))</f>
        <v>622273</v>
      </c>
    </row>
    <row r="18" spans="1:6" x14ac:dyDescent="0.25">
      <c r="A18" s="59">
        <v>4</v>
      </c>
      <c r="C18" s="57" t="s">
        <v>13</v>
      </c>
      <c r="F18" s="68">
        <f>IF(D4="","",VLOOKUP(D2,CompanyInfo,5, FALSE))</f>
        <v>40816</v>
      </c>
    </row>
    <row r="19" spans="1:6" x14ac:dyDescent="0.25">
      <c r="A19" s="59">
        <v>5</v>
      </c>
      <c r="C19" s="57" t="s">
        <v>14</v>
      </c>
      <c r="F19" s="68">
        <f>IF(D4="","",VLOOKUP(D2,CompanyInfo,6,FALSE ))</f>
        <v>40969</v>
      </c>
    </row>
    <row r="20" spans="1:6" x14ac:dyDescent="0.25">
      <c r="A20" s="59">
        <v>6</v>
      </c>
      <c r="C20" s="60" t="s">
        <v>15</v>
      </c>
      <c r="F20" s="69">
        <f>IF(D2="","",VLOOKUP(D2,CompanyInfo,2, FALSE))</f>
        <v>1</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5531977</v>
      </c>
    </row>
    <row r="23" spans="1:6" x14ac:dyDescent="0.25">
      <c r="A23" s="59">
        <v>9</v>
      </c>
      <c r="B23" s="59"/>
      <c r="C23" s="60"/>
      <c r="D23" s="59"/>
      <c r="F23" s="59"/>
    </row>
    <row r="24" spans="1:6" x14ac:dyDescent="0.25">
      <c r="A24" s="59">
        <v>10</v>
      </c>
      <c r="B24" s="235" t="s">
        <v>18</v>
      </c>
      <c r="C24" s="236"/>
      <c r="D24" s="236"/>
      <c r="E24" s="236"/>
      <c r="F24" s="237"/>
    </row>
    <row r="25" spans="1:6" x14ac:dyDescent="0.25">
      <c r="A25" s="59">
        <v>11</v>
      </c>
      <c r="C25" s="60" t="s">
        <v>19</v>
      </c>
      <c r="F25" s="67">
        <f>+F17</f>
        <v>622273</v>
      </c>
    </row>
    <row r="26" spans="1:6" x14ac:dyDescent="0.25">
      <c r="A26" s="59">
        <v>12</v>
      </c>
      <c r="C26" s="70" t="s">
        <v>20</v>
      </c>
      <c r="E26" s="59" t="s">
        <v>21</v>
      </c>
      <c r="F26" s="71">
        <f>+F16</f>
        <v>4344178</v>
      </c>
    </row>
    <row r="27" spans="1:6" x14ac:dyDescent="0.25">
      <c r="A27" s="59">
        <v>13</v>
      </c>
      <c r="C27" s="57" t="s">
        <v>22</v>
      </c>
      <c r="E27" s="59" t="s">
        <v>23</v>
      </c>
      <c r="F27" s="72">
        <f>F17/F16</f>
        <v>0.14324297945434095</v>
      </c>
    </row>
    <row r="28" spans="1:6" x14ac:dyDescent="0.25">
      <c r="A28" s="59">
        <v>14</v>
      </c>
      <c r="C28" s="57" t="s">
        <v>24</v>
      </c>
      <c r="E28" s="59" t="s">
        <v>25</v>
      </c>
      <c r="F28" s="73">
        <v>100</v>
      </c>
    </row>
    <row r="29" spans="1:6" x14ac:dyDescent="0.25">
      <c r="A29" s="59">
        <v>15</v>
      </c>
      <c r="C29" s="57" t="s">
        <v>26</v>
      </c>
      <c r="E29" s="59" t="s">
        <v>23</v>
      </c>
      <c r="F29" s="74">
        <f>ROUND(F27,4)</f>
        <v>0.14319999999999999</v>
      </c>
    </row>
    <row r="30" spans="1:6" x14ac:dyDescent="0.25">
      <c r="A30" s="59">
        <v>16</v>
      </c>
    </row>
    <row r="31" spans="1:6" x14ac:dyDescent="0.25">
      <c r="A31" s="59">
        <v>17</v>
      </c>
      <c r="B31" s="235" t="s">
        <v>27</v>
      </c>
      <c r="C31" s="236"/>
      <c r="D31" s="236"/>
      <c r="E31" s="236"/>
      <c r="F31" s="237"/>
    </row>
    <row r="32" spans="1:6"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5.4119999999999999</v>
      </c>
    </row>
    <row r="33" spans="1:6" x14ac:dyDescent="0.25">
      <c r="A33" s="59">
        <v>19</v>
      </c>
      <c r="C33" s="70" t="s">
        <v>30</v>
      </c>
      <c r="E33" s="59" t="s">
        <v>31</v>
      </c>
      <c r="F33" s="76">
        <f>+IF(F21="West",(+VLOOKUP(F18,'Weekly OPIS Averages'!B15:J323,9,FALSE)),(+VLOOKUP(F18,'Weekly OPIS Averages'!M15:U323,9,FALSE)))</f>
        <v>3.784104711029411</v>
      </c>
    </row>
    <row r="34" spans="1:6" x14ac:dyDescent="0.25">
      <c r="A34" s="59">
        <v>20</v>
      </c>
      <c r="C34" s="57" t="s">
        <v>32</v>
      </c>
      <c r="E34" s="59" t="s">
        <v>23</v>
      </c>
      <c r="F34" s="77">
        <f>+F32-F33</f>
        <v>1.6278952889705889</v>
      </c>
    </row>
    <row r="35" spans="1:6" x14ac:dyDescent="0.25">
      <c r="A35" s="59">
        <v>21</v>
      </c>
      <c r="C35" s="70" t="s">
        <v>33</v>
      </c>
      <c r="E35" s="59" t="s">
        <v>21</v>
      </c>
      <c r="F35" s="78">
        <f>+F33</f>
        <v>3.784104711029411</v>
      </c>
    </row>
    <row r="36" spans="1:6" x14ac:dyDescent="0.25">
      <c r="A36" s="59">
        <v>22</v>
      </c>
      <c r="C36" s="57" t="s">
        <v>34</v>
      </c>
      <c r="E36" s="59" t="s">
        <v>23</v>
      </c>
      <c r="F36" s="72">
        <f>F34/F35</f>
        <v>0.43019298177077753</v>
      </c>
    </row>
    <row r="37" spans="1:6" x14ac:dyDescent="0.25">
      <c r="A37" s="59">
        <v>23</v>
      </c>
      <c r="C37" s="57" t="s">
        <v>24</v>
      </c>
      <c r="E37" s="59" t="s">
        <v>25</v>
      </c>
      <c r="F37" s="73">
        <v>100</v>
      </c>
    </row>
    <row r="38" spans="1:6" x14ac:dyDescent="0.25">
      <c r="A38" s="59">
        <v>24</v>
      </c>
      <c r="C38" s="57" t="s">
        <v>35</v>
      </c>
      <c r="E38" s="59" t="s">
        <v>23</v>
      </c>
      <c r="F38" s="74">
        <f>ROUND(F36,4)</f>
        <v>0.43020000000000003</v>
      </c>
    </row>
    <row r="39" spans="1:6" x14ac:dyDescent="0.25">
      <c r="A39" s="59">
        <v>25</v>
      </c>
    </row>
    <row r="40" spans="1:6" ht="56.25" customHeight="1" x14ac:dyDescent="0.25">
      <c r="A40" s="79">
        <v>26</v>
      </c>
      <c r="B40" s="238" t="s">
        <v>36</v>
      </c>
      <c r="C40" s="239"/>
      <c r="D40" s="239"/>
      <c r="E40" s="239"/>
      <c r="F40" s="240"/>
    </row>
    <row r="41" spans="1:6" x14ac:dyDescent="0.25">
      <c r="A41" s="59">
        <v>27</v>
      </c>
      <c r="C41" s="70" t="s">
        <v>37</v>
      </c>
      <c r="F41" s="80">
        <f>F29</f>
        <v>0.14319999999999999</v>
      </c>
    </row>
    <row r="42" spans="1:6" x14ac:dyDescent="0.25">
      <c r="A42" s="59">
        <v>28</v>
      </c>
      <c r="C42" s="70" t="s">
        <v>38</v>
      </c>
      <c r="E42" s="59" t="s">
        <v>25</v>
      </c>
      <c r="F42" s="81">
        <f>F38</f>
        <v>0.43020000000000003</v>
      </c>
    </row>
    <row r="43" spans="1:6" x14ac:dyDescent="0.25">
      <c r="A43" s="59">
        <v>29</v>
      </c>
      <c r="B43" s="57" t="s">
        <v>39</v>
      </c>
      <c r="C43" s="57" t="s">
        <v>40</v>
      </c>
      <c r="E43" s="59" t="s">
        <v>23</v>
      </c>
      <c r="F43" s="80">
        <f>F42*F41</f>
        <v>6.1604640000000002E-2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5.160464E-2</v>
      </c>
    </row>
    <row r="46" spans="1:6" ht="13.8" thickTop="1" x14ac:dyDescent="0.25">
      <c r="A46" s="59">
        <v>32</v>
      </c>
      <c r="C46" s="70"/>
    </row>
    <row r="47" spans="1:6" ht="64.5" customHeight="1" x14ac:dyDescent="0.25">
      <c r="A47" s="79">
        <v>33</v>
      </c>
      <c r="B47" s="225" t="s">
        <v>43</v>
      </c>
      <c r="C47" s="226"/>
      <c r="D47" s="226"/>
      <c r="E47" s="226"/>
      <c r="F47" s="227"/>
    </row>
    <row r="48" spans="1:6" x14ac:dyDescent="0.25">
      <c r="A48" s="59">
        <v>34</v>
      </c>
      <c r="C48" s="57" t="s">
        <v>44</v>
      </c>
      <c r="F48" s="80">
        <f>F45</f>
        <v>5.160464E-2</v>
      </c>
    </row>
    <row r="49" spans="1:7" x14ac:dyDescent="0.25">
      <c r="A49" s="59">
        <v>35</v>
      </c>
      <c r="C49" s="57" t="s">
        <v>45</v>
      </c>
      <c r="E49" s="59" t="s">
        <v>25</v>
      </c>
      <c r="F49" s="71">
        <f>F16</f>
        <v>4344178</v>
      </c>
    </row>
    <row r="50" spans="1:7" x14ac:dyDescent="0.25">
      <c r="A50" s="59">
        <v>36</v>
      </c>
      <c r="C50" s="57" t="s">
        <v>46</v>
      </c>
      <c r="E50" s="59" t="s">
        <v>23</v>
      </c>
      <c r="F50" s="67">
        <f>F49*F48</f>
        <v>224179.74178591999</v>
      </c>
    </row>
    <row r="51" spans="1:7" x14ac:dyDescent="0.25">
      <c r="A51" s="59">
        <v>37</v>
      </c>
    </row>
    <row r="52" spans="1:7" x14ac:dyDescent="0.25">
      <c r="A52" s="59">
        <v>38</v>
      </c>
      <c r="C52" s="57" t="s">
        <v>47</v>
      </c>
      <c r="F52" s="80">
        <f>F29</f>
        <v>0.14319999999999999</v>
      </c>
    </row>
    <row r="53" spans="1:7" x14ac:dyDescent="0.25">
      <c r="A53" s="59">
        <v>39</v>
      </c>
      <c r="C53" s="57" t="s">
        <v>48</v>
      </c>
      <c r="E53" s="59" t="s">
        <v>25</v>
      </c>
      <c r="F53" s="71">
        <f>IF(D6&gt;F22, D6, F22)</f>
        <v>5531977</v>
      </c>
    </row>
    <row r="54" spans="1:7" x14ac:dyDescent="0.25">
      <c r="A54" s="59">
        <v>40</v>
      </c>
      <c r="C54" s="57" t="s">
        <v>49</v>
      </c>
      <c r="E54" s="59" t="s">
        <v>23</v>
      </c>
      <c r="F54" s="67">
        <f>F53*F52</f>
        <v>792179.10639999993</v>
      </c>
    </row>
    <row r="55" spans="1:7" x14ac:dyDescent="0.25">
      <c r="A55" s="59">
        <v>41</v>
      </c>
      <c r="F55" s="67"/>
    </row>
    <row r="56" spans="1:7" x14ac:dyDescent="0.25">
      <c r="A56" s="59">
        <v>42</v>
      </c>
      <c r="C56" s="57" t="s">
        <v>50</v>
      </c>
      <c r="F56" s="67">
        <f>F17</f>
        <v>622273</v>
      </c>
    </row>
    <row r="57" spans="1:7" x14ac:dyDescent="0.25">
      <c r="A57" s="59">
        <v>43</v>
      </c>
      <c r="C57" s="57" t="s">
        <v>51</v>
      </c>
      <c r="E57" s="59" t="s">
        <v>52</v>
      </c>
      <c r="F57" s="67">
        <f>F50</f>
        <v>224179.74178591999</v>
      </c>
    </row>
    <row r="58" spans="1:7" x14ac:dyDescent="0.25">
      <c r="A58" s="59">
        <v>44</v>
      </c>
      <c r="C58" s="57" t="s">
        <v>53</v>
      </c>
      <c r="E58" s="59" t="s">
        <v>31</v>
      </c>
      <c r="F58" s="71">
        <f>F54</f>
        <v>792179.10639999993</v>
      </c>
    </row>
    <row r="59" spans="1:7" x14ac:dyDescent="0.25">
      <c r="A59" s="59">
        <v>45</v>
      </c>
      <c r="C59" s="57" t="s">
        <v>54</v>
      </c>
      <c r="E59" s="59" t="s">
        <v>23</v>
      </c>
      <c r="F59" s="67">
        <f>F56+F57-F58</f>
        <v>54273.635385920061</v>
      </c>
    </row>
    <row r="60" spans="1:7" x14ac:dyDescent="0.25">
      <c r="A60" s="59">
        <v>46</v>
      </c>
      <c r="C60" s="57" t="s">
        <v>55</v>
      </c>
      <c r="E60" s="59" t="s">
        <v>21</v>
      </c>
      <c r="F60" s="84">
        <f>F53</f>
        <v>5531977</v>
      </c>
    </row>
    <row r="61" spans="1:7" ht="13.8" thickBot="1" x14ac:dyDescent="0.3">
      <c r="A61" s="59">
        <v>47</v>
      </c>
      <c r="C61" s="85" t="s">
        <v>56</v>
      </c>
      <c r="E61" s="59" t="s">
        <v>23</v>
      </c>
      <c r="F61" s="83">
        <f>IF(AND(D2&gt;"", D4&gt;0, D6&gt;0), IF(F60=0, 0, F59/F60), 0)</f>
        <v>9.8108931736194966E-3</v>
      </c>
    </row>
    <row r="62" spans="1:7" ht="13.8" thickTop="1" x14ac:dyDescent="0.25"/>
    <row r="63" spans="1:7" x14ac:dyDescent="0.25">
      <c r="A63" s="219">
        <f>NOW()</f>
        <v>44676.690325925927</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D229" sqref="D229"/>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7"/>
      <c r="AA2" s="217"/>
      <c r="AB2" s="217"/>
      <c r="AC2" s="217"/>
      <c r="AD2" s="217"/>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6" t="s">
        <v>288</v>
      </c>
      <c r="D77" s="257"/>
      <c r="E77" s="173"/>
      <c r="F77" s="143"/>
      <c r="G77" s="144"/>
      <c r="H77" s="144"/>
      <c r="K77" s="167"/>
      <c r="M77" s="136"/>
    </row>
    <row r="78" spans="1:17" x14ac:dyDescent="0.25">
      <c r="B78" s="140"/>
      <c r="C78" s="258" t="s">
        <v>289</v>
      </c>
      <c r="D78" s="259"/>
      <c r="E78" s="173"/>
      <c r="F78" s="143"/>
      <c r="G78" s="144"/>
      <c r="H78" s="144"/>
      <c r="K78" s="167"/>
      <c r="M78" s="136"/>
    </row>
    <row r="79" spans="1:17" x14ac:dyDescent="0.25">
      <c r="B79" s="140"/>
      <c r="C79" s="260" t="s">
        <v>290</v>
      </c>
      <c r="D79" s="261"/>
      <c r="E79" s="173"/>
      <c r="F79" s="143"/>
      <c r="G79" s="144"/>
      <c r="H79" s="144"/>
      <c r="K79" s="167"/>
      <c r="L79" s="174">
        <f>+M76-K76</f>
        <v>999793</v>
      </c>
      <c r="M79" s="136">
        <f t="shared" si="2"/>
        <v>999793</v>
      </c>
    </row>
    <row r="80" spans="1:17" ht="15.6" thickBot="1" x14ac:dyDescent="0.3">
      <c r="B80" s="140"/>
      <c r="C80" s="262" t="s">
        <v>291</v>
      </c>
      <c r="D80" s="263"/>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6BF5A639342849B872A5332A865B2E" ma:contentTypeVersion="20" ma:contentTypeDescription="" ma:contentTypeScope="" ma:versionID="37408773edc8b1dd6a02b80323511e6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2022-11-14T08:00:00+00:00</OpenedDate>
    <SignificantOrder xmlns="dc463f71-b30c-4ab2-9473-d307f9d35888">false</SignificantOrder>
    <Date1 xmlns="dc463f71-b30c-4ab2-9473-d307f9d35888">2022-11-14T08:00:00+00:00</Date1>
    <IsDocumentOrder xmlns="dc463f71-b30c-4ab2-9473-d307f9d35888">false</IsDocumentOrder>
    <IsHighlyConfidential xmlns="dc463f71-b30c-4ab2-9473-d307f9d35888">false</IsHighlyConfidential>
    <CaseCompanyNames xmlns="dc463f71-b30c-4ab2-9473-d307f9d35888">Consolidated Disposal Services, Inc. </CaseCompanyNames>
    <Nickname xmlns="http://schemas.microsoft.com/sharepoint/v3" xsi:nil="true"/>
    <DocketNumber xmlns="dc463f71-b30c-4ab2-9473-d307f9d35888">220837</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48AE3099-5949-4882-97E7-E38B17392A06}"/>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72C4762B-F835-45D3-9AF1-D332B919E839}"/>
</file>

<file path=customXml/itemProps5.xml><?xml version="1.0" encoding="utf-8"?>
<ds:datastoreItem xmlns:ds="http://schemas.openxmlformats.org/officeDocument/2006/customXml" ds:itemID="{7A1F425D-C068-42CC-974B-261DD2B472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2022-11-09T00:40:26Z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0x0101006E56B4D1795A2E4DB2F0B01679ED314A00076BF5A639342849B872A5332A865B2E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