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alice.peters\Desktop\"/>
    </mc:Choice>
  </mc:AlternateContent>
  <xr:revisionPtr revIDLastSave="0" documentId="13_ncr:1_{71480682-2A9D-4338-89CA-0EFFB43B1CC4}" xr6:coauthVersionLast="45" xr6:coauthVersionMax="45" xr10:uidLastSave="{00000000-0000-0000-0000-000000000000}"/>
  <bookViews>
    <workbookView xWindow="-120" yWindow="-120" windowWidth="29040" windowHeight="15840" activeTab="5" xr2:uid="{1D1DCB42-9F0F-41FC-982B-8898C82DB174}"/>
  </bookViews>
  <sheets>
    <sheet name="2017 - Filed" sheetId="1" r:id="rId1"/>
    <sheet name="2018 - Filed" sheetId="2" r:id="rId2"/>
    <sheet name="2019 Should Be" sheetId="3" r:id="rId3"/>
    <sheet name="2020 Should Be" sheetId="5" r:id="rId4"/>
    <sheet name="2019-Filed" sheetId="6" r:id="rId5"/>
    <sheet name="2020 - Filed" sheetId="4" r:id="rId6"/>
  </sheets>
  <externalReferences>
    <externalReference r:id="rId7"/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5" l="1"/>
  <c r="K13" i="5"/>
  <c r="H9" i="3"/>
  <c r="G9" i="3"/>
  <c r="F9" i="3"/>
  <c r="E9" i="3"/>
  <c r="D9" i="3"/>
  <c r="H9" i="2"/>
  <c r="G9" i="2"/>
  <c r="F9" i="2"/>
  <c r="E9" i="2"/>
  <c r="D9" i="2"/>
  <c r="H3" i="1"/>
  <c r="G3" i="1"/>
  <c r="F3" i="1"/>
  <c r="E3" i="1"/>
  <c r="D3" i="1"/>
  <c r="H7" i="1"/>
  <c r="G7" i="1"/>
  <c r="F7" i="1"/>
  <c r="E7" i="1"/>
  <c r="D7" i="1"/>
  <c r="H5" i="1"/>
  <c r="G5" i="1"/>
  <c r="F5" i="1"/>
  <c r="E5" i="1"/>
  <c r="D5" i="1"/>
  <c r="G11" i="1" l="1"/>
  <c r="G13" i="1" s="1"/>
  <c r="G15" i="1" s="1"/>
  <c r="G17" i="1" s="1"/>
  <c r="G19" i="1" s="1"/>
  <c r="H11" i="1"/>
  <c r="H13" i="1" s="1"/>
  <c r="H15" i="1" s="1"/>
  <c r="H17" i="1" s="1"/>
  <c r="H19" i="1" s="1"/>
  <c r="H21" i="1" s="1"/>
  <c r="H23" i="1" s="1"/>
  <c r="H25" i="1" s="1"/>
  <c r="F11" i="1"/>
  <c r="F13" i="1" s="1"/>
  <c r="F15" i="1" s="1"/>
  <c r="F17" i="1" s="1"/>
  <c r="F19" i="1" s="1"/>
  <c r="E11" i="1"/>
  <c r="E13" i="1" s="1"/>
  <c r="E15" i="1" s="1"/>
  <c r="E17" i="1" s="1"/>
  <c r="E19" i="1" s="1"/>
  <c r="D11" i="1"/>
  <c r="D13" i="1" s="1"/>
  <c r="I5" i="1"/>
  <c r="I3" i="1"/>
  <c r="H7" i="2"/>
  <c r="G7" i="2"/>
  <c r="F7" i="2"/>
  <c r="E7" i="2"/>
  <c r="D7" i="2"/>
  <c r="H5" i="2"/>
  <c r="G5" i="2"/>
  <c r="F5" i="2"/>
  <c r="E5" i="2"/>
  <c r="D5" i="2"/>
  <c r="H3" i="2"/>
  <c r="G3" i="2"/>
  <c r="F3" i="2"/>
  <c r="E3" i="2"/>
  <c r="D3" i="2"/>
  <c r="G21" i="1" l="1"/>
  <c r="G23" i="1" s="1"/>
  <c r="G25" i="1" s="1"/>
  <c r="I13" i="1"/>
  <c r="I15" i="1" s="1"/>
  <c r="D15" i="1"/>
  <c r="D17" i="1" s="1"/>
  <c r="D19" i="1" s="1"/>
  <c r="D21" i="1" s="1"/>
  <c r="D23" i="1" s="1"/>
  <c r="F21" i="1"/>
  <c r="F23" i="1" s="1"/>
  <c r="F25" i="1" s="1"/>
  <c r="E21" i="1"/>
  <c r="E23" i="1" s="1"/>
  <c r="E25" i="1" s="1"/>
  <c r="D25" i="1" l="1"/>
  <c r="I23" i="1"/>
  <c r="I25" i="1" s="1"/>
  <c r="G11" i="2" l="1"/>
  <c r="G13" i="2" s="1"/>
  <c r="G15" i="2" s="1"/>
  <c r="G17" i="2" s="1"/>
  <c r="G19" i="2" s="1"/>
  <c r="F11" i="2"/>
  <c r="F13" i="2" s="1"/>
  <c r="F15" i="2" s="1"/>
  <c r="F17" i="2" s="1"/>
  <c r="F19" i="2" s="1"/>
  <c r="D11" i="2"/>
  <c r="D13" i="2" s="1"/>
  <c r="E11" i="2"/>
  <c r="E13" i="2" s="1"/>
  <c r="E15" i="2" s="1"/>
  <c r="E17" i="2" s="1"/>
  <c r="E19" i="2" s="1"/>
  <c r="E21" i="2" s="1"/>
  <c r="I5" i="2"/>
  <c r="I3" i="2"/>
  <c r="H7" i="5"/>
  <c r="G7" i="5"/>
  <c r="F7" i="5"/>
  <c r="E7" i="5"/>
  <c r="D7" i="5"/>
  <c r="H5" i="5"/>
  <c r="G5" i="5"/>
  <c r="F5" i="5"/>
  <c r="I5" i="5" s="1"/>
  <c r="E5" i="5"/>
  <c r="H3" i="5"/>
  <c r="G3" i="5"/>
  <c r="F3" i="5"/>
  <c r="E3" i="5"/>
  <c r="I3" i="5" s="1"/>
  <c r="E9" i="4"/>
  <c r="F9" i="4"/>
  <c r="G9" i="4"/>
  <c r="H9" i="4"/>
  <c r="D9" i="4"/>
  <c r="H7" i="6"/>
  <c r="G7" i="6"/>
  <c r="F7" i="6"/>
  <c r="E7" i="6"/>
  <c r="D7" i="6"/>
  <c r="H5" i="6"/>
  <c r="G5" i="6"/>
  <c r="F5" i="6"/>
  <c r="E5" i="6"/>
  <c r="I5" i="6" s="1"/>
  <c r="D5" i="6"/>
  <c r="H3" i="6"/>
  <c r="G3" i="6"/>
  <c r="F3" i="6"/>
  <c r="E3" i="6"/>
  <c r="D3" i="6"/>
  <c r="I3" i="6" s="1"/>
  <c r="H7" i="3"/>
  <c r="G7" i="3"/>
  <c r="G11" i="3" s="1"/>
  <c r="F7" i="3"/>
  <c r="E7" i="3"/>
  <c r="D7" i="3"/>
  <c r="H5" i="3"/>
  <c r="G5" i="3"/>
  <c r="F5" i="3"/>
  <c r="E5" i="3"/>
  <c r="D5" i="3"/>
  <c r="H3" i="3"/>
  <c r="I3" i="3" s="1"/>
  <c r="G3" i="3"/>
  <c r="F3" i="3"/>
  <c r="E3" i="3"/>
  <c r="D3" i="3"/>
  <c r="E23" i="2" l="1"/>
  <c r="E25" i="2" s="1"/>
  <c r="E9" i="6"/>
  <c r="E11" i="6" s="1"/>
  <c r="E13" i="6" s="1"/>
  <c r="E15" i="6" s="1"/>
  <c r="F21" i="2"/>
  <c r="G21" i="2"/>
  <c r="D15" i="2"/>
  <c r="D17" i="2" s="1"/>
  <c r="D19" i="2" s="1"/>
  <c r="D21" i="2" s="1"/>
  <c r="H11" i="2"/>
  <c r="H13" i="2" s="1"/>
  <c r="H15" i="2" s="1"/>
  <c r="H17" i="2" s="1"/>
  <c r="H19" i="2" s="1"/>
  <c r="H21" i="2" s="1"/>
  <c r="F11" i="3"/>
  <c r="F13" i="3" s="1"/>
  <c r="F15" i="3" s="1"/>
  <c r="F17" i="3" s="1"/>
  <c r="F19" i="3" s="1"/>
  <c r="F21" i="3" s="1"/>
  <c r="E11" i="3"/>
  <c r="E13" i="3" s="1"/>
  <c r="E15" i="3" s="1"/>
  <c r="E17" i="3" s="1"/>
  <c r="E19" i="3" s="1"/>
  <c r="E21" i="3" s="1"/>
  <c r="G13" i="3"/>
  <c r="G15" i="3" s="1"/>
  <c r="G17" i="3" s="1"/>
  <c r="G19" i="3" s="1"/>
  <c r="G21" i="3" s="1"/>
  <c r="I5" i="3"/>
  <c r="H11" i="3"/>
  <c r="H13" i="3" s="1"/>
  <c r="H15" i="3" s="1"/>
  <c r="H17" i="3" s="1"/>
  <c r="H19" i="3" s="1"/>
  <c r="H21" i="3" s="1"/>
  <c r="D11" i="3"/>
  <c r="D13" i="3" s="1"/>
  <c r="H23" i="3" l="1"/>
  <c r="H25" i="3" s="1"/>
  <c r="H9" i="5"/>
  <c r="H11" i="5" s="1"/>
  <c r="H13" i="5" s="1"/>
  <c r="H15" i="5" s="1"/>
  <c r="H17" i="5" s="1"/>
  <c r="H19" i="5" s="1"/>
  <c r="H21" i="5" s="1"/>
  <c r="H23" i="5" s="1"/>
  <c r="H25" i="5" s="1"/>
  <c r="G23" i="3"/>
  <c r="G25" i="3" s="1"/>
  <c r="G9" i="5"/>
  <c r="G11" i="5" s="1"/>
  <c r="G13" i="5" s="1"/>
  <c r="G15" i="5" s="1"/>
  <c r="G17" i="5" s="1"/>
  <c r="G19" i="5" s="1"/>
  <c r="G21" i="5" s="1"/>
  <c r="G23" i="5" s="1"/>
  <c r="G25" i="5" s="1"/>
  <c r="F23" i="3"/>
  <c r="F25" i="3" s="1"/>
  <c r="F9" i="5"/>
  <c r="F11" i="5" s="1"/>
  <c r="F13" i="5" s="1"/>
  <c r="F15" i="5" s="1"/>
  <c r="F17" i="5" s="1"/>
  <c r="F19" i="5" s="1"/>
  <c r="F21" i="5" s="1"/>
  <c r="F23" i="5" s="1"/>
  <c r="F25" i="5" s="1"/>
  <c r="E23" i="3"/>
  <c r="E25" i="3" s="1"/>
  <c r="E9" i="5"/>
  <c r="E11" i="5" s="1"/>
  <c r="E13" i="5" s="1"/>
  <c r="E15" i="5" s="1"/>
  <c r="E17" i="5" s="1"/>
  <c r="E19" i="5" s="1"/>
  <c r="E21" i="5" s="1"/>
  <c r="E23" i="5" s="1"/>
  <c r="E25" i="5" s="1"/>
  <c r="H23" i="2"/>
  <c r="H25" i="2" s="1"/>
  <c r="H9" i="6"/>
  <c r="H11" i="6" s="1"/>
  <c r="H13" i="6" s="1"/>
  <c r="H15" i="6" s="1"/>
  <c r="G23" i="2"/>
  <c r="G25" i="2" s="1"/>
  <c r="G9" i="6"/>
  <c r="G11" i="6" s="1"/>
  <c r="G13" i="6" s="1"/>
  <c r="G15" i="6" s="1"/>
  <c r="F23" i="2"/>
  <c r="F25" i="2" s="1"/>
  <c r="F9" i="6"/>
  <c r="F11" i="6" s="1"/>
  <c r="F13" i="6" s="1"/>
  <c r="F15" i="6" s="1"/>
  <c r="D23" i="2"/>
  <c r="D9" i="6"/>
  <c r="D11" i="6" s="1"/>
  <c r="D13" i="6" s="1"/>
  <c r="D25" i="2"/>
  <c r="I13" i="2"/>
  <c r="D15" i="3"/>
  <c r="D17" i="3" s="1"/>
  <c r="D19" i="3" s="1"/>
  <c r="D21" i="3" s="1"/>
  <c r="I13" i="3"/>
  <c r="D23" i="3" l="1"/>
  <c r="D9" i="5"/>
  <c r="D11" i="5" s="1"/>
  <c r="D13" i="5" s="1"/>
  <c r="I15" i="3"/>
  <c r="I23" i="2"/>
  <c r="I25" i="2" s="1"/>
  <c r="I13" i="6"/>
  <c r="D15" i="6"/>
  <c r="I15" i="2"/>
  <c r="D25" i="3"/>
  <c r="I23" i="3"/>
  <c r="I25" i="3" s="1"/>
  <c r="I28" i="3" l="1"/>
  <c r="D15" i="5"/>
  <c r="D17" i="5" s="1"/>
  <c r="D19" i="5" s="1"/>
  <c r="D21" i="5" s="1"/>
  <c r="D23" i="5" s="1"/>
  <c r="I13" i="5"/>
  <c r="I15" i="5" s="1"/>
  <c r="I15" i="6"/>
  <c r="I30" i="4"/>
  <c r="F11" i="4"/>
  <c r="F13" i="4" s="1"/>
  <c r="F15" i="4" s="1"/>
  <c r="F17" i="4" s="1"/>
  <c r="F19" i="4" s="1"/>
  <c r="F21" i="4" s="1"/>
  <c r="F23" i="4" s="1"/>
  <c r="F25" i="4" s="1"/>
  <c r="G11" i="4"/>
  <c r="G13" i="4" s="1"/>
  <c r="G15" i="4" s="1"/>
  <c r="G17" i="4" s="1"/>
  <c r="G19" i="4" s="1"/>
  <c r="G21" i="4" s="1"/>
  <c r="G23" i="4" s="1"/>
  <c r="G25" i="4" s="1"/>
  <c r="H11" i="4"/>
  <c r="H13" i="4" s="1"/>
  <c r="H15" i="4" s="1"/>
  <c r="H17" i="4" s="1"/>
  <c r="H19" i="4" s="1"/>
  <c r="H21" i="4" s="1"/>
  <c r="H23" i="4" s="1"/>
  <c r="H25" i="4" s="1"/>
  <c r="H7" i="4"/>
  <c r="G7" i="4"/>
  <c r="F7" i="4"/>
  <c r="E7" i="4"/>
  <c r="I5" i="4"/>
  <c r="H5" i="4"/>
  <c r="G5" i="4"/>
  <c r="F5" i="4"/>
  <c r="E5" i="4"/>
  <c r="I3" i="4"/>
  <c r="H3" i="4"/>
  <c r="G3" i="4"/>
  <c r="F3" i="4"/>
  <c r="E3" i="4"/>
  <c r="D11" i="4"/>
  <c r="D13" i="4" s="1"/>
  <c r="D15" i="4" s="1"/>
  <c r="D17" i="4" s="1"/>
  <c r="D19" i="4" s="1"/>
  <c r="D21" i="4" s="1"/>
  <c r="D23" i="4" s="1"/>
  <c r="D7" i="4"/>
  <c r="D25" i="5" l="1"/>
  <c r="I23" i="5"/>
  <c r="D25" i="4"/>
  <c r="E11" i="4"/>
  <c r="E13" i="4" s="1"/>
  <c r="I13" i="4" s="1"/>
  <c r="I25" i="5" l="1"/>
  <c r="E15" i="4"/>
  <c r="E17" i="4" s="1"/>
  <c r="E19" i="4" s="1"/>
  <c r="E21" i="4" s="1"/>
  <c r="E23" i="4" s="1"/>
  <c r="E25" i="4" l="1"/>
  <c r="I23" i="4"/>
  <c r="I25" i="4" s="1"/>
  <c r="I15" i="4" l="1"/>
</calcChain>
</file>

<file path=xl/sharedStrings.xml><?xml version="1.0" encoding="utf-8"?>
<sst xmlns="http://schemas.openxmlformats.org/spreadsheetml/2006/main" count="130" uniqueCount="37">
  <si>
    <t>Line No.</t>
  </si>
  <si>
    <t>Residential</t>
  </si>
  <si>
    <t>Revenue From 2019 Normalized Loads and Customers at Present Billing Rates (Note 1)</t>
  </si>
  <si>
    <t>August 2020 - July 2021 Usage</t>
  </si>
  <si>
    <t>Proposed Decoupling Recovery Rates</t>
  </si>
  <si>
    <t xml:space="preserve">Present Decoupling Surcharge Recovery Rates </t>
  </si>
  <si>
    <t>Incremental Decoupling Recovery Rates</t>
  </si>
  <si>
    <t>Incremental Decoupling Recovery</t>
  </si>
  <si>
    <t>Incremental Surcharge %</t>
  </si>
  <si>
    <t>3% Test Adjustment (2)</t>
  </si>
  <si>
    <t>3% Test Rate Adjustment</t>
  </si>
  <si>
    <t>Adjusted Proposed Decoupling Recovery Rates</t>
  </si>
  <si>
    <t>Adjusted Incremental Decoupling Recovery</t>
  </si>
  <si>
    <t>Adjusted Incremental Surcharge %</t>
  </si>
  <si>
    <t>Notes</t>
  </si>
  <si>
    <t>(2)  The carryover balances will differ from the 3% adjustment amounts due to the revenue related expense gross up partially offset by additional interest on the outstanding balance during the amortization period.</t>
  </si>
  <si>
    <t>Total WA</t>
  </si>
  <si>
    <t>Commerical</t>
  </si>
  <si>
    <t>Industrial</t>
  </si>
  <si>
    <t>Com-Ind</t>
  </si>
  <si>
    <t>Indust. Interr.</t>
  </si>
  <si>
    <t>(1)  Revenue from 2019 normalized loads and customers at present billing rates effective since March 1, 2020.</t>
  </si>
  <si>
    <t>3% Incremental Surcharge Test - 2019</t>
  </si>
  <si>
    <t>3% Incremental Surcharge Test - 2020</t>
  </si>
  <si>
    <t>overcollected in 2019 filing</t>
  </si>
  <si>
    <t>over refunded back in 2020 filing</t>
  </si>
  <si>
    <t>3% Incremental Surcharge Test - 2018</t>
  </si>
  <si>
    <t>Revenue From 2018 Normalized Loads and Customers at Present Billing Rates (Note 1)</t>
  </si>
  <si>
    <t xml:space="preserve">Revenue From 2017 Normalized Loads and Customers at Present Billing Rates </t>
  </si>
  <si>
    <t>August 2019 - July 2020 Usage</t>
  </si>
  <si>
    <t>3% Incremental Surcharge Test - 2017</t>
  </si>
  <si>
    <t xml:space="preserve">Revenue From 2016 Normalized Loads and Customers at Present Billing Rates </t>
  </si>
  <si>
    <t>August 2018 - July 2019 Usage Forecast</t>
  </si>
  <si>
    <t>August 2017 - July 2018 Usage Forecast</t>
  </si>
  <si>
    <t>Filed As</t>
  </si>
  <si>
    <t>Should have filed</t>
  </si>
  <si>
    <t>Filed as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</si>
</sst>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7" formatCode="_(&quot;$&quot;* #,##0_);_(&quot;$&quot;* \(#,##0\);_(&quot;$&quot;* &quot;-&quot;??_);_(@_)"/>
    <numFmt numFmtId="171" formatCode="0.00000_);\(0.00000\)"/>
    <numFmt numFmtId="175" formatCode="_(&quot;$&quot;* #,##0.00000_);_(&quot;$&quot;* \(#,##0.000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4" fontId="0" fillId="0" borderId="0" xfId="2" applyFont="1"/>
    <xf numFmtId="165" fontId="0" fillId="0" borderId="0" xfId="1" applyNumberFormat="1" applyFont="1"/>
    <xf numFmtId="167" fontId="0" fillId="0" borderId="0" xfId="2" applyNumberFormat="1" applyFont="1"/>
    <xf numFmtId="171" fontId="0" fillId="0" borderId="0" xfId="0" applyNumberFormat="1"/>
    <xf numFmtId="44" fontId="0" fillId="0" borderId="0" xfId="0" applyNumberFormat="1"/>
    <xf numFmtId="10" fontId="0" fillId="0" borderId="0" xfId="3" applyNumberFormat="1" applyFont="1"/>
    <xf numFmtId="175" fontId="0" fillId="0" borderId="0" xfId="0" applyNumberFormat="1"/>
    <xf numFmtId="171" fontId="0" fillId="2" borderId="0" xfId="0" applyNumberFormat="1" applyFill="1"/>
    <xf numFmtId="44" fontId="0" fillId="2" borderId="0" xfId="0" applyNumberFormat="1" applyFill="1"/>
    <xf numFmtId="0" fontId="0" fillId="2" borderId="0" xfId="0" applyFill="1"/>
    <xf numFmtId="4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center"/>
    </xf>
    <xf numFmtId="175" fontId="0" fillId="2" borderId="0" xfId="0" applyNumberFormat="1" applyFill="1"/>
    <xf numFmtId="0" fontId="0" fillId="0" borderId="0" xfId="0" applyFill="1"/>
    <xf numFmtId="44" fontId="0" fillId="0" borderId="0" xfId="0" applyNumberFormat="1" applyFill="1"/>
    <xf numFmtId="0" fontId="0" fillId="0" borderId="0" xfId="0" applyFill="1" applyAlignment="1">
      <alignment horizontal="center"/>
    </xf>
    <xf numFmtId="175" fontId="0" fillId="0" borderId="0" xfId="0" applyNumberFormat="1" applyFill="1"/>
    <xf numFmtId="44" fontId="0" fillId="4" borderId="0" xfId="2" applyFont="1" applyFill="1"/>
    <xf numFmtId="0" fontId="0" fillId="4" borderId="0" xfId="0" applyFill="1"/>
    <xf numFmtId="44" fontId="0" fillId="4" borderId="0" xfId="0" applyNumberForma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PGA%202020\Washington\DMA\E-Filed%209.15.20\NEW,%20CNGC%20Advice%20W20-09-03%20DMA%20WP,%2009-15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PGA%202019\Washington\DMA\NEW,%20CNGC%20Advice%20W19-09-03%20DMA%20WP,%2009-13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PGA%202018\WA\Decoupling\NEW,%20CNGC%20Advice%20W18-09-03%20DMA%20WP,%2009-17-2018%20-%20Cop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PGA%20-%20Archives%20Unzipped\PGA%202017\WA\Filings\Revised%20594\UG-171014%20Revised%20CNGC%20Advice%20W17-09-03%20Decoupling%20Adj%20WP%2010-19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DMA Summary of Def. Accts."/>
      <sheetName val="DMA Proposed Rate 594"/>
      <sheetName val="DMA Amount of Change"/>
      <sheetName val="DMA Cost by Class"/>
      <sheetName val="DMA Proposed Typical Bill"/>
      <sheetName val="Pipeline Workpapers---&gt;"/>
      <sheetName val="Ex-1"/>
      <sheetName val="Ex-2"/>
      <sheetName val="Ex-3"/>
      <sheetName val="Ex-4"/>
      <sheetName val="Earnings Test and 3% Test"/>
      <sheetName val="Workpapers---&gt;"/>
      <sheetName val="Balances at 12-31-2019"/>
      <sheetName val="Int calc thru 10-31-2020"/>
      <sheetName val="Amort Calc thru 10-31-2020"/>
      <sheetName val="EstimatedBalances"/>
      <sheetName val="Int during Amort"/>
      <sheetName val="Test Period Volumes"/>
      <sheetName val="Deferral RA 20477"/>
      <sheetName val="Amort 1862.20480"/>
      <sheetName val="Bills-Therms-Revs"/>
    </sheetNames>
    <sheetDataSet>
      <sheetData sheetId="0"/>
      <sheetData sheetId="1"/>
      <sheetData sheetId="2">
        <row r="12">
          <cell r="G12">
            <v>-9.1039999999999992E-3</v>
          </cell>
        </row>
        <row r="13">
          <cell r="E13">
            <v>-2.4135E-2</v>
          </cell>
        </row>
        <row r="14">
          <cell r="E14">
            <v>-1.9082999999999999E-2</v>
          </cell>
        </row>
        <row r="15">
          <cell r="E15">
            <v>-1.4174000000000001E-2</v>
          </cell>
        </row>
        <row r="16">
          <cell r="E16">
            <v>1.1991E-2</v>
          </cell>
        </row>
      </sheetData>
      <sheetData sheetId="3">
        <row r="13">
          <cell r="F13">
            <v>88299944.040802553</v>
          </cell>
          <cell r="H13">
            <v>79262367</v>
          </cell>
        </row>
        <row r="14">
          <cell r="F14">
            <v>14482049.656409066</v>
          </cell>
          <cell r="H14">
            <v>9601453</v>
          </cell>
        </row>
        <row r="15">
          <cell r="F15">
            <v>27088723.120386221</v>
          </cell>
          <cell r="H15">
            <v>18277286</v>
          </cell>
        </row>
        <row r="16">
          <cell r="F16">
            <v>2291417.0980023355</v>
          </cell>
          <cell r="H16">
            <v>1421635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DMA Summary of Def. Accts."/>
      <sheetName val="DMA Proposed Rate 594"/>
      <sheetName val="DMA Amount of Change"/>
      <sheetName val="DMA Cost by Class"/>
      <sheetName val="DMA Proposed Typical Bill"/>
      <sheetName val="Pipeline Workpapers---&gt;"/>
      <sheetName val="Ex-1"/>
      <sheetName val="Ex-2"/>
      <sheetName val="Ex-3"/>
      <sheetName val="Ex-4"/>
      <sheetName val="Earnings Test and 3% Test"/>
      <sheetName val="Workpapers---&gt;"/>
      <sheetName val="Balances at 12-31-2018"/>
      <sheetName val="Int calc thru 10-31-2019"/>
      <sheetName val="Amort Calc thru 10-31-2019"/>
      <sheetName val="EstimatedBalances"/>
      <sheetName val="Int during Amort"/>
      <sheetName val="Test Period Volumes"/>
      <sheetName val="Deferral RA 20477"/>
      <sheetName val="Amort 1862.20480"/>
      <sheetName val="Bills-Therms-Revs"/>
    </sheetNames>
    <sheetDataSet>
      <sheetData sheetId="0" refreshError="1"/>
      <sheetData sheetId="1" refreshError="1"/>
      <sheetData sheetId="2">
        <row r="12">
          <cell r="D12">
            <v>2.5850000000000001E-2</v>
          </cell>
          <cell r="G12">
            <v>1.3897E-2</v>
          </cell>
        </row>
        <row r="13">
          <cell r="G13">
            <v>8.0999999999999996E-4</v>
          </cell>
        </row>
        <row r="14">
          <cell r="G14">
            <v>-1.9540999999999999E-2</v>
          </cell>
        </row>
        <row r="15">
          <cell r="G15">
            <v>-5.8459999999999996E-3</v>
          </cell>
        </row>
        <row r="16">
          <cell r="G16">
            <v>1.9061000000000002E-2</v>
          </cell>
        </row>
      </sheetData>
      <sheetData sheetId="3">
        <row r="12">
          <cell r="F12">
            <v>126254321.86672723</v>
          </cell>
          <cell r="H12">
            <v>109651123</v>
          </cell>
        </row>
        <row r="13">
          <cell r="F13">
            <v>91432235.805835694</v>
          </cell>
          <cell r="H13">
            <v>71195921</v>
          </cell>
        </row>
        <row r="14">
          <cell r="F14">
            <v>13193653.109642731</v>
          </cell>
          <cell r="H14">
            <v>8775211</v>
          </cell>
        </row>
        <row r="15">
          <cell r="F15">
            <v>14916789.141241657</v>
          </cell>
          <cell r="H15">
            <v>8617203</v>
          </cell>
        </row>
        <row r="16">
          <cell r="F16">
            <v>2384124.076552704</v>
          </cell>
          <cell r="H16">
            <v>1223950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DMA Summary of Def. Accts."/>
      <sheetName val="DMA Proposed Rate 594"/>
      <sheetName val="DMA Amount of Change"/>
      <sheetName val="DMA Cost by Class"/>
      <sheetName val="DMA Proposed Typical Bill"/>
      <sheetName val="Pipeline Workpapers---&gt;"/>
      <sheetName val="Ex-1"/>
      <sheetName val="Ex-2"/>
      <sheetName val="Ex-3"/>
      <sheetName val="Ex-4"/>
      <sheetName val="Earnings Test and 3% Test"/>
      <sheetName val="Workpapers---&gt;"/>
      <sheetName val="Balances at 12-31-2017"/>
      <sheetName val="Int calc thru 10-31-2018"/>
      <sheetName val="EstimatedBalances"/>
      <sheetName val="Amort Calc thru 10-31-2018"/>
      <sheetName val="Int during Amort"/>
      <sheetName val="Test Period Volumes"/>
      <sheetName val="Deferral RA 20477"/>
      <sheetName val="Amort 1862.20480"/>
      <sheetName val="Bills-Therms-Revs"/>
    </sheetNames>
    <sheetDataSet>
      <sheetData sheetId="0" refreshError="1"/>
      <sheetData sheetId="1" refreshError="1"/>
      <sheetData sheetId="2">
        <row r="12">
          <cell r="D12">
            <v>1.41E-3</v>
          </cell>
          <cell r="G12">
            <v>-2.5847999999999999E-2</v>
          </cell>
        </row>
        <row r="13">
          <cell r="G13">
            <v>-3.0450000000000001E-2</v>
          </cell>
        </row>
        <row r="14">
          <cell r="G14">
            <v>-5.0684E-2</v>
          </cell>
        </row>
        <row r="15">
          <cell r="G15">
            <v>3.212E-3</v>
          </cell>
        </row>
        <row r="16">
          <cell r="G16">
            <v>7.509E-3</v>
          </cell>
        </row>
      </sheetData>
      <sheetData sheetId="3">
        <row r="12">
          <cell r="F12">
            <v>120761916.60802943</v>
          </cell>
          <cell r="H12">
            <v>115712024</v>
          </cell>
        </row>
        <row r="13">
          <cell r="F13">
            <v>85789305.268135309</v>
          </cell>
          <cell r="H13">
            <v>74328878</v>
          </cell>
        </row>
        <row r="14">
          <cell r="F14">
            <v>12424358.728348296</v>
          </cell>
          <cell r="H14">
            <v>8588587</v>
          </cell>
        </row>
        <row r="15">
          <cell r="F15">
            <v>14072730.724713795</v>
          </cell>
          <cell r="H15">
            <v>9092266</v>
          </cell>
        </row>
        <row r="16">
          <cell r="F16">
            <v>2177105.6707731728</v>
          </cell>
          <cell r="H16">
            <v>1251852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DMA Summary of Def. Accts."/>
      <sheetName val="DMA Proposed Rate 594"/>
      <sheetName val="DMA Amount of Change"/>
      <sheetName val="DMA Cost by Class"/>
      <sheetName val="DMA Proposed Typical Bill"/>
      <sheetName val="Pipeline Workpapers---&gt;"/>
      <sheetName val="Ex-1"/>
      <sheetName val="Ex-2"/>
      <sheetName val="Ex-3"/>
      <sheetName val="Ex-4"/>
      <sheetName val="Workpapers---&gt;"/>
      <sheetName val="Balances at 12-31-2016"/>
      <sheetName val="Int calc thru 10-31-2017"/>
      <sheetName val="EstimatedBalances"/>
      <sheetName val="Int during Amort"/>
      <sheetName val="Test Period Volumes"/>
      <sheetName val="Bills-Therms-Revs"/>
      <sheetName val="proposed WA Rates 11-1-17"/>
    </sheetNames>
    <sheetDataSet>
      <sheetData sheetId="0" refreshError="1"/>
      <sheetData sheetId="1" refreshError="1"/>
      <sheetData sheetId="2">
        <row r="13">
          <cell r="G13">
            <v>-1.4120000000000001E-3</v>
          </cell>
        </row>
        <row r="14">
          <cell r="G14">
            <v>1.256E-3</v>
          </cell>
        </row>
        <row r="16">
          <cell r="G16">
            <v>-1.8113000000000001E-2</v>
          </cell>
        </row>
        <row r="17">
          <cell r="G17">
            <v>8.0450000000000001E-3</v>
          </cell>
        </row>
        <row r="18">
          <cell r="G18">
            <v>-3.7160000000000001E-3</v>
          </cell>
        </row>
      </sheetData>
      <sheetData sheetId="3">
        <row r="13">
          <cell r="F13">
            <v>127993341</v>
          </cell>
          <cell r="H13">
            <v>113247259</v>
          </cell>
        </row>
        <row r="14">
          <cell r="F14">
            <v>91224806</v>
          </cell>
          <cell r="H14">
            <v>72867675</v>
          </cell>
        </row>
        <row r="15">
          <cell r="F15">
            <v>11950882</v>
          </cell>
          <cell r="H15">
            <v>7976157</v>
          </cell>
        </row>
        <row r="16">
          <cell r="F16">
            <v>12698939</v>
          </cell>
          <cell r="H16">
            <v>7981691</v>
          </cell>
        </row>
        <row r="18">
          <cell r="F18">
            <v>3520163</v>
          </cell>
          <cell r="H18">
            <v>1831637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C3EFA-CDEE-42ED-A9BF-C8463D5E15A1}">
  <dimension ref="A1:P29"/>
  <sheetViews>
    <sheetView workbookViewId="0">
      <selection activeCell="B6" sqref="B6"/>
    </sheetView>
  </sheetViews>
  <sheetFormatPr defaultRowHeight="15" x14ac:dyDescent="0.25"/>
  <cols>
    <col min="1" max="1" width="9.140625" style="1"/>
    <col min="2" max="2" width="76.28515625" customWidth="1"/>
    <col min="3" max="3" width="1.7109375" customWidth="1"/>
    <col min="4" max="4" width="16.28515625" bestFit="1" customWidth="1"/>
    <col min="5" max="5" width="15.85546875" bestFit="1" customWidth="1"/>
    <col min="6" max="8" width="15.85546875" customWidth="1"/>
    <col min="9" max="9" width="16.28515625" bestFit="1" customWidth="1"/>
  </cols>
  <sheetData>
    <row r="1" spans="1:9" x14ac:dyDescent="0.25">
      <c r="A1" s="1" t="s">
        <v>0</v>
      </c>
      <c r="B1" s="1" t="s">
        <v>30</v>
      </c>
      <c r="D1" s="1" t="s">
        <v>1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16</v>
      </c>
    </row>
    <row r="2" spans="1:9" x14ac:dyDescent="0.25">
      <c r="D2" s="1">
        <v>503</v>
      </c>
      <c r="E2" s="1">
        <v>504</v>
      </c>
      <c r="F2" s="1">
        <v>505</v>
      </c>
      <c r="G2" s="1">
        <v>511</v>
      </c>
      <c r="H2" s="1">
        <v>570</v>
      </c>
    </row>
    <row r="3" spans="1:9" x14ac:dyDescent="0.25">
      <c r="A3" s="1">
        <v>1</v>
      </c>
      <c r="B3" t="s">
        <v>31</v>
      </c>
      <c r="D3" s="5">
        <f>+'[4]DMA Amount of Change'!$H$13</f>
        <v>113247259</v>
      </c>
      <c r="E3" s="5">
        <f>+'[4]DMA Amount of Change'!$H$14</f>
        <v>72867675</v>
      </c>
      <c r="F3" s="5">
        <f>+'[4]DMA Amount of Change'!$H$15</f>
        <v>7976157</v>
      </c>
      <c r="G3" s="5">
        <f>+'[4]DMA Amount of Change'!$H$16</f>
        <v>7981691</v>
      </c>
      <c r="H3" s="5">
        <f>+'[4]DMA Amount of Change'!$H$18</f>
        <v>1831637</v>
      </c>
      <c r="I3" s="5">
        <f>SUM(D3:H3)</f>
        <v>203904419</v>
      </c>
    </row>
    <row r="4" spans="1:9" x14ac:dyDescent="0.25">
      <c r="I4" s="5"/>
    </row>
    <row r="5" spans="1:9" x14ac:dyDescent="0.25">
      <c r="A5" s="1">
        <v>2</v>
      </c>
      <c r="B5" t="s">
        <v>33</v>
      </c>
      <c r="D5" s="4">
        <f>+'[4]DMA Amount of Change'!$F$12+'[4]DMA Amount of Change'!$F$13</f>
        <v>127993341</v>
      </c>
      <c r="E5" s="4">
        <f>+'[4]DMA Amount of Change'!$F$14</f>
        <v>91224806</v>
      </c>
      <c r="F5" s="4">
        <f>+'[4]DMA Amount of Change'!$F$15</f>
        <v>11950882</v>
      </c>
      <c r="G5" s="4">
        <f>+'[4]DMA Amount of Change'!$F$16+'[4]DMA Amount of Change'!$F$17</f>
        <v>12698939</v>
      </c>
      <c r="H5" s="4">
        <f>+'[4]DMA Amount of Change'!$F$18+'[4]DMA Amount of Change'!$F$19</f>
        <v>3520163</v>
      </c>
      <c r="I5" s="4">
        <f t="shared" ref="I5:I13" si="0">SUM(D5:H5)</f>
        <v>247388131</v>
      </c>
    </row>
    <row r="6" spans="1:9" x14ac:dyDescent="0.25">
      <c r="I6" s="4"/>
    </row>
    <row r="7" spans="1:9" x14ac:dyDescent="0.25">
      <c r="A7" s="1">
        <v>3</v>
      </c>
      <c r="B7" t="s">
        <v>4</v>
      </c>
      <c r="D7" s="6">
        <f>+'[4]DMA Proposed Rate 594'!$G$13</f>
        <v>-1.4120000000000001E-3</v>
      </c>
      <c r="E7" s="6">
        <f>+'[4]DMA Proposed Rate 594'!$G$14</f>
        <v>1.256E-3</v>
      </c>
      <c r="F7" s="6">
        <f>+'[4]DMA Proposed Rate 594'!$G$17</f>
        <v>8.0450000000000001E-3</v>
      </c>
      <c r="G7" s="6">
        <f>+'[4]DMA Proposed Rate 594'!$G$16</f>
        <v>-1.8113000000000001E-2</v>
      </c>
      <c r="H7" s="6">
        <f>+'[4]DMA Proposed Rate 594'!$G$18</f>
        <v>-3.7160000000000001E-3</v>
      </c>
      <c r="I7" s="4"/>
    </row>
    <row r="8" spans="1:9" x14ac:dyDescent="0.25">
      <c r="I8" s="4"/>
    </row>
    <row r="9" spans="1:9" x14ac:dyDescent="0.25">
      <c r="A9" s="1">
        <v>4</v>
      </c>
      <c r="B9" t="s">
        <v>5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4"/>
    </row>
    <row r="10" spans="1:9" x14ac:dyDescent="0.25">
      <c r="I10" s="4"/>
    </row>
    <row r="11" spans="1:9" x14ac:dyDescent="0.25">
      <c r="A11" s="1">
        <v>5</v>
      </c>
      <c r="B11" t="s">
        <v>6</v>
      </c>
      <c r="D11" s="6">
        <f>+D7-D9</f>
        <v>-1.4120000000000001E-3</v>
      </c>
      <c r="E11" s="6">
        <f>+E7-E9</f>
        <v>1.256E-3</v>
      </c>
      <c r="F11" s="6">
        <f t="shared" ref="F11:H11" si="1">+F7-F9</f>
        <v>8.0450000000000001E-3</v>
      </c>
      <c r="G11" s="6">
        <f t="shared" si="1"/>
        <v>-1.8113000000000001E-2</v>
      </c>
      <c r="H11" s="6">
        <f t="shared" si="1"/>
        <v>-3.7160000000000001E-3</v>
      </c>
      <c r="I11" s="4"/>
    </row>
    <row r="12" spans="1:9" x14ac:dyDescent="0.25">
      <c r="I12" s="4"/>
    </row>
    <row r="13" spans="1:9" x14ac:dyDescent="0.25">
      <c r="A13" s="1">
        <v>6</v>
      </c>
      <c r="B13" t="s">
        <v>7</v>
      </c>
      <c r="D13" s="3">
        <f>+D11*D5</f>
        <v>-180726.597492</v>
      </c>
      <c r="E13" s="3">
        <f>+E11*E5</f>
        <v>114578.356336</v>
      </c>
      <c r="F13" s="3">
        <f t="shared" ref="F13:H13" si="2">+F11*F5</f>
        <v>96144.845690000002</v>
      </c>
      <c r="G13" s="3">
        <f t="shared" si="2"/>
        <v>-230015.88210700001</v>
      </c>
      <c r="H13" s="3">
        <f t="shared" si="2"/>
        <v>-13080.925708000001</v>
      </c>
      <c r="I13" s="3">
        <f t="shared" si="0"/>
        <v>-213100.20328099999</v>
      </c>
    </row>
    <row r="15" spans="1:9" x14ac:dyDescent="0.25">
      <c r="A15" s="1">
        <v>7</v>
      </c>
      <c r="B15" t="s">
        <v>8</v>
      </c>
      <c r="D15" s="8">
        <f>+D13/D3</f>
        <v>-1.5958584701109631E-3</v>
      </c>
      <c r="E15" s="8">
        <f t="shared" ref="E15:I15" si="3">+E13/E3</f>
        <v>1.5724167998498648E-3</v>
      </c>
      <c r="F15" s="8">
        <f t="shared" si="3"/>
        <v>1.2054031244620686E-2</v>
      </c>
      <c r="G15" s="8">
        <f t="shared" si="3"/>
        <v>-2.881793871837434E-2</v>
      </c>
      <c r="H15" s="8">
        <f t="shared" si="3"/>
        <v>-7.1416583678971324E-3</v>
      </c>
      <c r="I15" s="8">
        <f t="shared" si="3"/>
        <v>-1.0450985041231499E-3</v>
      </c>
    </row>
    <row r="17" spans="1:16" x14ac:dyDescent="0.25">
      <c r="A17" s="1">
        <v>8</v>
      </c>
      <c r="B17" t="s">
        <v>9</v>
      </c>
      <c r="D17" s="3">
        <f>IF(D15&gt;0.03,D3*0.03-D13,0)</f>
        <v>0</v>
      </c>
      <c r="E17" s="3">
        <f t="shared" ref="E17:H17" si="4">IF(E15&gt;0.03,E3*0.03-E13,0)</f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</row>
    <row r="19" spans="1:16" x14ac:dyDescent="0.25">
      <c r="A19" s="1">
        <v>9</v>
      </c>
      <c r="B19" t="s">
        <v>10</v>
      </c>
      <c r="D19" s="3">
        <f>ROUND(D17/D5,5)</f>
        <v>0</v>
      </c>
      <c r="E19" s="3">
        <f t="shared" ref="E19:H19" si="5">ROUND(E17/E5,5)</f>
        <v>0</v>
      </c>
      <c r="F19" s="3">
        <f t="shared" si="5"/>
        <v>0</v>
      </c>
      <c r="G19" s="3">
        <f t="shared" si="5"/>
        <v>0</v>
      </c>
      <c r="H19" s="3">
        <f t="shared" si="5"/>
        <v>0</v>
      </c>
    </row>
    <row r="21" spans="1:16" x14ac:dyDescent="0.25">
      <c r="A21" s="1">
        <v>10</v>
      </c>
      <c r="B21" t="s">
        <v>11</v>
      </c>
      <c r="D21" s="20">
        <f>+D7+D19</f>
        <v>-1.4120000000000001E-3</v>
      </c>
      <c r="E21" s="20">
        <f t="shared" ref="E21:H21" si="6">+E7+E19</f>
        <v>1.256E-3</v>
      </c>
      <c r="F21" s="20">
        <f t="shared" si="6"/>
        <v>8.0450000000000001E-3</v>
      </c>
      <c r="G21" s="20">
        <f t="shared" si="6"/>
        <v>-1.8113000000000001E-2</v>
      </c>
      <c r="H21" s="20">
        <f t="shared" si="6"/>
        <v>-3.7160000000000001E-3</v>
      </c>
    </row>
    <row r="23" spans="1:16" x14ac:dyDescent="0.25">
      <c r="A23" s="1">
        <v>11</v>
      </c>
      <c r="B23" t="s">
        <v>12</v>
      </c>
      <c r="D23" s="3">
        <f>(D21-D9)*D5</f>
        <v>-180726.597492</v>
      </c>
      <c r="E23" s="3">
        <f t="shared" ref="E23:H23" si="7">(E21-E9)*E5</f>
        <v>114578.356336</v>
      </c>
      <c r="F23" s="3">
        <f t="shared" si="7"/>
        <v>96144.845690000002</v>
      </c>
      <c r="G23" s="3">
        <f t="shared" si="7"/>
        <v>-230015.88210700001</v>
      </c>
      <c r="H23" s="3">
        <f t="shared" si="7"/>
        <v>-13080.925708000001</v>
      </c>
      <c r="I23" s="7">
        <f>SUM(D23:H23)</f>
        <v>-213100.20328099999</v>
      </c>
    </row>
    <row r="25" spans="1:16" x14ac:dyDescent="0.25">
      <c r="A25" s="1">
        <v>12</v>
      </c>
      <c r="B25" t="s">
        <v>13</v>
      </c>
      <c r="D25" s="8">
        <f>+D23/D3</f>
        <v>-1.5958584701109631E-3</v>
      </c>
      <c r="E25" s="8">
        <f t="shared" ref="E25:I25" si="8">+E23/E3</f>
        <v>1.5724167998498648E-3</v>
      </c>
      <c r="F25" s="8">
        <f t="shared" si="8"/>
        <v>1.2054031244620686E-2</v>
      </c>
      <c r="G25" s="8">
        <f t="shared" si="8"/>
        <v>-2.881793871837434E-2</v>
      </c>
      <c r="H25" s="8">
        <f t="shared" si="8"/>
        <v>-7.1416583678971324E-3</v>
      </c>
      <c r="I25" s="8">
        <f t="shared" si="8"/>
        <v>-1.0450985041231499E-3</v>
      </c>
    </row>
    <row r="27" spans="1:16" x14ac:dyDescent="0.25">
      <c r="B27" t="s">
        <v>14</v>
      </c>
      <c r="I27" s="17"/>
      <c r="J27" s="17"/>
      <c r="K27" s="17"/>
      <c r="L27" s="17"/>
      <c r="M27" s="17"/>
      <c r="N27" s="17"/>
      <c r="O27" s="17"/>
      <c r="P27" s="17"/>
    </row>
    <row r="28" spans="1:16" x14ac:dyDescent="0.25">
      <c r="B28" s="2"/>
      <c r="I28" s="18"/>
      <c r="J28" s="19"/>
      <c r="K28" s="19"/>
      <c r="L28" s="19"/>
      <c r="M28" s="17"/>
      <c r="N28" s="17"/>
      <c r="O28" s="17"/>
      <c r="P28" s="17"/>
    </row>
    <row r="29" spans="1:16" x14ac:dyDescent="0.25">
      <c r="B29" s="2"/>
    </row>
  </sheetData>
  <mergeCells count="1">
    <mergeCell ref="J28:L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E7928-AE0F-4213-82A4-4C019BF9A9A7}">
  <dimension ref="A1:P29"/>
  <sheetViews>
    <sheetView workbookViewId="0">
      <selection activeCell="B33" sqref="B33"/>
    </sheetView>
  </sheetViews>
  <sheetFormatPr defaultRowHeight="15" x14ac:dyDescent="0.25"/>
  <cols>
    <col min="1" max="1" width="9.140625" style="1"/>
    <col min="2" max="2" width="76.28515625" customWidth="1"/>
    <col min="3" max="3" width="1.7109375" customWidth="1"/>
    <col min="4" max="4" width="16.28515625" bestFit="1" customWidth="1"/>
    <col min="5" max="5" width="15.85546875" bestFit="1" customWidth="1"/>
    <col min="6" max="8" width="15.85546875" customWidth="1"/>
    <col min="9" max="9" width="16.28515625" bestFit="1" customWidth="1"/>
  </cols>
  <sheetData>
    <row r="1" spans="1:9" x14ac:dyDescent="0.25">
      <c r="A1" s="1" t="s">
        <v>0</v>
      </c>
      <c r="B1" s="1" t="s">
        <v>26</v>
      </c>
      <c r="D1" s="1" t="s">
        <v>1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16</v>
      </c>
    </row>
    <row r="2" spans="1:9" x14ac:dyDescent="0.25">
      <c r="D2" s="1">
        <v>503</v>
      </c>
      <c r="E2" s="1">
        <v>504</v>
      </c>
      <c r="F2" s="1">
        <v>505</v>
      </c>
      <c r="G2" s="1">
        <v>511</v>
      </c>
      <c r="H2" s="1">
        <v>570</v>
      </c>
    </row>
    <row r="3" spans="1:9" x14ac:dyDescent="0.25">
      <c r="A3" s="1">
        <v>1</v>
      </c>
      <c r="B3" t="s">
        <v>28</v>
      </c>
      <c r="D3" s="5">
        <f>+'[3]DMA Amount of Change'!$H$12</f>
        <v>115712024</v>
      </c>
      <c r="E3" s="5">
        <f>+'[3]DMA Amount of Change'!$H$13</f>
        <v>74328878</v>
      </c>
      <c r="F3" s="5">
        <f>+'[3]DMA Amount of Change'!$H$14</f>
        <v>8588587</v>
      </c>
      <c r="G3" s="5">
        <f>+'[3]DMA Amount of Change'!$H$15</f>
        <v>9092266</v>
      </c>
      <c r="H3" s="5">
        <f>+'[3]DMA Amount of Change'!$H$16</f>
        <v>1251852</v>
      </c>
      <c r="I3" s="5">
        <f>SUM(D3:H3)</f>
        <v>208973607</v>
      </c>
    </row>
    <row r="4" spans="1:9" x14ac:dyDescent="0.25">
      <c r="I4" s="5"/>
    </row>
    <row r="5" spans="1:9" x14ac:dyDescent="0.25">
      <c r="A5" s="1">
        <v>2</v>
      </c>
      <c r="B5" t="s">
        <v>32</v>
      </c>
      <c r="D5" s="4">
        <f>+'[3]DMA Amount of Change'!$F$12</f>
        <v>120761916.60802943</v>
      </c>
      <c r="E5" s="4">
        <f>+'[3]DMA Amount of Change'!$F$13</f>
        <v>85789305.268135309</v>
      </c>
      <c r="F5" s="4">
        <f>+'[3]DMA Amount of Change'!$F$14</f>
        <v>12424358.728348296</v>
      </c>
      <c r="G5" s="4">
        <f>+'[3]DMA Amount of Change'!$F$15</f>
        <v>14072730.724713795</v>
      </c>
      <c r="H5" s="4">
        <f>+'[3]DMA Amount of Change'!$F$16</f>
        <v>2177105.6707731728</v>
      </c>
      <c r="I5" s="4">
        <f t="shared" ref="I5:I13" si="0">SUM(D5:H5)</f>
        <v>235225417</v>
      </c>
    </row>
    <row r="6" spans="1:9" x14ac:dyDescent="0.25">
      <c r="I6" s="4"/>
    </row>
    <row r="7" spans="1:9" x14ac:dyDescent="0.25">
      <c r="A7" s="1">
        <v>3</v>
      </c>
      <c r="B7" t="s">
        <v>4</v>
      </c>
      <c r="D7" s="6">
        <f>+'[3]DMA Proposed Rate 594'!$G$12</f>
        <v>-2.5847999999999999E-2</v>
      </c>
      <c r="E7" s="6">
        <f>+'[3]DMA Proposed Rate 594'!$G$13</f>
        <v>-3.0450000000000001E-2</v>
      </c>
      <c r="F7" s="6">
        <f>+'[3]DMA Proposed Rate 594'!$G$15</f>
        <v>3.212E-3</v>
      </c>
      <c r="G7" s="6">
        <f>+'[3]DMA Proposed Rate 594'!$G$14</f>
        <v>-5.0684E-2</v>
      </c>
      <c r="H7" s="6">
        <f>+'[3]DMA Proposed Rate 594'!$G$16</f>
        <v>7.509E-3</v>
      </c>
      <c r="I7" s="4"/>
    </row>
    <row r="8" spans="1:9" x14ac:dyDescent="0.25">
      <c r="I8" s="4"/>
    </row>
    <row r="9" spans="1:9" x14ac:dyDescent="0.25">
      <c r="A9" s="1">
        <v>4</v>
      </c>
      <c r="B9" t="s">
        <v>5</v>
      </c>
      <c r="D9" s="6">
        <f>+'2017 - Filed'!D21</f>
        <v>-1.4120000000000001E-3</v>
      </c>
      <c r="E9" s="6">
        <f>+'2017 - Filed'!E21</f>
        <v>1.256E-3</v>
      </c>
      <c r="F9" s="6">
        <f>+'2017 - Filed'!F21</f>
        <v>8.0450000000000001E-3</v>
      </c>
      <c r="G9" s="6">
        <f>+'2017 - Filed'!G21</f>
        <v>-1.8113000000000001E-2</v>
      </c>
      <c r="H9" s="6">
        <f>+'2017 - Filed'!H21</f>
        <v>-3.7160000000000001E-3</v>
      </c>
      <c r="I9" s="4"/>
    </row>
    <row r="10" spans="1:9" x14ac:dyDescent="0.25">
      <c r="I10" s="4"/>
    </row>
    <row r="11" spans="1:9" x14ac:dyDescent="0.25">
      <c r="A11" s="1">
        <v>5</v>
      </c>
      <c r="B11" t="s">
        <v>6</v>
      </c>
      <c r="D11" s="6">
        <f>+D7-D9</f>
        <v>-2.4435999999999999E-2</v>
      </c>
      <c r="E11" s="6">
        <f>+E7-E9</f>
        <v>-3.1705999999999998E-2</v>
      </c>
      <c r="F11" s="6">
        <f t="shared" ref="F11:H11" si="1">+F7-F9</f>
        <v>-4.8330000000000005E-3</v>
      </c>
      <c r="G11" s="6">
        <f t="shared" si="1"/>
        <v>-3.2571000000000003E-2</v>
      </c>
      <c r="H11" s="6">
        <f t="shared" si="1"/>
        <v>1.1225000000000001E-2</v>
      </c>
      <c r="I11" s="4"/>
    </row>
    <row r="12" spans="1:9" x14ac:dyDescent="0.25">
      <c r="I12" s="4"/>
    </row>
    <row r="13" spans="1:9" x14ac:dyDescent="0.25">
      <c r="A13" s="1">
        <v>6</v>
      </c>
      <c r="B13" t="s">
        <v>7</v>
      </c>
      <c r="D13" s="3">
        <f>+D11*D5</f>
        <v>-2950938.1942338068</v>
      </c>
      <c r="E13" s="3">
        <f>+E11*E5</f>
        <v>-2720035.7128314981</v>
      </c>
      <c r="F13" s="3">
        <f t="shared" ref="F13:H13" si="2">+F11*F5</f>
        <v>-60046.925734107324</v>
      </c>
      <c r="G13" s="3">
        <f t="shared" si="2"/>
        <v>-458362.91243465303</v>
      </c>
      <c r="H13" s="3">
        <f t="shared" si="2"/>
        <v>24438.011154428867</v>
      </c>
      <c r="I13" s="3">
        <f t="shared" si="0"/>
        <v>-6164945.7340796366</v>
      </c>
    </row>
    <row r="15" spans="1:9" x14ac:dyDescent="0.25">
      <c r="A15" s="1">
        <v>7</v>
      </c>
      <c r="B15" t="s">
        <v>8</v>
      </c>
      <c r="D15" s="8">
        <f>+D13/D3</f>
        <v>-2.5502433474275818E-2</v>
      </c>
      <c r="E15" s="8">
        <f t="shared" ref="E15:I15" si="3">+E13/E3</f>
        <v>-3.659460207150575E-2</v>
      </c>
      <c r="F15" s="8">
        <f t="shared" si="3"/>
        <v>-6.9914790097727747E-3</v>
      </c>
      <c r="G15" s="8">
        <f t="shared" si="3"/>
        <v>-5.0412395813612697E-2</v>
      </c>
      <c r="H15" s="8">
        <f t="shared" si="3"/>
        <v>1.9521485890048398E-2</v>
      </c>
      <c r="I15" s="8">
        <f t="shared" si="3"/>
        <v>-2.9501073473262279E-2</v>
      </c>
    </row>
    <row r="17" spans="1:16" x14ac:dyDescent="0.25">
      <c r="A17" s="1">
        <v>8</v>
      </c>
      <c r="B17" t="s">
        <v>9</v>
      </c>
      <c r="D17" s="3">
        <f>IF(D15&gt;0.03,D3*0.03-D13,0)</f>
        <v>0</v>
      </c>
      <c r="E17" s="3">
        <f t="shared" ref="E17:H17" si="4">IF(E15&gt;0.03,E3*0.03-E13,0)</f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</row>
    <row r="19" spans="1:16" x14ac:dyDescent="0.25">
      <c r="A19" s="1">
        <v>9</v>
      </c>
      <c r="B19" t="s">
        <v>10</v>
      </c>
      <c r="D19" s="3">
        <f>ROUND(D17/D5,5)</f>
        <v>0</v>
      </c>
      <c r="E19" s="3">
        <f t="shared" ref="E19:H19" si="5">ROUND(E17/E5,5)</f>
        <v>0</v>
      </c>
      <c r="F19" s="3">
        <f t="shared" si="5"/>
        <v>0</v>
      </c>
      <c r="G19" s="3">
        <f t="shared" si="5"/>
        <v>0</v>
      </c>
      <c r="H19" s="3">
        <f t="shared" si="5"/>
        <v>0</v>
      </c>
    </row>
    <row r="21" spans="1:16" x14ac:dyDescent="0.25">
      <c r="A21" s="1">
        <v>10</v>
      </c>
      <c r="B21" t="s">
        <v>11</v>
      </c>
      <c r="D21" s="20">
        <f>+D7+D19</f>
        <v>-2.5847999999999999E-2</v>
      </c>
      <c r="E21" s="20">
        <f t="shared" ref="E21:H21" si="6">+E7+E19</f>
        <v>-3.0450000000000001E-2</v>
      </c>
      <c r="F21" s="20">
        <f t="shared" si="6"/>
        <v>3.212E-3</v>
      </c>
      <c r="G21" s="20">
        <f t="shared" si="6"/>
        <v>-5.0684E-2</v>
      </c>
      <c r="H21" s="20">
        <f t="shared" si="6"/>
        <v>7.509E-3</v>
      </c>
    </row>
    <row r="23" spans="1:16" x14ac:dyDescent="0.25">
      <c r="A23" s="1">
        <v>11</v>
      </c>
      <c r="B23" t="s">
        <v>12</v>
      </c>
      <c r="D23" s="3">
        <f>(D21-D9)*D5</f>
        <v>-2950938.1942338068</v>
      </c>
      <c r="E23" s="3">
        <f t="shared" ref="E23:H23" si="7">(E21-E9)*E5</f>
        <v>-2720035.7128314981</v>
      </c>
      <c r="F23" s="3">
        <f t="shared" si="7"/>
        <v>-60046.925734107324</v>
      </c>
      <c r="G23" s="3">
        <f t="shared" si="7"/>
        <v>-458362.91243465303</v>
      </c>
      <c r="H23" s="3">
        <f t="shared" si="7"/>
        <v>24438.011154428867</v>
      </c>
      <c r="I23" s="7">
        <f>SUM(D23:H23)</f>
        <v>-6164945.7340796366</v>
      </c>
    </row>
    <row r="25" spans="1:16" x14ac:dyDescent="0.25">
      <c r="A25" s="1">
        <v>12</v>
      </c>
      <c r="B25" t="s">
        <v>13</v>
      </c>
      <c r="D25" s="8">
        <f>+D23/D3</f>
        <v>-2.5502433474275818E-2</v>
      </c>
      <c r="E25" s="8">
        <f t="shared" ref="E25:I25" si="8">+E23/E3</f>
        <v>-3.659460207150575E-2</v>
      </c>
      <c r="F25" s="8">
        <f t="shared" si="8"/>
        <v>-6.9914790097727747E-3</v>
      </c>
      <c r="G25" s="8">
        <f t="shared" si="8"/>
        <v>-5.0412395813612697E-2</v>
      </c>
      <c r="H25" s="8">
        <f t="shared" si="8"/>
        <v>1.9521485890048398E-2</v>
      </c>
      <c r="I25" s="8">
        <f t="shared" si="8"/>
        <v>-2.9501073473262279E-2</v>
      </c>
    </row>
    <row r="27" spans="1:16" x14ac:dyDescent="0.25">
      <c r="B27" t="s">
        <v>14</v>
      </c>
      <c r="I27" s="17"/>
      <c r="J27" s="17"/>
      <c r="K27" s="17"/>
      <c r="L27" s="17"/>
      <c r="M27" s="17"/>
      <c r="N27" s="17"/>
      <c r="O27" s="17"/>
      <c r="P27" s="17"/>
    </row>
    <row r="28" spans="1:16" x14ac:dyDescent="0.25">
      <c r="B28" s="2"/>
      <c r="I28" s="18"/>
      <c r="J28" s="19"/>
      <c r="K28" s="19"/>
      <c r="L28" s="19"/>
      <c r="M28" s="17"/>
      <c r="N28" s="17"/>
      <c r="O28" s="17"/>
      <c r="P28" s="17"/>
    </row>
    <row r="29" spans="1:16" x14ac:dyDescent="0.25">
      <c r="B29" s="2"/>
    </row>
  </sheetData>
  <mergeCells count="1">
    <mergeCell ref="J28:L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45A4A-3C48-4E24-A15B-074C6C0B112E}">
  <dimension ref="A1:L29"/>
  <sheetViews>
    <sheetView workbookViewId="0">
      <selection activeCell="J23" sqref="J23"/>
    </sheetView>
  </sheetViews>
  <sheetFormatPr defaultRowHeight="15" x14ac:dyDescent="0.25"/>
  <cols>
    <col min="1" max="1" width="9.140625" style="1"/>
    <col min="2" max="2" width="76.28515625" customWidth="1"/>
    <col min="3" max="3" width="1.7109375" customWidth="1"/>
    <col min="4" max="4" width="16.28515625" bestFit="1" customWidth="1"/>
    <col min="5" max="5" width="15.85546875" bestFit="1" customWidth="1"/>
    <col min="6" max="8" width="15.85546875" customWidth="1"/>
    <col min="9" max="9" width="16.28515625" bestFit="1" customWidth="1"/>
  </cols>
  <sheetData>
    <row r="1" spans="1:10" x14ac:dyDescent="0.25">
      <c r="A1" s="1" t="s">
        <v>0</v>
      </c>
      <c r="B1" s="1" t="s">
        <v>22</v>
      </c>
      <c r="D1" s="1" t="s">
        <v>1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16</v>
      </c>
    </row>
    <row r="2" spans="1:10" x14ac:dyDescent="0.25">
      <c r="D2" s="1">
        <v>503</v>
      </c>
      <c r="E2" s="1">
        <v>504</v>
      </c>
      <c r="F2" s="1">
        <v>505</v>
      </c>
      <c r="G2" s="1">
        <v>511</v>
      </c>
      <c r="H2" s="1">
        <v>570</v>
      </c>
    </row>
    <row r="3" spans="1:10" x14ac:dyDescent="0.25">
      <c r="A3" s="1">
        <v>1</v>
      </c>
      <c r="B3" t="s">
        <v>27</v>
      </c>
      <c r="D3" s="5">
        <f>+'[2]DMA Amount of Change'!$H$12</f>
        <v>109651123</v>
      </c>
      <c r="E3" s="5">
        <f>+'[2]DMA Amount of Change'!$H$13</f>
        <v>71195921</v>
      </c>
      <c r="F3" s="5">
        <f>+'[2]DMA Amount of Change'!$H$14</f>
        <v>8775211</v>
      </c>
      <c r="G3" s="5">
        <f>+'[2]DMA Amount of Change'!$H$15</f>
        <v>8617203</v>
      </c>
      <c r="H3" s="5">
        <f>+'[2]DMA Amount of Change'!$H$16</f>
        <v>1223950</v>
      </c>
      <c r="I3" s="5">
        <f>SUM(D3:H3)</f>
        <v>199463408</v>
      </c>
    </row>
    <row r="4" spans="1:10" x14ac:dyDescent="0.25">
      <c r="I4" s="5"/>
    </row>
    <row r="5" spans="1:10" x14ac:dyDescent="0.25">
      <c r="A5" s="1">
        <v>2</v>
      </c>
      <c r="B5" t="s">
        <v>3</v>
      </c>
      <c r="D5" s="4">
        <f>+'[2]DMA Amount of Change'!$F$12</f>
        <v>126254321.86672723</v>
      </c>
      <c r="E5" s="4">
        <f>+'[2]DMA Amount of Change'!$F$13</f>
        <v>91432235.805835694</v>
      </c>
      <c r="F5" s="4">
        <f>+'[2]DMA Amount of Change'!$F$14</f>
        <v>13193653.109642731</v>
      </c>
      <c r="G5" s="4">
        <f>++'[2]DMA Amount of Change'!$F$15</f>
        <v>14916789.141241657</v>
      </c>
      <c r="H5" s="4">
        <f>+'[2]DMA Amount of Change'!$F$16</f>
        <v>2384124.076552704</v>
      </c>
      <c r="I5" s="4">
        <f t="shared" ref="I5:I13" si="0">SUM(D5:H5)</f>
        <v>248181124.00000006</v>
      </c>
    </row>
    <row r="6" spans="1:10" x14ac:dyDescent="0.25">
      <c r="I6" s="4"/>
    </row>
    <row r="7" spans="1:10" x14ac:dyDescent="0.25">
      <c r="A7" s="1">
        <v>3</v>
      </c>
      <c r="B7" t="s">
        <v>4</v>
      </c>
      <c r="D7" s="6">
        <f>+'[2]DMA Proposed Rate 594'!$G$12</f>
        <v>1.3897E-2</v>
      </c>
      <c r="E7" s="6">
        <f>+'[2]DMA Proposed Rate 594'!$G$13</f>
        <v>8.0999999999999996E-4</v>
      </c>
      <c r="F7" s="6">
        <f>+'[2]DMA Proposed Rate 594'!$G$15</f>
        <v>-5.8459999999999996E-3</v>
      </c>
      <c r="G7" s="6">
        <f>+'[2]DMA Proposed Rate 594'!$G$14</f>
        <v>-1.9540999999999999E-2</v>
      </c>
      <c r="H7" s="6">
        <f>+'[2]DMA Proposed Rate 594'!$G$16</f>
        <v>1.9061000000000002E-2</v>
      </c>
      <c r="I7" s="4"/>
    </row>
    <row r="8" spans="1:10" x14ac:dyDescent="0.25">
      <c r="I8" s="4"/>
    </row>
    <row r="9" spans="1:10" x14ac:dyDescent="0.25">
      <c r="A9" s="1">
        <v>4</v>
      </c>
      <c r="B9" t="s">
        <v>5</v>
      </c>
      <c r="D9" s="6">
        <f>+'2018 - Filed'!D21</f>
        <v>-2.5847999999999999E-2</v>
      </c>
      <c r="E9" s="6">
        <f>+'2018 - Filed'!E21</f>
        <v>-3.0450000000000001E-2</v>
      </c>
      <c r="F9" s="6">
        <f>+'2018 - Filed'!F21</f>
        <v>3.212E-3</v>
      </c>
      <c r="G9" s="6">
        <f>+'2018 - Filed'!G21</f>
        <v>-5.0684E-2</v>
      </c>
      <c r="H9" s="6">
        <f>+'2018 - Filed'!H21</f>
        <v>7.509E-3</v>
      </c>
      <c r="I9" s="4"/>
    </row>
    <row r="10" spans="1:10" x14ac:dyDescent="0.25">
      <c r="I10" s="4"/>
    </row>
    <row r="11" spans="1:10" x14ac:dyDescent="0.25">
      <c r="A11" s="1">
        <v>5</v>
      </c>
      <c r="B11" t="s">
        <v>6</v>
      </c>
      <c r="D11" s="6">
        <f>+D7-D9</f>
        <v>3.9745000000000003E-2</v>
      </c>
      <c r="E11" s="6">
        <f>+E7-E9</f>
        <v>3.1260000000000003E-2</v>
      </c>
      <c r="F11" s="6">
        <f t="shared" ref="F11:H11" si="1">+F7-F9</f>
        <v>-9.0580000000000001E-3</v>
      </c>
      <c r="G11" s="6">
        <f t="shared" si="1"/>
        <v>3.1143000000000001E-2</v>
      </c>
      <c r="H11" s="6">
        <f t="shared" si="1"/>
        <v>1.1552000000000002E-2</v>
      </c>
      <c r="I11" s="4"/>
    </row>
    <row r="12" spans="1:10" x14ac:dyDescent="0.25">
      <c r="I12" s="4"/>
    </row>
    <row r="13" spans="1:10" x14ac:dyDescent="0.25">
      <c r="A13" s="1">
        <v>6</v>
      </c>
      <c r="B13" t="s">
        <v>7</v>
      </c>
      <c r="D13" s="3">
        <f>+D11*D5</f>
        <v>5017978.0225930745</v>
      </c>
      <c r="E13" s="3">
        <f>+E11*E5</f>
        <v>2858171.6912904242</v>
      </c>
      <c r="F13" s="3">
        <f t="shared" ref="F13:H13" si="2">+F11*F5</f>
        <v>-119508.10986714385</v>
      </c>
      <c r="G13" s="3">
        <f t="shared" si="2"/>
        <v>464553.56422568893</v>
      </c>
      <c r="H13" s="3">
        <f t="shared" si="2"/>
        <v>27541.401332336842</v>
      </c>
      <c r="I13" s="21">
        <f t="shared" si="0"/>
        <v>8248736.5695743803</v>
      </c>
      <c r="J13" s="22" t="s">
        <v>34</v>
      </c>
    </row>
    <row r="15" spans="1:10" x14ac:dyDescent="0.25">
      <c r="A15" s="1">
        <v>7</v>
      </c>
      <c r="B15" t="s">
        <v>8</v>
      </c>
      <c r="D15" s="8">
        <f>+D13/D3</f>
        <v>4.5763124766110004E-2</v>
      </c>
      <c r="E15" s="8">
        <f t="shared" ref="E15:I15" si="3">+E13/E3</f>
        <v>4.0145160721924283E-2</v>
      </c>
      <c r="F15" s="8">
        <f t="shared" si="3"/>
        <v>-1.3618830346887824E-2</v>
      </c>
      <c r="G15" s="8">
        <f t="shared" si="3"/>
        <v>5.3910017464563496E-2</v>
      </c>
      <c r="H15" s="8">
        <f t="shared" si="3"/>
        <v>2.2502064081324272E-2</v>
      </c>
      <c r="I15" s="8">
        <f t="shared" si="3"/>
        <v>4.1354635681219186E-2</v>
      </c>
    </row>
    <row r="17" spans="1:12" x14ac:dyDescent="0.25">
      <c r="A17" s="1">
        <v>8</v>
      </c>
      <c r="B17" t="s">
        <v>9</v>
      </c>
      <c r="D17" s="3">
        <f>IF(D15&gt;0.03,D3*0.03-D13,0)</f>
        <v>-1728444.3325930745</v>
      </c>
      <c r="E17" s="3">
        <f t="shared" ref="E17:H17" si="4">IF(E15&gt;0.03,E3*0.03-E13,0)</f>
        <v>-722294.06129042432</v>
      </c>
      <c r="F17" s="3">
        <f t="shared" si="4"/>
        <v>0</v>
      </c>
      <c r="G17" s="3">
        <f t="shared" si="4"/>
        <v>-206037.47422568893</v>
      </c>
      <c r="H17" s="3">
        <f t="shared" si="4"/>
        <v>0</v>
      </c>
    </row>
    <row r="19" spans="1:12" x14ac:dyDescent="0.25">
      <c r="A19" s="1">
        <v>9</v>
      </c>
      <c r="B19" t="s">
        <v>10</v>
      </c>
      <c r="D19" s="3">
        <f>ROUND(D17/D5,5)</f>
        <v>-1.3690000000000001E-2</v>
      </c>
      <c r="E19" s="3">
        <f t="shared" ref="E19:H19" si="5">ROUND(E17/E5,5)</f>
        <v>-7.9000000000000008E-3</v>
      </c>
      <c r="F19" s="3">
        <f t="shared" si="5"/>
        <v>0</v>
      </c>
      <c r="G19" s="3">
        <f t="shared" si="5"/>
        <v>-1.3809999999999999E-2</v>
      </c>
      <c r="H19" s="3">
        <f t="shared" si="5"/>
        <v>0</v>
      </c>
    </row>
    <row r="21" spans="1:12" x14ac:dyDescent="0.25">
      <c r="A21" s="1">
        <v>10</v>
      </c>
      <c r="B21" t="s">
        <v>11</v>
      </c>
      <c r="D21" s="16">
        <f>+D7+D19</f>
        <v>2.0699999999999885E-4</v>
      </c>
      <c r="E21" s="16">
        <f t="shared" ref="E21:H21" si="6">+E7+E19</f>
        <v>-7.0900000000000008E-3</v>
      </c>
      <c r="F21" s="16">
        <f t="shared" si="6"/>
        <v>-5.8459999999999996E-3</v>
      </c>
      <c r="G21" s="16">
        <f t="shared" si="6"/>
        <v>-3.3350999999999999E-2</v>
      </c>
      <c r="H21" s="16">
        <f t="shared" si="6"/>
        <v>1.9061000000000002E-2</v>
      </c>
    </row>
    <row r="23" spans="1:12" x14ac:dyDescent="0.25">
      <c r="A23" s="1">
        <v>11</v>
      </c>
      <c r="B23" t="s">
        <v>12</v>
      </c>
      <c r="D23" s="3">
        <f>(D21-D9)*D5</f>
        <v>3289556.3562375777</v>
      </c>
      <c r="E23" s="3">
        <f t="shared" ref="E23:H23" si="7">(E21-E9)*E5</f>
        <v>2135857.0284243217</v>
      </c>
      <c r="F23" s="3">
        <f t="shared" si="7"/>
        <v>-119508.10986714385</v>
      </c>
      <c r="G23" s="3">
        <f t="shared" si="7"/>
        <v>258552.70618514167</v>
      </c>
      <c r="H23" s="3">
        <f t="shared" si="7"/>
        <v>27541.401332336842</v>
      </c>
      <c r="I23" s="11">
        <f>SUM(D23:H23)</f>
        <v>5591999.3823122345</v>
      </c>
      <c r="J23" s="12" t="s">
        <v>35</v>
      </c>
      <c r="K23" s="12"/>
    </row>
    <row r="25" spans="1:12" x14ac:dyDescent="0.25">
      <c r="A25" s="1">
        <v>12</v>
      </c>
      <c r="B25" t="s">
        <v>13</v>
      </c>
      <c r="D25" s="8">
        <f>+D23/D3</f>
        <v>3.0000206712315913E-2</v>
      </c>
      <c r="E25" s="8">
        <f t="shared" ref="E25:I25" si="8">+E23/E3</f>
        <v>2.9999710635449491E-2</v>
      </c>
      <c r="F25" s="8">
        <f t="shared" si="8"/>
        <v>-1.3618830346887824E-2</v>
      </c>
      <c r="G25" s="8">
        <f t="shared" si="8"/>
        <v>3.0004249196072284E-2</v>
      </c>
      <c r="H25" s="8">
        <f t="shared" si="8"/>
        <v>2.2502064081324272E-2</v>
      </c>
      <c r="I25" s="8">
        <f t="shared" si="8"/>
        <v>2.8035214270039115E-2</v>
      </c>
    </row>
    <row r="27" spans="1:12" x14ac:dyDescent="0.25">
      <c r="B27" t="s">
        <v>14</v>
      </c>
    </row>
    <row r="28" spans="1:12" x14ac:dyDescent="0.25">
      <c r="B28" s="2"/>
      <c r="I28" s="13">
        <f>+I13-I23</f>
        <v>2656737.1872621458</v>
      </c>
      <c r="J28" s="15" t="s">
        <v>24</v>
      </c>
      <c r="K28" s="15"/>
      <c r="L28" s="15"/>
    </row>
    <row r="29" spans="1:12" x14ac:dyDescent="0.25">
      <c r="B29" s="2"/>
    </row>
  </sheetData>
  <mergeCells count="1">
    <mergeCell ref="J28:L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00EE9-ED71-47AB-9366-2D769A505641}">
  <dimension ref="A1:M29"/>
  <sheetViews>
    <sheetView workbookViewId="0">
      <selection activeCell="I23" sqref="I23"/>
    </sheetView>
  </sheetViews>
  <sheetFormatPr defaultRowHeight="15" x14ac:dyDescent="0.25"/>
  <cols>
    <col min="1" max="1" width="9.140625" style="1"/>
    <col min="2" max="2" width="76.28515625" customWidth="1"/>
    <col min="3" max="3" width="1.7109375" customWidth="1"/>
    <col min="4" max="4" width="16.28515625" bestFit="1" customWidth="1"/>
    <col min="5" max="5" width="15.85546875" bestFit="1" customWidth="1"/>
    <col min="6" max="8" width="15.85546875" customWidth="1"/>
    <col min="9" max="9" width="16.28515625" bestFit="1" customWidth="1"/>
    <col min="11" max="11" width="15" bestFit="1" customWidth="1"/>
  </cols>
  <sheetData>
    <row r="1" spans="1:13" x14ac:dyDescent="0.25">
      <c r="A1" s="1" t="s">
        <v>0</v>
      </c>
      <c r="B1" s="1" t="s">
        <v>23</v>
      </c>
      <c r="D1" s="1" t="s">
        <v>1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16</v>
      </c>
    </row>
    <row r="2" spans="1:13" x14ac:dyDescent="0.25">
      <c r="D2" s="1">
        <v>503</v>
      </c>
      <c r="E2" s="1">
        <v>504</v>
      </c>
      <c r="F2" s="1">
        <v>505</v>
      </c>
      <c r="G2" s="1">
        <v>511</v>
      </c>
      <c r="H2" s="1">
        <v>570</v>
      </c>
    </row>
    <row r="3" spans="1:13" x14ac:dyDescent="0.25">
      <c r="A3" s="1">
        <v>1</v>
      </c>
      <c r="B3" t="s">
        <v>2</v>
      </c>
      <c r="D3" s="5">
        <v>129784520</v>
      </c>
      <c r="E3" s="5">
        <f>+'[1]DMA Amount of Change'!$H$13</f>
        <v>79262367</v>
      </c>
      <c r="F3" s="5">
        <f>+'[1]DMA Amount of Change'!$H$14</f>
        <v>9601453</v>
      </c>
      <c r="G3" s="5">
        <f>+'[1]DMA Amount of Change'!$H$15</f>
        <v>18277286</v>
      </c>
      <c r="H3" s="5">
        <f>+'[1]DMA Amount of Change'!$H$16</f>
        <v>1421635</v>
      </c>
      <c r="I3" s="5">
        <f>SUM(D3:H3)</f>
        <v>238347261</v>
      </c>
    </row>
    <row r="4" spans="1:13" x14ac:dyDescent="0.25">
      <c r="I4" s="5"/>
    </row>
    <row r="5" spans="1:13" x14ac:dyDescent="0.25">
      <c r="A5" s="1">
        <v>2</v>
      </c>
      <c r="B5" t="s">
        <v>3</v>
      </c>
      <c r="D5" s="4">
        <v>127118966</v>
      </c>
      <c r="E5" s="4">
        <f>+'[1]DMA Amount of Change'!$F$13</f>
        <v>88299944.040802553</v>
      </c>
      <c r="F5" s="4">
        <f>+'[1]DMA Amount of Change'!$F$14</f>
        <v>14482049.656409066</v>
      </c>
      <c r="G5" s="4">
        <f>+'[1]DMA Amount of Change'!$F$15</f>
        <v>27088723.120386221</v>
      </c>
      <c r="H5" s="4">
        <f>+'[1]DMA Amount of Change'!$F$16</f>
        <v>2291417.0980023355</v>
      </c>
      <c r="I5" s="4">
        <f t="shared" ref="I5:I13" si="0">SUM(D5:H5)</f>
        <v>259281099.91560015</v>
      </c>
    </row>
    <row r="6" spans="1:13" x14ac:dyDescent="0.25">
      <c r="I6" s="4"/>
    </row>
    <row r="7" spans="1:13" x14ac:dyDescent="0.25">
      <c r="A7" s="1">
        <v>3</v>
      </c>
      <c r="B7" t="s">
        <v>4</v>
      </c>
      <c r="D7" s="6">
        <f>+'[1]DMA Proposed Rate 594'!$G$12</f>
        <v>-9.1039999999999992E-3</v>
      </c>
      <c r="E7" s="6">
        <f>+'[1]DMA Proposed Rate 594'!$E$13</f>
        <v>-2.4135E-2</v>
      </c>
      <c r="F7" s="6">
        <f>+'[1]DMA Proposed Rate 594'!$E$15</f>
        <v>-1.4174000000000001E-2</v>
      </c>
      <c r="G7" s="6">
        <f>+'[1]DMA Proposed Rate 594'!$E$14</f>
        <v>-1.9082999999999999E-2</v>
      </c>
      <c r="H7" s="6">
        <f>+'[1]DMA Proposed Rate 594'!$E$16</f>
        <v>1.1991E-2</v>
      </c>
      <c r="I7" s="4"/>
    </row>
    <row r="8" spans="1:13" x14ac:dyDescent="0.25">
      <c r="I8" s="4"/>
    </row>
    <row r="9" spans="1:13" x14ac:dyDescent="0.25">
      <c r="A9" s="1">
        <v>4</v>
      </c>
      <c r="B9" t="s">
        <v>5</v>
      </c>
      <c r="D9" s="10">
        <f>+'2019 Should Be'!D21</f>
        <v>2.0699999999999885E-4</v>
      </c>
      <c r="E9" s="10">
        <f>+'2019 Should Be'!E21</f>
        <v>-7.0900000000000008E-3</v>
      </c>
      <c r="F9" s="10">
        <f>+'2019 Should Be'!F21</f>
        <v>-5.8459999999999996E-3</v>
      </c>
      <c r="G9" s="10">
        <f>+'2019 Should Be'!G21</f>
        <v>-3.3350999999999999E-2</v>
      </c>
      <c r="H9" s="10">
        <f>+'2019 Should Be'!H21</f>
        <v>1.9061000000000002E-2</v>
      </c>
      <c r="I9" s="4"/>
    </row>
    <row r="10" spans="1:13" x14ac:dyDescent="0.25">
      <c r="I10" s="4"/>
    </row>
    <row r="11" spans="1:13" x14ac:dyDescent="0.25">
      <c r="A11" s="1">
        <v>5</v>
      </c>
      <c r="B11" t="s">
        <v>6</v>
      </c>
      <c r="D11" s="6">
        <f>+D7-D9</f>
        <v>-9.3109999999999981E-3</v>
      </c>
      <c r="E11" s="6">
        <f>+E7-E9</f>
        <v>-1.7044999999999998E-2</v>
      </c>
      <c r="F11" s="6">
        <f t="shared" ref="F11:H11" si="1">+F7-F9</f>
        <v>-8.3280000000000021E-3</v>
      </c>
      <c r="G11" s="6">
        <f t="shared" si="1"/>
        <v>1.4267999999999999E-2</v>
      </c>
      <c r="H11" s="6">
        <f t="shared" si="1"/>
        <v>-7.0700000000000016E-3</v>
      </c>
      <c r="I11" s="4"/>
    </row>
    <row r="12" spans="1:13" x14ac:dyDescent="0.25">
      <c r="I12" s="4"/>
    </row>
    <row r="13" spans="1:13" x14ac:dyDescent="0.25">
      <c r="A13" s="1">
        <v>6</v>
      </c>
      <c r="B13" t="s">
        <v>7</v>
      </c>
      <c r="D13" s="3">
        <f>+D11*D5</f>
        <v>-1183604.6924259998</v>
      </c>
      <c r="E13" s="3">
        <f>+E11*E5</f>
        <v>-1505072.5461754794</v>
      </c>
      <c r="F13" s="3">
        <f t="shared" ref="F13:H13" si="2">+F11*F5</f>
        <v>-120606.50953857473</v>
      </c>
      <c r="G13" s="3">
        <f t="shared" si="2"/>
        <v>386501.90148167056</v>
      </c>
      <c r="H13" s="3">
        <f t="shared" si="2"/>
        <v>-16200.318882876516</v>
      </c>
      <c r="I13" s="3">
        <f t="shared" si="0"/>
        <v>-2438982.16554126</v>
      </c>
      <c r="K13" s="23">
        <f>+'2020 - Filed'!I13</f>
        <v>-5250905.6342961341</v>
      </c>
      <c r="L13" s="22" t="s">
        <v>36</v>
      </c>
      <c r="M13" s="22"/>
    </row>
    <row r="15" spans="1:13" x14ac:dyDescent="0.25">
      <c r="A15" s="1">
        <v>7</v>
      </c>
      <c r="B15" t="s">
        <v>8</v>
      </c>
      <c r="D15" s="8">
        <f>+D13/D3</f>
        <v>-9.1197678461653192E-3</v>
      </c>
      <c r="E15" s="8">
        <f t="shared" ref="E15:I15" si="3">+E13/E3</f>
        <v>-1.8988488524137558E-2</v>
      </c>
      <c r="F15" s="8">
        <f t="shared" si="3"/>
        <v>-1.2561276875341131E-2</v>
      </c>
      <c r="G15" s="8">
        <f t="shared" si="3"/>
        <v>2.1146569653813514E-2</v>
      </c>
      <c r="H15" s="8">
        <f t="shared" si="3"/>
        <v>-1.1395554332072941E-2</v>
      </c>
      <c r="I15" s="8">
        <f t="shared" si="3"/>
        <v>-1.0232893616265471E-2</v>
      </c>
    </row>
    <row r="17" spans="1:12" x14ac:dyDescent="0.25">
      <c r="A17" s="1">
        <v>8</v>
      </c>
      <c r="B17" t="s">
        <v>9</v>
      </c>
      <c r="D17" s="3">
        <f>IF(D15&gt;0.03,D3*0.03-D13,0)</f>
        <v>0</v>
      </c>
      <c r="E17" s="3">
        <f t="shared" ref="E17:H17" si="4">IF(E15&gt;0.03,E3*0.03-E13,0)</f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</row>
    <row r="19" spans="1:12" x14ac:dyDescent="0.25">
      <c r="A19" s="1">
        <v>9</v>
      </c>
      <c r="B19" t="s">
        <v>10</v>
      </c>
      <c r="D19" s="3">
        <f>ROUND(D17/D5,5)</f>
        <v>0</v>
      </c>
      <c r="E19" s="3">
        <f t="shared" ref="E19:H19" si="5">ROUND(E17/E5,5)</f>
        <v>0</v>
      </c>
      <c r="F19" s="3">
        <f t="shared" si="5"/>
        <v>0</v>
      </c>
      <c r="G19" s="3">
        <f t="shared" si="5"/>
        <v>0</v>
      </c>
      <c r="H19" s="3">
        <f t="shared" si="5"/>
        <v>0</v>
      </c>
    </row>
    <row r="21" spans="1:12" x14ac:dyDescent="0.25">
      <c r="A21" s="1">
        <v>10</v>
      </c>
      <c r="B21" t="s">
        <v>11</v>
      </c>
      <c r="D21" s="9">
        <f>+D7+D19</f>
        <v>-9.1039999999999992E-3</v>
      </c>
      <c r="E21" s="9">
        <f t="shared" ref="E21:H21" si="6">+E7+E19</f>
        <v>-2.4135E-2</v>
      </c>
      <c r="F21" s="9">
        <f t="shared" si="6"/>
        <v>-1.4174000000000001E-2</v>
      </c>
      <c r="G21" s="9">
        <f t="shared" si="6"/>
        <v>-1.9082999999999999E-2</v>
      </c>
      <c r="H21" s="9">
        <f t="shared" si="6"/>
        <v>1.1991E-2</v>
      </c>
    </row>
    <row r="23" spans="1:12" x14ac:dyDescent="0.25">
      <c r="A23" s="1">
        <v>11</v>
      </c>
      <c r="B23" t="s">
        <v>12</v>
      </c>
      <c r="D23" s="3">
        <f>(D21-D9)*D5</f>
        <v>-1183604.6924259998</v>
      </c>
      <c r="E23" s="3">
        <f t="shared" ref="E23:H23" si="7">(E21-E9)*E5</f>
        <v>-1505072.5461754794</v>
      </c>
      <c r="F23" s="3">
        <f t="shared" si="7"/>
        <v>-120606.50953857473</v>
      </c>
      <c r="G23" s="3">
        <f t="shared" si="7"/>
        <v>386501.90148167056</v>
      </c>
      <c r="H23" s="3">
        <f t="shared" si="7"/>
        <v>-16200.318882876516</v>
      </c>
      <c r="I23" s="11">
        <f>SUM(D23:H23)</f>
        <v>-2438982.16554126</v>
      </c>
      <c r="J23" s="12" t="s">
        <v>35</v>
      </c>
      <c r="K23" s="12"/>
    </row>
    <row r="25" spans="1:12" x14ac:dyDescent="0.25">
      <c r="A25" s="1">
        <v>12</v>
      </c>
      <c r="B25" t="s">
        <v>13</v>
      </c>
      <c r="D25" s="8">
        <f>+D23/D3</f>
        <v>-9.1197678461653192E-3</v>
      </c>
      <c r="E25" s="8">
        <f t="shared" ref="E25:I25" si="8">+E23/E3</f>
        <v>-1.8988488524137558E-2</v>
      </c>
      <c r="F25" s="8">
        <f t="shared" si="8"/>
        <v>-1.2561276875341131E-2</v>
      </c>
      <c r="G25" s="8">
        <f t="shared" si="8"/>
        <v>2.1146569653813514E-2</v>
      </c>
      <c r="H25" s="8">
        <f t="shared" si="8"/>
        <v>-1.1395554332072941E-2</v>
      </c>
      <c r="I25" s="8">
        <f t="shared" si="8"/>
        <v>-1.0232893616265471E-2</v>
      </c>
    </row>
    <row r="27" spans="1:12" x14ac:dyDescent="0.25">
      <c r="B27" t="s">
        <v>14</v>
      </c>
    </row>
    <row r="28" spans="1:12" ht="30" x14ac:dyDescent="0.25">
      <c r="B28" s="2" t="s">
        <v>21</v>
      </c>
    </row>
    <row r="29" spans="1:12" ht="45" x14ac:dyDescent="0.25">
      <c r="B29" s="2" t="s">
        <v>15</v>
      </c>
      <c r="I29" s="13">
        <f>+K13-I23</f>
        <v>-2811923.4687548741</v>
      </c>
      <c r="J29" s="14" t="s">
        <v>25</v>
      </c>
      <c r="K29" s="14"/>
      <c r="L29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638A-FBCB-4006-B4EB-5EAD8EF7762F}">
  <dimension ref="A1:I15"/>
  <sheetViews>
    <sheetView workbookViewId="0">
      <selection activeCell="H10" sqref="H10"/>
    </sheetView>
  </sheetViews>
  <sheetFormatPr defaultRowHeight="15" x14ac:dyDescent="0.25"/>
  <cols>
    <col min="1" max="1" width="8.28515625" bestFit="1" customWidth="1"/>
    <col min="2" max="2" width="78.7109375" bestFit="1" customWidth="1"/>
    <col min="4" max="5" width="14.28515625" bestFit="1" customWidth="1"/>
    <col min="6" max="6" width="13.42578125" bestFit="1" customWidth="1"/>
    <col min="7" max="7" width="12.5703125" bestFit="1" customWidth="1"/>
    <col min="8" max="8" width="13.28515625" bestFit="1" customWidth="1"/>
    <col min="9" max="9" width="14.28515625" bestFit="1" customWidth="1"/>
  </cols>
  <sheetData>
    <row r="1" spans="1:9" x14ac:dyDescent="0.25">
      <c r="A1" s="1" t="s">
        <v>0</v>
      </c>
      <c r="B1" s="1" t="s">
        <v>22</v>
      </c>
      <c r="D1" s="1" t="s">
        <v>1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16</v>
      </c>
    </row>
    <row r="2" spans="1:9" x14ac:dyDescent="0.25">
      <c r="A2" s="1"/>
      <c r="D2" s="1">
        <v>503</v>
      </c>
      <c r="E2" s="1">
        <v>504</v>
      </c>
      <c r="F2" s="1">
        <v>505</v>
      </c>
      <c r="G2" s="1">
        <v>511</v>
      </c>
      <c r="H2" s="1">
        <v>570</v>
      </c>
    </row>
    <row r="3" spans="1:9" x14ac:dyDescent="0.25">
      <c r="A3" s="1">
        <v>1</v>
      </c>
      <c r="B3" t="s">
        <v>27</v>
      </c>
      <c r="D3" s="5">
        <f>+'[2]DMA Amount of Change'!$H$12</f>
        <v>109651123</v>
      </c>
      <c r="E3" s="5">
        <f>+'[2]DMA Amount of Change'!$H$13</f>
        <v>71195921</v>
      </c>
      <c r="F3" s="5">
        <f>+'[2]DMA Amount of Change'!$H$14</f>
        <v>8775211</v>
      </c>
      <c r="G3" s="5">
        <f>+'[2]DMA Amount of Change'!$H$15</f>
        <v>8617203</v>
      </c>
      <c r="H3" s="5">
        <f>+'[2]DMA Amount of Change'!$H$16</f>
        <v>1223950</v>
      </c>
      <c r="I3" s="5">
        <f>SUM(D3:H3)</f>
        <v>199463408</v>
      </c>
    </row>
    <row r="4" spans="1:9" x14ac:dyDescent="0.25">
      <c r="A4" s="1"/>
      <c r="I4" s="5"/>
    </row>
    <row r="5" spans="1:9" x14ac:dyDescent="0.25">
      <c r="A5" s="1">
        <v>2</v>
      </c>
      <c r="B5" t="s">
        <v>29</v>
      </c>
      <c r="D5" s="4">
        <f>+'[2]DMA Amount of Change'!$F$12</f>
        <v>126254321.86672723</v>
      </c>
      <c r="E5" s="4">
        <f>+'[2]DMA Amount of Change'!$F$13</f>
        <v>91432235.805835694</v>
      </c>
      <c r="F5" s="4">
        <f>+'[2]DMA Amount of Change'!$F$14</f>
        <v>13193653.109642731</v>
      </c>
      <c r="G5" s="4">
        <f>++'[2]DMA Amount of Change'!$F$15</f>
        <v>14916789.141241657</v>
      </c>
      <c r="H5" s="4">
        <f>+'[2]DMA Amount of Change'!$F$16</f>
        <v>2384124.076552704</v>
      </c>
      <c r="I5" s="4">
        <f t="shared" ref="I5:I13" si="0">SUM(D5:H5)</f>
        <v>248181124.00000006</v>
      </c>
    </row>
    <row r="6" spans="1:9" x14ac:dyDescent="0.25">
      <c r="A6" s="1"/>
      <c r="I6" s="4"/>
    </row>
    <row r="7" spans="1:9" x14ac:dyDescent="0.25">
      <c r="A7" s="1">
        <v>3</v>
      </c>
      <c r="B7" t="s">
        <v>4</v>
      </c>
      <c r="D7" s="6">
        <f>+'[2]DMA Proposed Rate 594'!$G$12</f>
        <v>1.3897E-2</v>
      </c>
      <c r="E7" s="6">
        <f>+'[2]DMA Proposed Rate 594'!$G$13</f>
        <v>8.0999999999999996E-4</v>
      </c>
      <c r="F7" s="6">
        <f>+'[2]DMA Proposed Rate 594'!$G$15</f>
        <v>-5.8459999999999996E-3</v>
      </c>
      <c r="G7" s="6">
        <f>+'[2]DMA Proposed Rate 594'!$G$14</f>
        <v>-1.9540999999999999E-2</v>
      </c>
      <c r="H7" s="6">
        <f>+'[2]DMA Proposed Rate 594'!$G$16</f>
        <v>1.9061000000000002E-2</v>
      </c>
      <c r="I7" s="4"/>
    </row>
    <row r="8" spans="1:9" x14ac:dyDescent="0.25">
      <c r="A8" s="1"/>
      <c r="I8" s="4"/>
    </row>
    <row r="9" spans="1:9" x14ac:dyDescent="0.25">
      <c r="A9" s="1">
        <v>4</v>
      </c>
      <c r="B9" t="s">
        <v>5</v>
      </c>
      <c r="D9" s="6">
        <f>+'2018 - Filed'!D21</f>
        <v>-2.5847999999999999E-2</v>
      </c>
      <c r="E9" s="6">
        <f>+'2018 - Filed'!E21</f>
        <v>-3.0450000000000001E-2</v>
      </c>
      <c r="F9" s="6">
        <f>+'2018 - Filed'!F21</f>
        <v>3.212E-3</v>
      </c>
      <c r="G9" s="6">
        <f>+'2018 - Filed'!G21</f>
        <v>-5.0684E-2</v>
      </c>
      <c r="H9" s="6">
        <f>+'2018 - Filed'!H21</f>
        <v>7.509E-3</v>
      </c>
      <c r="I9" s="4"/>
    </row>
    <row r="10" spans="1:9" x14ac:dyDescent="0.25">
      <c r="A10" s="1"/>
      <c r="I10" s="4"/>
    </row>
    <row r="11" spans="1:9" x14ac:dyDescent="0.25">
      <c r="A11" s="1">
        <v>5</v>
      </c>
      <c r="B11" t="s">
        <v>6</v>
      </c>
      <c r="D11" s="6">
        <f>+D7-D9</f>
        <v>3.9745000000000003E-2</v>
      </c>
      <c r="E11" s="6">
        <f>+E7-E9</f>
        <v>3.1260000000000003E-2</v>
      </c>
      <c r="F11" s="6">
        <f t="shared" ref="F11:H11" si="1">+F7-F9</f>
        <v>-9.0580000000000001E-3</v>
      </c>
      <c r="G11" s="6">
        <f t="shared" si="1"/>
        <v>3.1143000000000001E-2</v>
      </c>
      <c r="H11" s="6">
        <f t="shared" si="1"/>
        <v>1.1552000000000002E-2</v>
      </c>
      <c r="I11" s="4"/>
    </row>
    <row r="12" spans="1:9" x14ac:dyDescent="0.25">
      <c r="A12" s="1"/>
      <c r="I12" s="4"/>
    </row>
    <row r="13" spans="1:9" x14ac:dyDescent="0.25">
      <c r="A13" s="1">
        <v>6</v>
      </c>
      <c r="B13" t="s">
        <v>7</v>
      </c>
      <c r="D13" s="3">
        <f>+D11*D5</f>
        <v>5017978.0225930745</v>
      </c>
      <c r="E13" s="3">
        <f>+E11*E5</f>
        <v>2858171.6912904242</v>
      </c>
      <c r="F13" s="3">
        <f t="shared" ref="F13:H13" si="2">+F11*F5</f>
        <v>-119508.10986714385</v>
      </c>
      <c r="G13" s="3">
        <f t="shared" si="2"/>
        <v>464553.56422568893</v>
      </c>
      <c r="H13" s="3">
        <f t="shared" si="2"/>
        <v>27541.401332336842</v>
      </c>
      <c r="I13" s="3">
        <f t="shared" si="0"/>
        <v>8248736.5695743803</v>
      </c>
    </row>
    <row r="14" spans="1:9" x14ac:dyDescent="0.25">
      <c r="A14" s="1"/>
    </row>
    <row r="15" spans="1:9" x14ac:dyDescent="0.25">
      <c r="A15" s="1">
        <v>7</v>
      </c>
      <c r="B15" t="s">
        <v>8</v>
      </c>
      <c r="D15" s="8">
        <f>+D13/D3</f>
        <v>4.5763124766110004E-2</v>
      </c>
      <c r="E15" s="8">
        <f t="shared" ref="E15:I15" si="3">+E13/E3</f>
        <v>4.0145160721924283E-2</v>
      </c>
      <c r="F15" s="8">
        <f t="shared" si="3"/>
        <v>-1.3618830346887824E-2</v>
      </c>
      <c r="G15" s="8">
        <f t="shared" si="3"/>
        <v>5.3910017464563496E-2</v>
      </c>
      <c r="H15" s="8">
        <f t="shared" si="3"/>
        <v>2.2502064081324272E-2</v>
      </c>
      <c r="I15" s="8">
        <f t="shared" si="3"/>
        <v>4.1354635681219186E-2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16A94-66A3-499C-AB8F-15F89391703A}">
  <dimension ref="A1:I30"/>
  <sheetViews>
    <sheetView tabSelected="1" workbookViewId="0">
      <selection activeCell="J30" sqref="J30"/>
    </sheetView>
  </sheetViews>
  <sheetFormatPr defaultRowHeight="15" x14ac:dyDescent="0.25"/>
  <cols>
    <col min="1" max="1" width="9.140625" style="1"/>
    <col min="2" max="2" width="76.28515625" customWidth="1"/>
    <col min="3" max="3" width="1.7109375" customWidth="1"/>
    <col min="4" max="4" width="16.28515625" bestFit="1" customWidth="1"/>
    <col min="5" max="5" width="15.85546875" bestFit="1" customWidth="1"/>
    <col min="6" max="8" width="15.85546875" customWidth="1"/>
    <col min="9" max="9" width="16.28515625" bestFit="1" customWidth="1"/>
  </cols>
  <sheetData>
    <row r="1" spans="1:9" x14ac:dyDescent="0.25">
      <c r="A1" s="1" t="s">
        <v>0</v>
      </c>
      <c r="B1" s="1" t="s">
        <v>23</v>
      </c>
      <c r="D1" s="1" t="s">
        <v>1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16</v>
      </c>
    </row>
    <row r="2" spans="1:9" x14ac:dyDescent="0.25">
      <c r="D2" s="1">
        <v>503</v>
      </c>
      <c r="E2" s="1">
        <v>504</v>
      </c>
      <c r="F2" s="1">
        <v>505</v>
      </c>
      <c r="G2" s="1">
        <v>511</v>
      </c>
      <c r="H2" s="1">
        <v>570</v>
      </c>
    </row>
    <row r="3" spans="1:9" x14ac:dyDescent="0.25">
      <c r="A3" s="1">
        <v>1</v>
      </c>
      <c r="B3" t="s">
        <v>2</v>
      </c>
      <c r="D3" s="5">
        <v>129784520</v>
      </c>
      <c r="E3" s="5">
        <f>+'[1]DMA Amount of Change'!$H$13</f>
        <v>79262367</v>
      </c>
      <c r="F3" s="5">
        <f>+'[1]DMA Amount of Change'!$H$14</f>
        <v>9601453</v>
      </c>
      <c r="G3" s="5">
        <f>+'[1]DMA Amount of Change'!$H$15</f>
        <v>18277286</v>
      </c>
      <c r="H3" s="5">
        <f>+'[1]DMA Amount of Change'!$H$16</f>
        <v>1421635</v>
      </c>
      <c r="I3" s="5">
        <f>SUM(D3:H3)</f>
        <v>238347261</v>
      </c>
    </row>
    <row r="4" spans="1:9" x14ac:dyDescent="0.25">
      <c r="I4" s="5"/>
    </row>
    <row r="5" spans="1:9" x14ac:dyDescent="0.25">
      <c r="A5" s="1">
        <v>2</v>
      </c>
      <c r="B5" t="s">
        <v>3</v>
      </c>
      <c r="D5" s="4">
        <v>127118966</v>
      </c>
      <c r="E5" s="4">
        <f>+'[1]DMA Amount of Change'!$F$13</f>
        <v>88299944.040802553</v>
      </c>
      <c r="F5" s="4">
        <f>+'[1]DMA Amount of Change'!$F$14</f>
        <v>14482049.656409066</v>
      </c>
      <c r="G5" s="4">
        <f>+'[1]DMA Amount of Change'!$F$15</f>
        <v>27088723.120386221</v>
      </c>
      <c r="H5" s="4">
        <f>+'[1]DMA Amount of Change'!$F$16</f>
        <v>2291417.0980023355</v>
      </c>
      <c r="I5" s="4">
        <f t="shared" ref="I4:I13" si="0">SUM(D5:H5)</f>
        <v>259281099.91560015</v>
      </c>
    </row>
    <row r="6" spans="1:9" x14ac:dyDescent="0.25">
      <c r="I6" s="4"/>
    </row>
    <row r="7" spans="1:9" x14ac:dyDescent="0.25">
      <c r="A7" s="1">
        <v>3</v>
      </c>
      <c r="B7" t="s">
        <v>4</v>
      </c>
      <c r="D7" s="6">
        <f>+'[1]DMA Proposed Rate 594'!$G$12</f>
        <v>-9.1039999999999992E-3</v>
      </c>
      <c r="E7" s="6">
        <f>+'[1]DMA Proposed Rate 594'!$E$13</f>
        <v>-2.4135E-2</v>
      </c>
      <c r="F7" s="6">
        <f>+'[1]DMA Proposed Rate 594'!$E$15</f>
        <v>-1.4174000000000001E-2</v>
      </c>
      <c r="G7" s="6">
        <f>+'[1]DMA Proposed Rate 594'!$E$14</f>
        <v>-1.9082999999999999E-2</v>
      </c>
      <c r="H7" s="6">
        <f>+'[1]DMA Proposed Rate 594'!$E$16</f>
        <v>1.1991E-2</v>
      </c>
      <c r="I7" s="4"/>
    </row>
    <row r="8" spans="1:9" x14ac:dyDescent="0.25">
      <c r="I8" s="4"/>
    </row>
    <row r="9" spans="1:9" x14ac:dyDescent="0.25">
      <c r="A9" s="1">
        <v>4</v>
      </c>
      <c r="B9" t="s">
        <v>5</v>
      </c>
      <c r="D9" s="6">
        <f>+'2019-Filed'!D7</f>
        <v>1.3897E-2</v>
      </c>
      <c r="E9" s="6">
        <f>+'2019-Filed'!E7</f>
        <v>8.0999999999999996E-4</v>
      </c>
      <c r="F9" s="6">
        <f>+'2019-Filed'!F7</f>
        <v>-5.8459999999999996E-3</v>
      </c>
      <c r="G9" s="6">
        <f>+'2019-Filed'!G7</f>
        <v>-1.9540999999999999E-2</v>
      </c>
      <c r="H9" s="6">
        <f>+'2019-Filed'!H7</f>
        <v>1.9061000000000002E-2</v>
      </c>
      <c r="I9" s="4"/>
    </row>
    <row r="10" spans="1:9" x14ac:dyDescent="0.25">
      <c r="I10" s="4"/>
    </row>
    <row r="11" spans="1:9" x14ac:dyDescent="0.25">
      <c r="A11" s="1">
        <v>5</v>
      </c>
      <c r="B11" t="s">
        <v>6</v>
      </c>
      <c r="D11" s="6">
        <f>+D7-D9</f>
        <v>-2.3001000000000001E-2</v>
      </c>
      <c r="E11" s="6">
        <f>+E7-E9</f>
        <v>-2.4945000000000002E-2</v>
      </c>
      <c r="F11" s="6">
        <f t="shared" ref="F11:H11" si="1">+F7-F9</f>
        <v>-8.3280000000000021E-3</v>
      </c>
      <c r="G11" s="6">
        <f t="shared" si="1"/>
        <v>4.5800000000000007E-4</v>
      </c>
      <c r="H11" s="6">
        <f t="shared" si="1"/>
        <v>-7.0700000000000016E-3</v>
      </c>
      <c r="I11" s="4"/>
    </row>
    <row r="12" spans="1:9" x14ac:dyDescent="0.25">
      <c r="I12" s="4"/>
    </row>
    <row r="13" spans="1:9" x14ac:dyDescent="0.25">
      <c r="A13" s="1">
        <v>6</v>
      </c>
      <c r="B13" t="s">
        <v>7</v>
      </c>
      <c r="D13" s="3">
        <f>+D11*D5</f>
        <v>-2923863.336966</v>
      </c>
      <c r="E13" s="3">
        <f>+E11*E5</f>
        <v>-2202642.1040978199</v>
      </c>
      <c r="F13" s="3">
        <f t="shared" ref="F13:H13" si="2">+F11*F5</f>
        <v>-120606.50953857473</v>
      </c>
      <c r="G13" s="3">
        <f t="shared" si="2"/>
        <v>12406.63518913689</v>
      </c>
      <c r="H13" s="3">
        <f t="shared" si="2"/>
        <v>-16200.318882876516</v>
      </c>
      <c r="I13" s="3">
        <f t="shared" si="0"/>
        <v>-5250905.6342961341</v>
      </c>
    </row>
    <row r="15" spans="1:9" x14ac:dyDescent="0.25">
      <c r="A15" s="1">
        <v>7</v>
      </c>
      <c r="B15" t="s">
        <v>8</v>
      </c>
      <c r="D15" s="8">
        <f>+D13/D3</f>
        <v>-2.2528598456626414E-2</v>
      </c>
      <c r="E15" s="8">
        <f t="shared" ref="E15:I15" si="3">+E13/E3</f>
        <v>-2.7789254692555672E-2</v>
      </c>
      <c r="F15" s="8">
        <f t="shared" si="3"/>
        <v>-1.2561276875341131E-2</v>
      </c>
      <c r="G15" s="8">
        <f t="shared" si="3"/>
        <v>6.7880073601391856E-4</v>
      </c>
      <c r="H15" s="8">
        <f t="shared" si="3"/>
        <v>-1.1395554332072941E-2</v>
      </c>
      <c r="I15" s="8">
        <f t="shared" si="3"/>
        <v>-2.2030484479937589E-2</v>
      </c>
    </row>
    <row r="17" spans="1:9" x14ac:dyDescent="0.25">
      <c r="A17" s="1">
        <v>8</v>
      </c>
      <c r="B17" t="s">
        <v>9</v>
      </c>
      <c r="D17" s="3">
        <f>IF(D15&gt;0.03,D3*0.03-D13,0)</f>
        <v>0</v>
      </c>
      <c r="E17" s="3">
        <f t="shared" ref="E17:H17" si="4">IF(E15&gt;0.03,E3*0.03-E13,0)</f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</row>
    <row r="19" spans="1:9" x14ac:dyDescent="0.25">
      <c r="A19" s="1">
        <v>9</v>
      </c>
      <c r="B19" t="s">
        <v>10</v>
      </c>
      <c r="D19" s="3">
        <f>ROUND(D17/D5,5)</f>
        <v>0</v>
      </c>
      <c r="E19" s="3">
        <f t="shared" ref="E19:H19" si="5">ROUND(E17/E5,5)</f>
        <v>0</v>
      </c>
      <c r="F19" s="3">
        <f t="shared" si="5"/>
        <v>0</v>
      </c>
      <c r="G19" s="3">
        <f t="shared" si="5"/>
        <v>0</v>
      </c>
      <c r="H19" s="3">
        <f t="shared" si="5"/>
        <v>0</v>
      </c>
    </row>
    <row r="21" spans="1:9" x14ac:dyDescent="0.25">
      <c r="A21" s="1">
        <v>10</v>
      </c>
      <c r="B21" t="s">
        <v>11</v>
      </c>
      <c r="D21" s="9">
        <f>+D7+D19</f>
        <v>-9.1039999999999992E-3</v>
      </c>
      <c r="E21" s="9">
        <f t="shared" ref="E21:H21" si="6">+E7+E19</f>
        <v>-2.4135E-2</v>
      </c>
      <c r="F21" s="9">
        <f t="shared" si="6"/>
        <v>-1.4174000000000001E-2</v>
      </c>
      <c r="G21" s="9">
        <f t="shared" si="6"/>
        <v>-1.9082999999999999E-2</v>
      </c>
      <c r="H21" s="9">
        <f t="shared" si="6"/>
        <v>1.1991E-2</v>
      </c>
    </row>
    <row r="23" spans="1:9" x14ac:dyDescent="0.25">
      <c r="A23" s="1">
        <v>11</v>
      </c>
      <c r="B23" t="s">
        <v>12</v>
      </c>
      <c r="D23" s="3">
        <f>(D21-D9)*D5</f>
        <v>-2923863.336966</v>
      </c>
      <c r="E23" s="3">
        <f t="shared" ref="E23:H23" si="7">(E21-E9)*E5</f>
        <v>-2202642.1040978199</v>
      </c>
      <c r="F23" s="3">
        <f t="shared" si="7"/>
        <v>-120606.50953857473</v>
      </c>
      <c r="G23" s="3">
        <f t="shared" si="7"/>
        <v>12406.63518913689</v>
      </c>
      <c r="H23" s="3">
        <f t="shared" si="7"/>
        <v>-16200.318882876516</v>
      </c>
      <c r="I23" s="7">
        <f>SUM(D23:H23)</f>
        <v>-5250905.6342961341</v>
      </c>
    </row>
    <row r="25" spans="1:9" x14ac:dyDescent="0.25">
      <c r="A25" s="1">
        <v>12</v>
      </c>
      <c r="B25" t="s">
        <v>13</v>
      </c>
      <c r="D25" s="8">
        <f>+D23/D3</f>
        <v>-2.2528598456626414E-2</v>
      </c>
      <c r="E25" s="8">
        <f t="shared" ref="E25:I25" si="8">+E23/E3</f>
        <v>-2.7789254692555672E-2</v>
      </c>
      <c r="F25" s="8">
        <f t="shared" si="8"/>
        <v>-1.2561276875341131E-2</v>
      </c>
      <c r="G25" s="8">
        <f t="shared" si="8"/>
        <v>6.7880073601391856E-4</v>
      </c>
      <c r="H25" s="8">
        <f t="shared" si="8"/>
        <v>-1.1395554332072941E-2</v>
      </c>
      <c r="I25" s="8">
        <f t="shared" si="8"/>
        <v>-2.2030484479937589E-2</v>
      </c>
    </row>
    <row r="27" spans="1:9" x14ac:dyDescent="0.25">
      <c r="B27" t="s">
        <v>14</v>
      </c>
    </row>
    <row r="28" spans="1:9" ht="30" x14ac:dyDescent="0.25">
      <c r="B28" s="2" t="s">
        <v>21</v>
      </c>
    </row>
    <row r="29" spans="1:9" ht="45" x14ac:dyDescent="0.25">
      <c r="B29" s="2" t="s">
        <v>15</v>
      </c>
    </row>
    <row r="30" spans="1:9" x14ac:dyDescent="0.25">
      <c r="I30" s="7">
        <f>+'2019-Filed'!I13+'2020 - Filed'!I23</f>
        <v>2997830.9352782462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A248DC4C625AF449A1F2A2D21F9053A" ma:contentTypeVersion="36" ma:contentTypeDescription="" ma:contentTypeScope="" ma:versionID="cb5672fb36c0b706fdd4578fa982632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2021-09-15T07:00:00+00:00</OpenedDate>
    <SignificantOrder xmlns="dc463f71-b30c-4ab2-9473-d307f9d35888">false</SignificantOrder>
    <Date1 xmlns="dc463f71-b30c-4ab2-9473-d307f9d35888">2021-09-15T07:00:00+00:00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A7B7066-041B-4685-AC12-F8B76953D36E}"/>
</file>

<file path=customXml/itemProps2.xml><?xml version="1.0" encoding="utf-8"?>
<ds:datastoreItem xmlns:ds="http://schemas.openxmlformats.org/officeDocument/2006/customXml" ds:itemID="{25273788-495A-480C-B5AA-6864BB17C74A}"/>
</file>

<file path=customXml/itemProps3.xml><?xml version="1.0" encoding="utf-8"?>
<ds:datastoreItem xmlns:ds="http://schemas.openxmlformats.org/officeDocument/2006/customXml" ds:itemID="{CA41F9B4-A54B-41F6-B5CF-162CC7069390}"/>
</file>

<file path=customXml/itemProps4.xml><?xml version="1.0" encoding="utf-8"?>
<ds:datastoreItem xmlns:ds="http://schemas.openxmlformats.org/officeDocument/2006/customXml" ds:itemID="{E7BEB308-05CE-4BD1-881F-6C7822D1B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2017 - Filed</vt:lpstr>
      <vt:lpstr>2018 - Filed</vt:lpstr>
      <vt:lpstr>2019 Should Be</vt:lpstr>
      <vt:lpstr>2020 Should Be</vt:lpstr>
      <vt:lpstr>2019-Filed</vt:lpstr>
      <vt:lpstr>2020 - Filed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Maryalice</dc:creator>
  <cp:lastModifiedBy>Peters, Maryalice</cp:lastModifiedBy>
  <dcterms:created xsi:type="dcterms:W3CDTF">2020-10-28T20:38:36Z</dcterms:created>
  <dcterms:modified xsi:type="dcterms:W3CDTF">2020-10-28T22:23:15Z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0x0101006E56B4D1795A2E4DB2F0B01679ED314A005A248DC4C625AF449A1F2A2D21F9053A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