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ustomProperty1.bin" ContentType="application/vnd.openxmlformats-officedocument.spreadsheetml.customProperty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his Week\1. Monday\170717 Pacific Power PCA\"/>
    </mc:Choice>
  </mc:AlternateContent>
  <bookViews>
    <workbookView xWindow="0" yWindow="0" windowWidth="28800" windowHeight="11520" activeTab="1"/>
  </bookViews>
  <sheets>
    <sheet name="Summary" sheetId="1" r:id="rId1"/>
    <sheet name="Exhibit 2 - PCAM Calculation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123Graph_E" hidden="1">[1]Input!$E$22:$E$37</definedName>
    <definedName name="__123Graph_F" hidden="1">[1]Input!$D$22:$D$37</definedName>
    <definedName name="_Order1" hidden="1">255</definedName>
    <definedName name="_Order2" hidden="1">0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ntractTypeDol">#REF!</definedName>
    <definedName name="ContractTypeMWh">#REF!</definedName>
    <definedName name="DataCheck_Base">#REF!</definedName>
    <definedName name="DataCheck_Delta">#REF!</definedName>
    <definedName name="DataCheck_NPC">'[3](5.2) WCA Base NPC UE-140762'!#REF!</definedName>
    <definedName name="DispatchSum">"GRID Thermal Generation!R2C1:R4C2"</definedName>
    <definedName name="Hide_Rows">#REF!</definedName>
    <definedName name="Hide_Rows_Recon">#REF!</definedName>
    <definedName name="limcount" hidden="1">1</definedName>
    <definedName name="ListOffset" hidden="1">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_xlnm.Print_Area" localSheetId="1">'Exhibit 2 - PCAM Calculation'!$A$1:$Q$44</definedName>
    <definedName name="PSATable">[4]Hermiston!$A$32:$E$57</definedName>
    <definedName name="RevenueSum">"GRID Thermal Revenue!R2C1:R4C2"</definedName>
    <definedName name="SAPBEXrevision" hidden="1">1</definedName>
    <definedName name="SAPBEXsysID" hidden="1">"BWP"</definedName>
    <definedName name="SAPBEXwbID" hidden="1">"44KU92Q9LH2VK4DK86GZ93AXN"</definedName>
    <definedName name="Version">#REF!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Total._.Summary." hidden="1">{"Total Summary",#N/A,FALSE,"Summary"}</definedName>
    <definedName name="y" hidden="1">'[5]DSM Output'!$B$21:$B$23</definedName>
    <definedName name="z" localSheetId="0" hidden="1">'[5]DSM Output'!$G$21:$G$23</definedName>
    <definedName name="z" hidden="1">'[2]DSM Output'!$G$21:$G$23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16" i="2"/>
  <c r="C13" i="2"/>
  <c r="C8" i="2"/>
  <c r="C7" i="2"/>
  <c r="A1" i="2" l="1"/>
  <c r="A2" i="2"/>
  <c r="A3" i="2"/>
  <c r="D7" i="2"/>
  <c r="D8" i="2"/>
  <c r="C9" i="2"/>
  <c r="E11" i="2"/>
  <c r="F11" i="2"/>
  <c r="G11" i="2" s="1"/>
  <c r="H11" i="2" s="1"/>
  <c r="I11" i="2" s="1"/>
  <c r="J11" i="2" s="1"/>
  <c r="K11" i="2" s="1"/>
  <c r="L11" i="2" s="1"/>
  <c r="M11" i="2" s="1"/>
  <c r="N11" i="2" s="1"/>
  <c r="O11" i="2" s="1"/>
  <c r="C12" i="2"/>
  <c r="D13" i="2"/>
  <c r="E13" i="2"/>
  <c r="F13" i="2"/>
  <c r="G13" i="2"/>
  <c r="H13" i="2"/>
  <c r="I13" i="2"/>
  <c r="J13" i="2"/>
  <c r="K13" i="2"/>
  <c r="L13" i="2"/>
  <c r="M13" i="2"/>
  <c r="N13" i="2"/>
  <c r="O13" i="2"/>
  <c r="A16" i="2"/>
  <c r="D16" i="2"/>
  <c r="E16" i="2"/>
  <c r="F16" i="2"/>
  <c r="G16" i="2"/>
  <c r="H16" i="2"/>
  <c r="I16" i="2"/>
  <c r="J16" i="2"/>
  <c r="K16" i="2"/>
  <c r="L16" i="2"/>
  <c r="M16" i="2"/>
  <c r="N16" i="2"/>
  <c r="O16" i="2"/>
  <c r="A17" i="2"/>
  <c r="D17" i="2"/>
  <c r="E17" i="2"/>
  <c r="F17" i="2"/>
  <c r="G17" i="2"/>
  <c r="G18" i="2" s="1"/>
  <c r="H17" i="2"/>
  <c r="I17" i="2"/>
  <c r="J17" i="2"/>
  <c r="K17" i="2"/>
  <c r="L17" i="2"/>
  <c r="M17" i="2"/>
  <c r="N17" i="2"/>
  <c r="O17" i="2"/>
  <c r="C18" i="2"/>
  <c r="C20" i="2"/>
  <c r="O18" i="2" l="1"/>
  <c r="K18" i="2"/>
  <c r="L18" i="2"/>
  <c r="H18" i="2"/>
  <c r="D18" i="2"/>
  <c r="D9" i="2"/>
  <c r="K12" i="2" s="1"/>
  <c r="K14" i="2" s="1"/>
  <c r="K20" i="2" s="1"/>
  <c r="E9" i="1"/>
  <c r="M18" i="2"/>
  <c r="I18" i="2"/>
  <c r="E18" i="2"/>
  <c r="N18" i="2"/>
  <c r="J18" i="2"/>
  <c r="P17" i="2"/>
  <c r="A20" i="2"/>
  <c r="G12" i="2"/>
  <c r="G14" i="2" s="1"/>
  <c r="G20" i="2" s="1"/>
  <c r="O12" i="2"/>
  <c r="O14" i="2" s="1"/>
  <c r="O20" i="2" s="1"/>
  <c r="D12" i="2"/>
  <c r="D14" i="2" s="1"/>
  <c r="H12" i="2"/>
  <c r="H14" i="2" s="1"/>
  <c r="E6" i="1"/>
  <c r="I12" i="2"/>
  <c r="I14" i="2" s="1"/>
  <c r="I20" i="2" s="1"/>
  <c r="F12" i="2"/>
  <c r="F14" i="2" s="1"/>
  <c r="N12" i="2"/>
  <c r="N14" i="2" s="1"/>
  <c r="E12" i="2"/>
  <c r="E14" i="2" s="1"/>
  <c r="M12" i="2"/>
  <c r="M14" i="2" s="1"/>
  <c r="M20" i="2" s="1"/>
  <c r="F18" i="2"/>
  <c r="A18" i="2"/>
  <c r="P16" i="2"/>
  <c r="P18" i="2" s="1"/>
  <c r="E5" i="1" s="1"/>
  <c r="E7" i="1" s="1"/>
  <c r="H20" i="2" l="1"/>
  <c r="N20" i="2"/>
  <c r="J12" i="2"/>
  <c r="J14" i="2" s="1"/>
  <c r="L12" i="2"/>
  <c r="L14" i="2" s="1"/>
  <c r="L20" i="2" s="1"/>
  <c r="E20" i="2"/>
  <c r="F20" i="2"/>
  <c r="J20" i="2"/>
  <c r="D20" i="2"/>
  <c r="D21" i="2" s="1"/>
  <c r="A21" i="2"/>
  <c r="C21" i="2" s="1"/>
  <c r="P14" i="2" l="1"/>
  <c r="E21" i="2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I27" i="2" s="1"/>
  <c r="A26" i="2"/>
  <c r="A24" i="2"/>
  <c r="N27" i="2" l="1"/>
  <c r="L27" i="2"/>
  <c r="L26" i="2" s="1"/>
  <c r="E11" i="1"/>
  <c r="O27" i="2"/>
  <c r="O26" i="2" s="1"/>
  <c r="E27" i="2"/>
  <c r="G27" i="2"/>
  <c r="G26" i="2" s="1"/>
  <c r="G32" i="2" s="1"/>
  <c r="K27" i="2"/>
  <c r="H27" i="2"/>
  <c r="H30" i="2" s="1"/>
  <c r="J27" i="2"/>
  <c r="J26" i="2" s="1"/>
  <c r="M27" i="2"/>
  <c r="M26" i="2" s="1"/>
  <c r="D27" i="2"/>
  <c r="D26" i="2" s="1"/>
  <c r="F27" i="2"/>
  <c r="F26" i="2" s="1"/>
  <c r="N31" i="2"/>
  <c r="N26" i="2"/>
  <c r="N32" i="2" s="1"/>
  <c r="N33" i="2"/>
  <c r="N30" i="2"/>
  <c r="H31" i="2"/>
  <c r="A30" i="2"/>
  <c r="D33" i="2"/>
  <c r="D31" i="2"/>
  <c r="E31" i="2" s="1"/>
  <c r="F31" i="2" s="1"/>
  <c r="D30" i="2"/>
  <c r="D32" i="2"/>
  <c r="E32" i="2" s="1"/>
  <c r="I26" i="2"/>
  <c r="G30" i="2"/>
  <c r="G31" i="2"/>
  <c r="O30" i="2"/>
  <c r="O31" i="2"/>
  <c r="O33" i="2"/>
  <c r="K30" i="2"/>
  <c r="K31" i="2"/>
  <c r="K33" i="2"/>
  <c r="E33" i="2"/>
  <c r="P27" i="2" l="1"/>
  <c r="E14" i="1" s="1"/>
  <c r="G33" i="2"/>
  <c r="G35" i="2" s="1"/>
  <c r="G40" i="2" s="1"/>
  <c r="O32" i="2"/>
  <c r="H33" i="2"/>
  <c r="K26" i="2"/>
  <c r="K32" i="2" s="1"/>
  <c r="H26" i="2"/>
  <c r="H32" i="2" s="1"/>
  <c r="H35" i="2" s="1"/>
  <c r="H40" i="2" s="1"/>
  <c r="E26" i="2"/>
  <c r="F32" i="2"/>
  <c r="D35" i="2"/>
  <c r="D40" i="2"/>
  <c r="N35" i="2"/>
  <c r="N40" i="2" s="1"/>
  <c r="F33" i="2"/>
  <c r="I33" i="2" s="1"/>
  <c r="K35" i="2"/>
  <c r="K40" i="2" s="1"/>
  <c r="I31" i="2"/>
  <c r="O35" i="2"/>
  <c r="O40" i="2" s="1"/>
  <c r="E30" i="2"/>
  <c r="E35" i="2" s="1"/>
  <c r="E40" i="2" s="1"/>
  <c r="I32" i="2"/>
  <c r="A31" i="2"/>
  <c r="A32" i="2" s="1"/>
  <c r="J32" i="2" l="1"/>
  <c r="L32" i="2"/>
  <c r="M32" i="2" s="1"/>
  <c r="J33" i="2"/>
  <c r="L33" i="2" s="1"/>
  <c r="A35" i="2"/>
  <c r="A37" i="2" s="1"/>
  <c r="A39" i="2" s="1"/>
  <c r="A33" i="2"/>
  <c r="D41" i="2"/>
  <c r="D42" i="2" s="1"/>
  <c r="E39" i="2" s="1"/>
  <c r="F30" i="2"/>
  <c r="J31" i="2"/>
  <c r="L31" i="2" s="1"/>
  <c r="M31" i="2" l="1"/>
  <c r="E41" i="2"/>
  <c r="E42" i="2" s="1"/>
  <c r="F39" i="2" s="1"/>
  <c r="C40" i="2"/>
  <c r="A40" i="2"/>
  <c r="A41" i="2" s="1"/>
  <c r="A42" i="2" s="1"/>
  <c r="M33" i="2"/>
  <c r="F35" i="2"/>
  <c r="I30" i="2"/>
  <c r="I35" i="2" s="1"/>
  <c r="I40" i="2" s="1"/>
  <c r="J30" i="2" l="1"/>
  <c r="J35" i="2" s="1"/>
  <c r="J40" i="2" s="1"/>
  <c r="F40" i="2"/>
  <c r="F41" i="2" s="1"/>
  <c r="C41" i="2"/>
  <c r="L30" i="2" l="1"/>
  <c r="M30" i="2" s="1"/>
  <c r="M35" i="2" s="1"/>
  <c r="M40" i="2" s="1"/>
  <c r="F42" i="2"/>
  <c r="G39" i="2" s="1"/>
  <c r="L35" i="2" l="1"/>
  <c r="G41" i="2"/>
  <c r="L40" i="2"/>
  <c r="P35" i="2"/>
  <c r="E16" i="1" s="1"/>
  <c r="G42" i="2" l="1"/>
  <c r="H39" i="2" s="1"/>
  <c r="H41" i="2" l="1"/>
  <c r="H42" i="2" s="1"/>
  <c r="I39" i="2" s="1"/>
  <c r="I41" i="2" l="1"/>
  <c r="I42" i="2" s="1"/>
  <c r="J39" i="2" s="1"/>
  <c r="J41" i="2" l="1"/>
  <c r="J42" i="2" s="1"/>
  <c r="K39" i="2" s="1"/>
  <c r="K41" i="2" l="1"/>
  <c r="K42" i="2" s="1"/>
  <c r="L39" i="2" s="1"/>
  <c r="L41" i="2" l="1"/>
  <c r="L42" i="2" s="1"/>
  <c r="M39" i="2" s="1"/>
  <c r="M41" i="2" l="1"/>
  <c r="M42" i="2" s="1"/>
  <c r="N39" i="2" s="1"/>
  <c r="N41" i="2" l="1"/>
  <c r="N42" i="2" s="1"/>
  <c r="O39" i="2" s="1"/>
  <c r="O41" i="2" l="1"/>
  <c r="E18" i="1" s="1"/>
  <c r="E20" i="1" s="1"/>
  <c r="O42" i="2" l="1"/>
  <c r="E25" i="1"/>
</calcChain>
</file>

<file path=xl/sharedStrings.xml><?xml version="1.0" encoding="utf-8"?>
<sst xmlns="http://schemas.openxmlformats.org/spreadsheetml/2006/main" count="50" uniqueCount="50">
  <si>
    <t>* Calculated monthly</t>
  </si>
  <si>
    <t>Requested PCAM Recovery</t>
  </si>
  <si>
    <t>Interest Accrued through December 31, 2016</t>
  </si>
  <si>
    <t>Washington Deferral after Sharing</t>
  </si>
  <si>
    <t>Total Deferrable BELOW Deadband</t>
  </si>
  <si>
    <t>Total Deferrable ABOVE Deadband</t>
  </si>
  <si>
    <t>Total PCAM Differential*</t>
  </si>
  <si>
    <t>Washington Sales (MWh)</t>
  </si>
  <si>
    <t>$/MWh PCAM Cost Differential</t>
  </si>
  <si>
    <t>Base PCAM Costs ($/MWh)</t>
  </si>
  <si>
    <t>Actual PCAM Costs ($/MWh)</t>
  </si>
  <si>
    <t>Calendar Year 2016 PCAM Deferral</t>
  </si>
  <si>
    <t>Ending Balance</t>
  </si>
  <si>
    <t>Carrying Charge</t>
  </si>
  <si>
    <t>Incremental Deferral After Sharing</t>
  </si>
  <si>
    <t>Beginning Balance</t>
  </si>
  <si>
    <t>FERC</t>
  </si>
  <si>
    <t>FERC Interest Rate - Published Quarterly</t>
  </si>
  <si>
    <t>Total Incremental Deferral After Sharing</t>
  </si>
  <si>
    <t>Amount Deferrable less than ($10 million), 90/10 Sharing</t>
  </si>
  <si>
    <t>Amount Deferrable between ($4 million) and ($10 million), 75/25 Sharing</t>
  </si>
  <si>
    <t>Amount Deferrable greater than $10 million, 90/10 Sharing</t>
  </si>
  <si>
    <t>Amount Deferrable between $4 million and $10 million, 50/50 Sharing</t>
  </si>
  <si>
    <t>Company Share</t>
  </si>
  <si>
    <t>Customer Share</t>
  </si>
  <si>
    <t>Upper Limit</t>
  </si>
  <si>
    <t>Lower Limit</t>
  </si>
  <si>
    <t>Asymmetrical Sharing Band :</t>
  </si>
  <si>
    <t>Asymmetrical Sharing Band</t>
  </si>
  <si>
    <t>Cumulative PCAM Differential Outside of Deadband</t>
  </si>
  <si>
    <t>PCAM Differential Outside of Deadband</t>
  </si>
  <si>
    <t>Deadband +/-$4 Million</t>
  </si>
  <si>
    <t>Deadband:</t>
  </si>
  <si>
    <t>Cumulative PCAM Differential - Above or (Below) Base</t>
  </si>
  <si>
    <t>Total Monthly PCAM Differential - Above or (Below) Base</t>
  </si>
  <si>
    <t>Total PCAM Adjusted Actual Costs</t>
  </si>
  <si>
    <t>Washington Allocated Actual Non-NPC EIM Costs</t>
  </si>
  <si>
    <t>Washington Allocated Adjusted Actual NPC</t>
  </si>
  <si>
    <t>Line 4 x Line 5</t>
  </si>
  <si>
    <t>Actual Collections of Base NPC</t>
  </si>
  <si>
    <t>Actual WA Sales (MWh)</t>
  </si>
  <si>
    <t>Base NPC in Rates</t>
  </si>
  <si>
    <t>Total</t>
  </si>
  <si>
    <t>Deferral:</t>
  </si>
  <si>
    <t>NPC $/MWh In Rates</t>
  </si>
  <si>
    <t>Retail Sales @ Meter in Rates</t>
  </si>
  <si>
    <t>Total Annual NPC in Rates</t>
  </si>
  <si>
    <t>Base NPC in Rates:</t>
  </si>
  <si>
    <t>UE-140762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</si>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</sst>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#,##0_);_(&quot;$&quot;* \(#,##0\);_(&quot;$&quot;* &quot;-&quot;_);_(@_)"/>
    <numFmt numFmtId="166" formatCode="_(&quot;$&quot;\ #,##0.00_);_(&quot;$&quot;* \(#,##0.00\);_(&quot;$&quot;* &quot;-&quot;??_);_(@_)"/>
    <numFmt numFmtId="167" formatCode="_(&quot;$&quot;* #,##0_);_(&quot;$&quot;* \(#,##0\);_(&quot;$&quot;* &quot;-&quot;??_);_(@_)"/>
    <numFmt numFmtId="168" formatCode="[$-409]mmm\-yy;@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4"/>
    <xf numFmtId="164" fontId="0" fillId="0" borderId="0" xfId="1" applyNumberFormat="1" applyFont="1"/>
    <xf numFmtId="0" fontId="1" fillId="2" borderId="1" xfId="4" applyFill="1" applyBorder="1"/>
    <xf numFmtId="0" fontId="1" fillId="2" borderId="2" xfId="4" applyFill="1" applyBorder="1"/>
    <xf numFmtId="0" fontId="1" fillId="2" borderId="3" xfId="4" applyFill="1" applyBorder="1"/>
    <xf numFmtId="0" fontId="1" fillId="2" borderId="4" xfId="4" applyFill="1" applyBorder="1"/>
    <xf numFmtId="0" fontId="1" fillId="2" borderId="0" xfId="4" applyFill="1" applyBorder="1"/>
    <xf numFmtId="0" fontId="3" fillId="2" borderId="0" xfId="4" applyFont="1" applyFill="1" applyBorder="1"/>
    <xf numFmtId="0" fontId="1" fillId="2" borderId="5" xfId="4" applyFill="1" applyBorder="1"/>
    <xf numFmtId="41" fontId="1" fillId="0" borderId="0" xfId="4" applyNumberFormat="1"/>
    <xf numFmtId="165" fontId="4" fillId="2" borderId="6" xfId="4" applyNumberFormat="1" applyFont="1" applyFill="1" applyBorder="1"/>
    <xf numFmtId="0" fontId="4" fillId="2" borderId="0" xfId="4" applyFont="1" applyFill="1" applyBorder="1"/>
    <xf numFmtId="165" fontId="1" fillId="2" borderId="0" xfId="4" applyNumberFormat="1" applyFont="1" applyFill="1" applyBorder="1"/>
    <xf numFmtId="0" fontId="1" fillId="2" borderId="0" xfId="4" applyFont="1" applyFill="1" applyBorder="1"/>
    <xf numFmtId="42" fontId="4" fillId="2" borderId="0" xfId="4" applyNumberFormat="1" applyFont="1" applyFill="1" applyBorder="1"/>
    <xf numFmtId="43" fontId="1" fillId="0" borderId="0" xfId="4" applyNumberFormat="1"/>
    <xf numFmtId="164" fontId="1" fillId="2" borderId="0" xfId="1" applyNumberFormat="1" applyFont="1" applyFill="1" applyBorder="1"/>
    <xf numFmtId="0" fontId="0" fillId="2" borderId="0" xfId="0" applyFont="1" applyFill="1" applyBorder="1"/>
    <xf numFmtId="0" fontId="0" fillId="2" borderId="0" xfId="0" applyFill="1" applyBorder="1"/>
    <xf numFmtId="166" fontId="4" fillId="2" borderId="0" xfId="5" applyNumberFormat="1" applyFont="1" applyFill="1" applyAlignment="1">
      <alignment horizontal="right" vertical="center"/>
    </xf>
    <xf numFmtId="166" fontId="1" fillId="2" borderId="2" xfId="5" applyNumberFormat="1" applyFont="1" applyFill="1" applyBorder="1" applyAlignment="1">
      <alignment horizontal="right" vertical="center"/>
    </xf>
    <xf numFmtId="166" fontId="1" fillId="2" borderId="0" xfId="5" applyNumberFormat="1" applyFont="1" applyFill="1" applyAlignment="1">
      <alignment horizontal="right" vertical="center"/>
    </xf>
    <xf numFmtId="0" fontId="5" fillId="2" borderId="0" xfId="4" applyFont="1" applyFill="1" applyBorder="1"/>
    <xf numFmtId="0" fontId="1" fillId="2" borderId="7" xfId="4" applyFill="1" applyBorder="1"/>
    <xf numFmtId="0" fontId="1" fillId="2" borderId="8" xfId="4" applyFill="1" applyBorder="1"/>
    <xf numFmtId="0" fontId="1" fillId="2" borderId="9" xfId="4" applyFill="1" applyBorder="1"/>
    <xf numFmtId="0" fontId="0" fillId="0" borderId="0" xfId="0" applyAlignment="1">
      <alignment horizontal="center"/>
    </xf>
    <xf numFmtId="0" fontId="0" fillId="0" borderId="0" xfId="0" applyBorder="1"/>
    <xf numFmtId="167" fontId="6" fillId="0" borderId="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43" fontId="0" fillId="0" borderId="0" xfId="0" applyNumberFormat="1"/>
    <xf numFmtId="167" fontId="0" fillId="0" borderId="0" xfId="2" applyNumberFormat="1" applyFont="1"/>
    <xf numFmtId="167" fontId="0" fillId="0" borderId="0" xfId="2" applyNumberFormat="1" applyFont="1" applyFill="1" applyAlignment="1">
      <alignment horizontal="center"/>
    </xf>
    <xf numFmtId="38" fontId="0" fillId="0" borderId="0" xfId="0" applyNumberFormat="1" applyFont="1" applyFill="1" applyAlignment="1">
      <alignment horizontal="center"/>
    </xf>
    <xf numFmtId="10" fontId="0" fillId="0" borderId="0" xfId="3" applyNumberFormat="1" applyFont="1"/>
    <xf numFmtId="0" fontId="0" fillId="0" borderId="0" xfId="0" applyAlignment="1">
      <alignment wrapText="1"/>
    </xf>
    <xf numFmtId="167" fontId="0" fillId="0" borderId="0" xfId="0" applyNumberFormat="1"/>
    <xf numFmtId="4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167" fontId="4" fillId="0" borderId="11" xfId="6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167" fontId="6" fillId="0" borderId="0" xfId="0" applyNumberFormat="1" applyFont="1" applyAlignment="1">
      <alignment horizontal="center" vertical="center"/>
    </xf>
    <xf numFmtId="167" fontId="4" fillId="0" borderId="0" xfId="6" applyNumberFormat="1" applyFont="1" applyFill="1" applyAlignment="1">
      <alignment horizontal="right" vertical="center"/>
    </xf>
    <xf numFmtId="9" fontId="0" fillId="0" borderId="0" xfId="3" applyFont="1"/>
    <xf numFmtId="167" fontId="0" fillId="0" borderId="0" xfId="0" applyNumberFormat="1" applyFont="1" applyAlignment="1">
      <alignment horizontal="center" vertical="center"/>
    </xf>
    <xf numFmtId="167" fontId="1" fillId="0" borderId="0" xfId="6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7" fontId="1" fillId="0" borderId="11" xfId="6" applyNumberFormat="1" applyFont="1" applyFill="1" applyBorder="1" applyAlignment="1">
      <alignment horizontal="right" vertical="center"/>
    </xf>
    <xf numFmtId="167" fontId="0" fillId="0" borderId="0" xfId="0" applyNumberFormat="1" applyBorder="1"/>
    <xf numFmtId="167" fontId="1" fillId="0" borderId="0" xfId="6" applyNumberFormat="1" applyFont="1" applyFill="1" applyBorder="1" applyAlignment="1">
      <alignment horizontal="right" vertical="center"/>
    </xf>
    <xf numFmtId="167" fontId="6" fillId="0" borderId="0" xfId="0" applyNumberFormat="1" applyFont="1"/>
    <xf numFmtId="0" fontId="6" fillId="0" borderId="0" xfId="0" applyFont="1" applyFill="1" applyAlignment="1">
      <alignment horizontal="left" vertical="center"/>
    </xf>
    <xf numFmtId="167" fontId="0" fillId="0" borderId="0" xfId="0" applyNumberForma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167" fontId="6" fillId="0" borderId="11" xfId="0" applyNumberFormat="1" applyFont="1" applyBorder="1" applyAlignment="1">
      <alignment vertical="center"/>
    </xf>
    <xf numFmtId="167" fontId="6" fillId="0" borderId="0" xfId="0" applyNumberFormat="1" applyFont="1" applyBorder="1"/>
    <xf numFmtId="41" fontId="0" fillId="0" borderId="0" xfId="0" applyNumberFormat="1" applyFont="1" applyFill="1" applyAlignment="1">
      <alignment horizontal="right" vertical="center"/>
    </xf>
    <xf numFmtId="167" fontId="6" fillId="0" borderId="8" xfId="6" applyNumberFormat="1" applyFont="1" applyFill="1" applyBorder="1" applyAlignment="1">
      <alignment horizontal="center" vertical="center"/>
    </xf>
    <xf numFmtId="167" fontId="2" fillId="0" borderId="8" xfId="6" applyNumberFormat="1" applyFont="1" applyFill="1" applyBorder="1" applyAlignment="1">
      <alignment horizontal="center" vertical="center"/>
    </xf>
    <xf numFmtId="164" fontId="0" fillId="0" borderId="0" xfId="1" applyNumberFormat="1" applyFont="1" applyBorder="1"/>
    <xf numFmtId="164" fontId="2" fillId="0" borderId="0" xfId="1" applyNumberFormat="1" applyFont="1" applyFill="1" applyAlignment="1">
      <alignment horizontal="center" vertical="center"/>
    </xf>
    <xf numFmtId="167" fontId="0" fillId="0" borderId="0" xfId="0" applyNumberFormat="1" applyFont="1" applyBorder="1"/>
    <xf numFmtId="167" fontId="2" fillId="0" borderId="0" xfId="6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7" fontId="6" fillId="0" borderId="8" xfId="0" applyNumberFormat="1" applyFont="1" applyBorder="1"/>
    <xf numFmtId="0" fontId="1" fillId="0" borderId="0" xfId="0" applyFont="1" applyFill="1" applyAlignment="1">
      <alignment horizontal="center" vertical="center"/>
    </xf>
    <xf numFmtId="41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4" fontId="0" fillId="0" borderId="0" xfId="6" applyNumberFormat="1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168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4" fontId="6" fillId="0" borderId="0" xfId="0" applyNumberFormat="1" applyFont="1" applyBorder="1"/>
    <xf numFmtId="44" fontId="4" fillId="0" borderId="0" xfId="2" applyFont="1" applyFill="1" applyBorder="1" applyAlignment="1">
      <alignment horizontal="center"/>
    </xf>
    <xf numFmtId="44" fontId="4" fillId="0" borderId="8" xfId="2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1" fillId="0" borderId="0" xfId="0" applyFont="1" applyFill="1"/>
    <xf numFmtId="168" fontId="4" fillId="0" borderId="0" xfId="0" applyNumberFormat="1" applyFont="1" applyFill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7">
    <cellStyle name="Comma" xfId="1" builtinId="3"/>
    <cellStyle name="Currency" xfId="2" builtinId="4"/>
    <cellStyle name="Currency 10" xfId="5"/>
    <cellStyle name="Currency 2 2" xfId="6"/>
    <cellStyle name="Normal" xfId="0" builtinId="0"/>
    <cellStyle name="Normal 10 2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A/WA%20UE-160XXX%20(2017%20PCAM)/Testimony%20&amp;%20Exhibits/WA%20PCAM%20Workpape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(4.1) WA Allocated Actual NPC"/>
      <sheetName val="(4.2) Adj Actual NPC by Cat"/>
      <sheetName val="(4.3) Adj Actual NPC"/>
      <sheetName val="(4.4) Adjustments"/>
      <sheetName val="(4.5) Actual WCA NPC"/>
      <sheetName val="(5.1) WA Allocated Base NPC"/>
      <sheetName val="(5.2) WCA Base NPC UE-140762"/>
      <sheetName val="(6.1) Actual EIM Costs"/>
      <sheetName val="(7.1) Actual Factors"/>
      <sheetName val="(8.1) WA Sales"/>
    </sheetNames>
    <sheetDataSet>
      <sheetData sheetId="0">
        <row r="4">
          <cell r="C4" t="str">
            <v>Washington Power Cost Adjustment Mechanism</v>
          </cell>
        </row>
        <row r="5">
          <cell r="B5" t="str">
            <v>Deferral Period:</v>
          </cell>
          <cell r="C5" t="str">
            <v>January 1, 2016 - December 31, 2016</v>
          </cell>
        </row>
        <row r="9">
          <cell r="B9" t="str">
            <v>Exhibit 2</v>
          </cell>
          <cell r="C9" t="str">
            <v>Power Cost Adjustment Mechanism Calculation</v>
          </cell>
        </row>
        <row r="12">
          <cell r="B12" t="str">
            <v>(4.1)</v>
          </cell>
        </row>
        <row r="19">
          <cell r="B19" t="str">
            <v>(5.1)</v>
          </cell>
        </row>
        <row r="23">
          <cell r="B23" t="str">
            <v>(6.1)</v>
          </cell>
        </row>
        <row r="29">
          <cell r="B29" t="str">
            <v>(8.1)</v>
          </cell>
        </row>
      </sheetData>
      <sheetData sheetId="1">
        <row r="80">
          <cell r="I80">
            <v>10890722.982161487</v>
          </cell>
          <cell r="J80">
            <v>8447845.2818135023</v>
          </cell>
          <cell r="K80">
            <v>8211436.2203834811</v>
          </cell>
          <cell r="L80">
            <v>7426248.0787945827</v>
          </cell>
          <cell r="M80">
            <v>9465976.1149949469</v>
          </cell>
          <cell r="N80">
            <v>10632903.295945603</v>
          </cell>
          <cell r="O80">
            <v>10523660.103570651</v>
          </cell>
          <cell r="P80">
            <v>11962130.459261369</v>
          </cell>
          <cell r="Q80">
            <v>13511552.121589746</v>
          </cell>
          <cell r="R80">
            <v>7696516.348769825</v>
          </cell>
          <cell r="S80">
            <v>9146420.4604310058</v>
          </cell>
          <cell r="T80">
            <v>12370183.197597273</v>
          </cell>
        </row>
      </sheetData>
      <sheetData sheetId="2"/>
      <sheetData sheetId="3"/>
      <sheetData sheetId="4"/>
      <sheetData sheetId="5"/>
      <sheetData sheetId="6">
        <row r="15">
          <cell r="F15">
            <v>127364594.61366889</v>
          </cell>
        </row>
      </sheetData>
      <sheetData sheetId="7"/>
      <sheetData sheetId="8">
        <row r="24">
          <cell r="F24">
            <v>567905.9361556673</v>
          </cell>
        </row>
      </sheetData>
      <sheetData sheetId="9"/>
      <sheetData sheetId="10">
        <row r="11">
          <cell r="E11">
            <v>381698.25</v>
          </cell>
          <cell r="F11">
            <v>301698.26500000001</v>
          </cell>
          <cell r="G11">
            <v>302541.73499999999</v>
          </cell>
          <cell r="H11">
            <v>261019.70499999999</v>
          </cell>
          <cell r="I11">
            <v>290096.353</v>
          </cell>
          <cell r="J11">
            <v>315193.34100000001</v>
          </cell>
          <cell r="K11">
            <v>349114.663</v>
          </cell>
          <cell r="L11">
            <v>384407.41599999997</v>
          </cell>
          <cell r="M11">
            <v>307977.90000000002</v>
          </cell>
          <cell r="N11">
            <v>330124.29799999995</v>
          </cell>
          <cell r="O11">
            <v>323648.40500000003</v>
          </cell>
          <cell r="P11">
            <v>434133.59699999995</v>
          </cell>
        </row>
        <row r="18">
          <cell r="E18">
            <v>4010161.4332736093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zoomScale="85" zoomScaleNormal="85" workbookViewId="0">
      <selection activeCell="E20" sqref="E20"/>
    </sheetView>
  </sheetViews>
  <sheetFormatPr defaultRowHeight="12.75" x14ac:dyDescent="0.2"/>
  <cols>
    <col min="1" max="1" width="9.140625" style="1"/>
    <col min="2" max="3" width="1.85546875" style="1" customWidth="1"/>
    <col min="4" max="4" width="48.7109375" style="1" customWidth="1"/>
    <col min="5" max="5" width="20.7109375" style="1" customWidth="1"/>
    <col min="6" max="6" width="1.85546875" style="1" customWidth="1"/>
    <col min="7" max="7" width="13.42578125" style="1" bestFit="1" customWidth="1"/>
    <col min="8" max="8" width="16.5703125" style="1" bestFit="1" customWidth="1"/>
    <col min="9" max="16384" width="9.140625" style="1"/>
  </cols>
  <sheetData>
    <row r="2" spans="2:7" x14ac:dyDescent="0.2">
      <c r="B2" s="26"/>
      <c r="C2" s="25"/>
      <c r="D2" s="25"/>
      <c r="E2" s="25"/>
      <c r="F2" s="24"/>
    </row>
    <row r="3" spans="2:7" x14ac:dyDescent="0.2">
      <c r="B3" s="9"/>
      <c r="C3" s="23" t="s">
        <v>11</v>
      </c>
      <c r="D3" s="7"/>
      <c r="E3" s="7"/>
      <c r="F3" s="6"/>
    </row>
    <row r="4" spans="2:7" x14ac:dyDescent="0.2">
      <c r="B4" s="9"/>
      <c r="C4" s="12"/>
      <c r="D4" s="7"/>
      <c r="E4" s="7"/>
      <c r="F4" s="6"/>
    </row>
    <row r="5" spans="2:7" x14ac:dyDescent="0.2">
      <c r="B5" s="9"/>
      <c r="C5" s="12"/>
      <c r="D5" s="18" t="s">
        <v>10</v>
      </c>
      <c r="E5" s="22">
        <f>'Exhibit 2 - PCAM Calculation'!P18/SUM('Exhibit 2 - PCAM Calculation'!D13:O13)</f>
        <v>30.352587840845903</v>
      </c>
      <c r="F5" s="6"/>
    </row>
    <row r="6" spans="2:7" x14ac:dyDescent="0.2">
      <c r="B6" s="9"/>
      <c r="C6" s="12"/>
      <c r="D6" s="18" t="s">
        <v>9</v>
      </c>
      <c r="E6" s="21">
        <f>'Exhibit 2 - PCAM Calculation'!D9</f>
        <v>31.760465690204779</v>
      </c>
      <c r="F6" s="6"/>
    </row>
    <row r="7" spans="2:7" x14ac:dyDescent="0.2">
      <c r="B7" s="9"/>
      <c r="C7" s="12"/>
      <c r="D7" s="19" t="s">
        <v>8</v>
      </c>
      <c r="E7" s="20">
        <f>+E5-E6</f>
        <v>-1.4078778493588757</v>
      </c>
      <c r="F7" s="6"/>
    </row>
    <row r="8" spans="2:7" x14ac:dyDescent="0.2">
      <c r="B8" s="9"/>
      <c r="C8" s="12"/>
      <c r="D8" s="19"/>
      <c r="E8" s="20"/>
      <c r="F8" s="6"/>
    </row>
    <row r="9" spans="2:7" x14ac:dyDescent="0.2">
      <c r="B9" s="9"/>
      <c r="C9" s="12"/>
      <c r="D9" s="19" t="s">
        <v>7</v>
      </c>
      <c r="E9" s="17">
        <f>SUM('Exhibit 2 - PCAM Calculation'!D13:O13)</f>
        <v>3981653.9280000003</v>
      </c>
      <c r="F9" s="6"/>
    </row>
    <row r="10" spans="2:7" x14ac:dyDescent="0.2">
      <c r="B10" s="9"/>
      <c r="C10" s="12"/>
      <c r="D10" s="7"/>
      <c r="E10" s="13"/>
      <c r="F10" s="6"/>
    </row>
    <row r="11" spans="2:7" x14ac:dyDescent="0.2">
      <c r="B11" s="9"/>
      <c r="C11" s="12"/>
      <c r="D11" s="7" t="s">
        <v>6</v>
      </c>
      <c r="E11" s="13">
        <f>'Exhibit 2 - PCAM Calculation'!P21</f>
        <v>-5605682.3690439425</v>
      </c>
      <c r="F11" s="6"/>
    </row>
    <row r="12" spans="2:7" x14ac:dyDescent="0.2">
      <c r="B12" s="9"/>
      <c r="C12" s="12"/>
      <c r="D12" s="7"/>
      <c r="E12" s="13"/>
      <c r="F12" s="6"/>
    </row>
    <row r="13" spans="2:7" x14ac:dyDescent="0.2">
      <c r="B13" s="9"/>
      <c r="C13" s="7"/>
      <c r="D13" s="18" t="s">
        <v>5</v>
      </c>
      <c r="E13" s="13">
        <v>0</v>
      </c>
      <c r="F13" s="6"/>
      <c r="G13" s="16"/>
    </row>
    <row r="14" spans="2:7" x14ac:dyDescent="0.2">
      <c r="B14" s="9"/>
      <c r="C14" s="7"/>
      <c r="D14" s="18" t="s">
        <v>4</v>
      </c>
      <c r="E14" s="17">
        <f>'Exhibit 2 - PCAM Calculation'!P27</f>
        <v>-1605682.3690439425</v>
      </c>
      <c r="F14" s="6"/>
      <c r="G14" s="16"/>
    </row>
    <row r="15" spans="2:7" x14ac:dyDescent="0.2">
      <c r="B15" s="9"/>
      <c r="C15" s="7"/>
      <c r="D15" s="12"/>
      <c r="E15" s="15"/>
      <c r="F15" s="6"/>
    </row>
    <row r="16" spans="2:7" x14ac:dyDescent="0.2">
      <c r="B16" s="9"/>
      <c r="C16" s="7"/>
      <c r="D16" s="14" t="s">
        <v>3</v>
      </c>
      <c r="E16" s="13">
        <f>'Exhibit 2 - PCAM Calculation'!P35</f>
        <v>-1204261.7767829569</v>
      </c>
      <c r="F16" s="6"/>
    </row>
    <row r="17" spans="2:8" x14ac:dyDescent="0.2">
      <c r="B17" s="9"/>
      <c r="C17" s="7"/>
      <c r="D17" s="7"/>
      <c r="E17" s="7"/>
      <c r="F17" s="6"/>
    </row>
    <row r="18" spans="2:8" x14ac:dyDescent="0.2">
      <c r="B18" s="9"/>
      <c r="C18" s="7"/>
      <c r="D18" s="7" t="s">
        <v>2</v>
      </c>
      <c r="E18" s="13">
        <f>SUM('Exhibit 2 - PCAM Calculation'!F41:O41)</f>
        <v>-3955.8842650615961</v>
      </c>
      <c r="F18" s="6"/>
    </row>
    <row r="19" spans="2:8" x14ac:dyDescent="0.2">
      <c r="B19" s="9"/>
      <c r="C19" s="7"/>
      <c r="D19" s="7"/>
      <c r="E19" s="7"/>
      <c r="F19" s="6"/>
    </row>
    <row r="20" spans="2:8" ht="13.5" thickBot="1" x14ac:dyDescent="0.25">
      <c r="B20" s="9"/>
      <c r="C20" s="7"/>
      <c r="D20" s="12" t="s">
        <v>1</v>
      </c>
      <c r="E20" s="11">
        <f>E16+E18</f>
        <v>-1208217.6610480186</v>
      </c>
      <c r="F20" s="6"/>
      <c r="H20" s="10"/>
    </row>
    <row r="21" spans="2:8" ht="13.5" thickTop="1" x14ac:dyDescent="0.2">
      <c r="B21" s="9"/>
      <c r="C21" s="7"/>
      <c r="D21" s="7"/>
      <c r="E21" s="7"/>
      <c r="F21" s="6"/>
    </row>
    <row r="22" spans="2:8" x14ac:dyDescent="0.2">
      <c r="B22" s="9"/>
      <c r="C22" s="8" t="s">
        <v>0</v>
      </c>
      <c r="D22" s="7"/>
      <c r="E22" s="7"/>
      <c r="F22" s="6"/>
    </row>
    <row r="23" spans="2:8" x14ac:dyDescent="0.2">
      <c r="B23" s="5"/>
      <c r="C23" s="4"/>
      <c r="D23" s="4"/>
      <c r="E23" s="4"/>
      <c r="F23" s="3"/>
    </row>
    <row r="25" spans="2:8" x14ac:dyDescent="0.2">
      <c r="E25" s="2">
        <f>E20-'Exhibit 2 - PCAM Calculation'!O42</f>
        <v>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zoomScale="85" zoomScaleNormal="85" workbookViewId="0">
      <selection activeCell="H33" sqref="H33"/>
    </sheetView>
  </sheetViews>
  <sheetFormatPr defaultRowHeight="12.75" x14ac:dyDescent="0.2"/>
  <cols>
    <col min="1" max="1" width="5.5703125" customWidth="1"/>
    <col min="2" max="2" width="44" customWidth="1"/>
    <col min="3" max="3" width="20.28515625" style="27" customWidth="1"/>
    <col min="4" max="4" width="16.28515625" bestFit="1" customWidth="1"/>
    <col min="5" max="7" width="16.28515625" customWidth="1"/>
    <col min="8" max="8" width="14.7109375" customWidth="1"/>
    <col min="9" max="9" width="13" customWidth="1"/>
    <col min="10" max="10" width="12.42578125" customWidth="1"/>
    <col min="11" max="11" width="13" customWidth="1"/>
    <col min="12" max="14" width="14" customWidth="1"/>
    <col min="15" max="15" width="14.140625" customWidth="1"/>
    <col min="16" max="16" width="13.42578125" bestFit="1" customWidth="1"/>
    <col min="17" max="17" width="11.85546875" bestFit="1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 x14ac:dyDescent="0.2">
      <c r="A1" s="91" t="str">
        <f>+'[3]Workpaper Index'!$C$4</f>
        <v>Washington Power Cost Adjustment Mechanism</v>
      </c>
    </row>
    <row r="2" spans="1:16" x14ac:dyDescent="0.2">
      <c r="A2" s="91" t="str">
        <f>+'[3]Workpaper Index'!$B$5&amp;" "&amp;'[3]Workpaper Index'!$C$5</f>
        <v>Deferral Period: January 1, 2016 - December 31, 2016</v>
      </c>
    </row>
    <row r="3" spans="1:16" x14ac:dyDescent="0.2">
      <c r="A3" s="91" t="str">
        <f>+'[3]Workpaper Index'!$B$9&amp;": "&amp;'[3]Workpaper Index'!$C$9</f>
        <v>Exhibit 2: Power Cost Adjustment Mechanism Calculation</v>
      </c>
    </row>
    <row r="4" spans="1:16" x14ac:dyDescent="0.2">
      <c r="C4" s="104"/>
      <c r="D4" s="28"/>
      <c r="E4" s="28"/>
      <c r="F4" s="28"/>
      <c r="G4" s="28"/>
    </row>
    <row r="5" spans="1:16" ht="25.5" x14ac:dyDescent="0.2">
      <c r="A5" s="103" t="s">
        <v>49</v>
      </c>
      <c r="B5" s="102"/>
      <c r="C5" s="101"/>
      <c r="D5" s="100" t="s">
        <v>48</v>
      </c>
      <c r="E5" s="100"/>
      <c r="F5" s="100"/>
      <c r="G5" s="100"/>
      <c r="H5" s="99"/>
    </row>
    <row r="6" spans="1:16" x14ac:dyDescent="0.2">
      <c r="A6" s="98" t="s">
        <v>47</v>
      </c>
      <c r="B6" s="86"/>
      <c r="C6" s="97"/>
      <c r="D6" s="96"/>
      <c r="E6" s="95"/>
      <c r="F6" s="95"/>
      <c r="G6" s="95"/>
      <c r="H6" s="28"/>
    </row>
    <row r="7" spans="1:16" x14ac:dyDescent="0.2">
      <c r="A7" s="33">
        <v>1</v>
      </c>
      <c r="B7" s="94" t="s">
        <v>46</v>
      </c>
      <c r="C7" s="38" t="str">
        <f>+'[3]Workpaper Index'!B19</f>
        <v>(5.1)</v>
      </c>
      <c r="D7" s="41">
        <f>+'[3](5.1) WA Allocated Base NPC'!F15</f>
        <v>127364594.61366889</v>
      </c>
      <c r="E7" s="41"/>
      <c r="F7" s="41"/>
      <c r="G7" s="41"/>
      <c r="H7" s="71"/>
    </row>
    <row r="8" spans="1:16" x14ac:dyDescent="0.2">
      <c r="A8" s="92">
        <v>2</v>
      </c>
      <c r="B8" t="s">
        <v>45</v>
      </c>
      <c r="C8" s="38" t="str">
        <f>+'[3]Workpaper Index'!B29</f>
        <v>(8.1)</v>
      </c>
      <c r="D8" s="93">
        <f>+'[3](8.1) WA Sales'!E18</f>
        <v>4010161.4332736093</v>
      </c>
      <c r="E8" s="93"/>
      <c r="F8" s="93"/>
      <c r="G8" s="93"/>
      <c r="H8" s="71"/>
    </row>
    <row r="9" spans="1:16" x14ac:dyDescent="0.2">
      <c r="A9" s="92">
        <v>3</v>
      </c>
      <c r="B9" s="91" t="s">
        <v>44</v>
      </c>
      <c r="C9" s="38" t="str">
        <f>"Line "&amp;A7&amp;" / Line "&amp;A8</f>
        <v>Line 1 / Line 2</v>
      </c>
      <c r="D9" s="90">
        <f>+D7/D8</f>
        <v>31.760465690204779</v>
      </c>
      <c r="E9" s="89"/>
      <c r="F9" s="89"/>
      <c r="G9" s="89"/>
      <c r="H9" s="89"/>
      <c r="I9" s="88"/>
    </row>
    <row r="10" spans="1:16" x14ac:dyDescent="0.2">
      <c r="A10" s="87"/>
      <c r="B10" s="86"/>
      <c r="C10" s="38"/>
      <c r="D10" s="85"/>
      <c r="E10" s="85"/>
      <c r="F10" s="85"/>
      <c r="G10" s="85"/>
      <c r="H10" s="28"/>
      <c r="I10" s="28"/>
    </row>
    <row r="11" spans="1:16" x14ac:dyDescent="0.2">
      <c r="A11" s="84" t="s">
        <v>43</v>
      </c>
      <c r="B11" s="80"/>
      <c r="C11" s="38"/>
      <c r="D11" s="83">
        <v>42370</v>
      </c>
      <c r="E11" s="83">
        <f t="shared" ref="E11:O11" si="0">EDATE(D11,1)</f>
        <v>42401</v>
      </c>
      <c r="F11" s="83">
        <f t="shared" si="0"/>
        <v>42430</v>
      </c>
      <c r="G11" s="83">
        <f t="shared" si="0"/>
        <v>42461</v>
      </c>
      <c r="H11" s="83">
        <f t="shared" si="0"/>
        <v>42491</v>
      </c>
      <c r="I11" s="83">
        <f t="shared" si="0"/>
        <v>42522</v>
      </c>
      <c r="J11" s="83">
        <f t="shared" si="0"/>
        <v>42552</v>
      </c>
      <c r="K11" s="83">
        <f t="shared" si="0"/>
        <v>42583</v>
      </c>
      <c r="L11" s="83">
        <f t="shared" si="0"/>
        <v>42614</v>
      </c>
      <c r="M11" s="83">
        <f t="shared" si="0"/>
        <v>42644</v>
      </c>
      <c r="N11" s="83">
        <f t="shared" si="0"/>
        <v>42675</v>
      </c>
      <c r="O11" s="83">
        <f t="shared" si="0"/>
        <v>42705</v>
      </c>
      <c r="P11" s="82" t="s">
        <v>42</v>
      </c>
    </row>
    <row r="12" spans="1:16" x14ac:dyDescent="0.2">
      <c r="A12" s="33">
        <v>4</v>
      </c>
      <c r="B12" s="80" t="s">
        <v>41</v>
      </c>
      <c r="C12" s="38" t="str">
        <f>"Line "&amp;A9</f>
        <v>Line 3</v>
      </c>
      <c r="D12" s="81">
        <f t="shared" ref="D12:O12" si="1">+$D$9</f>
        <v>31.760465690204779</v>
      </c>
      <c r="E12" s="81">
        <f t="shared" si="1"/>
        <v>31.760465690204779</v>
      </c>
      <c r="F12" s="81">
        <f t="shared" si="1"/>
        <v>31.760465690204779</v>
      </c>
      <c r="G12" s="81">
        <f t="shared" si="1"/>
        <v>31.760465690204779</v>
      </c>
      <c r="H12" s="81">
        <f t="shared" si="1"/>
        <v>31.760465690204779</v>
      </c>
      <c r="I12" s="81">
        <f t="shared" si="1"/>
        <v>31.760465690204779</v>
      </c>
      <c r="J12" s="81">
        <f t="shared" si="1"/>
        <v>31.760465690204779</v>
      </c>
      <c r="K12" s="81">
        <f t="shared" si="1"/>
        <v>31.760465690204779</v>
      </c>
      <c r="L12" s="81">
        <f t="shared" si="1"/>
        <v>31.760465690204779</v>
      </c>
      <c r="M12" s="81">
        <f t="shared" si="1"/>
        <v>31.760465690204779</v>
      </c>
      <c r="N12" s="81">
        <f t="shared" si="1"/>
        <v>31.760465690204779</v>
      </c>
      <c r="O12" s="81">
        <f t="shared" si="1"/>
        <v>31.760465690204779</v>
      </c>
    </row>
    <row r="13" spans="1:16" x14ac:dyDescent="0.2">
      <c r="A13" s="33">
        <v>5</v>
      </c>
      <c r="B13" s="80" t="s">
        <v>40</v>
      </c>
      <c r="C13" s="38" t="str">
        <f>+'[3]Workpaper Index'!$B$29</f>
        <v>(8.1)</v>
      </c>
      <c r="D13" s="79">
        <f>+'[3](8.1) WA Sales'!E11</f>
        <v>381698.25</v>
      </c>
      <c r="E13" s="79">
        <f>+'[3](8.1) WA Sales'!F11</f>
        <v>301698.26500000001</v>
      </c>
      <c r="F13" s="79">
        <f>+'[3](8.1) WA Sales'!G11</f>
        <v>302541.73499999999</v>
      </c>
      <c r="G13" s="79">
        <f>+'[3](8.1) WA Sales'!H11</f>
        <v>261019.70499999999</v>
      </c>
      <c r="H13" s="79">
        <f>+'[3](8.1) WA Sales'!I11</f>
        <v>290096.353</v>
      </c>
      <c r="I13" s="79">
        <f>+'[3](8.1) WA Sales'!J11</f>
        <v>315193.34100000001</v>
      </c>
      <c r="J13" s="79">
        <f>+'[3](8.1) WA Sales'!K11</f>
        <v>349114.663</v>
      </c>
      <c r="K13" s="79">
        <f>+'[3](8.1) WA Sales'!L11</f>
        <v>384407.41599999997</v>
      </c>
      <c r="L13" s="79">
        <f>+'[3](8.1) WA Sales'!M11</f>
        <v>307977.90000000002</v>
      </c>
      <c r="M13" s="79">
        <f>+'[3](8.1) WA Sales'!N11</f>
        <v>330124.29799999995</v>
      </c>
      <c r="N13" s="79">
        <f>+'[3](8.1) WA Sales'!O11</f>
        <v>323648.40500000003</v>
      </c>
      <c r="O13" s="79">
        <f>+'[3](8.1) WA Sales'!P11</f>
        <v>434133.59699999995</v>
      </c>
    </row>
    <row r="14" spans="1:16" x14ac:dyDescent="0.2">
      <c r="A14" s="33">
        <v>6</v>
      </c>
      <c r="B14" s="39" t="s">
        <v>39</v>
      </c>
      <c r="C14" s="78" t="s">
        <v>38</v>
      </c>
      <c r="D14" s="55">
        <f t="shared" ref="D14:O14" si="2">+D12*D13</f>
        <v>12122914.173136206</v>
      </c>
      <c r="E14" s="55">
        <f t="shared" si="2"/>
        <v>9582077.3943268098</v>
      </c>
      <c r="F14" s="55">
        <f t="shared" si="2"/>
        <v>9608866.3943225257</v>
      </c>
      <c r="G14" s="55">
        <f t="shared" si="2"/>
        <v>8290107.3851198722</v>
      </c>
      <c r="H14" s="55">
        <f t="shared" si="2"/>
        <v>9213595.2663100343</v>
      </c>
      <c r="I14" s="55">
        <f t="shared" si="2"/>
        <v>10010687.292611515</v>
      </c>
      <c r="J14" s="55">
        <f t="shared" si="2"/>
        <v>11088044.276158903</v>
      </c>
      <c r="K14" s="55">
        <f t="shared" si="2"/>
        <v>12208958.546928275</v>
      </c>
      <c r="L14" s="55">
        <f t="shared" si="2"/>
        <v>9781521.5262913182</v>
      </c>
      <c r="M14" s="55">
        <f t="shared" si="2"/>
        <v>10484901.440131936</v>
      </c>
      <c r="N14" s="55">
        <f t="shared" si="2"/>
        <v>10279224.062692001</v>
      </c>
      <c r="O14" s="55">
        <f t="shared" si="2"/>
        <v>13788285.212483687</v>
      </c>
      <c r="P14" s="77">
        <f>SUM(D14:O14)</f>
        <v>126459182.97051308</v>
      </c>
    </row>
    <row r="15" spans="1:16" x14ac:dyDescent="0.2">
      <c r="A15" s="33"/>
      <c r="B15" s="58"/>
      <c r="C15" s="76"/>
      <c r="D15" s="75"/>
      <c r="E15" s="75"/>
      <c r="F15" s="75"/>
      <c r="G15" s="75"/>
    </row>
    <row r="16" spans="1:16" x14ac:dyDescent="0.2">
      <c r="A16" s="33">
        <f>MAX($A$11:A15)+1</f>
        <v>7</v>
      </c>
      <c r="B16" s="57" t="s">
        <v>37</v>
      </c>
      <c r="C16" s="38" t="str">
        <f>+'[3]Workpaper Index'!B12</f>
        <v>(4.1)</v>
      </c>
      <c r="D16" s="74">
        <f>+'[3](4.1) WA Allocated Actual NPC'!I80</f>
        <v>10890722.982161487</v>
      </c>
      <c r="E16" s="74">
        <f>+'[3](4.1) WA Allocated Actual NPC'!J80</f>
        <v>8447845.2818135023</v>
      </c>
      <c r="F16" s="74">
        <f>+'[3](4.1) WA Allocated Actual NPC'!K80</f>
        <v>8211436.2203834811</v>
      </c>
      <c r="G16" s="74">
        <f>+'[3](4.1) WA Allocated Actual NPC'!L80</f>
        <v>7426248.0787945827</v>
      </c>
      <c r="H16" s="74">
        <f>+'[3](4.1) WA Allocated Actual NPC'!M80</f>
        <v>9465976.1149949469</v>
      </c>
      <c r="I16" s="74">
        <f>+'[3](4.1) WA Allocated Actual NPC'!N80</f>
        <v>10632903.295945603</v>
      </c>
      <c r="J16" s="74">
        <f>+'[3](4.1) WA Allocated Actual NPC'!O80</f>
        <v>10523660.103570651</v>
      </c>
      <c r="K16" s="74">
        <f>+'[3](4.1) WA Allocated Actual NPC'!P80</f>
        <v>11962130.459261369</v>
      </c>
      <c r="L16" s="74">
        <f>+'[3](4.1) WA Allocated Actual NPC'!Q80</f>
        <v>13511552.121589746</v>
      </c>
      <c r="M16" s="74">
        <f>+'[3](4.1) WA Allocated Actual NPC'!R80</f>
        <v>7696516.348769825</v>
      </c>
      <c r="N16" s="74">
        <f>+'[3](4.1) WA Allocated Actual NPC'!S80</f>
        <v>9146420.4604310058</v>
      </c>
      <c r="O16" s="74">
        <f>+'[3](4.1) WA Allocated Actual NPC'!T80</f>
        <v>12370183.197597273</v>
      </c>
      <c r="P16" s="73">
        <f>SUM(D16:O16)</f>
        <v>120285594.66531348</v>
      </c>
    </row>
    <row r="17" spans="1:24" x14ac:dyDescent="0.2">
      <c r="A17" s="33">
        <f>MAX($A$11:A16)+1</f>
        <v>8</v>
      </c>
      <c r="B17" s="57" t="s">
        <v>36</v>
      </c>
      <c r="C17" s="38" t="str">
        <f>+'[3]Workpaper Index'!B23</f>
        <v>(6.1)</v>
      </c>
      <c r="D17" s="72">
        <f>+'[3](6.1) Actual EIM Costs'!$F$24/12</f>
        <v>47325.494679638941</v>
      </c>
      <c r="E17" s="72">
        <f>+'[3](6.1) Actual EIM Costs'!$F$24/12</f>
        <v>47325.494679638941</v>
      </c>
      <c r="F17" s="72">
        <f>+'[3](6.1) Actual EIM Costs'!$F$24/12</f>
        <v>47325.494679638941</v>
      </c>
      <c r="G17" s="72">
        <f>+'[3](6.1) Actual EIM Costs'!$F$24/12</f>
        <v>47325.494679638941</v>
      </c>
      <c r="H17" s="72">
        <f>+'[3](6.1) Actual EIM Costs'!$F$24/12</f>
        <v>47325.494679638941</v>
      </c>
      <c r="I17" s="72">
        <f>+'[3](6.1) Actual EIM Costs'!$F$24/12</f>
        <v>47325.494679638941</v>
      </c>
      <c r="J17" s="72">
        <f>+'[3](6.1) Actual EIM Costs'!$F$24/12</f>
        <v>47325.494679638941</v>
      </c>
      <c r="K17" s="72">
        <f>+'[3](6.1) Actual EIM Costs'!$F$24/12</f>
        <v>47325.494679638941</v>
      </c>
      <c r="L17" s="72">
        <f>+'[3](6.1) Actual EIM Costs'!$F$24/12</f>
        <v>47325.494679638941</v>
      </c>
      <c r="M17" s="72">
        <f>+'[3](6.1) Actual EIM Costs'!$F$24/12</f>
        <v>47325.494679638941</v>
      </c>
      <c r="N17" s="72">
        <f>+'[3](6.1) Actual EIM Costs'!$F$24/12</f>
        <v>47325.494679638941</v>
      </c>
      <c r="O17" s="72">
        <f>+'[3](6.1) Actual EIM Costs'!$F$24/12</f>
        <v>47325.494679638941</v>
      </c>
      <c r="P17" s="71">
        <f>SUM(D17:O17)</f>
        <v>567905.9361556673</v>
      </c>
    </row>
    <row r="18" spans="1:24" x14ac:dyDescent="0.2">
      <c r="A18" s="33">
        <f>MAX($A$11:A17)+1</f>
        <v>9</v>
      </c>
      <c r="B18" s="57" t="s">
        <v>35</v>
      </c>
      <c r="C18" s="38" t="str">
        <f>"Line "&amp;A16&amp;" + Line "&amp;A17</f>
        <v>Line 7 + Line 8</v>
      </c>
      <c r="D18" s="70">
        <f t="shared" ref="D18:P18" si="3">SUM(D16:D17)</f>
        <v>10938048.476841126</v>
      </c>
      <c r="E18" s="70">
        <f t="shared" si="3"/>
        <v>8495170.7764931414</v>
      </c>
      <c r="F18" s="70">
        <f t="shared" si="3"/>
        <v>8258761.7150631202</v>
      </c>
      <c r="G18" s="70">
        <f t="shared" si="3"/>
        <v>7473573.5734742219</v>
      </c>
      <c r="H18" s="70">
        <f t="shared" si="3"/>
        <v>9513301.609674586</v>
      </c>
      <c r="I18" s="70">
        <f t="shared" si="3"/>
        <v>10680228.790625243</v>
      </c>
      <c r="J18" s="70">
        <f t="shared" si="3"/>
        <v>10570985.59825029</v>
      </c>
      <c r="K18" s="70">
        <f t="shared" si="3"/>
        <v>12009455.953941008</v>
      </c>
      <c r="L18" s="70">
        <f t="shared" si="3"/>
        <v>13558877.616269385</v>
      </c>
      <c r="M18" s="70">
        <f t="shared" si="3"/>
        <v>7743841.8434494641</v>
      </c>
      <c r="N18" s="70">
        <f t="shared" si="3"/>
        <v>9193745.9551106449</v>
      </c>
      <c r="O18" s="70">
        <f t="shared" si="3"/>
        <v>12417508.692276912</v>
      </c>
      <c r="P18" s="69">
        <f t="shared" si="3"/>
        <v>120853500.60146914</v>
      </c>
    </row>
    <row r="19" spans="1:24" x14ac:dyDescent="0.2">
      <c r="A19" s="33"/>
      <c r="B19" s="57"/>
      <c r="C19" s="31"/>
      <c r="D19" s="68"/>
      <c r="E19" s="68"/>
      <c r="F19" s="68"/>
      <c r="G19" s="68"/>
    </row>
    <row r="20" spans="1:24" ht="25.5" x14ac:dyDescent="0.2">
      <c r="A20" s="33">
        <f>MAX($A$11:A19)+1</f>
        <v>10</v>
      </c>
      <c r="B20" s="39" t="s">
        <v>34</v>
      </c>
      <c r="C20" s="38" t="str">
        <f>"Line "&amp;A16&amp;" - Line "&amp;A14</f>
        <v>Line 7 - Line 6</v>
      </c>
      <c r="D20" s="55">
        <f t="shared" ref="D20:O20" si="4">+D18-D14</f>
        <v>-1184865.6962950807</v>
      </c>
      <c r="E20" s="55">
        <f t="shared" si="4"/>
        <v>-1086906.6178336684</v>
      </c>
      <c r="F20" s="55">
        <f t="shared" si="4"/>
        <v>-1350104.6792594055</v>
      </c>
      <c r="G20" s="55">
        <f t="shared" si="4"/>
        <v>-816533.8116456503</v>
      </c>
      <c r="H20" s="55">
        <f t="shared" si="4"/>
        <v>299706.34336455166</v>
      </c>
      <c r="I20" s="55">
        <f t="shared" si="4"/>
        <v>669541.49801372737</v>
      </c>
      <c r="J20" s="55">
        <f t="shared" si="4"/>
        <v>-517058.67790861242</v>
      </c>
      <c r="K20" s="55">
        <f t="shared" si="4"/>
        <v>-199502.5929872673</v>
      </c>
      <c r="L20" s="55">
        <f t="shared" si="4"/>
        <v>3777356.0899780672</v>
      </c>
      <c r="M20" s="55">
        <f t="shared" si="4"/>
        <v>-2741059.5966824722</v>
      </c>
      <c r="N20" s="55">
        <f t="shared" si="4"/>
        <v>-1085478.1075813565</v>
      </c>
      <c r="O20" s="55">
        <f t="shared" si="4"/>
        <v>-1370776.5202067755</v>
      </c>
      <c r="P20" s="67"/>
    </row>
    <row r="21" spans="1:24" ht="25.5" x14ac:dyDescent="0.2">
      <c r="A21" s="33">
        <f>MAX($A$11:A20)+1</f>
        <v>11</v>
      </c>
      <c r="B21" s="39" t="s">
        <v>33</v>
      </c>
      <c r="C21" s="65" t="str">
        <f>"Line "&amp;A20&amp;" + Prior Month Line "&amp;A21</f>
        <v>Line 10 + Prior Month Line 11</v>
      </c>
      <c r="D21" s="59">
        <f>+D20</f>
        <v>-1184865.6962950807</v>
      </c>
      <c r="E21" s="59">
        <f t="shared" ref="E21:O21" si="5">+E20+D21</f>
        <v>-2271772.3141287491</v>
      </c>
      <c r="F21" s="59">
        <f t="shared" si="5"/>
        <v>-3621876.9933881545</v>
      </c>
      <c r="G21" s="59">
        <f t="shared" si="5"/>
        <v>-4438410.8050338048</v>
      </c>
      <c r="H21" s="59">
        <f t="shared" si="5"/>
        <v>-4138704.4616692532</v>
      </c>
      <c r="I21" s="59">
        <f t="shared" si="5"/>
        <v>-3469162.9636555258</v>
      </c>
      <c r="J21" s="59">
        <f t="shared" si="5"/>
        <v>-3986221.6415641382</v>
      </c>
      <c r="K21" s="59">
        <f t="shared" si="5"/>
        <v>-4185724.2345514055</v>
      </c>
      <c r="L21" s="59">
        <f t="shared" si="5"/>
        <v>-408368.14457333833</v>
      </c>
      <c r="M21" s="59">
        <f t="shared" si="5"/>
        <v>-3149427.7412558105</v>
      </c>
      <c r="N21" s="59">
        <f t="shared" si="5"/>
        <v>-4234905.848837167</v>
      </c>
      <c r="O21" s="59">
        <f t="shared" si="5"/>
        <v>-5605682.3690439425</v>
      </c>
      <c r="P21" s="66">
        <f>+O21</f>
        <v>-5605682.3690439425</v>
      </c>
    </row>
    <row r="22" spans="1:24" x14ac:dyDescent="0.2">
      <c r="A22" s="33"/>
      <c r="B22" s="39"/>
      <c r="C22" s="65"/>
      <c r="D22" s="55"/>
      <c r="E22" s="55"/>
      <c r="F22" s="55"/>
      <c r="G22" s="55"/>
      <c r="H22" s="64"/>
      <c r="I22" s="64"/>
      <c r="J22" s="64"/>
      <c r="K22" s="64"/>
      <c r="L22" s="64"/>
      <c r="M22" s="64"/>
      <c r="N22" s="64"/>
      <c r="O22" s="64"/>
      <c r="P22" s="46"/>
    </row>
    <row r="23" spans="1:24" x14ac:dyDescent="0.2">
      <c r="A23" s="63" t="s">
        <v>32</v>
      </c>
      <c r="B23" s="39"/>
      <c r="C23" s="48"/>
      <c r="D23" s="55"/>
      <c r="E23" s="55"/>
      <c r="F23" s="55"/>
      <c r="G23" s="55"/>
      <c r="H23" s="46"/>
      <c r="I23" s="46"/>
      <c r="J23" s="46"/>
      <c r="K23" s="46"/>
      <c r="L23" s="46"/>
      <c r="M23" s="46"/>
      <c r="N23" s="46"/>
      <c r="O23" s="46"/>
    </row>
    <row r="24" spans="1:24" x14ac:dyDescent="0.2">
      <c r="A24" s="33">
        <f>MAX($A$11:A21)+1</f>
        <v>12</v>
      </c>
      <c r="B24" s="57" t="s">
        <v>31</v>
      </c>
      <c r="C24" s="48"/>
      <c r="D24" s="55"/>
      <c r="E24" s="55"/>
      <c r="F24" s="55"/>
      <c r="G24" s="55"/>
      <c r="H24" s="46"/>
      <c r="I24" s="46"/>
      <c r="J24" s="46"/>
      <c r="K24" s="46"/>
      <c r="L24" s="46"/>
      <c r="M24" s="46"/>
      <c r="N24" s="46"/>
      <c r="O24" s="46"/>
      <c r="P24" s="62">
        <v>4000000</v>
      </c>
      <c r="Q24" s="46"/>
      <c r="R24" s="2"/>
      <c r="S24" s="2"/>
      <c r="T24" s="2"/>
    </row>
    <row r="25" spans="1:24" x14ac:dyDescent="0.2">
      <c r="A25" s="33"/>
      <c r="B25" s="57"/>
      <c r="C25" s="48"/>
      <c r="D25" s="55"/>
      <c r="E25" s="55"/>
      <c r="F25" s="55"/>
      <c r="G25" s="55"/>
      <c r="H25" s="46"/>
      <c r="I25" s="46"/>
      <c r="J25" s="46"/>
      <c r="K25" s="46"/>
      <c r="L25" s="46"/>
      <c r="M25" s="46"/>
      <c r="N25" s="46"/>
      <c r="O25" s="46"/>
      <c r="Q25" s="46"/>
      <c r="R25" s="2"/>
      <c r="S25" s="2"/>
      <c r="T25" s="2"/>
    </row>
    <row r="26" spans="1:24" x14ac:dyDescent="0.2">
      <c r="A26" s="33">
        <f>MAX($A$11:A25)+1</f>
        <v>13</v>
      </c>
      <c r="B26" s="57" t="s">
        <v>30</v>
      </c>
      <c r="C26" s="48"/>
      <c r="D26" s="61">
        <f>D27</f>
        <v>0</v>
      </c>
      <c r="E26" s="61">
        <f t="shared" ref="E26:O26" si="6">E27-D27</f>
        <v>0</v>
      </c>
      <c r="F26" s="61">
        <f t="shared" si="6"/>
        <v>0</v>
      </c>
      <c r="G26" s="61">
        <f t="shared" si="6"/>
        <v>-438410.80503380485</v>
      </c>
      <c r="H26" s="61">
        <f t="shared" si="6"/>
        <v>299706.34336455166</v>
      </c>
      <c r="I26" s="61">
        <f t="shared" si="6"/>
        <v>138704.46166925319</v>
      </c>
      <c r="J26" s="61">
        <f t="shared" si="6"/>
        <v>0</v>
      </c>
      <c r="K26" s="61">
        <f t="shared" si="6"/>
        <v>-185724.23455140553</v>
      </c>
      <c r="L26" s="61">
        <f t="shared" si="6"/>
        <v>185724.23455140553</v>
      </c>
      <c r="M26" s="61">
        <f t="shared" si="6"/>
        <v>0</v>
      </c>
      <c r="N26" s="61">
        <f t="shared" si="6"/>
        <v>-234905.84883716702</v>
      </c>
      <c r="O26" s="61">
        <f t="shared" si="6"/>
        <v>-1370776.5202067755</v>
      </c>
      <c r="P26" s="60"/>
      <c r="R26" s="2"/>
      <c r="S26" s="2"/>
      <c r="T26" s="2"/>
    </row>
    <row r="27" spans="1:24" ht="12.75" customHeight="1" x14ac:dyDescent="0.2">
      <c r="A27" s="33">
        <v>12</v>
      </c>
      <c r="B27" s="57" t="s">
        <v>29</v>
      </c>
      <c r="C27" s="48"/>
      <c r="D27" s="59">
        <f t="shared" ref="D27:O27" si="7">IF(OR($P$21&gt;$P$24,$P$21&lt;-$P$24),IF(AND($P$21&gt;$P$24,D21&gt;$P$24),D21-$P$24,IF(AND($P$21&lt;-$P$24,D21&lt;-$P$24),D21+$P$24,0)),0)</f>
        <v>0</v>
      </c>
      <c r="E27" s="59">
        <f t="shared" si="7"/>
        <v>0</v>
      </c>
      <c r="F27" s="59">
        <f t="shared" si="7"/>
        <v>0</v>
      </c>
      <c r="G27" s="59">
        <f t="shared" si="7"/>
        <v>-438410.80503380485</v>
      </c>
      <c r="H27" s="59">
        <f t="shared" si="7"/>
        <v>-138704.46166925319</v>
      </c>
      <c r="I27" s="59">
        <f t="shared" si="7"/>
        <v>0</v>
      </c>
      <c r="J27" s="59">
        <f t="shared" si="7"/>
        <v>0</v>
      </c>
      <c r="K27" s="59">
        <f t="shared" si="7"/>
        <v>-185724.23455140553</v>
      </c>
      <c r="L27" s="59">
        <f t="shared" si="7"/>
        <v>0</v>
      </c>
      <c r="M27" s="59">
        <f t="shared" si="7"/>
        <v>0</v>
      </c>
      <c r="N27" s="59">
        <f t="shared" si="7"/>
        <v>-234905.84883716702</v>
      </c>
      <c r="O27" s="59">
        <f t="shared" si="7"/>
        <v>-1605682.3690439425</v>
      </c>
      <c r="P27" s="59">
        <f>+O27</f>
        <v>-1605682.3690439425</v>
      </c>
      <c r="R27" s="2"/>
      <c r="S27" s="2"/>
      <c r="T27" s="2"/>
    </row>
    <row r="28" spans="1:24" x14ac:dyDescent="0.2">
      <c r="A28" s="33"/>
      <c r="B28" s="57"/>
      <c r="C28" s="48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46"/>
      <c r="R28" s="58" t="s">
        <v>28</v>
      </c>
      <c r="S28" s="2"/>
      <c r="T28" s="2"/>
    </row>
    <row r="29" spans="1:24" x14ac:dyDescent="0.2">
      <c r="A29" s="58" t="s">
        <v>27</v>
      </c>
      <c r="B29" s="57"/>
      <c r="C29" s="48"/>
      <c r="D29" s="55"/>
      <c r="E29" s="55"/>
      <c r="F29" s="55"/>
      <c r="G29" s="55"/>
      <c r="H29" s="46"/>
      <c r="I29" s="46"/>
      <c r="J29" s="46"/>
      <c r="K29" s="46"/>
      <c r="L29" s="46"/>
      <c r="M29" s="46"/>
      <c r="N29" s="46"/>
      <c r="O29" s="46"/>
      <c r="R29" t="s">
        <v>26</v>
      </c>
      <c r="S29" s="56" t="s">
        <v>25</v>
      </c>
      <c r="T29" t="s">
        <v>24</v>
      </c>
      <c r="U29" t="s">
        <v>23</v>
      </c>
    </row>
    <row r="30" spans="1:24" ht="25.5" x14ac:dyDescent="0.2">
      <c r="A30" s="33">
        <f>MAX($A$11:A29)+1</f>
        <v>14</v>
      </c>
      <c r="B30" s="45" t="s">
        <v>22</v>
      </c>
      <c r="C30" s="48"/>
      <c r="D30" s="55">
        <f>IF(D27=0,0,IF(AND($P$21&gt;$P$24,$P$21&lt;$S$30),D26*$T$30,IF(AND($P$21&gt;$S$30,D27&lt;($S$30-$R$30)),D26*$T$30,IF(AND($P$21&gt;$S$30,D27&gt;($S$30-$R$30)),($S$30-$R$30)*$T$30,0))))</f>
        <v>0</v>
      </c>
      <c r="E30" s="55">
        <f>IF(E27=0,SUM($D$30:D30),IF(AND($P$21&gt;$P$24,$P$21&lt;$S$30),E26*$T$30,IF(AND($P$21&gt;$S$30,E27&lt;($S$30-$R$30)),E26*$T$30,IF(AND($P$21&gt;$S$30,E27&gt;($S$30-$R$30)),(($S$30-$R$30)*$T$30)-SUM($D$30:D30),0))))</f>
        <v>0</v>
      </c>
      <c r="F30" s="55">
        <f>IF(F27=0,SUM($D$30:E30),IF(AND($P$21&gt;$P$24,$P$21&lt;$S$30),F26*$T$30,IF(AND($P$21&gt;$S$30,F27&lt;($S$30-$R$30)),F26*$T$30,IF(AND($P$21&gt;$S$30,F27&gt;($S$30-$R$30)),(($S$30-$R$30)*$T$30)-SUM($D$30:E30),0))))</f>
        <v>0</v>
      </c>
      <c r="G30" s="55">
        <f>IF(G27=0,SUM($D$30:F30),IF(AND($P$21&gt;$P$24,$P$21&lt;$S$30),G26*$T$30,IF(AND($P$21&gt;$S$30,G27&lt;($S$30-$R$30)),G26*$T$30,IF(AND($P$21&gt;$S$30,G27&gt;($S$30-$R$30)),(($S$30-$R$30)*$T$30)-SUM($D$30:F30),0))))</f>
        <v>0</v>
      </c>
      <c r="H30" s="55">
        <f>IF(H27=0,SUM($D$30:G30),IF(AND($P$21&gt;$P$24,$P$21&lt;$S$30),H26*$T$30,IF(AND($P$21&gt;$S$30,H27&lt;($S$30-$R$30)),H26*$T$30,IF(AND($P$21&gt;$S$30,H27&gt;($S$30-$R$30)),(($S$30-$R$30)*$T$30)-SUM($D$30:G30),0))))</f>
        <v>0</v>
      </c>
      <c r="I30" s="55">
        <f>IF(I27=0,SUM($D$30:H30),IF(AND($P$21&gt;$P$24,$P$21&lt;$S$30),I26*$T$30,IF(AND($P$21&gt;$S$30,I27&lt;($S$30-$R$30)),I26*$T$30,IF(AND($P$21&gt;$S$30,I27&gt;($S$30-$R$30)),(($S$30-$R$30)*$T$30)-SUM($D$30:H30),0))))</f>
        <v>0</v>
      </c>
      <c r="J30" s="55">
        <f>IF(J27=0,SUM($D$30:I30),IF(AND($P$21&gt;$P$24,$P$21&lt;$S$30),J26*$T$30,IF(AND($P$21&gt;$S$30,J27&lt;($S$30-$R$30)),J26*$T$30,IF(AND($P$21&gt;$S$30,J27&gt;($S$30-$R$30)),(($S$30-$R$30)*$T$30)-SUM($D$30:I30),0))))</f>
        <v>0</v>
      </c>
      <c r="K30" s="55">
        <f>IF(K27=0,SUM($D$30:J30),IF(AND($P$21&gt;$P$24,$P$21&lt;$S$30),K26*$T$30,IF(AND($P$21&gt;$S$30,K27&lt;($S$30-$R$30)),K26*$T$30,IF(AND($P$21&gt;$S$30,K27&gt;($S$30-$R$30)),(($S$30-$R$30)*$T$30)-SUM($D$30:J30),0))))</f>
        <v>0</v>
      </c>
      <c r="L30" s="55">
        <f>IF(L27=0,SUM($D$30:K30),IF(AND($P$21&gt;$P$24,$P$21&lt;$S$30),L26*$T$30,IF(AND($P$21&gt;$S$30,L27&lt;($S$30-$R$30)),L26*$T$30,IF(AND($P$21&gt;$S$30,L27&gt;($S$30-$R$30)),(($S$30-$R$30)*$T$30)-SUM($D$30:K30),0))))</f>
        <v>0</v>
      </c>
      <c r="M30" s="55">
        <f>IF(M27=0,SUM($D$30:L30),IF(AND($P$21&gt;$P$24,$P$21&lt;$S$30),M26*$T$30,IF(AND($P$21&gt;$S$30,M27&lt;($S$30-$R$30)),M26*$T$30,IF(AND($P$21&gt;$S$30,M27&gt;($S$30-$R$30)),(($S$30-$R$30)*$T$30)-SUM($D$30:L30),0))))</f>
        <v>0</v>
      </c>
      <c r="N30" s="55">
        <f>IF(N27=0,SUM($D$30:M30),IF(AND($P$21&gt;$P$24,$P$21&lt;$S$30),N26*$T$30,IF(AND($P$21&gt;$S$30,N27&lt;($S$30-$R$30)),N26*$T$30,IF(AND($P$21&gt;$S$30,N27&gt;($S$30-$R$30)),(($S$30-$R$30)*$T$30)-SUM($D$30:M30),0))))</f>
        <v>0</v>
      </c>
      <c r="O30" s="55">
        <f>IF(O27=0,SUM($D$30:N30),IF(AND($P$21&gt;$P$24,$P$21&lt;$S$30),O26*$T$30,IF(AND($P$21&gt;$S$30,O27&lt;($S$30-$R$30)),O26*$T$30,IF(AND($P$21&gt;$S$30,O27&gt;($S$30-$R$30)),(($S$30-$R$30)*$T$30)-SUM($D$30:N30),0))))</f>
        <v>0</v>
      </c>
      <c r="P30" s="54"/>
      <c r="R30" s="41">
        <v>4000000</v>
      </c>
      <c r="S30" s="41">
        <v>10000000</v>
      </c>
      <c r="T30" s="53">
        <v>0.5</v>
      </c>
      <c r="U30" s="53">
        <v>0.5</v>
      </c>
    </row>
    <row r="31" spans="1:24" ht="25.5" x14ac:dyDescent="0.2">
      <c r="A31" s="33">
        <f>MAX($A$11:A30)+1</f>
        <v>15</v>
      </c>
      <c r="B31" s="45" t="s">
        <v>21</v>
      </c>
      <c r="C31" s="48"/>
      <c r="D31" s="55">
        <f>IF(D27=0,0,IF(AND($P$21&gt;$R$31,D27&gt;($S$30-$R$30)),(D26-(D30/$T$30))*$T$31,0))</f>
        <v>0</v>
      </c>
      <c r="E31" s="55">
        <f>IF(E27=0,SUM($D$31:D31),IF(AND($P$21&gt;$R$31,E27&gt;($S$30-$R$30)),(E26-(E30/$T$30))*$T$31,0))</f>
        <v>0</v>
      </c>
      <c r="F31" s="55">
        <f>IF(F27=0,SUM($D$31:E31),IF(AND($P$21&gt;$R$31,F27&gt;($S$30-$R$30)),(F26-(F30/$T$30))*$T$31,0))</f>
        <v>0</v>
      </c>
      <c r="G31" s="55">
        <f>IF(G27=0,SUM($D$31:F31),IF(AND($P$21&gt;$R$31,G27&gt;($S$30-$R$30)),(G26-(G30/$T$30))*$T$31,0))</f>
        <v>0</v>
      </c>
      <c r="H31" s="55">
        <f>IF(H27=0,SUM($D$31:G31),IF(AND($P$21&gt;$R$31,H27&gt;($S$30-$R$30)),(H26-(H30/$T$30))*$T$31,0))</f>
        <v>0</v>
      </c>
      <c r="I31" s="55">
        <f>IF(I27=0,SUM($D$31:H31),IF(AND($P$21&gt;$R$31,I27&gt;($S$30-$R$30)),(I26-(I30/$T$30))*$T$31,0))</f>
        <v>0</v>
      </c>
      <c r="J31" s="55">
        <f>IF(J27=0,SUM($D$31:I31),IF(AND($P$21&gt;$R$31,J27&gt;($S$30-$R$30)),(J26-(J30/$T$30))*$T$31,0))</f>
        <v>0</v>
      </c>
      <c r="K31" s="55">
        <f>IF(K27=0,SUM($D$31:J31),IF(AND($P$21&gt;$R$31,K27&gt;($S$30-$R$30)),(K26-(K30/$T$30))*$T$31,0))</f>
        <v>0</v>
      </c>
      <c r="L31" s="55">
        <f>IF(L27=0,SUM($D$31:K31),IF(AND($P$21&gt;$R$31,L27&gt;($S$30-$R$30)),(L26-(L30/$T$30))*$T$31,0))</f>
        <v>0</v>
      </c>
      <c r="M31" s="55">
        <f>IF(M27=0,SUM($D$31:L31),IF(AND($P$21&gt;$R$31,M27&gt;($S$30-$R$30)),(M26-(M30/$T$30))*$T$31,0))</f>
        <v>0</v>
      </c>
      <c r="N31" s="55">
        <f>IF(N27=0,SUM($D$31:M31),IF(AND($P$21&gt;$R$31,N27&gt;($S$30-$R$30)),(N26-(N30/$T$30))*$T$31,0))</f>
        <v>0</v>
      </c>
      <c r="O31" s="55">
        <f>IF(O27=0,SUM($D$31:N31),IF(AND($P$21&gt;$R$31,O27&gt;($S$30-$R$30)),(O26-(O30/$T$30))*$T$31,0))</f>
        <v>0</v>
      </c>
      <c r="P31" s="54"/>
      <c r="R31" s="41">
        <v>10000000</v>
      </c>
      <c r="T31" s="53">
        <v>0.9</v>
      </c>
      <c r="U31" s="53">
        <v>0.1</v>
      </c>
    </row>
    <row r="32" spans="1:24" ht="25.5" x14ac:dyDescent="0.2">
      <c r="A32" s="33">
        <f>MAX($A$11:A31)+1</f>
        <v>16</v>
      </c>
      <c r="B32" s="45" t="s">
        <v>20</v>
      </c>
      <c r="C32" s="48"/>
      <c r="D32" s="55">
        <f>IF(D27=0,0,IF(AND($P$21&lt;$R$32,$P$21&gt;$S$32),D26*$T$32,IF(AND($P$21&lt;$S$32,D27&gt;($S$32-$R$32)),D26*$T$32,IF(AND($P$21&lt;$S$32,D27&lt;($S$32-$R$32)),($S$32-$R$32),0))))</f>
        <v>0</v>
      </c>
      <c r="E32" s="55">
        <f>IF(E27=0,-SUM($D$32:D32),IF(AND($P$21&lt;$R$32,$P$21&gt;$S$32),E26*$T$32,IF(AND($P$21&lt;$S$32,E27&gt;($S$32-$R$32)),E26*$T$32,IF(AND($P$21&lt;$S$32,E27&lt;($S$32-$R$32)),(($S$32-$R$32)*$T$32)-SUM($D$32:D32),0))))</f>
        <v>0</v>
      </c>
      <c r="F32" s="55">
        <f>IF(F27=0,-SUM($D$32:E32),IF(AND($P$21&lt;$R$32,$P$21&gt;$S$32),F26*$T$32,IF(AND($P$21&lt;$S$32,F27&gt;($S$32-$R$32)),F26*$T$32,IF(AND($P$21&lt;$S$32,F27&lt;($S$32-$R$32)),(($S$32-$R$32)*$T$32)-SUM($D$32:E32),0))))</f>
        <v>0</v>
      </c>
      <c r="G32" s="55">
        <f>IF(G27=0,-SUM($D$32:F32),IF(AND($P$21&lt;$R$32,$P$21&gt;$S$32),G26*$T$32,IF(AND($P$21&lt;$S$32,G27&gt;($S$32-$R$32)),G26*$T$32,IF(AND($P$21&lt;$S$32,G27&lt;($S$32-$R$32)),(($S$32-$R$32)*$T$32)-SUM($D$32:F32),0))))</f>
        <v>-328808.10377535364</v>
      </c>
      <c r="H32" s="55">
        <f>IF(H27=0,-SUM($D$32:G32),IF(AND($P$21&lt;$R$32,$P$21&gt;$S$32),H26*$T$32,IF(AND($P$21&lt;$S$32,H27&gt;($S$32-$R$32)),H26*$T$32,IF(AND($P$21&lt;$S$32,H27&lt;($S$32-$R$32)),(($S$32-$R$32)*$T$32)-SUM($D$32:G32),0))))</f>
        <v>224779.75752341375</v>
      </c>
      <c r="I32" s="55">
        <f>IF(I27=0,-SUM($D$32:H32),IF(AND($P$21&lt;$R$32,$P$21&gt;$S$32),I26*$T$32,IF(AND($P$21&lt;$S$32,I27&gt;($S$32-$R$32)),I26*$T$32,IF(AND($P$21&lt;$S$32,I27&lt;($S$32-$R$32)),(($S$32-$R$32)*$T$32)-SUM($D$32:H32),0))))</f>
        <v>104028.34625193989</v>
      </c>
      <c r="J32" s="55">
        <f>IF(J27=0,-SUM($D$32:I32),IF(AND($P$21&lt;$R$32,$P$21&gt;$S$32),J26*$T$32,IF(AND($P$21&lt;$S$32,J27&gt;($S$32-$R$32)),J26*$T$32,IF(AND($P$21&lt;$S$32,J27&lt;($S$32-$R$32)),(($S$32-$R$32)*$T$32)-SUM($D$32:I32),0))))</f>
        <v>0</v>
      </c>
      <c r="K32" s="55">
        <f>IF(K27=0,-SUM($D$32:J32),IF(AND($P$21&lt;$R$32,$P$21&gt;$S$32),K26*$T$32,IF(AND($P$21&lt;$S$32,K27&gt;($S$32-$R$32)),K26*$T$32,IF(AND($P$21&lt;$S$32,K27&lt;($S$32-$R$32)),(($S$32-$R$32)*$T$32)-SUM($D$32:J32),0))))</f>
        <v>-139293.17591355415</v>
      </c>
      <c r="L32" s="55">
        <f>IF(L27=0,-SUM($D$32:K32),IF(AND($P$21&lt;$R$32,$P$21&gt;$S$32),L26*$T$32,IF(AND($P$21&lt;$S$32,L27&gt;($S$32-$R$32)),L26*$T$32,IF(AND($P$21&lt;$S$32,L27&lt;($S$32-$R$32)),(($S$32-$R$32)*$T$32)-SUM($D$32:K32),0))))</f>
        <v>139293.17591355415</v>
      </c>
      <c r="M32" s="55">
        <f>IF(M27=0,-SUM($D$32:L32),IF(AND($P$21&lt;$R$32,$P$21&gt;$S$32),M26*$T$32,IF(AND($P$21&lt;$S$32,M27&gt;($S$32-$R$32)),M26*$T$32,IF(AND($P$21&lt;$S$32,M27&lt;($S$32-$R$32)),(($S$32-$R$32)*$T$32)-SUM($D$32:L32),0))))</f>
        <v>0</v>
      </c>
      <c r="N32" s="55">
        <f>IF(N27=0,-SUM($D$32:M32),IF(AND($P$21&lt;$R$32,$P$21&gt;$S$32),N26*$T$32,IF(AND($P$21&lt;$S$32,N27&gt;($S$32-$R$32)),N26*$T$32,IF(AND($P$21&lt;$S$32,N27&lt;($S$32-$R$32)),(($S$32-$R$32)*$T$32)-SUM($D$32:M32),0))))</f>
        <v>-176179.38662787527</v>
      </c>
      <c r="O32" s="55">
        <f>IF(O27=0,-SUM($D$32:N32),IF(AND($P$21&lt;$R$32,$P$21&gt;$S$32),O26*$T$32,IF(AND($P$21&lt;$S$32,O27&gt;($S$32-$R$32)),O26*$T$32,IF(AND($P$21&lt;$S$32,O27&lt;($S$32-$R$32)),(($S$32-$R$32)*$T$32)-SUM($D$32:N32),0))))</f>
        <v>-1028082.3901550816</v>
      </c>
      <c r="P32" s="54"/>
      <c r="R32" s="41">
        <v>-3000000</v>
      </c>
      <c r="S32" s="41">
        <v>-10000000</v>
      </c>
      <c r="T32" s="53">
        <v>0.75</v>
      </c>
      <c r="U32" s="53">
        <v>0.25</v>
      </c>
      <c r="X32" s="46"/>
    </row>
    <row r="33" spans="1:21" ht="25.5" x14ac:dyDescent="0.2">
      <c r="A33" s="33">
        <f>MAX($A$11:A32)+1</f>
        <v>17</v>
      </c>
      <c r="B33" s="45" t="s">
        <v>19</v>
      </c>
      <c r="C33" s="48"/>
      <c r="D33" s="55">
        <f>IF(D27=0,0,IF(AND($P$21&lt;$R$33,D27&lt;($S$32-$R$32)),(D26-(D32/$T$32))*$T$33,0))</f>
        <v>0</v>
      </c>
      <c r="E33" s="55">
        <f>IF(E27=0,-SUM($D$33:D33),IF(AND($P$21&lt;$R$33,E27&lt;($S$32-$R$32)),(E26-(E32/$T$32))*$T$33,0))</f>
        <v>0</v>
      </c>
      <c r="F33" s="55">
        <f>IF(F27=0,-SUM($D$33:E33),IF(AND($P$21&lt;$R$33,F27&lt;($S$32-$R$32)),(F26-(F32/$T$32))*$T$33,0))</f>
        <v>0</v>
      </c>
      <c r="G33" s="55">
        <f>IF(G27=0,-SUM($D$33:F33),IF(AND($P$21&lt;$R$33,G27&lt;($S$32-$R$32)),(G26-(G32/$T$32))*$T$33,0))</f>
        <v>0</v>
      </c>
      <c r="H33" s="55">
        <f>IF(H27=0,-SUM($D$33:G33),IF(AND($P$21&lt;$R$33,H27&lt;($S$32-$R$32)),(H26-(H32/$T$32))*$T$33,0))</f>
        <v>0</v>
      </c>
      <c r="I33" s="55">
        <f>IF(I27=0,-SUM($D$33:H33),IF(AND($P$21&lt;$R$33,I27&lt;($S$32-$R$32)),(I26-(I32/$T$32))*$T$33,0))</f>
        <v>0</v>
      </c>
      <c r="J33" s="55">
        <f>IF(J27=0,-SUM($D$33:I33),IF(AND($P$21&lt;$R$33,J27&lt;($S$32-$R$32)),(J26-(J32/$T$32))*$T$33,0))</f>
        <v>0</v>
      </c>
      <c r="K33" s="55">
        <f>IF(K27=0,-SUM($D$33:J33),IF(AND($P$21&lt;$R$33,K27&lt;($S$32-$R$32)),(K26-(K32/$T$32))*$T$33,0))</f>
        <v>0</v>
      </c>
      <c r="L33" s="55">
        <f>IF(L27=0,-SUM($D$33:K33),IF(AND($P$21&lt;$R$33,L27&lt;($S$32-$R$32)),(L26-(L32/$T$32))*$T$33,0))</f>
        <v>0</v>
      </c>
      <c r="M33" s="55">
        <f>IF(M27=0,-SUM($D$33:L33),IF(AND($P$21&lt;$R$33,M27&lt;($S$32-$R$32)),(M26-(M32/$T$32))*$T$33,0))</f>
        <v>0</v>
      </c>
      <c r="N33" s="55">
        <f>IF(N27=0,-SUM($D$33:M33),IF(AND($P$21&lt;$R$33,N27&lt;($S$32-$R$32)),(N26-(N32/$T$32))*$T$33,0))</f>
        <v>0</v>
      </c>
      <c r="O33" s="55">
        <f>IF(O27=0,-SUM($D$33:N33),IF(AND($P$21&lt;$R$33,O27&lt;($S$32-$R$32)),(O26-(O32/$T$32))*$T$33,0))</f>
        <v>0</v>
      </c>
      <c r="P33" s="54"/>
      <c r="R33" s="41">
        <v>-10000000</v>
      </c>
      <c r="T33" s="53">
        <v>0.9</v>
      </c>
      <c r="U33" s="53">
        <v>0.1</v>
      </c>
    </row>
    <row r="34" spans="1:21" x14ac:dyDescent="0.2">
      <c r="A34" s="33"/>
      <c r="B34" s="45"/>
      <c r="C34" s="48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1"/>
    </row>
    <row r="35" spans="1:21" x14ac:dyDescent="0.2">
      <c r="A35" s="33">
        <f>MAX($A$11:A34)+1</f>
        <v>18</v>
      </c>
      <c r="B35" s="50" t="s">
        <v>18</v>
      </c>
      <c r="C35" s="48"/>
      <c r="D35" s="49">
        <f t="shared" ref="D35:O35" si="8">SUM(D30:D33)</f>
        <v>0</v>
      </c>
      <c r="E35" s="49">
        <f t="shared" si="8"/>
        <v>0</v>
      </c>
      <c r="F35" s="49">
        <f t="shared" si="8"/>
        <v>0</v>
      </c>
      <c r="G35" s="49">
        <f t="shared" si="8"/>
        <v>-328808.10377535364</v>
      </c>
      <c r="H35" s="49">
        <f t="shared" si="8"/>
        <v>224779.75752341375</v>
      </c>
      <c r="I35" s="49">
        <f t="shared" si="8"/>
        <v>104028.34625193989</v>
      </c>
      <c r="J35" s="49">
        <f t="shared" si="8"/>
        <v>0</v>
      </c>
      <c r="K35" s="49">
        <f t="shared" si="8"/>
        <v>-139293.17591355415</v>
      </c>
      <c r="L35" s="49">
        <f t="shared" si="8"/>
        <v>139293.17591355415</v>
      </c>
      <c r="M35" s="49">
        <f t="shared" si="8"/>
        <v>0</v>
      </c>
      <c r="N35" s="49">
        <f t="shared" si="8"/>
        <v>-176179.38662787527</v>
      </c>
      <c r="O35" s="49">
        <f t="shared" si="8"/>
        <v>-1028082.3901550816</v>
      </c>
      <c r="P35" s="49">
        <f>SUM(D35:O35)</f>
        <v>-1204261.7767829569</v>
      </c>
    </row>
    <row r="36" spans="1:21" x14ac:dyDescent="0.2">
      <c r="A36" s="33"/>
      <c r="B36" s="45"/>
      <c r="C36" s="48"/>
      <c r="D36" s="47"/>
      <c r="E36" s="47"/>
      <c r="F36" s="47"/>
      <c r="G36" s="47"/>
      <c r="N36" s="46"/>
      <c r="O36" s="2"/>
    </row>
    <row r="37" spans="1:21" x14ac:dyDescent="0.2">
      <c r="A37" s="33">
        <f>MAX($A$11:A36)+1</f>
        <v>19</v>
      </c>
      <c r="B37" s="45" t="s">
        <v>17</v>
      </c>
      <c r="C37" s="27" t="s">
        <v>16</v>
      </c>
      <c r="D37" s="44">
        <v>3.2500000000000001E-2</v>
      </c>
      <c r="E37" s="44">
        <v>3.2500000000000001E-2</v>
      </c>
      <c r="F37" s="44">
        <v>3.2500000000000001E-2</v>
      </c>
      <c r="G37" s="44">
        <v>3.4599999999999999E-2</v>
      </c>
      <c r="H37" s="44">
        <v>3.4599999999999999E-2</v>
      </c>
      <c r="I37" s="44">
        <v>3.4599999999999999E-2</v>
      </c>
      <c r="J37" s="44">
        <v>3.5000000000000003E-2</v>
      </c>
      <c r="K37" s="44">
        <v>3.5000000000000003E-2</v>
      </c>
      <c r="L37" s="44">
        <v>3.5000000000000003E-2</v>
      </c>
      <c r="M37" s="44">
        <v>3.5000000000000003E-2</v>
      </c>
      <c r="N37" s="44">
        <v>3.5000000000000003E-2</v>
      </c>
      <c r="O37" s="44">
        <v>3.5000000000000003E-2</v>
      </c>
    </row>
    <row r="38" spans="1:21" x14ac:dyDescent="0.2">
      <c r="A38" s="33"/>
      <c r="B38" s="32"/>
      <c r="C38" s="31"/>
      <c r="D38" s="43"/>
      <c r="E38" s="43"/>
      <c r="F38" s="43"/>
      <c r="G38" s="43"/>
    </row>
    <row r="39" spans="1:21" x14ac:dyDescent="0.2">
      <c r="A39" s="33">
        <f>MAX($A$11:A38)+1</f>
        <v>20</v>
      </c>
      <c r="B39" s="39" t="s">
        <v>15</v>
      </c>
      <c r="C39" s="31"/>
      <c r="D39" s="42">
        <v>0</v>
      </c>
      <c r="E39" s="41">
        <f t="shared" ref="E39:O39" si="9">+D42</f>
        <v>0</v>
      </c>
      <c r="F39" s="41">
        <f t="shared" si="9"/>
        <v>0</v>
      </c>
      <c r="G39" s="41">
        <f t="shared" si="9"/>
        <v>0</v>
      </c>
      <c r="H39" s="41">
        <f t="shared" si="9"/>
        <v>-329282.13545829646</v>
      </c>
      <c r="I39" s="41">
        <f t="shared" si="9"/>
        <v>-105127.75060835788</v>
      </c>
      <c r="J39" s="41">
        <f t="shared" si="9"/>
        <v>-1252.5485048255402</v>
      </c>
      <c r="K39" s="41">
        <f t="shared" si="9"/>
        <v>-1256.201771297948</v>
      </c>
      <c r="L39" s="41">
        <f t="shared" si="9"/>
        <v>-140756.17748822566</v>
      </c>
      <c r="M39" s="41">
        <f t="shared" si="9"/>
        <v>-1670.4045441382323</v>
      </c>
      <c r="N39" s="41">
        <f t="shared" si="9"/>
        <v>-1675.2765573919687</v>
      </c>
      <c r="O39" s="41">
        <f t="shared" si="9"/>
        <v>-178116.47768072528</v>
      </c>
      <c r="Q39" s="40"/>
    </row>
    <row r="40" spans="1:21" x14ac:dyDescent="0.2">
      <c r="A40" s="33">
        <f>MAX($A$11:A39)+1</f>
        <v>21</v>
      </c>
      <c r="B40" s="39" t="s">
        <v>14</v>
      </c>
      <c r="C40" s="38" t="str">
        <f>"Line "&amp;A39</f>
        <v>Line 20</v>
      </c>
      <c r="D40" s="37">
        <f t="shared" ref="D40:O40" si="10">+D35</f>
        <v>0</v>
      </c>
      <c r="E40" s="37">
        <f t="shared" si="10"/>
        <v>0</v>
      </c>
      <c r="F40" s="37">
        <f t="shared" si="10"/>
        <v>0</v>
      </c>
      <c r="G40" s="37">
        <f t="shared" si="10"/>
        <v>-328808.10377535364</v>
      </c>
      <c r="H40" s="37">
        <f t="shared" si="10"/>
        <v>224779.75752341375</v>
      </c>
      <c r="I40" s="37">
        <f t="shared" si="10"/>
        <v>104028.34625193989</v>
      </c>
      <c r="J40" s="37">
        <f t="shared" si="10"/>
        <v>0</v>
      </c>
      <c r="K40" s="37">
        <f t="shared" si="10"/>
        <v>-139293.17591355415</v>
      </c>
      <c r="L40" s="37">
        <f t="shared" si="10"/>
        <v>139293.17591355415</v>
      </c>
      <c r="M40" s="37">
        <f t="shared" si="10"/>
        <v>0</v>
      </c>
      <c r="N40" s="37">
        <f t="shared" si="10"/>
        <v>-176179.38662787527</v>
      </c>
      <c r="O40" s="37">
        <f t="shared" si="10"/>
        <v>-1028082.3901550816</v>
      </c>
      <c r="Q40" s="37"/>
    </row>
    <row r="41" spans="1:21" ht="25.5" x14ac:dyDescent="0.2">
      <c r="A41" s="33">
        <f>MAX($A$11:A40)+1</f>
        <v>22</v>
      </c>
      <c r="B41" s="36" t="s">
        <v>13</v>
      </c>
      <c r="C41" s="31" t="str">
        <f>"[Line "&amp;A39&amp;"  + (Line "&amp;A40&amp;" x 50%)] x Line "&amp;A37&amp;"/12"</f>
        <v>[Line 20  + (Line 21 x 50%)] x Line 19/12</v>
      </c>
      <c r="D41" s="35">
        <f t="shared" ref="D41:O41" si="11">+((D40*0.5)+D39)*D37/12</f>
        <v>0</v>
      </c>
      <c r="E41" s="35">
        <f t="shared" si="11"/>
        <v>0</v>
      </c>
      <c r="F41" s="34">
        <f t="shared" si="11"/>
        <v>0</v>
      </c>
      <c r="G41" s="34">
        <f t="shared" si="11"/>
        <v>-474.03168294280152</v>
      </c>
      <c r="H41" s="34">
        <f t="shared" si="11"/>
        <v>-625.37267347516661</v>
      </c>
      <c r="I41" s="34">
        <f t="shared" si="11"/>
        <v>-153.14414840755185</v>
      </c>
      <c r="J41" s="34">
        <f t="shared" si="11"/>
        <v>-3.6532664724078256</v>
      </c>
      <c r="K41" s="34">
        <f t="shared" si="11"/>
        <v>-206.79980337355218</v>
      </c>
      <c r="L41" s="34">
        <f t="shared" si="11"/>
        <v>-207.40296946672504</v>
      </c>
      <c r="M41" s="34">
        <f t="shared" si="11"/>
        <v>-4.8720132537365108</v>
      </c>
      <c r="N41" s="34">
        <f t="shared" si="11"/>
        <v>-261.81449545804475</v>
      </c>
      <c r="O41" s="34">
        <f t="shared" si="11"/>
        <v>-2018.7932122116097</v>
      </c>
      <c r="P41" s="28"/>
    </row>
    <row r="42" spans="1:21" ht="13.5" thickBot="1" x14ac:dyDescent="0.25">
      <c r="A42" s="33">
        <f>MAX($A$11:A41)+1</f>
        <v>23</v>
      </c>
      <c r="B42" s="32" t="s">
        <v>12</v>
      </c>
      <c r="C42" s="31"/>
      <c r="D42" s="30">
        <f t="shared" ref="D42:O42" si="12">SUM(D39:D41)</f>
        <v>0</v>
      </c>
      <c r="E42" s="30">
        <f t="shared" si="12"/>
        <v>0</v>
      </c>
      <c r="F42" s="30">
        <f t="shared" si="12"/>
        <v>0</v>
      </c>
      <c r="G42" s="30">
        <f t="shared" si="12"/>
        <v>-329282.13545829646</v>
      </c>
      <c r="H42" s="30">
        <f t="shared" si="12"/>
        <v>-105127.75060835788</v>
      </c>
      <c r="I42" s="30">
        <f t="shared" si="12"/>
        <v>-1252.5485048255402</v>
      </c>
      <c r="J42" s="30">
        <f t="shared" si="12"/>
        <v>-1256.201771297948</v>
      </c>
      <c r="K42" s="30">
        <f t="shared" si="12"/>
        <v>-140756.17748822566</v>
      </c>
      <c r="L42" s="30">
        <f t="shared" si="12"/>
        <v>-1670.4045441382323</v>
      </c>
      <c r="M42" s="30">
        <f t="shared" si="12"/>
        <v>-1675.2765573919687</v>
      </c>
      <c r="N42" s="30">
        <f t="shared" si="12"/>
        <v>-178116.47768072528</v>
      </c>
      <c r="O42" s="30">
        <f t="shared" si="12"/>
        <v>-1208217.6610480186</v>
      </c>
      <c r="P42" s="29"/>
    </row>
    <row r="43" spans="1:21" ht="13.5" thickTop="1" x14ac:dyDescent="0.2">
      <c r="P43" s="28"/>
    </row>
  </sheetData>
  <pageMargins left="0.25" right="0.25" top="0.75" bottom="0.75" header="0.3" footer="0.3"/>
  <pageSetup scale="49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170717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FDF792578D674E92E27476D935CF5F" ma:contentTypeVersion="92" ma:contentTypeDescription="" ma:contentTypeScope="" ma:versionID="742736299e54c7e55d5720d56e84199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1D6055-F047-4717-88F6-DDD5382B3C6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a7bd91e-004b-490a-8704-e368d63d59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449C8F-3811-4F5D-9B67-57E21301F9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C72500-5F79-4A40-9BA4-4E104272AEAB}"/>
</file>

<file path=customXml/itemProps4.xml><?xml version="1.0" encoding="utf-8"?>
<ds:datastoreItem xmlns:ds="http://schemas.openxmlformats.org/officeDocument/2006/customXml" ds:itemID="{14E7AB5A-7368-4C23-9053-CC4574D443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Exhibit 2 - PCAM Calculation</vt:lpstr>
      <vt:lpstr>'Exhibit 2 - PCAM Calculation'!Print_Area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Stevenson, Amie</dc:creator>
  <cp:lastModifiedBy>Huff, Ashley (UTC)</cp:lastModifiedBy>
  <cp:lastPrinted>2017-06-01T16:26:58Z</cp:lastPrinted>
  <dcterms:created xsi:type="dcterms:W3CDTF">2017-05-30T21:33:28Z</dcterms:created>
  <dcterms:modified xsi:type="dcterms:W3CDTF">2017-06-19T15:34:33Z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0x0101006E56B4D1795A2E4DB2F0B01679ED314A00B2FDF792578D674E92E27476D935CF5F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