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tateofwa-my.sharepoint.com/personal/avery_booth_utc_wa_gov/Documents/Local Computer Files/Documents/"/>
    </mc:Choice>
  </mc:AlternateContent>
  <xr:revisionPtr revIDLastSave="0" documentId="8_{8817BDBF-0630-4DCE-909E-4886F4C0CE8F}" xr6:coauthVersionLast="47" xr6:coauthVersionMax="47" xr10:uidLastSave="{00000000-0000-0000-0000-000000000000}"/>
  <bookViews>
    <workbookView xWindow="19090" yWindow="-1270" windowWidth="19420" windowHeight="11500" tabRatio="845" xr2:uid="{00000000-000D-0000-FFFF-FFFF00000000}"/>
  </bookViews>
  <sheets>
    <sheet name="EDS_RevenueIncrease" sheetId="4" r:id="rId1"/>
    <sheet name="Rate Sheet" sheetId="17" r:id="rId2"/>
    <sheet name="B&amp;O Tax Increase Calculations" sheetId="10" r:id="rId3"/>
    <sheet name="PriceOut-Benton-TG-230189" sheetId="16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_CYA1">[1]Hidden!$N$11</definedName>
    <definedName name="__CYA10">[1]Hidden!$E$11</definedName>
    <definedName name="__CYA11">[1]Hidden!$P$11</definedName>
    <definedName name="__CYA2">[1]Hidden!$M$11</definedName>
    <definedName name="__CYA3">[1]Hidden!$L$11</definedName>
    <definedName name="__CYA4">[1]Hidden!$K$11</definedName>
    <definedName name="__CYA5">[1]Hidden!$J$11</definedName>
    <definedName name="__CYA6">[1]Hidden!$I$11</definedName>
    <definedName name="__CYA7">[1]Hidden!$H$11</definedName>
    <definedName name="__CYA8">[1]Hidden!$G$11</definedName>
    <definedName name="__CYA9">[1]Hidden!$F$11</definedName>
    <definedName name="__LYA12">[1]Hidden!$O$11</definedName>
    <definedName name="_123Graph_g" localSheetId="3" hidden="1">#REF!</definedName>
    <definedName name="_123Graph_g" hidden="1">#REF!</definedName>
    <definedName name="_132" localSheetId="3" hidden="1">#REF!</definedName>
    <definedName name="_132" hidden="1">#REF!</definedName>
    <definedName name="_132Graph_h" localSheetId="3" hidden="1">#REF!</definedName>
    <definedName name="_132Graph_h" hidden="1">#REF!</definedName>
    <definedName name="_ACT1" localSheetId="3">[2]Hidden!#REF!</definedName>
    <definedName name="_ACT1">[3]Hidden!#REF!</definedName>
    <definedName name="_ACT2" localSheetId="3">[2]Hidden!#REF!</definedName>
    <definedName name="_ACT2">[3]Hidden!#REF!</definedName>
    <definedName name="_ACT3" localSheetId="3">[2]Hidden!#REF!</definedName>
    <definedName name="_ACT3">[3]Hidden!#REF!</definedName>
    <definedName name="_CDW2" localSheetId="3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_CDW2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_cdw3" localSheetId="3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Rates";"Cost Analysis",#N/A,TRUE,"Cost Analysis";"Automation Integration",#N/A,TRUE,"Automation Integration";"Base Costs",#N/A,TRUE,"Base Costs";"Misc Costs",#N/A,TRUE,"Misc Costs";"SW Lifts",#N/A,TRUE,"SW Lifts";"Rec Lifts",#N/A,TRUE,"Recycling Lifts";#N/A,#N/A,TRUE,"YD Lifts"}</definedName>
    <definedName name="_cdw3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Rates";"Cost Analysis",#N/A,TRUE,"Cost Analysis";"Automation Integration",#N/A,TRUE,"Automation Integration";"Base Costs",#N/A,TRUE,"Base Costs";"Misc Costs",#N/A,TRUE,"Misc Costs";"SW Lifts",#N/A,TRUE,"SW Lifts";"Rec Lifts",#N/A,TRUE,"Recycling Lifts";#N/A,#N/A,TRUE,"YD Lifts"}</definedName>
    <definedName name="_cdw4" localSheetId="3" hidden="1">{#N/A,#N/A,TRUE,"Layout";#N/A,#N/A,TRUE,"P&amp;L By 1ST CONT-CURR";#N/A,#N/A,TRUE,"P&amp;L BY 1ST CONT-PROJ";#N/A,#N/A,TRUE,"P&amp;L By ADD CONT-CURR";#N/A,#N/A,TRUE,"P&amp;L BY ADD CONT-PROJ";"SCHEDULE 2",#N/A,TRUE,"RATE SCENARIO";"SCHEDULE 3",#N/A,TRUE,"RATE SCENARIO";"SCHEDULE 4",#N/A,TRUE,"RATE SCENARIO";"SCHEDULE 5a",#N/A,TRUE,"RATE SCENARIO";"SCHEDULE 5b",#N/A,TRUE,"RATE SCENARIO";#N/A,#N/A,TRUE,"Monthly P&amp;L CURR";#N/A,#N/A,TRUE,"Monthly P&amp;L-Proj";#N/A,#N/A,TRUE,"Assumptions";#N/A,#N/A,TRUE,"Containers";#N/A,#N/A,TRUE,"Costs"}</definedName>
    <definedName name="_cdw4" hidden="1">{#N/A,#N/A,TRUE,"Layout";#N/A,#N/A,TRUE,"P&amp;L By 1ST CONT-CURR";#N/A,#N/A,TRUE,"P&amp;L BY 1ST CONT-PROJ";#N/A,#N/A,TRUE,"P&amp;L By ADD CONT-CURR";#N/A,#N/A,TRUE,"P&amp;L BY ADD CONT-PROJ";"SCHEDULE 2",#N/A,TRUE,"RATE SCENARIO";"SCHEDULE 3",#N/A,TRUE,"RATE SCENARIO";"SCHEDULE 4",#N/A,TRUE,"RATE SCENARIO";"SCHEDULE 5a",#N/A,TRUE,"RATE SCENARIO";"SCHEDULE 5b",#N/A,TRUE,"RATE SCENARIO";#N/A,#N/A,TRUE,"Monthly P&amp;L CURR";#N/A,#N/A,TRUE,"Monthly P&amp;L-Proj";#N/A,#N/A,TRUE,"Assumptions";#N/A,#N/A,TRUE,"Containers";#N/A,#N/A,TRUE,"Costs"}</definedName>
    <definedName name="_cdw5" localSheetId="3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_cdw5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_cdw6" localSheetId="3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_cdw6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_cdw7" localSheetId="3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_cdw7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_cdw8" localSheetId="3" hidden="1">{"Page1",#N/A,TRUE,"SUMM";"Page2",#N/A,TRUE,"Rev";"Page3",#N/A,TRUE,"Dir_Costs"}</definedName>
    <definedName name="_cdw8" hidden="1">{"Page1",#N/A,TRUE,"SUMM";"Page2",#N/A,TRUE,"Rev";"Page3",#N/A,TRUE,"Dir_Costs"}</definedName>
    <definedName name="_CYA1">[1]Hidden!$N$11</definedName>
    <definedName name="_CYA10">[1]Hidden!$E$11</definedName>
    <definedName name="_CYA11">[1]Hidden!$P$11</definedName>
    <definedName name="_CYA2">[1]Hidden!$M$11</definedName>
    <definedName name="_CYA3">[1]Hidden!$L$11</definedName>
    <definedName name="_CYA4">[1]Hidden!$K$11</definedName>
    <definedName name="_CYA5">[1]Hidden!$J$11</definedName>
    <definedName name="_CYA6">[1]Hidden!$I$11</definedName>
    <definedName name="_CYA7">[1]Hidden!$H$11</definedName>
    <definedName name="_CYA8">[1]Hidden!$G$11</definedName>
    <definedName name="_CYA9">[1]Hidden!$F$11</definedName>
    <definedName name="_Fill" localSheetId="3" hidden="1">#REF!</definedName>
    <definedName name="_Fill" hidden="1">#REF!</definedName>
    <definedName name="_xlnm._FilterDatabase" localSheetId="3" hidden="1">'PriceOut-Benton-TG-230189'!$A$2:$T$387</definedName>
    <definedName name="_Key1" localSheetId="3" hidden="1">#REF!</definedName>
    <definedName name="_Key1" hidden="1">#REF!</definedName>
    <definedName name="_Key2" localSheetId="3" hidden="1">#REF!</definedName>
    <definedName name="_Key2" hidden="1">#REF!</definedName>
    <definedName name="_key5" localSheetId="3" hidden="1">#REF!</definedName>
    <definedName name="_key5" hidden="1">#REF!</definedName>
    <definedName name="_LYA12">[1]Hidden!$O$11</definedName>
    <definedName name="_max" localSheetId="3" hidden="1">#REF!</definedName>
    <definedName name="_max" hidden="1">#REF!</definedName>
    <definedName name="_Mon" localSheetId="3" hidden="1">#REF!</definedName>
    <definedName name="_Mon" hidden="1">#REF!</definedName>
    <definedName name="_Order1" hidden="1">255</definedName>
    <definedName name="_Order2" hidden="1">255</definedName>
    <definedName name="_Order3" hidden="1">0</definedName>
    <definedName name="_Regression_Int">0</definedName>
    <definedName name="_Sort" localSheetId="3" hidden="1">#REF!</definedName>
    <definedName name="_Sort" hidden="1">#REF!</definedName>
    <definedName name="_Sort1" localSheetId="3" hidden="1">#REF!</definedName>
    <definedName name="_Sort1" hidden="1">#REF!</definedName>
    <definedName name="_sort3" localSheetId="3" hidden="1">#REF!</definedName>
    <definedName name="_sort3" hidden="1">#REF!</definedName>
    <definedName name="_xlcn.WorksheetConnection_Book1Table_Query_from_CORE1" hidden="1">[4]!Table_Query_from_CORE[#Data]</definedName>
    <definedName name="a" localSheetId="3">#REF!</definedName>
    <definedName name="a">#REF!</definedName>
    <definedName name="acct" localSheetId="3">'[5]1. BDI General Ledger Table'!$C$2:$C$4682</definedName>
    <definedName name="acct">'[6]1. BDI General Ledger Table'!$C$2:$C$4682</definedName>
    <definedName name="ACCT.ConsolSum">[1]Hidden!$Q$11</definedName>
    <definedName name="acct_period_month" localSheetId="3">'[5]1. BDI General Ledger Table'!$L$2:$L$4682</definedName>
    <definedName name="acct_period_month">'[6]1. BDI General Ledger Table'!$L$2:$L$4682</definedName>
    <definedName name="Acct_Type" localSheetId="3">'[5]1. BDI General Ledger Table'!$B$2:$B$4682</definedName>
    <definedName name="Acct_Type">'[6]1. BDI General Ledger Table'!$B$2:$B$4682</definedName>
    <definedName name="ACT_CUR" localSheetId="3">[2]Hidden!#REF!</definedName>
    <definedName name="ACT_CUR">[3]Hidden!#REF!</definedName>
    <definedName name="ACT_YTD" localSheetId="3">[2]Hidden!#REF!</definedName>
    <definedName name="ACT_YTD">[3]Hidden!#REF!</definedName>
    <definedName name="AmountCount" localSheetId="3">#REF!</definedName>
    <definedName name="AmountCount">#REF!</definedName>
    <definedName name="AmountTotal" localSheetId="3">#REF!</definedName>
    <definedName name="AmountTotal">#REF!</definedName>
    <definedName name="Angie" localSheetId="3" hidden="1">#REF!</definedName>
    <definedName name="Angie" hidden="1">#REF!</definedName>
    <definedName name="Annex_tons" localSheetId="3">[7]Census!$D$48</definedName>
    <definedName name="Annex_tons">[8]Census!$D$48</definedName>
    <definedName name="Annual_Collected_Cont._Yards" localSheetId="3">'[7]Bin Collection'!$C$9</definedName>
    <definedName name="Annual_Collected_Cont._Yards">'[8]Bin Collection'!$C$9</definedName>
    <definedName name="Asset_Replacement_Factor" localSheetId="3">[7]Census!$B$13</definedName>
    <definedName name="Asset_Replacement_Factor">[8]Census!$B$13</definedName>
    <definedName name="BDI_Cart_Rent" localSheetId="3">'[5]14. Cart Rent'!$D$26</definedName>
    <definedName name="BDI_Cart_Rent">'[6]14. Cart Rent'!$D$26</definedName>
    <definedName name="BDI_Cust_per" localSheetId="3">#REF!</definedName>
    <definedName name="BDI_Cust_per">#REF!</definedName>
    <definedName name="BDI_Driver_per" localSheetId="3">#REF!</definedName>
    <definedName name="BDI_Driver_per">#REF!</definedName>
    <definedName name="BDI_Emp_per" localSheetId="3">#REF!</definedName>
    <definedName name="BDI_Emp_per">#REF!</definedName>
    <definedName name="BDI_Rev_per" localSheetId="3">#REF!</definedName>
    <definedName name="BDI_Rev_per">#REF!</definedName>
    <definedName name="Bin_Customer_Allocation" localSheetId="3">'[7]CA Yenta Revenue and Expenses'!$G$11</definedName>
    <definedName name="Bin_Customer_Allocation">'[8]CA Yenta Revenue and Expenses'!$G$11</definedName>
    <definedName name="Bin_Customers" localSheetId="3">[7]Census!$F$17</definedName>
    <definedName name="Bin_Customers">[8]Census!$F$17</definedName>
    <definedName name="Bin_Labor_Hour_Allocation" localSheetId="3">'[7]CA Yenta Revenue and Expenses'!$G$7</definedName>
    <definedName name="Bin_Labor_Hour_Allocation">'[8]CA Yenta Revenue and Expenses'!$G$7</definedName>
    <definedName name="Bin_Rate_Increse" localSheetId="3">'[7]Bin Collection'!$D$49</definedName>
    <definedName name="Bin_Rate_Increse">'[8]Bin Collection'!$D$49</definedName>
    <definedName name="Bin_Revenue_Allocation" localSheetId="3">'[7]CA Yenta Revenue and Expenses'!$G$13</definedName>
    <definedName name="Bin_Revenue_Allocation">'[8]CA Yenta Revenue and Expenses'!$G$13</definedName>
    <definedName name="Bin_Route_Hour_Allocation" localSheetId="3">'[7]CA Yenta Revenue and Expenses'!$G$9</definedName>
    <definedName name="Bin_Route_Hour_Allocation">'[8]CA Yenta Revenue and Expenses'!$G$9</definedName>
    <definedName name="BO_Tax_Rate" localSheetId="3">[7]Data!$B$18</definedName>
    <definedName name="BO_Tax_Rate">[8]Data!$B$18</definedName>
    <definedName name="BookRev" localSheetId="3">'[9]Pacific Regulated - Price Out'!$F$50</definedName>
    <definedName name="BookRev">'[10]Pacific Regulated - Price Out'!$F$50</definedName>
    <definedName name="BookRev_com" localSheetId="3">'[9]Pacific Regulated - Price Out'!$F$214</definedName>
    <definedName name="BookRev_com">'[10]Pacific Regulated - Price Out'!$F$214</definedName>
    <definedName name="BookRev_mfr" localSheetId="3">'[9]Pacific Regulated - Price Out'!$F$222</definedName>
    <definedName name="BookRev_mfr">'[10]Pacific Regulated - Price Out'!$F$222</definedName>
    <definedName name="BookRev_ro" localSheetId="3">'[9]Pacific Regulated - Price Out'!$F$282</definedName>
    <definedName name="BookRev_ro">'[10]Pacific Regulated - Price Out'!$F$282</definedName>
    <definedName name="BookRev_rr" localSheetId="3">'[9]Pacific Regulated - Price Out'!$F$59</definedName>
    <definedName name="BookRev_rr">'[10]Pacific Regulated - Price Out'!$F$59</definedName>
    <definedName name="BookRev_yw" localSheetId="3">'[9]Pacific Regulated - Price Out'!$F$70</definedName>
    <definedName name="BookRev_yw">'[10]Pacific Regulated - Price Out'!$F$70</definedName>
    <definedName name="BREMAIR_COST_of_SERVICE_STUDY" localSheetId="3">#REF!</definedName>
    <definedName name="BREMAIR_COST_of_SERVICE_STUDY">#REF!</definedName>
    <definedName name="BRoom_Cust_per" localSheetId="3">#REF!</definedName>
    <definedName name="BRoom_Cust_per">#REF!</definedName>
    <definedName name="BRoom_Driver_per" localSheetId="3">#REF!</definedName>
    <definedName name="BRoom_Driver_per">#REF!</definedName>
    <definedName name="BRoom_Emp_per" localSheetId="3">#REF!</definedName>
    <definedName name="BRoom_Emp_per">#REF!</definedName>
    <definedName name="BRoom_Rev_per" localSheetId="3">#REF!</definedName>
    <definedName name="BRoom_Rev_per">#REF!</definedName>
    <definedName name="BUD_CUR" localSheetId="3">[2]Hidden!#REF!</definedName>
    <definedName name="BUD_CUR">[3]Hidden!#REF!</definedName>
    <definedName name="BUD_YTD" localSheetId="3">[2]Hidden!#REF!</definedName>
    <definedName name="BUD_YTD">[3]Hidden!#REF!</definedName>
    <definedName name="check" localSheetId="3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check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check2" localSheetId="3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check2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CheckLine" localSheetId="3">'[11]1. GLSummary'!$R:$R</definedName>
    <definedName name="CheckLine">'[12]1. GLSummary'!$R:$R</definedName>
    <definedName name="CheckTotals" localSheetId="3">#REF!</definedName>
    <definedName name="CheckTotals">#REF!</definedName>
    <definedName name="colgroup">[1]Orientation!$G$6</definedName>
    <definedName name="colsegment">[1]Orientation!$F$6</definedName>
    <definedName name="Combined_Tax_Rate" localSheetId="3">[7]Data!$B$19</definedName>
    <definedName name="Combined_Tax_Rate">[8]Data!$B$19</definedName>
    <definedName name="Connell" localSheetId="3">'[5]5. BDI Customer Counts'!$I$3</definedName>
    <definedName name="Connell">'[6]5. BDI Customer Counts'!$I$3</definedName>
    <definedName name="Connell_Hrs" localSheetId="3">'[5]13. BDI Allocation Factors'!$G$2</definedName>
    <definedName name="Connell_Hrs">'[6]13. BDI Allocation Factors'!$G$2</definedName>
    <definedName name="Connell_TipFee" localSheetId="3">'[5]15. Tonnage Summary'!$F$8</definedName>
    <definedName name="Connell_TipFee">'[6]15. Tonnage Summary'!$F$8</definedName>
    <definedName name="Contract" localSheetId="3">'[5]5. BDI Customer Counts'!$N$3</definedName>
    <definedName name="Contract">'[6]5. BDI Customer Counts'!$N$3</definedName>
    <definedName name="Contract_and_Recycling_Hrs" localSheetId="3">'[5]13. BDI Allocation Factors'!$L$2</definedName>
    <definedName name="Contract_and_Recycling_Hrs">'[6]13. BDI Allocation Factors'!$L$2</definedName>
    <definedName name="CPI_Escalation_Factor" localSheetId="3">[7]Census!$B$12</definedName>
    <definedName name="CPI_Escalation_Factor">[8]Census!$B$12</definedName>
    <definedName name="CRCTable" localSheetId="3">#REF!</definedName>
    <definedName name="CRCTable">#REF!</definedName>
    <definedName name="CRCTableOLD" localSheetId="3">#REF!</definedName>
    <definedName name="CRCTableOLD">#REF!</definedName>
    <definedName name="CriteriaType" localSheetId="3">[13]ControlPanel!$Z$2:$Z$5</definedName>
    <definedName name="CriteriaType">[14]ControlPanel!$Z$2:$Z$5</definedName>
    <definedName name="CustCountAdj" localSheetId="3">'[11]1a. CustomerCount'!$M:$M</definedName>
    <definedName name="CustCountAdj">'[12]1a. CustomerCount'!$M:$M</definedName>
    <definedName name="CustCountUnique" localSheetId="3">'[11]1a. CustomerCount'!$L:$L</definedName>
    <definedName name="CustCountUnique">'[12]1a. CustomerCount'!$L:$L</definedName>
    <definedName name="Customer_Allocation" localSheetId="3">#REF!</definedName>
    <definedName name="Customer_Allocation">#REF!</definedName>
    <definedName name="Cutomers" localSheetId="3">#REF!</definedName>
    <definedName name="Cutomers">#REF!</definedName>
    <definedName name="_xlnm.Database" localSheetId="3">#REF!</definedName>
    <definedName name="_xlnm.Database">#REF!</definedName>
    <definedName name="Database1" localSheetId="3">#REF!</definedName>
    <definedName name="Database1">#REF!</definedName>
    <definedName name="Dayton" localSheetId="3">'[5]5. BDI Customer Counts'!$L$3</definedName>
    <definedName name="Dayton">'[6]5. BDI Customer Counts'!$L$3</definedName>
    <definedName name="Dayton_Hrs" localSheetId="3">'[5]13. BDI Allocation Factors'!$J$2</definedName>
    <definedName name="Dayton_Hrs">'[6]13. BDI Allocation Factors'!$J$2</definedName>
    <definedName name="Dayton_TipFee" localSheetId="3">'[5]15. Tonnage Summary'!$I$8</definedName>
    <definedName name="Dayton_TipFee">'[6]15. Tonnage Summary'!$I$8</definedName>
    <definedName name="Dental_Ins._Rate" localSheetId="3">[7]Census!$F$12</definedName>
    <definedName name="Dental_Ins._Rate">[8]Census!$F$12</definedName>
    <definedName name="DEPT" localSheetId="3">[2]Hidden!#REF!</definedName>
    <definedName name="DEPT">[3]Hidden!#REF!</definedName>
    <definedName name="Disposal_Cost_for_32_gal" localSheetId="3">[7]Data!$D$12</definedName>
    <definedName name="Disposal_Cost_for_32_gal">[8]Data!$D$12</definedName>
    <definedName name="Disposal_Cost_for_96_gal" localSheetId="3">[7]Data!$D$13</definedName>
    <definedName name="Disposal_Cost_for_96_gal">[8]Data!$D$13</definedName>
    <definedName name="District" localSheetId="3">'[15]Vashon BS'!#REF!</definedName>
    <definedName name="District">'[16]Vashon BS'!#REF!</definedName>
    <definedName name="DistrictNum" localSheetId="3">#REF!</definedName>
    <definedName name="DistrictNum">#REF!</definedName>
    <definedName name="Driver_Route_to_Labor_Ratio" localSheetId="3">[7]Census!$B$8</definedName>
    <definedName name="Driver_Route_to_Labor_Ratio">[8]Census!$B$8</definedName>
    <definedName name="drlFilter">[1]Settings!$D$27</definedName>
    <definedName name="Eds_Cust_per" localSheetId="3">#REF!</definedName>
    <definedName name="Eds_Cust_per">#REF!</definedName>
    <definedName name="Eds_Driver_per" localSheetId="3">#REF!</definedName>
    <definedName name="Eds_Driver_per">#REF!</definedName>
    <definedName name="Eds_Emp_per" localSheetId="3">#REF!</definedName>
    <definedName name="Eds_Emp_per">#REF!</definedName>
    <definedName name="Eds_Rev_per" localSheetId="3">#REF!</definedName>
    <definedName name="Eds_Rev_per">#REF!</definedName>
    <definedName name="Employee_Allocation" localSheetId="3">#REF!</definedName>
    <definedName name="Employee_Allocation">#REF!</definedName>
    <definedName name="End" localSheetId="3">#REF!</definedName>
    <definedName name="End">#REF!</definedName>
    <definedName name="end_bal" localSheetId="3">'[5]1. BDI General Ledger Table'!$O$2:$O$4682</definedName>
    <definedName name="end_bal">'[6]1. BDI General Ledger Table'!$O$2:$O$4682</definedName>
    <definedName name="ExcludeIC" localSheetId="3">'[15]Vashon BS'!#REF!</definedName>
    <definedName name="ExcludeIC">'[16]Vashon BS'!#REF!</definedName>
    <definedName name="FBTable" localSheetId="3">#REF!</definedName>
    <definedName name="FBTable">#REF!</definedName>
    <definedName name="FBTableOld" localSheetId="3">#REF!</definedName>
    <definedName name="FBTableOld">#REF!</definedName>
    <definedName name="filter">[1]Settings!$B$14:$H$25</definedName>
    <definedName name="Fuel_Escalation_Factor" localSheetId="3">[7]Census!$B$11</definedName>
    <definedName name="Fuel_Escalation_Factor">[8]Census!$B$11</definedName>
    <definedName name="GLMappingStart" localSheetId="3">#REF!</definedName>
    <definedName name="GLMappingStart">#REF!</definedName>
    <definedName name="Hatton" localSheetId="3">'[5]5. BDI Customer Counts'!$J$3</definedName>
    <definedName name="Hatton">'[6]5. BDI Customer Counts'!$J$3</definedName>
    <definedName name="Hatton_Hrs" localSheetId="3">'[5]13. BDI Allocation Factors'!$H$2</definedName>
    <definedName name="Hatton_Hrs">'[6]13. BDI Allocation Factors'!$H$2</definedName>
    <definedName name="Hatton_TipFee" localSheetId="3">'[5]15. Tonnage Summary'!$G$8</definedName>
    <definedName name="Hatton_TipFee">'[6]15. Tonnage Summary'!$G$8</definedName>
    <definedName name="Hour_Allocation" localSheetId="3">#REF!</definedName>
    <definedName name="Hour_Allocation">#REF!</definedName>
    <definedName name="IncomeStmnt" localSheetId="3">#REF!</definedName>
    <definedName name="IncomeStmnt">#REF!</definedName>
    <definedName name="Industrial_Ins._Rate" localSheetId="3">[7]Census!$F$9</definedName>
    <definedName name="Industrial_Ins._Rate">[8]Census!$F$9</definedName>
    <definedName name="INPUT" localSheetId="3">#REF!</definedName>
    <definedName name="INPUT">#REF!</definedName>
    <definedName name="Insurance" localSheetId="3">#REF!</definedName>
    <definedName name="Insurance">#REF!</definedName>
    <definedName name="Interfund_Increase_Factor" localSheetId="3">[7]Census!$B$14</definedName>
    <definedName name="Interfund_Increase_Factor">[8]Census!$B$14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IS_4C" localSheetId="3">'[5]1. BDI General Ledger Table'!$J$2:$J$4682</definedName>
    <definedName name="IS_4C">'[6]1. BDI General Ledger Table'!$J$2:$J$4682</definedName>
    <definedName name="IS_Lines" localSheetId="3">'[5]3. V Lookup Tables'!$B$3:$D$401</definedName>
    <definedName name="IS_Lines">'[6]3. V Lookup Tables'!$B$3:$D$401</definedName>
    <definedName name="JEDetail" localSheetId="3">#REF!</definedName>
    <definedName name="JEDetail">#REF!</definedName>
    <definedName name="JEType" localSheetId="3">#REF!</definedName>
    <definedName name="JEType">#REF!</definedName>
    <definedName name="Kahlotus" localSheetId="3">'[5]5. BDI Customer Counts'!$H$3</definedName>
    <definedName name="Kahlotus">'[6]5. BDI Customer Counts'!$H$3</definedName>
    <definedName name="Kahlotus_Hrs" localSheetId="3">'[5]13. BDI Allocation Factors'!$F$2</definedName>
    <definedName name="Kahlotus_Hrs">'[6]13. BDI Allocation Factors'!$F$2</definedName>
    <definedName name="Kahlotus_TipFee" localSheetId="3">'[5]15. Tonnage Summary'!$E$8</definedName>
    <definedName name="Kahlotus_TipFee">'[6]15. Tonnage Summary'!$E$8</definedName>
    <definedName name="Ken_TipFee" localSheetId="3">'[5]15. Tonnage Summary'!$C$8</definedName>
    <definedName name="Ken_TipFee">'[6]15. Tonnage Summary'!$C$8</definedName>
    <definedName name="KENNEWICK" localSheetId="3">'[5]5. BDI Customer Counts'!$F$3</definedName>
    <definedName name="KENNEWICK">'[6]5. BDI Customer Counts'!$F$3</definedName>
    <definedName name="Kennewick_Hrs" localSheetId="3">'[5]13. BDI Allocation Factors'!$D$2</definedName>
    <definedName name="Kennewick_Hrs">'[6]13. BDI Allocation Factors'!$D$2</definedName>
    <definedName name="Labor_Escalation_Factor" localSheetId="3">[7]Census!$B$10</definedName>
    <definedName name="Labor_Escalation_Factor">[8]Census!$B$10</definedName>
    <definedName name="lblBillAreaStatus" localSheetId="3">#REF!</definedName>
    <definedName name="lblBillAreaStatus">#REF!</definedName>
    <definedName name="lblBillCycleStatus" localSheetId="3">#REF!</definedName>
    <definedName name="lblBillCycleStatus">#REF!</definedName>
    <definedName name="lblCategoryStatus" localSheetId="3">#REF!</definedName>
    <definedName name="lblCategoryStatus">#REF!</definedName>
    <definedName name="lblCompanyStatus" localSheetId="3">#REF!</definedName>
    <definedName name="lblCompanyStatus">#REF!</definedName>
    <definedName name="lblDatabaseStatus" localSheetId="3">#REF!</definedName>
    <definedName name="lblDatabaseStatus">#REF!</definedName>
    <definedName name="lblPullStatus" localSheetId="3">#REF!</definedName>
    <definedName name="lblPullStatus">#REF!</definedName>
    <definedName name="Life_Insurance_Rate" localSheetId="3">[7]Census!$F$10</definedName>
    <definedName name="Life_Insurance_Rate">[8]Census!$F$10</definedName>
    <definedName name="lkj" localSheetId="3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lkj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ll" localSheetId="3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ll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lllllllllllllllllllll" localSheetId="3">#REF!</definedName>
    <definedName name="lllllllllllllllllllll">#REF!</definedName>
    <definedName name="MainDataEnd" localSheetId="3">#REF!</definedName>
    <definedName name="MainDataEnd">#REF!</definedName>
    <definedName name="MainDataStart" localSheetId="3">#REF!</definedName>
    <definedName name="MainDataStart">#REF!</definedName>
    <definedName name="MapKeyStart" localSheetId="3">#REF!</definedName>
    <definedName name="MapKeyStart">#REF!</definedName>
    <definedName name="master_def" localSheetId="3">#REF!</definedName>
    <definedName name="master_def">#REF!</definedName>
    <definedName name="Medical_Ins._Rate" localSheetId="3">[7]Census!$F$11</definedName>
    <definedName name="Medical_Ins._Rate">[8]Census!$F$11</definedName>
    <definedName name="MemoAttachment" localSheetId="3">#REF!</definedName>
    <definedName name="MemoAttachment">#REF!</definedName>
    <definedName name="Mesa" localSheetId="3">'[5]5. BDI Customer Counts'!$G$3</definedName>
    <definedName name="Mesa">'[6]5. BDI Customer Counts'!$G$3</definedName>
    <definedName name="Mesa_Hrs" localSheetId="3">'[5]13. BDI Allocation Factors'!$E$2</definedName>
    <definedName name="Mesa_Hrs">'[6]13. BDI Allocation Factors'!$E$2</definedName>
    <definedName name="Mesa_TipFee" localSheetId="3">'[5]15. Tonnage Summary'!$D$8</definedName>
    <definedName name="Mesa_TipFee">'[6]15. Tonnage Summary'!$D$8</definedName>
    <definedName name="MetaSet">[1]Orientation!$C$22</definedName>
    <definedName name="MF_2015_hrs" localSheetId="3">'[7]Labor Hours'!$D$57</definedName>
    <definedName name="MF_2015_hrs">'[8]Labor Hours'!$D$57</definedName>
    <definedName name="NewOnlyOrg">#N/A</definedName>
    <definedName name="NOTES" localSheetId="3">#REF!</definedName>
    <definedName name="NOTES">#REF!</definedName>
    <definedName name="NR" localSheetId="3">#REF!</definedName>
    <definedName name="NR">#REF!</definedName>
    <definedName name="NvsASD">"V2008-12-31"</definedName>
    <definedName name="NvsAutoDrillOk">"VN"</definedName>
    <definedName name="NvsElapsedTime">0.000729166669771075</definedName>
    <definedName name="NvsEndTime">39896.5868402778</definedName>
    <definedName name="NvsEndTime2">39823.1371643519</definedName>
    <definedName name="NvsEndTime3">39918.4137268519</definedName>
    <definedName name="NvsEndTime4">39825.0263078704</definedName>
    <definedName name="NvsEndTime5">39822.9425347222</definedName>
    <definedName name="NvsInstLang">"VENG"</definedName>
    <definedName name="NvsInstSpec">"%,FBUSINESS_UNIT,V01815"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"V1950-01-01"</definedName>
    <definedName name="NvsPanelSetid">"VWASTE"</definedName>
    <definedName name="NvsReqBU">"V01815"</definedName>
    <definedName name="NvsReqBUOnly">"VY"</definedName>
    <definedName name="NvsTransLed">"VN"</definedName>
    <definedName name="NvsTreeASD">"V2008-12-31"</definedName>
    <definedName name="NvsValTbl.DEPTID">"DEPT_TBL"</definedName>
    <definedName name="OfficerSalary">#N/A</definedName>
    <definedName name="OffsetAcctBil">[17]JEexport!$L$10</definedName>
    <definedName name="OffsetAcctPmt">[17]JEexport!$L$9</definedName>
    <definedName name="Org11_13">#N/A</definedName>
    <definedName name="Org7_10">#N/A</definedName>
    <definedName name="Organics" localSheetId="3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Organics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organics2" localSheetId="3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organics2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p" localSheetId="3">#REF!</definedName>
    <definedName name="p">#REF!</definedName>
    <definedName name="PAGE_1" localSheetId="3">#REF!</definedName>
    <definedName name="PAGE_1">#REF!</definedName>
    <definedName name="Pasco" localSheetId="3">'[5]5. BDI Customer Counts'!$E$3</definedName>
    <definedName name="Pasco">'[6]5. BDI Customer Counts'!$E$3</definedName>
    <definedName name="Pasco_Hrs" localSheetId="3">'[5]13. BDI Allocation Factors'!$C$2</definedName>
    <definedName name="Pasco_Hrs">'[6]13. BDI Allocation Factors'!$C$2</definedName>
    <definedName name="Pasco_TipFee" localSheetId="3">'[5]15. Tonnage Summary'!$B$8</definedName>
    <definedName name="Pasco_TipFee">'[6]15. Tonnage Summary'!$B$8</definedName>
    <definedName name="pBatchID" localSheetId="3">#REF!</definedName>
    <definedName name="pBatchID">#REF!</definedName>
    <definedName name="pBillArea" localSheetId="3">#REF!</definedName>
    <definedName name="pBillArea">#REF!</definedName>
    <definedName name="pBillCycle" localSheetId="3">#REF!</definedName>
    <definedName name="pBillCycle">#REF!</definedName>
    <definedName name="pCategory" localSheetId="3">#REF!</definedName>
    <definedName name="pCategory">#REF!</definedName>
    <definedName name="pCompany" localSheetId="3">#REF!</definedName>
    <definedName name="pCompany">#REF!</definedName>
    <definedName name="pCustomerNumber" localSheetId="3">#REF!</definedName>
    <definedName name="pCustomerNumber">#REF!</definedName>
    <definedName name="pDatabase" localSheetId="3">#REF!</definedName>
    <definedName name="pDatabase">#REF!</definedName>
    <definedName name="pEndPostDate" localSheetId="3">#REF!</definedName>
    <definedName name="pEndPostDate">#REF!</definedName>
    <definedName name="Period" localSheetId="3">#REF!</definedName>
    <definedName name="Period">#REF!</definedName>
    <definedName name="PERS_Rate" localSheetId="3">[7]Census!$F$8</definedName>
    <definedName name="PERS_Rate">[8]Census!$F$8</definedName>
    <definedName name="PILOT_Tax_Rate" localSheetId="3">'[7]Bin Collection'!$G$10</definedName>
    <definedName name="PILOT_Tax_Rate">'[8]Bin Collection'!$G$10</definedName>
    <definedName name="pMonth" localSheetId="3">#REF!</definedName>
    <definedName name="pMonth">#REF!</definedName>
    <definedName name="pOnlyShowLastTranx" localSheetId="3">#REF!</definedName>
    <definedName name="pOnlyShowLastTranx">#REF!</definedName>
    <definedName name="primtbl">[1]Orientation!$C$23</definedName>
    <definedName name="_xlnm.Print_Area" localSheetId="3">'PriceOut-Benton-TG-230189'!$A$1:$AA$389</definedName>
    <definedName name="_xlnm.Print_Area" localSheetId="1">'Rate Sheet'!$A$1:$L$232</definedName>
    <definedName name="_xlnm.Print_Area">#REF!</definedName>
    <definedName name="Print_Area_MI" localSheetId="3">#REF!</definedName>
    <definedName name="Print_Area_MI">#REF!</definedName>
    <definedName name="Print_Area1" localSheetId="3">#REF!</definedName>
    <definedName name="Print_Area1">#REF!</definedName>
    <definedName name="Print_Area2" localSheetId="3">#REF!</definedName>
    <definedName name="Print_Area2">#REF!</definedName>
    <definedName name="Print_Area3" localSheetId="3">#REF!</definedName>
    <definedName name="Print_Area3">#REF!</definedName>
    <definedName name="Print_Area5" localSheetId="3">#REF!</definedName>
    <definedName name="Print_Area5">#REF!</definedName>
    <definedName name="_xlnm.Print_Titles" localSheetId="3">'PriceOut-Benton-TG-230189'!$1:$2</definedName>
    <definedName name="Print1" localSheetId="3">#REF!</definedName>
    <definedName name="Print1">#REF!</definedName>
    <definedName name="Print2" localSheetId="3">#REF!</definedName>
    <definedName name="Print2">#REF!</definedName>
    <definedName name="Print5" localSheetId="3">#REF!</definedName>
    <definedName name="Print5">#REF!</definedName>
    <definedName name="ProF" localSheetId="3">'[5]1. BDI General Ledger Table'!$K$2:$K$4682</definedName>
    <definedName name="ProF">'[6]1. BDI General Ledger Table'!$K$2:$K$4682</definedName>
    <definedName name="ProRev" localSheetId="3">'[9]Pacific Regulated - Price Out'!$M$49</definedName>
    <definedName name="ProRev">'[10]Pacific Regulated - Price Out'!$M$49</definedName>
    <definedName name="ProRev_com" localSheetId="3">'[9]Pacific Regulated - Price Out'!$M$213</definedName>
    <definedName name="ProRev_com">'[10]Pacific Regulated - Price Out'!$M$213</definedName>
    <definedName name="ProRev_mfr" localSheetId="3">'[9]Pacific Regulated - Price Out'!$M$221</definedName>
    <definedName name="ProRev_mfr">'[10]Pacific Regulated - Price Out'!$M$221</definedName>
    <definedName name="ProRev_ro" localSheetId="3">'[9]Pacific Regulated - Price Out'!$M$281</definedName>
    <definedName name="ProRev_ro">'[10]Pacific Regulated - Price Out'!$M$281</definedName>
    <definedName name="ProRev_rr" localSheetId="3">'[9]Pacific Regulated - Price Out'!$M$58</definedName>
    <definedName name="ProRev_rr">'[10]Pacific Regulated - Price Out'!$M$58</definedName>
    <definedName name="ProRev_yw" localSheetId="3">'[9]Pacific Regulated - Price Out'!$M$69</definedName>
    <definedName name="ProRev_yw">'[10]Pacific Regulated - Price Out'!$M$69</definedName>
    <definedName name="Prosser" localSheetId="3">'[5]5. BDI Customer Counts'!$K$3</definedName>
    <definedName name="Prosser">'[6]5. BDI Customer Counts'!$K$3</definedName>
    <definedName name="Prosser_Hrs" localSheetId="3">'[5]13. BDI Allocation Factors'!$I$2</definedName>
    <definedName name="Prosser_Hrs">'[6]13. BDI Allocation Factors'!$I$2</definedName>
    <definedName name="Prosser_TipFee" localSheetId="3">'[5]15. Tonnage Summary'!$H$8</definedName>
    <definedName name="Prosser_TipFee">'[6]15. Tonnage Summary'!$H$8</definedName>
    <definedName name="pServer" localSheetId="3">#REF!</definedName>
    <definedName name="pServer">#REF!</definedName>
    <definedName name="pServiceCode" localSheetId="3">#REF!</definedName>
    <definedName name="pServiceCode">#REF!</definedName>
    <definedName name="pShowAllUnposted" localSheetId="3">#REF!</definedName>
    <definedName name="pShowAllUnposted">#REF!</definedName>
    <definedName name="pShowCustomerDetail" localSheetId="3">#REF!</definedName>
    <definedName name="pShowCustomerDetail">#REF!</definedName>
    <definedName name="pSortOption" localSheetId="3">#REF!</definedName>
    <definedName name="pSortOption">#REF!</definedName>
    <definedName name="pStartPostDate" localSheetId="3">#REF!</definedName>
    <definedName name="pStartPostDate">#REF!</definedName>
    <definedName name="pTransType" localSheetId="3">#REF!</definedName>
    <definedName name="pTransType">#REF!</definedName>
    <definedName name="RCW_81.04.080">#N/A</definedName>
    <definedName name="Rec_TipFee" localSheetId="3">'[5]15. Tonnage Summary'!$K$8</definedName>
    <definedName name="Rec_TipFee">'[6]15. Tonnage Summary'!$K$8</definedName>
    <definedName name="RecMat_Tonnage_Cost" localSheetId="3">[7]Data!$D$91</definedName>
    <definedName name="RecMat_Tonnage_Cost">[8]Data!$D$91</definedName>
    <definedName name="RecyDisposal">#N/A</definedName>
    <definedName name="Refuse_and_BO_tax_rate" localSheetId="3">'[7]Bin Collection'!$G$11</definedName>
    <definedName name="Refuse_and_BO_tax_rate">'[8]Bin Collection'!$G$11</definedName>
    <definedName name="Refuse_Tax_Rate" localSheetId="3">[7]Data!$B$17</definedName>
    <definedName name="Refuse_Tax_Rate">[8]Data!$B$17</definedName>
    <definedName name="RelatedSalary">#N/A</definedName>
    <definedName name="report_type">[1]Orientation!$C$24</definedName>
    <definedName name="ReportNames" localSheetId="3">[13]ControlPanel!$X$2:$X$8</definedName>
    <definedName name="ReportNames">[14]ControlPanel!$X$2:$X$8</definedName>
    <definedName name="ReportVersion">[1]Settings!$D$5</definedName>
    <definedName name="Res_FundBalance_Cost" localSheetId="3">[7]Data!$D$82</definedName>
    <definedName name="Res_FundBalance_Cost">[8]Data!$D$82</definedName>
    <definedName name="Residential_2015_hrs" localSheetId="3">'[7]Labor Hours'!$D$56</definedName>
    <definedName name="Residential_2015_hrs">'[8]Labor Hours'!$D$56</definedName>
    <definedName name="RetainedEarnings" localSheetId="3">#REF!</definedName>
    <definedName name="RetainedEarnings">#REF!</definedName>
    <definedName name="RevCust" localSheetId="3">[18]RevenuesCust!#REF!</definedName>
    <definedName name="RevCust">[19]RevenuesCust!#REF!</definedName>
    <definedName name="Revenue_Allocation" localSheetId="3">#REF!</definedName>
    <definedName name="Revenue_Allocation">#REF!</definedName>
    <definedName name="rngCreateLog">[1]Delivery!$B$12</definedName>
    <definedName name="rngFilePassword">[1]Delivery!$B$6</definedName>
    <definedName name="rngSourceTab">[1]Delivery!$E$8</definedName>
    <definedName name="rowgroup">[1]Orientation!$C$17</definedName>
    <definedName name="rowsegment">[1]Orientation!$B$17</definedName>
    <definedName name="search1" localSheetId="3" hidden="1">#REF!</definedName>
    <definedName name="search1" hidden="1">#REF!</definedName>
    <definedName name="search2" localSheetId="3" hidden="1">#REF!</definedName>
    <definedName name="search2" hidden="1">#REF!</definedName>
    <definedName name="Sequential_Group">[1]Settings!$J$6</definedName>
    <definedName name="Sequential_Segment">[1]Settings!$I$6</definedName>
    <definedName name="Sequential_sort">[1]Settings!$I$10:$J$11</definedName>
    <definedName name="Social_Security_Rate" localSheetId="3">[7]Census!$F$7</definedName>
    <definedName name="Social_Security_Rate">[8]Census!$F$7</definedName>
    <definedName name="sortcol" localSheetId="3">#REF!</definedName>
    <definedName name="sortcol">#REF!</definedName>
    <definedName name="SPECIAL1" localSheetId="3" hidden="1">#REF!</definedName>
    <definedName name="SPECIAL1" hidden="1">#REF!</definedName>
    <definedName name="SPECIAL2" localSheetId="3" hidden="1">#REF!</definedName>
    <definedName name="SPECIAL2" hidden="1">#REF!</definedName>
    <definedName name="SPWS_WBID">"115966228744984"</definedName>
    <definedName name="sSRCDate" localSheetId="3">'[20]Feb''12 FAR Data'!#REF!</definedName>
    <definedName name="sSRCDate">'[21]Feb''12 FAR Data'!#REF!</definedName>
    <definedName name="StatementLine" localSheetId="3">'[11]1. GLSummary'!$Q:$Q</definedName>
    <definedName name="StatementLine">'[12]1. GLSummary'!$Q:$Q</definedName>
    <definedName name="Supplemental_filter">[1]Settings!$C$31</definedName>
    <definedName name="SW_Customer_Allocation" localSheetId="3">'[7]CA Yenta Revenue and Expenses'!$E$11</definedName>
    <definedName name="SW_Customer_Allocation">'[8]CA Yenta Revenue and Expenses'!$E$11</definedName>
    <definedName name="SW_Disposal_Cost" localSheetId="3">'[7]Current Rates &amp; Revenue'!$D$31</definedName>
    <definedName name="SW_Disposal_Cost">'[8]Current Rates &amp; Revenue'!$D$31</definedName>
    <definedName name="SW_Disposal_Cost_2017" localSheetId="3">'[7]Current Rates &amp; Revenue'!$E$31</definedName>
    <definedName name="SW_Disposal_Cost_2017">'[8]Current Rates &amp; Revenue'!$E$31</definedName>
    <definedName name="SW_Labor_Hour_Allocation" localSheetId="3">'[7]CA Yenta Revenue and Expenses'!$E$7</definedName>
    <definedName name="SW_Labor_Hour_Allocation">'[8]CA Yenta Revenue and Expenses'!$E$7</definedName>
    <definedName name="SW_Revenue_Allocation" localSheetId="3">'[7]CA Yenta Revenue and Expenses'!$E$13</definedName>
    <definedName name="SW_Revenue_Allocation">'[8]CA Yenta Revenue and Expenses'!$E$13</definedName>
    <definedName name="SW_Route_Hour_Allocation" localSheetId="3">'[7]CA Yenta Revenue and Expenses'!$E$9</definedName>
    <definedName name="SW_Route_Hour_Allocation">'[8]CA Yenta Revenue and Expenses'!$E$9</definedName>
    <definedName name="SWDisposal">#N/A</definedName>
    <definedName name="System">[22]BS_Close!$V$8</definedName>
    <definedName name="TemplateEnd" localSheetId="3">#REF!</definedName>
    <definedName name="TemplateEnd">#REF!</definedName>
    <definedName name="TemplateStart" localSheetId="3">#REF!</definedName>
    <definedName name="TemplateStart">#REF!</definedName>
    <definedName name="TheTable" localSheetId="3">#REF!</definedName>
    <definedName name="TheTable">#REF!</definedName>
    <definedName name="TheTableOLD" localSheetId="3">#REF!</definedName>
    <definedName name="TheTableOLD">#REF!</definedName>
    <definedName name="timeseries">[1]Orientation!$B$6:$C$13</definedName>
    <definedName name="Transactions" localSheetId="3">#REF!</definedName>
    <definedName name="Transactions">#REF!</definedName>
    <definedName name="trx_total" localSheetId="3">'[11]1. GLSummary'!$L:$L</definedName>
    <definedName name="trx_total">'[12]1. GLSummary'!$L:$L</definedName>
    <definedName name="Unemployment_Rate" localSheetId="3">[7]Census!$F$13</definedName>
    <definedName name="Unemployment_Rate">[8]Census!$F$13</definedName>
    <definedName name="Uniforms_Rate" localSheetId="3">[7]Census!$F$14</definedName>
    <definedName name="Uniforms_Rate">[8]Census!$F$14</definedName>
    <definedName name="Waitsburg" localSheetId="3">'[5]5. BDI Customer Counts'!$M$3</definedName>
    <definedName name="Waitsburg">'[6]5. BDI Customer Counts'!$M$3</definedName>
    <definedName name="Waitsburg_Hrs" localSheetId="3">'[5]13. BDI Allocation Factors'!$K$2</definedName>
    <definedName name="Waitsburg_Hrs">'[6]13. BDI Allocation Factors'!$K$2</definedName>
    <definedName name="Waitsburg_TipFee" localSheetId="3">'[5]15. Tonnage Summary'!$J$8</definedName>
    <definedName name="Waitsburg_TipFee">'[6]15. Tonnage Summary'!$J$8</definedName>
    <definedName name="Walla_Cust_per" localSheetId="3">#REF!</definedName>
    <definedName name="Walla_Cust_per">#REF!</definedName>
    <definedName name="Walla_Driver_per" localSheetId="3">#REF!</definedName>
    <definedName name="Walla_Driver_per">#REF!</definedName>
    <definedName name="Walla_Emp_per" localSheetId="3">#REF!</definedName>
    <definedName name="Walla_Emp_per">#REF!</definedName>
    <definedName name="Walla_Rev_per" localSheetId="3">#REF!</definedName>
    <definedName name="Walla_Rev_per">#REF!</definedName>
    <definedName name="Weight_per_Cont_Yard" localSheetId="3">'[7]Bin Collection'!$C$12</definedName>
    <definedName name="Weight_per_Cont_Yard">'[8]Bin Collection'!$C$12</definedName>
    <definedName name="wrn.Change._.Pages._.Only." localSheetId="3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wrn.Change._.Pages._.Only.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Rates"}</definedName>
    <definedName name="wrn.Print._.All." localSheetId="3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Rates";"Cost Analysis",#N/A,TRUE,"Cost Analysis";"Automation Integration",#N/A,TRUE,"Automation Integration";"Base Costs",#N/A,TRUE,"Base Costs";"Misc Costs",#N/A,TRUE,"Misc Costs";"SW Lifts",#N/A,TRUE,"SW Lifts";"Rec Lifts",#N/A,TRUE,"Recycling Lifts";#N/A,#N/A,TRUE,"YD Lifts"}</definedName>
    <definedName name="wrn.Print._.All." hidden="1">{"Proposed Rates",#N/A,TRUE,"Proposed Rates";"Current Rates",#N/A,TRUE,"Proposed Rates";"Dollar Change in Rates",#N/A,TRUE,"Proposed Rates";"% Change in Rates",#N/A,TRUE,"Proposed Rates";"Rates as % of Baseline",#N/A,TRUE,"Proposed Rates";"Current Count",#N/A,TRUE,"Proposed Rates";"Cost Analysis",#N/A,TRUE,"Cost Analysis";"Automation Integration",#N/A,TRUE,"Automation Integration";"Base Costs",#N/A,TRUE,"Base Costs";"Misc Costs",#N/A,TRUE,"Misc Costs";"SW Lifts",#N/A,TRUE,"SW Lifts";"Rec Lifts",#N/A,TRUE,"Recycling Lifts";#N/A,#N/A,TRUE,"YD Lifts"}</definedName>
    <definedName name="wrn.PRINTALL." localSheetId="3" hidden="1">{#N/A,#N/A,TRUE,"Layout";#N/A,#N/A,TRUE,"P&amp;L By 1ST CONT-CURR";#N/A,#N/A,TRUE,"P&amp;L BY 1ST CONT-PROJ";#N/A,#N/A,TRUE,"P&amp;L By ADD CONT-CURR";#N/A,#N/A,TRUE,"P&amp;L BY ADD CONT-PROJ";"SCHEDULE 2",#N/A,TRUE,"RATE SCENARIO";"SCHEDULE 3",#N/A,TRUE,"RATE SCENARIO";"SCHEDULE 4",#N/A,TRUE,"RATE SCENARIO";"SCHEDULE 5a",#N/A,TRUE,"RATE SCENARIO";"SCHEDULE 5b",#N/A,TRUE,"RATE SCENARIO";#N/A,#N/A,TRUE,"Monthly P&amp;L CURR";#N/A,#N/A,TRUE,"Monthly P&amp;L-Proj";#N/A,#N/A,TRUE,"Assumptions";#N/A,#N/A,TRUE,"Containers";#N/A,#N/A,TRUE,"Costs"}</definedName>
    <definedName name="wrn.PRINTALL." hidden="1">{#N/A,#N/A,TRUE,"Layout";#N/A,#N/A,TRUE,"P&amp;L By 1ST CONT-CURR";#N/A,#N/A,TRUE,"P&amp;L BY 1ST CONT-PROJ";#N/A,#N/A,TRUE,"P&amp;L By ADD CONT-CURR";#N/A,#N/A,TRUE,"P&amp;L BY ADD CONT-PROJ";"SCHEDULE 2",#N/A,TRUE,"RATE SCENARIO";"SCHEDULE 3",#N/A,TRUE,"RATE SCENARIO";"SCHEDULE 4",#N/A,TRUE,"RATE SCENARIO";"SCHEDULE 5a",#N/A,TRUE,"RATE SCENARIO";"SCHEDULE 5b",#N/A,TRUE,"RATE SCENARIO";#N/A,#N/A,TRUE,"Monthly P&amp;L CURR";#N/A,#N/A,TRUE,"Monthly P&amp;L-Proj";#N/A,#N/A,TRUE,"Assumptions";#N/A,#N/A,TRUE,"Containers";#N/A,#N/A,TRUE,"Costs"}</definedName>
    <definedName name="wrn.PrintReview." localSheetId="3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.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localSheetId="3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2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localSheetId="3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intReviewPDXAM" hidden="1">{#N/A,#N/A,TRUE,"SUMM";#N/A,#N/A,TRUE,"Rev";#N/A,#N/A,TRUE,"Dir_Costs";#N/A,#N/A,TRUE,"G and A Costs";#N/A,#N/A,TRUE,"Itemize";#N/A,#N/A,TRUE,"Cust_Count1";#N/A,#N/A,TRUE,"Cust_Count2";#N/A,#N/A,TRUE,"Rev_Breakdown";#N/A,#N/A,TRUE,"Truck Hours";#N/A,#N/A,TRUE,"Labor Hours";#N/A,#N/A,TRUE,"Container Breakdown";#N/A,#N/A,TRUE,"Cart Breakdown"}</definedName>
    <definedName name="wrn.PrnPg1_Pg11." localSheetId="3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1.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2." localSheetId="3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prnpg1_Pg12." hidden="1">{"Page1",#N/A,TRUE,"SUMM";"Page2",#N/A,TRUE,"Rev";"Page3",#N/A,TRUE,"Dir_Costs";"Page4",#N/A,TRUE,"G and A Costs";"Page5",#N/A,TRUE,"Itemize";"Page6",#N/A,TRUE,"Cust_Count1";"Page7",#N/A,TRUE,"Cust_Count2";"Page8",#N/A,TRUE,"Rev_Breakdown";"Page9",#N/A,TRUE,"Truck Hours";"Page10",#N/A,TRUE,"Labor Hours";"Page11",#N/A,TRUE,"Container Breakdown"}</definedName>
    <definedName name="wrn.test." localSheetId="3" hidden="1">{"Page1",#N/A,TRUE,"SUMM";"Page2",#N/A,TRUE,"Rev";"Page3",#N/A,TRUE,"Dir_Costs"}</definedName>
    <definedName name="wrn.test." hidden="1">{"Page1",#N/A,TRUE,"SUMM";"Page2",#N/A,TRUE,"Rev";"Page3",#N/A,TRUE,"Dir_Costs"}</definedName>
    <definedName name="WTable" localSheetId="3">#REF!</definedName>
    <definedName name="WTable">#REF!</definedName>
    <definedName name="WTableOld" localSheetId="3">#REF!</definedName>
    <definedName name="WTableOld">#REF!</definedName>
    <definedName name="WUTC" localSheetId="3">'[5]5. BDI Customer Counts'!$O$3</definedName>
    <definedName name="WUTC">'[6]5. BDI Customer Counts'!$O$3</definedName>
    <definedName name="WUTC_Hrs" localSheetId="3">'[5]13. BDI Allocation Factors'!$M$2</definedName>
    <definedName name="WUTC_Hrs">'[6]13. BDI Allocation Factors'!$M$2</definedName>
    <definedName name="WUTC_TipFee" localSheetId="3">'[5]15. Tonnage Summary'!$M$8</definedName>
    <definedName name="WUTC_TipFee">'[6]15. Tonnage Summary'!$M$8</definedName>
    <definedName name="ww" localSheetId="3">#REF!</definedName>
    <definedName name="ww">#REF!</definedName>
    <definedName name="xperiod">[1]Orientation!$G$15</definedName>
    <definedName name="xtabin" localSheetId="3">[2]Hidden!#REF!</definedName>
    <definedName name="xtabin">[3]Hidden!#REF!</definedName>
    <definedName name="xx" localSheetId="3">#REF!</definedName>
    <definedName name="xx">#REF!</definedName>
    <definedName name="xxx" localSheetId="3">#REF!</definedName>
    <definedName name="xxx">#REF!</definedName>
    <definedName name="xxxx" localSheetId="3">#REF!</definedName>
    <definedName name="xxxx">#REF!</definedName>
    <definedName name="Yak_Cust_per" localSheetId="3">#REF!</definedName>
    <definedName name="Yak_Cust_per">#REF!</definedName>
    <definedName name="Yak_Driver_per" localSheetId="3">#REF!</definedName>
    <definedName name="Yak_Driver_per">#REF!</definedName>
    <definedName name="Yak_Emp_per" localSheetId="3">#REF!</definedName>
    <definedName name="Yak_Emp_per">#REF!</definedName>
    <definedName name="Yak_Rev_per" localSheetId="3">#REF!</definedName>
    <definedName name="Yak_Rev_per">#REF!</definedName>
    <definedName name="YD_2015_hrs" localSheetId="3">'[7]Labor Hours'!$D$58</definedName>
    <definedName name="YD_2015_hrs">'[8]Labor Hours'!$D$58</definedName>
    <definedName name="YD_Disposal_Cost" localSheetId="3">'[7]Current Rates &amp; Revenue'!$D$32</definedName>
    <definedName name="YD_Disposal_Cost">'[8]Current Rates &amp; Revenue'!$D$32</definedName>
    <definedName name="YD_Disposal_Cost_2017" localSheetId="3">'[7]Current Rates &amp; Revenue'!$E$32</definedName>
    <definedName name="YD_Disposal_Cost_2017">'[8]Current Rates &amp; Revenue'!$E$32</definedName>
    <definedName name="YearMonth" localSheetId="3">'[15]Vashon BS'!#REF!</definedName>
    <definedName name="YearMonth">'[16]Vashon BS'!#REF!</definedName>
    <definedName name="YR_PD" localSheetId="3">'[11]1. GLSummary'!$K:$K</definedName>
    <definedName name="YR_PD">'[12]1. GLSummary'!$K:$K</definedName>
    <definedName name="YW_Customer_Allocation" localSheetId="3">'[7]CA Yenta Revenue and Expenses'!$F$11</definedName>
    <definedName name="YW_Customer_Allocation">'[8]CA Yenta Revenue and Expenses'!$F$11</definedName>
    <definedName name="YW_Labor_Hour_Allocation" localSheetId="3">'[7]CA Yenta Revenue and Expenses'!$F$7</definedName>
    <definedName name="YW_Labor_Hour_Allocation">'[8]CA Yenta Revenue and Expenses'!$F$7</definedName>
    <definedName name="YW_Revenue_Allocation" localSheetId="3">'[7]CA Yenta Revenue and Expenses'!$F$13</definedName>
    <definedName name="YW_Revenue_Allocation">'[8]CA Yenta Revenue and Expenses'!$F$13</definedName>
    <definedName name="YW_Route_Hour_Allocation" localSheetId="3">'[7]CA Yenta Revenue and Expenses'!$F$9</definedName>
    <definedName name="YW_Route_Hour_Allocation">'[8]CA Yenta Revenue and Expenses'!$F$9</definedName>
    <definedName name="YWMedWasteDisp">#N/A</definedName>
  </definedNames>
  <calcPr calcId="191028" iterate="1" iterateCount="2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8" i="10" l="1"/>
  <c r="L69" i="10" l="1"/>
  <c r="G69" i="17"/>
  <c r="H69" i="17" s="1"/>
  <c r="H10" i="17"/>
  <c r="H11" i="17"/>
  <c r="H12" i="17"/>
  <c r="H13" i="17"/>
  <c r="H14" i="17"/>
  <c r="H15" i="17"/>
  <c r="H16" i="17"/>
  <c r="H18" i="17"/>
  <c r="H19" i="17"/>
  <c r="H20" i="17"/>
  <c r="H21" i="17"/>
  <c r="H22" i="17"/>
  <c r="H23" i="17"/>
  <c r="H24" i="17"/>
  <c r="H25" i="17"/>
  <c r="H26" i="17"/>
  <c r="H27" i="17"/>
  <c r="H28" i="17"/>
  <c r="H29" i="17"/>
  <c r="H30" i="17"/>
  <c r="H31" i="17"/>
  <c r="H32" i="17"/>
  <c r="H33" i="17"/>
  <c r="H34" i="17"/>
  <c r="H35" i="17"/>
  <c r="H36" i="17"/>
  <c r="H37" i="17"/>
  <c r="H38" i="17"/>
  <c r="H39" i="17"/>
  <c r="H40" i="17"/>
  <c r="H41" i="17"/>
  <c r="H42" i="17"/>
  <c r="H43" i="17"/>
  <c r="H44" i="17"/>
  <c r="H45" i="17"/>
  <c r="H46" i="17"/>
  <c r="H47" i="17"/>
  <c r="H48" i="17"/>
  <c r="H49" i="17"/>
  <c r="H50" i="17"/>
  <c r="H51" i="17"/>
  <c r="H52" i="17"/>
  <c r="H53" i="17"/>
  <c r="H54" i="17"/>
  <c r="H55" i="17"/>
  <c r="H56" i="17"/>
  <c r="H57" i="17"/>
  <c r="H58" i="17"/>
  <c r="H59" i="17"/>
  <c r="H60" i="17"/>
  <c r="H61" i="17"/>
  <c r="H62" i="17"/>
  <c r="H63" i="17"/>
  <c r="H64" i="17"/>
  <c r="H65" i="17"/>
  <c r="H66" i="17"/>
  <c r="H67" i="17"/>
  <c r="H68" i="17"/>
  <c r="H70" i="17"/>
  <c r="H71" i="17"/>
  <c r="H72" i="17"/>
  <c r="H73" i="17"/>
  <c r="H74" i="17"/>
  <c r="H75" i="17"/>
  <c r="H76" i="17"/>
  <c r="H77" i="17"/>
  <c r="H78" i="17"/>
  <c r="H79" i="17"/>
  <c r="H80" i="17"/>
  <c r="H81" i="17"/>
  <c r="H82" i="17"/>
  <c r="H83" i="17"/>
  <c r="H84" i="17"/>
  <c r="H85" i="17"/>
  <c r="H86" i="17"/>
  <c r="H87" i="17"/>
  <c r="H88" i="17"/>
  <c r="H89" i="17"/>
  <c r="H90" i="17"/>
  <c r="H91" i="17"/>
  <c r="H92" i="17"/>
  <c r="H93" i="17"/>
  <c r="H94" i="17"/>
  <c r="H95" i="17"/>
  <c r="H96" i="17"/>
  <c r="H97" i="17"/>
  <c r="H98" i="17"/>
  <c r="H99" i="17"/>
  <c r="H100" i="17"/>
  <c r="H101" i="17"/>
  <c r="H102" i="17"/>
  <c r="H103" i="17"/>
  <c r="H104" i="17"/>
  <c r="H105" i="17"/>
  <c r="H106" i="17"/>
  <c r="H109" i="17"/>
  <c r="H110" i="17"/>
  <c r="H111" i="17"/>
  <c r="H112" i="17"/>
  <c r="H113" i="17"/>
  <c r="H114" i="17"/>
  <c r="H115" i="17"/>
  <c r="H116" i="17"/>
  <c r="H117" i="17"/>
  <c r="H118" i="17"/>
  <c r="H119" i="17"/>
  <c r="H120" i="17"/>
  <c r="H121" i="17"/>
  <c r="H122" i="17"/>
  <c r="H123" i="17"/>
  <c r="H124" i="17"/>
  <c r="H125" i="17"/>
  <c r="H126" i="17"/>
  <c r="H127" i="17"/>
  <c r="H128" i="17"/>
  <c r="H129" i="17"/>
  <c r="H130" i="17"/>
  <c r="H131" i="17"/>
  <c r="H132" i="17"/>
  <c r="H133" i="17"/>
  <c r="H134" i="17"/>
  <c r="H135" i="17"/>
  <c r="H136" i="17"/>
  <c r="H137" i="17"/>
  <c r="H138" i="17"/>
  <c r="H139" i="17"/>
  <c r="H140" i="17"/>
  <c r="H141" i="17"/>
  <c r="H142" i="17"/>
  <c r="H143" i="17"/>
  <c r="H144" i="17"/>
  <c r="H145" i="17"/>
  <c r="H146" i="17"/>
  <c r="H147" i="17"/>
  <c r="H148" i="17"/>
  <c r="H149" i="17"/>
  <c r="H150" i="17"/>
  <c r="H151" i="17"/>
  <c r="H152" i="17"/>
  <c r="H153" i="17"/>
  <c r="H154" i="17"/>
  <c r="H155" i="17"/>
  <c r="H156" i="17"/>
  <c r="H157" i="17"/>
  <c r="H158" i="17"/>
  <c r="H159" i="17"/>
  <c r="H160" i="17"/>
  <c r="H161" i="17"/>
  <c r="H162" i="17"/>
  <c r="H163" i="17"/>
  <c r="H164" i="17"/>
  <c r="H165" i="17"/>
  <c r="H166" i="17"/>
  <c r="H167" i="17"/>
  <c r="H168" i="17"/>
  <c r="H169" i="17"/>
  <c r="H170" i="17"/>
  <c r="H171" i="17"/>
  <c r="H172" i="17"/>
  <c r="H173" i="17"/>
  <c r="H174" i="17"/>
  <c r="H175" i="17"/>
  <c r="H176" i="17"/>
  <c r="H177" i="17"/>
  <c r="H178" i="17"/>
  <c r="H179" i="17"/>
  <c r="H180" i="17"/>
  <c r="H181" i="17"/>
  <c r="H182" i="17"/>
  <c r="H183" i="17"/>
  <c r="H184" i="17"/>
  <c r="H185" i="17"/>
  <c r="H186" i="17"/>
  <c r="H187" i="17"/>
  <c r="H188" i="17"/>
  <c r="H189" i="17"/>
  <c r="H190" i="17"/>
  <c r="H191" i="17"/>
  <c r="H192" i="17"/>
  <c r="H193" i="17"/>
  <c r="H194" i="17"/>
  <c r="H195" i="17"/>
  <c r="H196" i="17"/>
  <c r="H197" i="17"/>
  <c r="H198" i="17"/>
  <c r="H199" i="17"/>
  <c r="H200" i="17"/>
  <c r="H201" i="17"/>
  <c r="H202" i="17"/>
  <c r="H203" i="17"/>
  <c r="H204" i="17"/>
  <c r="H205" i="17"/>
  <c r="H206" i="17"/>
  <c r="H207" i="17"/>
  <c r="H208" i="17"/>
  <c r="H209" i="17"/>
  <c r="H210" i="17"/>
  <c r="H211" i="17"/>
  <c r="H212" i="17"/>
  <c r="H213" i="17"/>
  <c r="H214" i="17"/>
  <c r="H215" i="17"/>
  <c r="H216" i="17"/>
  <c r="H217" i="17"/>
  <c r="H218" i="17"/>
  <c r="H219" i="17"/>
  <c r="H220" i="17"/>
  <c r="H222" i="17"/>
  <c r="H223" i="17"/>
  <c r="H224" i="17"/>
  <c r="H225" i="17"/>
  <c r="H226" i="17"/>
  <c r="H227" i="17"/>
  <c r="H228" i="17"/>
  <c r="H229" i="17"/>
  <c r="H230" i="17"/>
  <c r="H231" i="17"/>
  <c r="H232" i="17"/>
  <c r="H9" i="17"/>
  <c r="F187" i="17"/>
  <c r="F173" i="17"/>
  <c r="F172" i="17"/>
  <c r="F170" i="17"/>
  <c r="F117" i="17"/>
  <c r="F115" i="17"/>
  <c r="F101" i="17"/>
  <c r="F100" i="17"/>
  <c r="F65" i="17"/>
  <c r="F64" i="17"/>
  <c r="F63" i="17"/>
  <c r="F48" i="17"/>
  <c r="F47" i="17"/>
  <c r="C6" i="17"/>
  <c r="F232" i="17" l="1"/>
  <c r="F213" i="17"/>
  <c r="F199" i="17"/>
  <c r="F185" i="17"/>
  <c r="F169" i="17"/>
  <c r="F150" i="17"/>
  <c r="F132" i="17"/>
  <c r="F114" i="17"/>
  <c r="F96" i="17"/>
  <c r="F76" i="17"/>
  <c r="F62" i="17"/>
  <c r="F44" i="17"/>
  <c r="F24" i="17"/>
  <c r="F230" i="17"/>
  <c r="F163" i="17"/>
  <c r="F124" i="17"/>
  <c r="F15" i="17"/>
  <c r="F206" i="17"/>
  <c r="F123" i="17"/>
  <c r="F86" i="17"/>
  <c r="F12" i="17"/>
  <c r="F205" i="17"/>
  <c r="F103" i="17"/>
  <c r="F49" i="17"/>
  <c r="F204" i="17"/>
  <c r="F231" i="17"/>
  <c r="F212" i="17"/>
  <c r="F198" i="17"/>
  <c r="F184" i="17"/>
  <c r="F167" i="17"/>
  <c r="F149" i="17"/>
  <c r="F131" i="17"/>
  <c r="F112" i="17"/>
  <c r="F94" i="17"/>
  <c r="F75" i="17"/>
  <c r="F59" i="17"/>
  <c r="F43" i="17"/>
  <c r="F23" i="17"/>
  <c r="F211" i="17"/>
  <c r="F197" i="17"/>
  <c r="F183" i="17"/>
  <c r="F166" i="17"/>
  <c r="F147" i="17"/>
  <c r="F129" i="17"/>
  <c r="F111" i="17"/>
  <c r="F93" i="17"/>
  <c r="F72" i="17"/>
  <c r="F58" i="17"/>
  <c r="F42" i="17"/>
  <c r="F20" i="17"/>
  <c r="F228" i="17"/>
  <c r="F210" i="17"/>
  <c r="F196" i="17"/>
  <c r="F182" i="17"/>
  <c r="F164" i="17"/>
  <c r="F146" i="17"/>
  <c r="F127" i="17"/>
  <c r="F109" i="17"/>
  <c r="F91" i="17"/>
  <c r="F71" i="17"/>
  <c r="F55" i="17"/>
  <c r="F41" i="17"/>
  <c r="F17" i="17"/>
  <c r="F225" i="17"/>
  <c r="F209" i="17"/>
  <c r="F195" i="17"/>
  <c r="F181" i="17"/>
  <c r="F144" i="17"/>
  <c r="F126" i="17"/>
  <c r="F108" i="17"/>
  <c r="F90" i="17"/>
  <c r="F70" i="17"/>
  <c r="F54" i="17"/>
  <c r="F40" i="17"/>
  <c r="F16" i="17"/>
  <c r="F224" i="17"/>
  <c r="F208" i="17"/>
  <c r="F194" i="17"/>
  <c r="F180" i="17"/>
  <c r="F160" i="17"/>
  <c r="F143" i="17"/>
  <c r="F107" i="17"/>
  <c r="F87" i="17"/>
  <c r="F69" i="17"/>
  <c r="F53" i="17"/>
  <c r="F37" i="17"/>
  <c r="F223" i="17"/>
  <c r="F192" i="17"/>
  <c r="F177" i="17"/>
  <c r="F159" i="17"/>
  <c r="F141" i="17"/>
  <c r="F104" i="17"/>
  <c r="F68" i="17"/>
  <c r="F52" i="17"/>
  <c r="F34" i="17"/>
  <c r="F221" i="17"/>
  <c r="F191" i="17"/>
  <c r="F176" i="17"/>
  <c r="F158" i="17"/>
  <c r="F140" i="17"/>
  <c r="F121" i="17"/>
  <c r="F85" i="17"/>
  <c r="F67" i="17"/>
  <c r="F33" i="17"/>
  <c r="F9" i="17"/>
  <c r="F220" i="17"/>
  <c r="F190" i="17"/>
  <c r="F175" i="17"/>
  <c r="F157" i="17"/>
  <c r="F138" i="17"/>
  <c r="F66" i="17"/>
  <c r="F189" i="17"/>
  <c r="F27" i="17"/>
  <c r="F79" i="17"/>
  <c r="F201" i="17"/>
  <c r="F28" i="17"/>
  <c r="F80" i="17"/>
  <c r="F202" i="17"/>
  <c r="F29" i="17"/>
  <c r="F81" i="17"/>
  <c r="F203" i="17"/>
  <c r="F152" i="17"/>
  <c r="F153" i="17"/>
  <c r="F118" i="17"/>
  <c r="F188" i="17"/>
  <c r="F120" i="17"/>
  <c r="F134" i="17"/>
  <c r="F135" i="17"/>
  <c r="F137" i="17"/>
  <c r="F32" i="17"/>
  <c r="F84" i="17"/>
  <c r="F215" i="17"/>
  <c r="F45" i="17"/>
  <c r="F97" i="17"/>
  <c r="F216" i="17"/>
  <c r="F46" i="17"/>
  <c r="F99" i="17"/>
  <c r="F156" i="17"/>
  <c r="F219" i="17"/>
  <c r="G232" i="17" l="1"/>
  <c r="G231" i="17"/>
  <c r="G230" i="17"/>
  <c r="G228" i="17"/>
  <c r="G225" i="17"/>
  <c r="G224" i="17"/>
  <c r="G223" i="17"/>
  <c r="G220" i="17"/>
  <c r="G216" i="17"/>
  <c r="G215" i="17"/>
  <c r="G213" i="17"/>
  <c r="G212" i="17"/>
  <c r="G210" i="17"/>
  <c r="G208" i="17"/>
  <c r="G205" i="17"/>
  <c r="G203" i="17"/>
  <c r="G202" i="17"/>
  <c r="G201" i="17"/>
  <c r="G199" i="17"/>
  <c r="G198" i="17"/>
  <c r="G197" i="17"/>
  <c r="G196" i="17"/>
  <c r="G195" i="17"/>
  <c r="G194" i="17"/>
  <c r="G189" i="17"/>
  <c r="G187" i="17"/>
  <c r="G184" i="17"/>
  <c r="G183" i="17"/>
  <c r="G180" i="17"/>
  <c r="G177" i="17"/>
  <c r="G175" i="17"/>
  <c r="G173" i="17"/>
  <c r="G172" i="17"/>
  <c r="G169" i="17"/>
  <c r="G166" i="17"/>
  <c r="G163" i="17"/>
  <c r="G160" i="17"/>
  <c r="G157" i="17"/>
  <c r="G153" i="17"/>
  <c r="G150" i="17"/>
  <c r="G149" i="17"/>
  <c r="G147" i="17"/>
  <c r="G146" i="17"/>
  <c r="G144" i="17"/>
  <c r="G140" i="17"/>
  <c r="G138" i="17"/>
  <c r="G137" i="17"/>
  <c r="G135" i="17"/>
  <c r="G132" i="17"/>
  <c r="G129" i="17"/>
  <c r="G127" i="17"/>
  <c r="G126" i="17"/>
  <c r="G124" i="17"/>
  <c r="G123" i="17"/>
  <c r="G121" i="17"/>
  <c r="G118" i="17"/>
  <c r="G117" i="17"/>
  <c r="G115" i="17"/>
  <c r="G114" i="17"/>
  <c r="G112" i="17"/>
  <c r="G111" i="17"/>
  <c r="G109" i="17"/>
  <c r="G108" i="17"/>
  <c r="G107" i="17"/>
  <c r="G104" i="17"/>
  <c r="G103" i="17"/>
  <c r="G101" i="17"/>
  <c r="G100" i="17"/>
  <c r="G99" i="17"/>
  <c r="G97" i="17"/>
  <c r="G96" i="17"/>
  <c r="G94" i="17"/>
  <c r="G93" i="17"/>
  <c r="G91" i="17"/>
  <c r="G90" i="17"/>
  <c r="G87" i="17"/>
  <c r="G86" i="17"/>
  <c r="G85" i="17"/>
  <c r="G84" i="17"/>
  <c r="G81" i="17"/>
  <c r="G80" i="17"/>
  <c r="G79" i="17"/>
  <c r="G76" i="17"/>
  <c r="G72" i="17"/>
  <c r="G70" i="17"/>
  <c r="G68" i="17"/>
  <c r="G67" i="17"/>
  <c r="G65" i="17"/>
  <c r="G63" i="17"/>
  <c r="G59" i="17"/>
  <c r="G55" i="17"/>
  <c r="G54" i="17"/>
  <c r="G53" i="17"/>
  <c r="G52" i="17"/>
  <c r="G49" i="17"/>
  <c r="G48" i="17"/>
  <c r="G46" i="17"/>
  <c r="G44" i="17"/>
  <c r="G42" i="17"/>
  <c r="G40" i="17"/>
  <c r="G37" i="17"/>
  <c r="G34" i="17"/>
  <c r="G33" i="17"/>
  <c r="G32" i="17"/>
  <c r="G29" i="17"/>
  <c r="G28" i="17"/>
  <c r="G27" i="17"/>
  <c r="G23" i="17"/>
  <c r="G17" i="17"/>
  <c r="G15" i="17"/>
  <c r="G12" i="17"/>
  <c r="G9" i="17"/>
  <c r="G47" i="17" l="1"/>
  <c r="G176" i="17"/>
  <c r="G181" i="17"/>
  <c r="G221" i="17"/>
  <c r="G66" i="17"/>
  <c r="G71" i="17"/>
  <c r="G24" i="17"/>
  <c r="G143" i="17"/>
  <c r="G191" i="17"/>
  <c r="G204" i="17"/>
  <c r="G45" i="17"/>
  <c r="G120" i="17"/>
  <c r="G156" i="17"/>
  <c r="G159" i="17"/>
  <c r="G188" i="17"/>
  <c r="G219" i="17"/>
  <c r="G75" i="17"/>
  <c r="G141" i="17"/>
  <c r="G158" i="17"/>
  <c r="G190" i="17"/>
  <c r="G206" i="17"/>
  <c r="G64" i="17"/>
  <c r="G211" i="17"/>
  <c r="G185" i="17"/>
  <c r="G152" i="17"/>
  <c r="G170" i="17"/>
  <c r="G209" i="17"/>
  <c r="G134" i="17"/>
  <c r="G20" i="17"/>
  <c r="G43" i="17"/>
  <c r="G62" i="17"/>
  <c r="G131" i="17"/>
  <c r="G167" i="17"/>
  <c r="G41" i="17"/>
  <c r="G58" i="17"/>
  <c r="G164" i="17"/>
  <c r="G16" i="17"/>
  <c r="G182" i="17"/>
  <c r="G192" i="17"/>
  <c r="W1" i="16"/>
  <c r="Y1" i="16"/>
  <c r="Z2" i="16"/>
  <c r="N3" i="16"/>
  <c r="O3" i="16"/>
  <c r="P3" i="16"/>
  <c r="R3" i="16" s="1"/>
  <c r="Q3" i="16"/>
  <c r="S3" i="16" s="1"/>
  <c r="T3" i="16"/>
  <c r="W3" i="16"/>
  <c r="W4" i="16" s="1"/>
  <c r="Y3" i="16"/>
  <c r="N4" i="16"/>
  <c r="O4" i="16"/>
  <c r="P4" i="16"/>
  <c r="R4" i="16" s="1"/>
  <c r="Q4" i="16"/>
  <c r="S4" i="16" s="1"/>
  <c r="T4" i="16"/>
  <c r="Y4" i="16"/>
  <c r="N5" i="16"/>
  <c r="O5" i="16"/>
  <c r="P5" i="16"/>
  <c r="Q5" i="16"/>
  <c r="T5" i="16"/>
  <c r="N6" i="16"/>
  <c r="O6" i="16"/>
  <c r="P6" i="16"/>
  <c r="R6" i="16" s="1"/>
  <c r="Q6" i="16"/>
  <c r="S6" i="16"/>
  <c r="T6" i="16"/>
  <c r="W6" i="16"/>
  <c r="N7" i="16"/>
  <c r="O7" i="16"/>
  <c r="P7" i="16"/>
  <c r="Q7" i="16"/>
  <c r="S7" i="16" s="1"/>
  <c r="R7" i="16"/>
  <c r="T7" i="16"/>
  <c r="N8" i="16"/>
  <c r="O8" i="16"/>
  <c r="P8" i="16"/>
  <c r="Q8" i="16"/>
  <c r="R8" i="16"/>
  <c r="T8" i="16"/>
  <c r="N9" i="16"/>
  <c r="O9" i="16"/>
  <c r="P9" i="16"/>
  <c r="Q9" i="16"/>
  <c r="T9" i="16"/>
  <c r="N10" i="16"/>
  <c r="O10" i="16"/>
  <c r="P10" i="16"/>
  <c r="Q10" i="16"/>
  <c r="T10" i="16"/>
  <c r="N11" i="16"/>
  <c r="O11" i="16"/>
  <c r="P11" i="16"/>
  <c r="R11" i="16" s="1"/>
  <c r="Q11" i="16"/>
  <c r="T11" i="16"/>
  <c r="W11" i="16"/>
  <c r="N12" i="16"/>
  <c r="O12" i="16"/>
  <c r="P12" i="16"/>
  <c r="R12" i="16" s="1"/>
  <c r="Q12" i="16"/>
  <c r="S12" i="16"/>
  <c r="T12" i="16"/>
  <c r="N13" i="16"/>
  <c r="O13" i="16"/>
  <c r="P13" i="16"/>
  <c r="R13" i="16" s="1"/>
  <c r="Q13" i="16"/>
  <c r="S13" i="16"/>
  <c r="T13" i="16"/>
  <c r="N14" i="16"/>
  <c r="O14" i="16"/>
  <c r="P14" i="16"/>
  <c r="Q14" i="16"/>
  <c r="R14" i="16"/>
  <c r="S14" i="16"/>
  <c r="T14" i="16"/>
  <c r="N15" i="16"/>
  <c r="O15" i="16"/>
  <c r="P15" i="16"/>
  <c r="Q15" i="16"/>
  <c r="S15" i="16" s="1"/>
  <c r="R15" i="16"/>
  <c r="T15" i="16"/>
  <c r="N16" i="16"/>
  <c r="O16" i="16"/>
  <c r="P16" i="16"/>
  <c r="R16" i="16" s="1"/>
  <c r="Q16" i="16"/>
  <c r="S16" i="16" s="1"/>
  <c r="T16" i="16"/>
  <c r="N17" i="16"/>
  <c r="O17" i="16"/>
  <c r="P17" i="16"/>
  <c r="R17" i="16" s="1"/>
  <c r="Q17" i="16"/>
  <c r="S17" i="16"/>
  <c r="T17" i="16"/>
  <c r="N18" i="16"/>
  <c r="O18" i="16"/>
  <c r="P18" i="16"/>
  <c r="R18" i="16" s="1"/>
  <c r="Q18" i="16"/>
  <c r="S18" i="16"/>
  <c r="T18" i="16"/>
  <c r="N19" i="16"/>
  <c r="O19" i="16"/>
  <c r="P19" i="16"/>
  <c r="Q19" i="16"/>
  <c r="S19" i="16" s="1"/>
  <c r="T19" i="16"/>
  <c r="N20" i="16"/>
  <c r="O20" i="16"/>
  <c r="P20" i="16"/>
  <c r="Q20" i="16"/>
  <c r="S20" i="16" s="1"/>
  <c r="R20" i="16"/>
  <c r="T20" i="16"/>
  <c r="N21" i="16"/>
  <c r="O21" i="16"/>
  <c r="P21" i="16"/>
  <c r="R21" i="16" s="1"/>
  <c r="Q21" i="16"/>
  <c r="S21" i="16"/>
  <c r="T21" i="16"/>
  <c r="M22" i="16"/>
  <c r="N22" i="16"/>
  <c r="O22" i="16"/>
  <c r="P22" i="16"/>
  <c r="Q22" i="16"/>
  <c r="S22" i="16" s="1"/>
  <c r="R22" i="16"/>
  <c r="T22" i="16"/>
  <c r="M23" i="16"/>
  <c r="Q23" i="16" s="1"/>
  <c r="N23" i="16"/>
  <c r="O23" i="16"/>
  <c r="P23" i="16"/>
  <c r="T23" i="16"/>
  <c r="M24" i="16"/>
  <c r="T24" i="16" s="1"/>
  <c r="N24" i="16"/>
  <c r="O24" i="16"/>
  <c r="P24" i="16"/>
  <c r="R24" i="16" s="1"/>
  <c r="Q24" i="16"/>
  <c r="S24" i="16" s="1"/>
  <c r="M25" i="16"/>
  <c r="N25" i="16"/>
  <c r="O25" i="16"/>
  <c r="P25" i="16"/>
  <c r="Q25" i="16"/>
  <c r="S25" i="16" s="1"/>
  <c r="R25" i="16"/>
  <c r="T25" i="16"/>
  <c r="M26" i="16"/>
  <c r="N26" i="16"/>
  <c r="O26" i="16"/>
  <c r="R26" i="16" s="1"/>
  <c r="P26" i="16"/>
  <c r="M27" i="16"/>
  <c r="N27" i="16"/>
  <c r="O27" i="16"/>
  <c r="P27" i="16"/>
  <c r="R27" i="16"/>
  <c r="M28" i="16"/>
  <c r="Q28" i="16" s="1"/>
  <c r="S28" i="16" s="1"/>
  <c r="N28" i="16"/>
  <c r="O28" i="16"/>
  <c r="R28" i="16" s="1"/>
  <c r="P28" i="16"/>
  <c r="M29" i="16"/>
  <c r="Q29" i="16" s="1"/>
  <c r="N29" i="16"/>
  <c r="O29" i="16"/>
  <c r="P29" i="16"/>
  <c r="R29" i="16"/>
  <c r="M30" i="16"/>
  <c r="N30" i="16"/>
  <c r="O30" i="16"/>
  <c r="R30" i="16" s="1"/>
  <c r="P30" i="16"/>
  <c r="M31" i="16"/>
  <c r="N31" i="16"/>
  <c r="O31" i="16"/>
  <c r="P31" i="16"/>
  <c r="Q31" i="16"/>
  <c r="R31" i="16"/>
  <c r="S31" i="16"/>
  <c r="T31" i="16"/>
  <c r="M32" i="16"/>
  <c r="Q32" i="16" s="1"/>
  <c r="N32" i="16"/>
  <c r="O32" i="16"/>
  <c r="R32" i="16" s="1"/>
  <c r="P32" i="16"/>
  <c r="M33" i="16"/>
  <c r="T33" i="16" s="1"/>
  <c r="N33" i="16"/>
  <c r="O33" i="16"/>
  <c r="P33" i="16"/>
  <c r="R33" i="16"/>
  <c r="M34" i="16"/>
  <c r="Q34" i="16" s="1"/>
  <c r="S34" i="16" s="1"/>
  <c r="N34" i="16"/>
  <c r="O34" i="16"/>
  <c r="P34" i="16"/>
  <c r="R34" i="16" s="1"/>
  <c r="M35" i="16"/>
  <c r="N35" i="16"/>
  <c r="O35" i="16"/>
  <c r="P35" i="16"/>
  <c r="M36" i="16"/>
  <c r="T36" i="16" s="1"/>
  <c r="N36" i="16"/>
  <c r="O36" i="16"/>
  <c r="P36" i="16"/>
  <c r="R36" i="16" s="1"/>
  <c r="Q36" i="16"/>
  <c r="S36" i="16" s="1"/>
  <c r="M37" i="16"/>
  <c r="N37" i="16"/>
  <c r="O37" i="16"/>
  <c r="P37" i="16"/>
  <c r="Q37" i="16"/>
  <c r="S37" i="16" s="1"/>
  <c r="R37" i="16"/>
  <c r="T37" i="16"/>
  <c r="M38" i="16"/>
  <c r="Q38" i="16" s="1"/>
  <c r="N38" i="16"/>
  <c r="O38" i="16"/>
  <c r="P38" i="16"/>
  <c r="M39" i="16"/>
  <c r="N39" i="16"/>
  <c r="O39" i="16"/>
  <c r="P39" i="16"/>
  <c r="M40" i="16"/>
  <c r="N40" i="16"/>
  <c r="O40" i="16"/>
  <c r="P40" i="16"/>
  <c r="Q40" i="16"/>
  <c r="S40" i="16" s="1"/>
  <c r="R40" i="16"/>
  <c r="T40" i="16"/>
  <c r="M41" i="16"/>
  <c r="N41" i="16"/>
  <c r="O41" i="16"/>
  <c r="P41" i="16"/>
  <c r="R41" i="16"/>
  <c r="M42" i="16"/>
  <c r="N42" i="16"/>
  <c r="O42" i="16"/>
  <c r="P42" i="16"/>
  <c r="R42" i="16"/>
  <c r="M43" i="16"/>
  <c r="Q43" i="16" s="1"/>
  <c r="S43" i="16" s="1"/>
  <c r="N43" i="16"/>
  <c r="O43" i="16"/>
  <c r="P43" i="16"/>
  <c r="R43" i="16" s="1"/>
  <c r="M44" i="16"/>
  <c r="Q44" i="16" s="1"/>
  <c r="N44" i="16"/>
  <c r="O44" i="16"/>
  <c r="P44" i="16"/>
  <c r="T44" i="16"/>
  <c r="M45" i="16"/>
  <c r="N45" i="16"/>
  <c r="O45" i="16"/>
  <c r="P45" i="16"/>
  <c r="R45" i="16" s="1"/>
  <c r="M46" i="16"/>
  <c r="N46" i="16"/>
  <c r="O46" i="16"/>
  <c r="P46" i="16"/>
  <c r="Q46" i="16"/>
  <c r="S46" i="16" s="1"/>
  <c r="R46" i="16"/>
  <c r="T46" i="16"/>
  <c r="N47" i="16"/>
  <c r="O47" i="16"/>
  <c r="S47" i="16" s="1"/>
  <c r="P47" i="16"/>
  <c r="Q47" i="16"/>
  <c r="T47" i="16"/>
  <c r="N48" i="16"/>
  <c r="O48" i="16"/>
  <c r="P48" i="16"/>
  <c r="Q48" i="16"/>
  <c r="S48" i="16" s="1"/>
  <c r="R48" i="16"/>
  <c r="T48" i="16"/>
  <c r="N49" i="16"/>
  <c r="O49" i="16"/>
  <c r="P49" i="16"/>
  <c r="R49" i="16" s="1"/>
  <c r="Q49" i="16"/>
  <c r="S49" i="16" s="1"/>
  <c r="T49" i="16"/>
  <c r="N50" i="16"/>
  <c r="O50" i="16"/>
  <c r="P50" i="16"/>
  <c r="R50" i="16" s="1"/>
  <c r="Q50" i="16"/>
  <c r="T50" i="16"/>
  <c r="N51" i="16"/>
  <c r="O51" i="16"/>
  <c r="P51" i="16"/>
  <c r="R51" i="16" s="1"/>
  <c r="Q51" i="16"/>
  <c r="S51" i="16" s="1"/>
  <c r="T51" i="16"/>
  <c r="N52" i="16"/>
  <c r="O52" i="16"/>
  <c r="P52" i="16"/>
  <c r="R52" i="16" s="1"/>
  <c r="Q52" i="16"/>
  <c r="S52" i="16" s="1"/>
  <c r="T52" i="16"/>
  <c r="N53" i="16"/>
  <c r="O53" i="16"/>
  <c r="P53" i="16"/>
  <c r="R53" i="16" s="1"/>
  <c r="Q53" i="16"/>
  <c r="S53" i="16" s="1"/>
  <c r="T53" i="16"/>
  <c r="N54" i="16"/>
  <c r="O54" i="16"/>
  <c r="P54" i="16"/>
  <c r="Q54" i="16"/>
  <c r="T54" i="16"/>
  <c r="N55" i="16"/>
  <c r="O55" i="16"/>
  <c r="P55" i="16"/>
  <c r="R55" i="16" s="1"/>
  <c r="Q55" i="16"/>
  <c r="S55" i="16" s="1"/>
  <c r="T55" i="16"/>
  <c r="N56" i="16"/>
  <c r="O56" i="16"/>
  <c r="P56" i="16"/>
  <c r="R56" i="16" s="1"/>
  <c r="Q56" i="16"/>
  <c r="S56" i="16"/>
  <c r="T56" i="16"/>
  <c r="N57" i="16"/>
  <c r="O57" i="16"/>
  <c r="P57" i="16"/>
  <c r="R57" i="16" s="1"/>
  <c r="Q57" i="16"/>
  <c r="T57" i="16"/>
  <c r="N58" i="16"/>
  <c r="O58" i="16"/>
  <c r="P58" i="16"/>
  <c r="R58" i="16" s="1"/>
  <c r="Q58" i="16"/>
  <c r="S58" i="16"/>
  <c r="T58" i="16"/>
  <c r="N59" i="16"/>
  <c r="O59" i="16"/>
  <c r="P59" i="16"/>
  <c r="R59" i="16" s="1"/>
  <c r="Q59" i="16"/>
  <c r="S59" i="16" s="1"/>
  <c r="T59" i="16"/>
  <c r="N60" i="16"/>
  <c r="O60" i="16"/>
  <c r="P60" i="16"/>
  <c r="Q60" i="16"/>
  <c r="R60" i="16"/>
  <c r="S60" i="16"/>
  <c r="T60" i="16"/>
  <c r="N61" i="16"/>
  <c r="O61" i="16"/>
  <c r="R61" i="16" s="1"/>
  <c r="P61" i="16"/>
  <c r="Q61" i="16"/>
  <c r="T61" i="16"/>
  <c r="N62" i="16"/>
  <c r="O62" i="16"/>
  <c r="P62" i="16"/>
  <c r="R62" i="16" s="1"/>
  <c r="Q62" i="16"/>
  <c r="S62" i="16"/>
  <c r="T62" i="16"/>
  <c r="N63" i="16"/>
  <c r="O63" i="16"/>
  <c r="R63" i="16" s="1"/>
  <c r="P63" i="16"/>
  <c r="Q63" i="16"/>
  <c r="T63" i="16"/>
  <c r="M64" i="16"/>
  <c r="N64" i="16"/>
  <c r="O64" i="16"/>
  <c r="P64" i="16"/>
  <c r="R64" i="16" s="1"/>
  <c r="M65" i="16"/>
  <c r="N65" i="16"/>
  <c r="O65" i="16"/>
  <c r="P65" i="16"/>
  <c r="R65" i="16" s="1"/>
  <c r="M66" i="16"/>
  <c r="Q66" i="16" s="1"/>
  <c r="S66" i="16" s="1"/>
  <c r="N66" i="16"/>
  <c r="O66" i="16"/>
  <c r="P66" i="16"/>
  <c r="R66" i="16"/>
  <c r="M67" i="16"/>
  <c r="N67" i="16"/>
  <c r="O67" i="16"/>
  <c r="P67" i="16"/>
  <c r="R67" i="16" s="1"/>
  <c r="N68" i="16"/>
  <c r="O68" i="16"/>
  <c r="P68" i="16"/>
  <c r="R68" i="16" s="1"/>
  <c r="Q68" i="16"/>
  <c r="S68" i="16"/>
  <c r="T68" i="16"/>
  <c r="N69" i="16"/>
  <c r="O69" i="16"/>
  <c r="P69" i="16"/>
  <c r="Q69" i="16"/>
  <c r="S69" i="16" s="1"/>
  <c r="R69" i="16"/>
  <c r="T69" i="16"/>
  <c r="N70" i="16"/>
  <c r="O70" i="16"/>
  <c r="P70" i="16"/>
  <c r="Q70" i="16"/>
  <c r="R70" i="16"/>
  <c r="S70" i="16"/>
  <c r="T70" i="16"/>
  <c r="N71" i="16"/>
  <c r="O71" i="16"/>
  <c r="P71" i="16"/>
  <c r="Q71" i="16"/>
  <c r="S71" i="16" s="1"/>
  <c r="R71" i="16"/>
  <c r="T71" i="16"/>
  <c r="N72" i="16"/>
  <c r="O72" i="16"/>
  <c r="P72" i="16"/>
  <c r="R72" i="16" s="1"/>
  <c r="Q72" i="16"/>
  <c r="S72" i="16" s="1"/>
  <c r="T72" i="16"/>
  <c r="N73" i="16"/>
  <c r="O73" i="16"/>
  <c r="P73" i="16"/>
  <c r="Q73" i="16"/>
  <c r="S73" i="16" s="1"/>
  <c r="R73" i="16"/>
  <c r="T73" i="16"/>
  <c r="N74" i="16"/>
  <c r="O74" i="16"/>
  <c r="P74" i="16"/>
  <c r="Q74" i="16"/>
  <c r="R74" i="16"/>
  <c r="T74" i="16"/>
  <c r="N75" i="16"/>
  <c r="O75" i="16"/>
  <c r="P75" i="16"/>
  <c r="R75" i="16" s="1"/>
  <c r="Q75" i="16"/>
  <c r="S75" i="16" s="1"/>
  <c r="T75" i="16"/>
  <c r="N76" i="16"/>
  <c r="O76" i="16"/>
  <c r="P76" i="16"/>
  <c r="R76" i="16" s="1"/>
  <c r="Q76" i="16"/>
  <c r="S76" i="16"/>
  <c r="T76" i="16"/>
  <c r="N77" i="16"/>
  <c r="O77" i="16"/>
  <c r="P77" i="16"/>
  <c r="R77" i="16" s="1"/>
  <c r="Q77" i="16"/>
  <c r="T77" i="16"/>
  <c r="N78" i="16"/>
  <c r="O78" i="16"/>
  <c r="P78" i="16"/>
  <c r="R78" i="16" s="1"/>
  <c r="Q78" i="16"/>
  <c r="S78" i="16"/>
  <c r="T78" i="16"/>
  <c r="N79" i="16"/>
  <c r="O79" i="16"/>
  <c r="P79" i="16"/>
  <c r="R79" i="16" s="1"/>
  <c r="Q79" i="16"/>
  <c r="S79" i="16" s="1"/>
  <c r="T79" i="16"/>
  <c r="N80" i="16"/>
  <c r="O80" i="16"/>
  <c r="P80" i="16"/>
  <c r="Q80" i="16"/>
  <c r="T80" i="16"/>
  <c r="N81" i="16"/>
  <c r="O81" i="16"/>
  <c r="P81" i="16"/>
  <c r="R81" i="16" s="1"/>
  <c r="Q81" i="16"/>
  <c r="S81" i="16" s="1"/>
  <c r="T81" i="16"/>
  <c r="N82" i="16"/>
  <c r="O82" i="16"/>
  <c r="P82" i="16"/>
  <c r="Q82" i="16"/>
  <c r="T82" i="16"/>
  <c r="N83" i="16"/>
  <c r="O83" i="16"/>
  <c r="P83" i="16"/>
  <c r="R83" i="16" s="1"/>
  <c r="Q83" i="16"/>
  <c r="S83" i="16" s="1"/>
  <c r="T83" i="16"/>
  <c r="N84" i="16"/>
  <c r="O84" i="16"/>
  <c r="P84" i="16"/>
  <c r="R84" i="16" s="1"/>
  <c r="Q84" i="16"/>
  <c r="S84" i="16" s="1"/>
  <c r="T84" i="16"/>
  <c r="N85" i="16"/>
  <c r="O85" i="16"/>
  <c r="P85" i="16"/>
  <c r="Q85" i="16"/>
  <c r="S85" i="16" s="1"/>
  <c r="R85" i="16"/>
  <c r="T85" i="16"/>
  <c r="N86" i="16"/>
  <c r="O86" i="16"/>
  <c r="S86" i="16" s="1"/>
  <c r="P86" i="16"/>
  <c r="Q86" i="16"/>
  <c r="R86" i="16"/>
  <c r="T86" i="16"/>
  <c r="N87" i="16"/>
  <c r="O87" i="16"/>
  <c r="P87" i="16"/>
  <c r="R87" i="16" s="1"/>
  <c r="Q87" i="16"/>
  <c r="S87" i="16"/>
  <c r="T87" i="16"/>
  <c r="N88" i="16"/>
  <c r="O88" i="16"/>
  <c r="P88" i="16"/>
  <c r="Q88" i="16"/>
  <c r="R88" i="16"/>
  <c r="S88" i="16"/>
  <c r="T88" i="16"/>
  <c r="I89" i="16"/>
  <c r="J89" i="16"/>
  <c r="M89" i="16"/>
  <c r="Q89" i="16" s="1"/>
  <c r="N89" i="16"/>
  <c r="O89" i="16"/>
  <c r="P89" i="16"/>
  <c r="R89" i="16"/>
  <c r="M90" i="16"/>
  <c r="T90" i="16" s="1"/>
  <c r="N90" i="16"/>
  <c r="O90" i="16"/>
  <c r="P90" i="16"/>
  <c r="R90" i="16" s="1"/>
  <c r="Q90" i="16"/>
  <c r="S90" i="16" s="1"/>
  <c r="M91" i="16"/>
  <c r="Q91" i="16" s="1"/>
  <c r="S91" i="16" s="1"/>
  <c r="N91" i="16"/>
  <c r="O91" i="16"/>
  <c r="P91" i="16"/>
  <c r="M92" i="16"/>
  <c r="Q92" i="16" s="1"/>
  <c r="N92" i="16"/>
  <c r="O92" i="16"/>
  <c r="P92" i="16"/>
  <c r="T92" i="16"/>
  <c r="M93" i="16"/>
  <c r="T93" i="16" s="1"/>
  <c r="N93" i="16"/>
  <c r="O93" i="16"/>
  <c r="P93" i="16"/>
  <c r="M94" i="16"/>
  <c r="N94" i="16"/>
  <c r="O94" i="16"/>
  <c r="P94" i="16"/>
  <c r="R94" i="16" s="1"/>
  <c r="Q94" i="16"/>
  <c r="S94" i="16" s="1"/>
  <c r="T94" i="16"/>
  <c r="I95" i="16"/>
  <c r="J95" i="16" s="1"/>
  <c r="M95" i="16"/>
  <c r="Q95" i="16" s="1"/>
  <c r="S95" i="16" s="1"/>
  <c r="N95" i="16"/>
  <c r="O95" i="16"/>
  <c r="P95" i="16"/>
  <c r="R95" i="16" s="1"/>
  <c r="I96" i="16"/>
  <c r="J96" i="16" s="1"/>
  <c r="M96" i="16"/>
  <c r="N96" i="16"/>
  <c r="O96" i="16"/>
  <c r="P96" i="16"/>
  <c r="M97" i="16"/>
  <c r="N97" i="16"/>
  <c r="O97" i="16"/>
  <c r="P97" i="16"/>
  <c r="R97" i="16" s="1"/>
  <c r="M98" i="16"/>
  <c r="N98" i="16"/>
  <c r="O98" i="16"/>
  <c r="P98" i="16"/>
  <c r="Q98" i="16"/>
  <c r="S98" i="16" s="1"/>
  <c r="R98" i="16"/>
  <c r="T98" i="16"/>
  <c r="M99" i="16"/>
  <c r="Q99" i="16" s="1"/>
  <c r="N99" i="16"/>
  <c r="O99" i="16"/>
  <c r="P99" i="16"/>
  <c r="R99" i="16" s="1"/>
  <c r="M100" i="16"/>
  <c r="N100" i="16"/>
  <c r="O100" i="16"/>
  <c r="P100" i="16"/>
  <c r="R100" i="16"/>
  <c r="J101" i="16"/>
  <c r="M101" i="16"/>
  <c r="T101" i="16" s="1"/>
  <c r="N101" i="16"/>
  <c r="O101" i="16"/>
  <c r="P101" i="16"/>
  <c r="R101" i="16" s="1"/>
  <c r="I102" i="16"/>
  <c r="J102" i="16" s="1"/>
  <c r="M102" i="16"/>
  <c r="T102" i="16" s="1"/>
  <c r="N102" i="16"/>
  <c r="O102" i="16"/>
  <c r="P102" i="16"/>
  <c r="Q102" i="16"/>
  <c r="R102" i="16"/>
  <c r="S102" i="16"/>
  <c r="I103" i="16"/>
  <c r="J103" i="16" s="1"/>
  <c r="M103" i="16"/>
  <c r="N103" i="16"/>
  <c r="O103" i="16"/>
  <c r="P103" i="16"/>
  <c r="Q103" i="16"/>
  <c r="R103" i="16"/>
  <c r="S103" i="16"/>
  <c r="T103" i="16"/>
  <c r="M104" i="16"/>
  <c r="N104" i="16"/>
  <c r="O104" i="16"/>
  <c r="P104" i="16"/>
  <c r="M105" i="16"/>
  <c r="N105" i="16"/>
  <c r="O105" i="16"/>
  <c r="P105" i="16"/>
  <c r="Q105" i="16"/>
  <c r="R105" i="16"/>
  <c r="S105" i="16"/>
  <c r="T105" i="16"/>
  <c r="M106" i="16"/>
  <c r="Q106" i="16" s="1"/>
  <c r="S106" i="16" s="1"/>
  <c r="N106" i="16"/>
  <c r="O106" i="16"/>
  <c r="P106" i="16"/>
  <c r="R106" i="16"/>
  <c r="M107" i="16"/>
  <c r="T107" i="16" s="1"/>
  <c r="N107" i="16"/>
  <c r="O107" i="16"/>
  <c r="P107" i="16"/>
  <c r="Q107" i="16"/>
  <c r="S107" i="16" s="1"/>
  <c r="R107" i="16"/>
  <c r="J108" i="16"/>
  <c r="M108" i="16"/>
  <c r="Q108" i="16" s="1"/>
  <c r="S108" i="16" s="1"/>
  <c r="N108" i="16"/>
  <c r="O108" i="16"/>
  <c r="P108" i="16"/>
  <c r="R108" i="16" s="1"/>
  <c r="I109" i="16"/>
  <c r="J109" i="16" s="1"/>
  <c r="M109" i="16"/>
  <c r="T109" i="16" s="1"/>
  <c r="N109" i="16"/>
  <c r="O109" i="16"/>
  <c r="P109" i="16"/>
  <c r="R109" i="16" s="1"/>
  <c r="Q109" i="16"/>
  <c r="S109" i="16" s="1"/>
  <c r="I110" i="16"/>
  <c r="J110" i="16" s="1"/>
  <c r="M110" i="16"/>
  <c r="N110" i="16"/>
  <c r="O110" i="16"/>
  <c r="P110" i="16"/>
  <c r="R110" i="16" s="1"/>
  <c r="M111" i="16"/>
  <c r="N111" i="16"/>
  <c r="O111" i="16"/>
  <c r="P111" i="16"/>
  <c r="R111" i="16" s="1"/>
  <c r="Q111" i="16"/>
  <c r="S111" i="16" s="1"/>
  <c r="T111" i="16"/>
  <c r="M112" i="16"/>
  <c r="Q112" i="16" s="1"/>
  <c r="S112" i="16" s="1"/>
  <c r="N112" i="16"/>
  <c r="O112" i="16"/>
  <c r="R112" i="16" s="1"/>
  <c r="P112" i="16"/>
  <c r="T112" i="16"/>
  <c r="M113" i="16"/>
  <c r="Q113" i="16" s="1"/>
  <c r="N113" i="16"/>
  <c r="O113" i="16"/>
  <c r="P113" i="16"/>
  <c r="R113" i="16"/>
  <c r="S113" i="16"/>
  <c r="M114" i="16"/>
  <c r="N114" i="16"/>
  <c r="O114" i="16"/>
  <c r="P114" i="16"/>
  <c r="Q114" i="16"/>
  <c r="T114" i="16"/>
  <c r="M115" i="16"/>
  <c r="T115" i="16" s="1"/>
  <c r="N115" i="16"/>
  <c r="O115" i="16"/>
  <c r="P115" i="16"/>
  <c r="R115" i="16" s="1"/>
  <c r="Q115" i="16"/>
  <c r="S115" i="16" s="1"/>
  <c r="M116" i="16"/>
  <c r="Q116" i="16" s="1"/>
  <c r="S116" i="16" s="1"/>
  <c r="N116" i="16"/>
  <c r="O116" i="16"/>
  <c r="P116" i="16"/>
  <c r="R116" i="16"/>
  <c r="T116" i="16"/>
  <c r="M117" i="16"/>
  <c r="Q117" i="16" s="1"/>
  <c r="N117" i="16"/>
  <c r="O117" i="16"/>
  <c r="P117" i="16"/>
  <c r="M118" i="16"/>
  <c r="T118" i="16" s="1"/>
  <c r="N118" i="16"/>
  <c r="O118" i="16"/>
  <c r="P118" i="16"/>
  <c r="R118" i="16" s="1"/>
  <c r="M119" i="16"/>
  <c r="N119" i="16"/>
  <c r="O119" i="16"/>
  <c r="P119" i="16"/>
  <c r="R119" i="16" s="1"/>
  <c r="M120" i="16"/>
  <c r="Q120" i="16" s="1"/>
  <c r="S120" i="16" s="1"/>
  <c r="N120" i="16"/>
  <c r="O120" i="16"/>
  <c r="P120" i="16"/>
  <c r="R120" i="16" s="1"/>
  <c r="I121" i="16"/>
  <c r="J121" i="16"/>
  <c r="M121" i="16"/>
  <c r="N121" i="16"/>
  <c r="O121" i="16"/>
  <c r="P121" i="16"/>
  <c r="I122" i="16"/>
  <c r="J122" i="16" s="1"/>
  <c r="M122" i="16"/>
  <c r="N122" i="16"/>
  <c r="O122" i="16"/>
  <c r="P122" i="16"/>
  <c r="Q122" i="16"/>
  <c r="R122" i="16"/>
  <c r="T122" i="16"/>
  <c r="M123" i="16"/>
  <c r="Q123" i="16" s="1"/>
  <c r="N123" i="16"/>
  <c r="O123" i="16"/>
  <c r="P123" i="16"/>
  <c r="R123" i="16" s="1"/>
  <c r="M124" i="16"/>
  <c r="N124" i="16"/>
  <c r="O124" i="16"/>
  <c r="P124" i="16"/>
  <c r="R124" i="16" s="1"/>
  <c r="M125" i="16"/>
  <c r="T125" i="16" s="1"/>
  <c r="N125" i="16"/>
  <c r="O125" i="16"/>
  <c r="P125" i="16"/>
  <c r="Q125" i="16"/>
  <c r="S125" i="16" s="1"/>
  <c r="R125" i="16"/>
  <c r="M126" i="16"/>
  <c r="Q126" i="16" s="1"/>
  <c r="S126" i="16" s="1"/>
  <c r="N126" i="16"/>
  <c r="O126" i="16"/>
  <c r="P126" i="16"/>
  <c r="R126" i="16"/>
  <c r="T126" i="16"/>
  <c r="M127" i="16"/>
  <c r="Q127" i="16" s="1"/>
  <c r="N127" i="16"/>
  <c r="O127" i="16"/>
  <c r="P127" i="16"/>
  <c r="R127" i="16" s="1"/>
  <c r="J128" i="16"/>
  <c r="M128" i="16"/>
  <c r="Q128" i="16" s="1"/>
  <c r="S128" i="16" s="1"/>
  <c r="N128" i="16"/>
  <c r="O128" i="16"/>
  <c r="P128" i="16"/>
  <c r="R128" i="16"/>
  <c r="T128" i="16"/>
  <c r="I129" i="16"/>
  <c r="J129" i="16" s="1"/>
  <c r="M129" i="16"/>
  <c r="Q129" i="16" s="1"/>
  <c r="S129" i="16" s="1"/>
  <c r="N129" i="16"/>
  <c r="O129" i="16"/>
  <c r="P129" i="16"/>
  <c r="I130" i="16"/>
  <c r="J130" i="16" s="1"/>
  <c r="M130" i="16"/>
  <c r="N130" i="16"/>
  <c r="O130" i="16"/>
  <c r="P130" i="16"/>
  <c r="Q130" i="16"/>
  <c r="R130" i="16"/>
  <c r="S130" i="16"/>
  <c r="T130" i="16"/>
  <c r="I131" i="16"/>
  <c r="J131" i="16" s="1"/>
  <c r="M131" i="16"/>
  <c r="Q131" i="16" s="1"/>
  <c r="N131" i="16"/>
  <c r="O131" i="16"/>
  <c r="P131" i="16"/>
  <c r="R131" i="16"/>
  <c r="S131" i="16"/>
  <c r="T131" i="16"/>
  <c r="M132" i="16"/>
  <c r="N132" i="16"/>
  <c r="O132" i="16"/>
  <c r="P132" i="16"/>
  <c r="J133" i="16"/>
  <c r="M133" i="16"/>
  <c r="N133" i="16"/>
  <c r="O133" i="16"/>
  <c r="P133" i="16"/>
  <c r="Q133" i="16"/>
  <c r="S133" i="16" s="1"/>
  <c r="R133" i="16"/>
  <c r="T133" i="16"/>
  <c r="M134" i="16"/>
  <c r="Q134" i="16" s="1"/>
  <c r="N134" i="16"/>
  <c r="O134" i="16"/>
  <c r="P134" i="16"/>
  <c r="M135" i="16"/>
  <c r="T135" i="16" s="1"/>
  <c r="N135" i="16"/>
  <c r="O135" i="16"/>
  <c r="P135" i="16"/>
  <c r="R135" i="16" s="1"/>
  <c r="Q135" i="16"/>
  <c r="S135" i="16" s="1"/>
  <c r="M136" i="16"/>
  <c r="T136" i="16" s="1"/>
  <c r="N136" i="16"/>
  <c r="O136" i="16"/>
  <c r="P136" i="16"/>
  <c r="R136" i="16" s="1"/>
  <c r="Q136" i="16"/>
  <c r="S136" i="16" s="1"/>
  <c r="I137" i="16"/>
  <c r="J137" i="16" s="1"/>
  <c r="M137" i="16"/>
  <c r="N137" i="16"/>
  <c r="O137" i="16"/>
  <c r="P137" i="16"/>
  <c r="R137" i="16" s="1"/>
  <c r="Q137" i="16"/>
  <c r="S137" i="16"/>
  <c r="T137" i="16"/>
  <c r="M138" i="16"/>
  <c r="Q138" i="16" s="1"/>
  <c r="N138" i="16"/>
  <c r="O138" i="16"/>
  <c r="P138" i="16"/>
  <c r="R138" i="16" s="1"/>
  <c r="M139" i="16"/>
  <c r="N139" i="16"/>
  <c r="O139" i="16"/>
  <c r="P139" i="16"/>
  <c r="R139" i="16" s="1"/>
  <c r="I140" i="16"/>
  <c r="J140" i="16"/>
  <c r="M140" i="16"/>
  <c r="T140" i="16" s="1"/>
  <c r="N140" i="16"/>
  <c r="O140" i="16"/>
  <c r="P140" i="16"/>
  <c r="R140" i="16" s="1"/>
  <c r="I141" i="16"/>
  <c r="J141" i="16" s="1"/>
  <c r="M141" i="16"/>
  <c r="T141" i="16" s="1"/>
  <c r="N141" i="16"/>
  <c r="O141" i="16"/>
  <c r="P141" i="16"/>
  <c r="R141" i="16" s="1"/>
  <c r="Q141" i="16"/>
  <c r="S141" i="16" s="1"/>
  <c r="M142" i="16"/>
  <c r="Q142" i="16" s="1"/>
  <c r="N142" i="16"/>
  <c r="O142" i="16"/>
  <c r="P142" i="16"/>
  <c r="R142" i="16"/>
  <c r="T142" i="16"/>
  <c r="M143" i="16"/>
  <c r="T143" i="16" s="1"/>
  <c r="N143" i="16"/>
  <c r="O143" i="16"/>
  <c r="R143" i="16" s="1"/>
  <c r="P143" i="16"/>
  <c r="M144" i="16"/>
  <c r="N144" i="16"/>
  <c r="O144" i="16"/>
  <c r="P144" i="16"/>
  <c r="Q144" i="16"/>
  <c r="R144" i="16"/>
  <c r="S144" i="16"/>
  <c r="T144" i="16"/>
  <c r="M145" i="16"/>
  <c r="Q145" i="16" s="1"/>
  <c r="N145" i="16"/>
  <c r="O145" i="16"/>
  <c r="P145" i="16"/>
  <c r="R145" i="16" s="1"/>
  <c r="M146" i="16"/>
  <c r="T146" i="16" s="1"/>
  <c r="N146" i="16"/>
  <c r="O146" i="16"/>
  <c r="P146" i="16"/>
  <c r="Q146" i="16"/>
  <c r="R146" i="16"/>
  <c r="S146" i="16"/>
  <c r="J147" i="16"/>
  <c r="M147" i="16"/>
  <c r="N147" i="16"/>
  <c r="O147" i="16"/>
  <c r="P147" i="16"/>
  <c r="R147" i="16" s="1"/>
  <c r="M148" i="16"/>
  <c r="T148" i="16" s="1"/>
  <c r="N148" i="16"/>
  <c r="O148" i="16"/>
  <c r="P148" i="16"/>
  <c r="Q148" i="16"/>
  <c r="R148" i="16"/>
  <c r="S148" i="16"/>
  <c r="I149" i="16"/>
  <c r="J149" i="16"/>
  <c r="M149" i="16"/>
  <c r="N149" i="16"/>
  <c r="O149" i="16"/>
  <c r="P149" i="16"/>
  <c r="R149" i="16" s="1"/>
  <c r="M150" i="16"/>
  <c r="T150" i="16" s="1"/>
  <c r="N150" i="16"/>
  <c r="O150" i="16"/>
  <c r="P150" i="16"/>
  <c r="R150" i="16" s="1"/>
  <c r="Q150" i="16"/>
  <c r="S150" i="16" s="1"/>
  <c r="M151" i="16"/>
  <c r="N151" i="16"/>
  <c r="O151" i="16"/>
  <c r="P151" i="16"/>
  <c r="Q151" i="16"/>
  <c r="S151" i="16" s="1"/>
  <c r="R151" i="16"/>
  <c r="T151" i="16"/>
  <c r="M152" i="16"/>
  <c r="N152" i="16"/>
  <c r="O152" i="16"/>
  <c r="P152" i="16"/>
  <c r="R152" i="16" s="1"/>
  <c r="M153" i="16"/>
  <c r="Q153" i="16" s="1"/>
  <c r="S153" i="16" s="1"/>
  <c r="N153" i="16"/>
  <c r="O153" i="16"/>
  <c r="P153" i="16"/>
  <c r="T153" i="16"/>
  <c r="M154" i="16"/>
  <c r="N154" i="16"/>
  <c r="O154" i="16"/>
  <c r="P154" i="16"/>
  <c r="Q154" i="16"/>
  <c r="T154" i="16"/>
  <c r="M155" i="16"/>
  <c r="N155" i="16"/>
  <c r="O155" i="16"/>
  <c r="P155" i="16"/>
  <c r="M156" i="16"/>
  <c r="N156" i="16"/>
  <c r="O156" i="16"/>
  <c r="P156" i="16"/>
  <c r="R156" i="16" s="1"/>
  <c r="M157" i="16"/>
  <c r="Q157" i="16" s="1"/>
  <c r="S157" i="16" s="1"/>
  <c r="N157" i="16"/>
  <c r="O157" i="16"/>
  <c r="P157" i="16"/>
  <c r="R157" i="16" s="1"/>
  <c r="N158" i="16"/>
  <c r="O158" i="16"/>
  <c r="P158" i="16"/>
  <c r="M159" i="16"/>
  <c r="T159" i="16" s="1"/>
  <c r="N159" i="16"/>
  <c r="O159" i="16"/>
  <c r="P159" i="16"/>
  <c r="R159" i="16" s="1"/>
  <c r="Q159" i="16"/>
  <c r="S159" i="16" s="1"/>
  <c r="N160" i="16"/>
  <c r="O160" i="16"/>
  <c r="P160" i="16"/>
  <c r="R160" i="16"/>
  <c r="M161" i="16"/>
  <c r="N161" i="16"/>
  <c r="O161" i="16"/>
  <c r="P161" i="16"/>
  <c r="R161" i="16" s="1"/>
  <c r="N162" i="16"/>
  <c r="O162" i="16"/>
  <c r="P162" i="16"/>
  <c r="R162" i="16"/>
  <c r="M163" i="16"/>
  <c r="N163" i="16"/>
  <c r="O163" i="16"/>
  <c r="P163" i="16"/>
  <c r="Q163" i="16"/>
  <c r="R163" i="16"/>
  <c r="S163" i="16"/>
  <c r="T163" i="16"/>
  <c r="N164" i="16"/>
  <c r="O164" i="16"/>
  <c r="P164" i="16"/>
  <c r="R164" i="16" s="1"/>
  <c r="M165" i="16"/>
  <c r="T165" i="16" s="1"/>
  <c r="N165" i="16"/>
  <c r="O165" i="16"/>
  <c r="P165" i="16"/>
  <c r="Q165" i="16"/>
  <c r="S165" i="16" s="1"/>
  <c r="R165" i="16"/>
  <c r="M166" i="16"/>
  <c r="Q166" i="16" s="1"/>
  <c r="S166" i="16" s="1"/>
  <c r="N166" i="16"/>
  <c r="O166" i="16"/>
  <c r="P166" i="16"/>
  <c r="R166" i="16" s="1"/>
  <c r="M167" i="16"/>
  <c r="N167" i="16"/>
  <c r="O167" i="16"/>
  <c r="P167" i="16"/>
  <c r="R167" i="16" s="1"/>
  <c r="N168" i="16"/>
  <c r="O168" i="16"/>
  <c r="P168" i="16"/>
  <c r="R168" i="16" s="1"/>
  <c r="Q168" i="16"/>
  <c r="S168" i="16" s="1"/>
  <c r="T168" i="16"/>
  <c r="N169" i="16"/>
  <c r="O169" i="16"/>
  <c r="P169" i="16"/>
  <c r="Q169" i="16"/>
  <c r="S169" i="16" s="1"/>
  <c r="R169" i="16"/>
  <c r="T169" i="16"/>
  <c r="N170" i="16"/>
  <c r="O170" i="16"/>
  <c r="P170" i="16"/>
  <c r="Q170" i="16"/>
  <c r="T170" i="16"/>
  <c r="N171" i="16"/>
  <c r="O171" i="16"/>
  <c r="P171" i="16"/>
  <c r="Q171" i="16"/>
  <c r="T171" i="16"/>
  <c r="N172" i="16"/>
  <c r="O172" i="16"/>
  <c r="P172" i="16"/>
  <c r="Q172" i="16"/>
  <c r="T172" i="16"/>
  <c r="N173" i="16"/>
  <c r="O173" i="16"/>
  <c r="P173" i="16"/>
  <c r="Q173" i="16"/>
  <c r="T173" i="16"/>
  <c r="N174" i="16"/>
  <c r="O174" i="16"/>
  <c r="P174" i="16"/>
  <c r="Q174" i="16"/>
  <c r="T174" i="16"/>
  <c r="N175" i="16"/>
  <c r="O175" i="16"/>
  <c r="P175" i="16"/>
  <c r="R175" i="16" s="1"/>
  <c r="Q175" i="16"/>
  <c r="S175" i="16" s="1"/>
  <c r="T175" i="16"/>
  <c r="N176" i="16"/>
  <c r="O176" i="16"/>
  <c r="P176" i="16"/>
  <c r="R176" i="16" s="1"/>
  <c r="Q176" i="16"/>
  <c r="S176" i="16"/>
  <c r="T176" i="16"/>
  <c r="N177" i="16"/>
  <c r="O177" i="16"/>
  <c r="P177" i="16"/>
  <c r="R177" i="16" s="1"/>
  <c r="Q177" i="16"/>
  <c r="T177" i="16"/>
  <c r="N178" i="16"/>
  <c r="O178" i="16"/>
  <c r="P178" i="16"/>
  <c r="R178" i="16" s="1"/>
  <c r="Q178" i="16"/>
  <c r="S178" i="16"/>
  <c r="T178" i="16"/>
  <c r="N179" i="16"/>
  <c r="O179" i="16"/>
  <c r="P179" i="16"/>
  <c r="Q179" i="16"/>
  <c r="S179" i="16" s="1"/>
  <c r="T179" i="16"/>
  <c r="N180" i="16"/>
  <c r="O180" i="16"/>
  <c r="P180" i="16"/>
  <c r="Q180" i="16"/>
  <c r="T180" i="16"/>
  <c r="N181" i="16"/>
  <c r="O181" i="16"/>
  <c r="P181" i="16"/>
  <c r="R181" i="16" s="1"/>
  <c r="Q181" i="16"/>
  <c r="S181" i="16" s="1"/>
  <c r="T181" i="16"/>
  <c r="N182" i="16"/>
  <c r="O182" i="16"/>
  <c r="P182" i="16"/>
  <c r="R182" i="16" s="1"/>
  <c r="Q182" i="16"/>
  <c r="T182" i="16"/>
  <c r="N183" i="16"/>
  <c r="O183" i="16"/>
  <c r="P183" i="16"/>
  <c r="R183" i="16" s="1"/>
  <c r="Q183" i="16"/>
  <c r="T183" i="16"/>
  <c r="N184" i="16"/>
  <c r="O184" i="16"/>
  <c r="P184" i="16"/>
  <c r="R184" i="16" s="1"/>
  <c r="Q184" i="16"/>
  <c r="S184" i="16" s="1"/>
  <c r="T184" i="16"/>
  <c r="N185" i="16"/>
  <c r="O185" i="16"/>
  <c r="P185" i="16"/>
  <c r="R185" i="16" s="1"/>
  <c r="Q185" i="16"/>
  <c r="S185" i="16" s="1"/>
  <c r="T185" i="16"/>
  <c r="N186" i="16"/>
  <c r="O186" i="16"/>
  <c r="P186" i="16"/>
  <c r="Q186" i="16"/>
  <c r="R186" i="16"/>
  <c r="T186" i="16"/>
  <c r="N187" i="16"/>
  <c r="O187" i="16"/>
  <c r="P187" i="16"/>
  <c r="R187" i="16" s="1"/>
  <c r="Q187" i="16"/>
  <c r="S187" i="16" s="1"/>
  <c r="T187" i="16"/>
  <c r="N188" i="16"/>
  <c r="O188" i="16"/>
  <c r="P188" i="16"/>
  <c r="R188" i="16" s="1"/>
  <c r="Q188" i="16"/>
  <c r="S188" i="16"/>
  <c r="T188" i="16"/>
  <c r="M189" i="16"/>
  <c r="T189" i="16" s="1"/>
  <c r="N189" i="16"/>
  <c r="O189" i="16"/>
  <c r="P189" i="16"/>
  <c r="R189" i="16" s="1"/>
  <c r="N190" i="16"/>
  <c r="O190" i="16"/>
  <c r="P190" i="16"/>
  <c r="R190" i="16" s="1"/>
  <c r="Q190" i="16"/>
  <c r="S190" i="16" s="1"/>
  <c r="T190" i="16"/>
  <c r="N191" i="16"/>
  <c r="O191" i="16"/>
  <c r="P191" i="16"/>
  <c r="Q191" i="16"/>
  <c r="R191" i="16"/>
  <c r="T191" i="16"/>
  <c r="M192" i="16"/>
  <c r="N192" i="16"/>
  <c r="O192" i="16"/>
  <c r="R192" i="16" s="1"/>
  <c r="P192" i="16"/>
  <c r="N193" i="16"/>
  <c r="O193" i="16"/>
  <c r="P193" i="16"/>
  <c r="Q193" i="16"/>
  <c r="R193" i="16"/>
  <c r="S193" i="16"/>
  <c r="T193" i="16"/>
  <c r="N194" i="16"/>
  <c r="O194" i="16"/>
  <c r="P194" i="16"/>
  <c r="Q194" i="16"/>
  <c r="T194" i="16"/>
  <c r="N195" i="16"/>
  <c r="O195" i="16"/>
  <c r="P195" i="16"/>
  <c r="Q195" i="16"/>
  <c r="R195" i="16"/>
  <c r="S195" i="16"/>
  <c r="T195" i="16"/>
  <c r="M196" i="16"/>
  <c r="Q196" i="16" s="1"/>
  <c r="S196" i="16" s="1"/>
  <c r="N196" i="16"/>
  <c r="O196" i="16"/>
  <c r="P196" i="16"/>
  <c r="R196" i="16"/>
  <c r="N197" i="16"/>
  <c r="O197" i="16"/>
  <c r="P197" i="16"/>
  <c r="Q197" i="16"/>
  <c r="S197" i="16" s="1"/>
  <c r="R197" i="16"/>
  <c r="T197" i="16"/>
  <c r="N198" i="16"/>
  <c r="O198" i="16"/>
  <c r="R198" i="16" s="1"/>
  <c r="P198" i="16"/>
  <c r="Q198" i="16"/>
  <c r="T198" i="16"/>
  <c r="N199" i="16"/>
  <c r="O199" i="16"/>
  <c r="P199" i="16"/>
  <c r="R199" i="16" s="1"/>
  <c r="Q199" i="16"/>
  <c r="S199" i="16" s="1"/>
  <c r="T199" i="16"/>
  <c r="M200" i="16"/>
  <c r="Q200" i="16" s="1"/>
  <c r="S200" i="16" s="1"/>
  <c r="N200" i="16"/>
  <c r="O200" i="16"/>
  <c r="P200" i="16"/>
  <c r="N201" i="16"/>
  <c r="O201" i="16"/>
  <c r="P201" i="16"/>
  <c r="Q201" i="16"/>
  <c r="S201" i="16" s="1"/>
  <c r="R201" i="16"/>
  <c r="T201" i="16"/>
  <c r="N202" i="16"/>
  <c r="O202" i="16"/>
  <c r="P202" i="16"/>
  <c r="R202" i="16" s="1"/>
  <c r="Q202" i="16"/>
  <c r="T202" i="16"/>
  <c r="N203" i="16"/>
  <c r="O203" i="16"/>
  <c r="P203" i="16"/>
  <c r="Q203" i="16"/>
  <c r="T203" i="16"/>
  <c r="M204" i="16"/>
  <c r="N204" i="16"/>
  <c r="O204" i="16"/>
  <c r="P204" i="16"/>
  <c r="R204" i="16" s="1"/>
  <c r="N205" i="16"/>
  <c r="O205" i="16"/>
  <c r="P205" i="16"/>
  <c r="R205" i="16" s="1"/>
  <c r="Q205" i="16"/>
  <c r="T205" i="16"/>
  <c r="N206" i="16"/>
  <c r="O206" i="16"/>
  <c r="P206" i="16"/>
  <c r="Q206" i="16"/>
  <c r="S206" i="16" s="1"/>
  <c r="R206" i="16"/>
  <c r="T206" i="16"/>
  <c r="N207" i="16"/>
  <c r="O207" i="16"/>
  <c r="R207" i="16" s="1"/>
  <c r="P207" i="16"/>
  <c r="Q207" i="16"/>
  <c r="T207" i="16"/>
  <c r="M208" i="16"/>
  <c r="T208" i="16" s="1"/>
  <c r="N208" i="16"/>
  <c r="O208" i="16"/>
  <c r="P208" i="16"/>
  <c r="R208" i="16" s="1"/>
  <c r="Q208" i="16"/>
  <c r="S208" i="16" s="1"/>
  <c r="N209" i="16"/>
  <c r="O209" i="16"/>
  <c r="P209" i="16"/>
  <c r="Q209" i="16"/>
  <c r="S209" i="16"/>
  <c r="T209" i="16"/>
  <c r="N210" i="16"/>
  <c r="O210" i="16"/>
  <c r="P210" i="16"/>
  <c r="R210" i="16" s="1"/>
  <c r="Q210" i="16"/>
  <c r="T210" i="16"/>
  <c r="N211" i="16"/>
  <c r="O211" i="16"/>
  <c r="P211" i="16"/>
  <c r="Q211" i="16"/>
  <c r="R211" i="16"/>
  <c r="S211" i="16"/>
  <c r="T211" i="16"/>
  <c r="N212" i="16"/>
  <c r="O212" i="16"/>
  <c r="S212" i="16" s="1"/>
  <c r="P212" i="16"/>
  <c r="Q212" i="16"/>
  <c r="T212" i="16"/>
  <c r="N213" i="16"/>
  <c r="O213" i="16"/>
  <c r="P213" i="16"/>
  <c r="Q213" i="16"/>
  <c r="R213" i="16"/>
  <c r="S213" i="16"/>
  <c r="T213" i="16"/>
  <c r="M214" i="16"/>
  <c r="N214" i="16"/>
  <c r="O214" i="16"/>
  <c r="P214" i="16"/>
  <c r="M215" i="16"/>
  <c r="N215" i="16"/>
  <c r="O215" i="16"/>
  <c r="P215" i="16"/>
  <c r="Q215" i="16"/>
  <c r="R215" i="16"/>
  <c r="S215" i="16"/>
  <c r="T215" i="16"/>
  <c r="M216" i="16"/>
  <c r="Q216" i="16" s="1"/>
  <c r="N216" i="16"/>
  <c r="O216" i="16"/>
  <c r="P216" i="16"/>
  <c r="N217" i="16"/>
  <c r="O217" i="16"/>
  <c r="P217" i="16"/>
  <c r="R217" i="16" s="1"/>
  <c r="Q217" i="16"/>
  <c r="S217" i="16" s="1"/>
  <c r="T217" i="16"/>
  <c r="N218" i="16"/>
  <c r="O218" i="16"/>
  <c r="P218" i="16"/>
  <c r="Q218" i="16"/>
  <c r="T218" i="16"/>
  <c r="N219" i="16"/>
  <c r="O219" i="16"/>
  <c r="P219" i="16"/>
  <c r="Q219" i="16"/>
  <c r="T219" i="16"/>
  <c r="N220" i="16"/>
  <c r="O220" i="16"/>
  <c r="P220" i="16"/>
  <c r="Q220" i="16"/>
  <c r="S220" i="16" s="1"/>
  <c r="R220" i="16"/>
  <c r="T220" i="16"/>
  <c r="N221" i="16"/>
  <c r="O221" i="16"/>
  <c r="P221" i="16"/>
  <c r="Q221" i="16"/>
  <c r="R221" i="16"/>
  <c r="S221" i="16"/>
  <c r="T221" i="16"/>
  <c r="M222" i="16"/>
  <c r="Q222" i="16" s="1"/>
  <c r="S222" i="16" s="1"/>
  <c r="N222" i="16"/>
  <c r="O222" i="16"/>
  <c r="P222" i="16"/>
  <c r="M223" i="16"/>
  <c r="N223" i="16"/>
  <c r="O223" i="16"/>
  <c r="P223" i="16"/>
  <c r="R223" i="16" s="1"/>
  <c r="Q223" i="16"/>
  <c r="S223" i="16"/>
  <c r="T223" i="16"/>
  <c r="M224" i="16"/>
  <c r="N224" i="16"/>
  <c r="O224" i="16"/>
  <c r="P224" i="16"/>
  <c r="R224" i="16" s="1"/>
  <c r="M225" i="16"/>
  <c r="T225" i="16" s="1"/>
  <c r="N225" i="16"/>
  <c r="O225" i="16"/>
  <c r="P225" i="16"/>
  <c r="R225" i="16" s="1"/>
  <c r="Q225" i="16"/>
  <c r="S225" i="16" s="1"/>
  <c r="M226" i="16"/>
  <c r="Q226" i="16" s="1"/>
  <c r="S226" i="16" s="1"/>
  <c r="N226" i="16"/>
  <c r="O226" i="16"/>
  <c r="P226" i="16"/>
  <c r="R226" i="16" s="1"/>
  <c r="M227" i="16"/>
  <c r="Q227" i="16" s="1"/>
  <c r="N227" i="16"/>
  <c r="O227" i="16"/>
  <c r="P227" i="16"/>
  <c r="R227" i="16" s="1"/>
  <c r="S227" i="16"/>
  <c r="T227" i="16"/>
  <c r="M228" i="16"/>
  <c r="T228" i="16" s="1"/>
  <c r="N228" i="16"/>
  <c r="O228" i="16"/>
  <c r="P228" i="16"/>
  <c r="N229" i="16"/>
  <c r="O229" i="16"/>
  <c r="P229" i="16"/>
  <c r="R229" i="16" s="1"/>
  <c r="Q229" i="16"/>
  <c r="S229" i="16" s="1"/>
  <c r="T229" i="16"/>
  <c r="N230" i="16"/>
  <c r="O230" i="16"/>
  <c r="P230" i="16"/>
  <c r="Q230" i="16"/>
  <c r="R230" i="16"/>
  <c r="T230" i="16"/>
  <c r="N231" i="16"/>
  <c r="O231" i="16"/>
  <c r="S231" i="16" s="1"/>
  <c r="P231" i="16"/>
  <c r="Q231" i="16"/>
  <c r="T231" i="16"/>
  <c r="N232" i="16"/>
  <c r="O232" i="16"/>
  <c r="P232" i="16"/>
  <c r="Q232" i="16"/>
  <c r="R232" i="16"/>
  <c r="S232" i="16"/>
  <c r="T232" i="16"/>
  <c r="N233" i="16"/>
  <c r="O233" i="16"/>
  <c r="P233" i="16"/>
  <c r="R233" i="16" s="1"/>
  <c r="Q233" i="16"/>
  <c r="T233" i="16"/>
  <c r="N234" i="16"/>
  <c r="O234" i="16"/>
  <c r="P234" i="16"/>
  <c r="Q234" i="16"/>
  <c r="S234" i="16" s="1"/>
  <c r="R234" i="16"/>
  <c r="T234" i="16"/>
  <c r="N235" i="16"/>
  <c r="O235" i="16"/>
  <c r="S235" i="16" s="1"/>
  <c r="P235" i="16"/>
  <c r="R235" i="16" s="1"/>
  <c r="Q235" i="16"/>
  <c r="T235" i="16"/>
  <c r="N236" i="16"/>
  <c r="O236" i="16"/>
  <c r="P236" i="16"/>
  <c r="Q236" i="16"/>
  <c r="S236" i="16" s="1"/>
  <c r="R236" i="16"/>
  <c r="T236" i="16"/>
  <c r="N237" i="16"/>
  <c r="O237" i="16"/>
  <c r="P237" i="16"/>
  <c r="R237" i="16" s="1"/>
  <c r="Q237" i="16"/>
  <c r="S237" i="16" s="1"/>
  <c r="T237" i="16"/>
  <c r="N238" i="16"/>
  <c r="O238" i="16"/>
  <c r="P238" i="16"/>
  <c r="R238" i="16" s="1"/>
  <c r="Q238" i="16"/>
  <c r="T238" i="16"/>
  <c r="N239" i="16"/>
  <c r="O239" i="16"/>
  <c r="P239" i="16"/>
  <c r="R239" i="16" s="1"/>
  <c r="Q239" i="16"/>
  <c r="S239" i="16" s="1"/>
  <c r="T239" i="16"/>
  <c r="N240" i="16"/>
  <c r="O240" i="16"/>
  <c r="P240" i="16"/>
  <c r="Q240" i="16"/>
  <c r="T240" i="16"/>
  <c r="N241" i="16"/>
  <c r="O241" i="16"/>
  <c r="P241" i="16"/>
  <c r="R241" i="16" s="1"/>
  <c r="Q241" i="16"/>
  <c r="S241" i="16" s="1"/>
  <c r="T241" i="16"/>
  <c r="N242" i="16"/>
  <c r="O242" i="16"/>
  <c r="P242" i="16"/>
  <c r="Q242" i="16"/>
  <c r="T242" i="16"/>
  <c r="M243" i="16"/>
  <c r="T243" i="16" s="1"/>
  <c r="N243" i="16"/>
  <c r="O243" i="16"/>
  <c r="P243" i="16"/>
  <c r="R243" i="16" s="1"/>
  <c r="M244" i="16"/>
  <c r="N244" i="16"/>
  <c r="O244" i="16"/>
  <c r="P244" i="16"/>
  <c r="R244" i="16" s="1"/>
  <c r="Q244" i="16"/>
  <c r="S244" i="16"/>
  <c r="T244" i="16"/>
  <c r="M245" i="16"/>
  <c r="Q245" i="16" s="1"/>
  <c r="N245" i="16"/>
  <c r="O245" i="16"/>
  <c r="P245" i="16"/>
  <c r="R245" i="16" s="1"/>
  <c r="T245" i="16"/>
  <c r="N246" i="16"/>
  <c r="O246" i="16"/>
  <c r="P246" i="16"/>
  <c r="Q246" i="16"/>
  <c r="T246" i="16"/>
  <c r="N247" i="16"/>
  <c r="O247" i="16"/>
  <c r="P247" i="16"/>
  <c r="R247" i="16" s="1"/>
  <c r="Q247" i="16"/>
  <c r="S247" i="16" s="1"/>
  <c r="T247" i="16"/>
  <c r="N248" i="16"/>
  <c r="O248" i="16"/>
  <c r="P248" i="16"/>
  <c r="R248" i="16" s="1"/>
  <c r="Q248" i="16"/>
  <c r="S248" i="16" s="1"/>
  <c r="T248" i="16"/>
  <c r="N249" i="16"/>
  <c r="O249" i="16"/>
  <c r="P249" i="16"/>
  <c r="R249" i="16" s="1"/>
  <c r="Q249" i="16"/>
  <c r="S249" i="16" s="1"/>
  <c r="T249" i="16"/>
  <c r="N250" i="16"/>
  <c r="O250" i="16"/>
  <c r="P250" i="16"/>
  <c r="R250" i="16" s="1"/>
  <c r="Q250" i="16"/>
  <c r="S250" i="16"/>
  <c r="T250" i="16"/>
  <c r="N251" i="16"/>
  <c r="O251" i="16"/>
  <c r="P251" i="16"/>
  <c r="R251" i="16" s="1"/>
  <c r="Q251" i="16"/>
  <c r="S251" i="16"/>
  <c r="T251" i="16"/>
  <c r="N252" i="16"/>
  <c r="O252" i="16"/>
  <c r="P252" i="16"/>
  <c r="Q252" i="16"/>
  <c r="S252" i="16" s="1"/>
  <c r="R252" i="16"/>
  <c r="T252" i="16"/>
  <c r="N253" i="16"/>
  <c r="O253" i="16"/>
  <c r="P253" i="16"/>
  <c r="R253" i="16" s="1"/>
  <c r="Q253" i="16"/>
  <c r="S253" i="16" s="1"/>
  <c r="T253" i="16"/>
  <c r="N254" i="16"/>
  <c r="O254" i="16"/>
  <c r="P254" i="16"/>
  <c r="Q254" i="16"/>
  <c r="S254" i="16" s="1"/>
  <c r="R254" i="16"/>
  <c r="T254" i="16"/>
  <c r="N255" i="16"/>
  <c r="O255" i="16"/>
  <c r="P255" i="16"/>
  <c r="Q255" i="16"/>
  <c r="T255" i="16"/>
  <c r="M256" i="16"/>
  <c r="T256" i="16" s="1"/>
  <c r="N256" i="16"/>
  <c r="O256" i="16"/>
  <c r="P256" i="16"/>
  <c r="R256" i="16" s="1"/>
  <c r="Q256" i="16"/>
  <c r="S256" i="16" s="1"/>
  <c r="N257" i="16"/>
  <c r="O257" i="16"/>
  <c r="P257" i="16"/>
  <c r="Q257" i="16"/>
  <c r="R257" i="16"/>
  <c r="S257" i="16"/>
  <c r="T257" i="16"/>
  <c r="N258" i="16"/>
  <c r="O258" i="16"/>
  <c r="R258" i="16" s="1"/>
  <c r="P258" i="16"/>
  <c r="Q258" i="16"/>
  <c r="T258" i="16"/>
  <c r="N259" i="16"/>
  <c r="O259" i="16"/>
  <c r="P259" i="16"/>
  <c r="Q259" i="16"/>
  <c r="R259" i="16"/>
  <c r="S259" i="16"/>
  <c r="T259" i="16"/>
  <c r="N260" i="16"/>
  <c r="O260" i="16"/>
  <c r="P260" i="16"/>
  <c r="R260" i="16" s="1"/>
  <c r="Q260" i="16"/>
  <c r="S260" i="16" s="1"/>
  <c r="T260" i="16"/>
  <c r="N261" i="16"/>
  <c r="O261" i="16"/>
  <c r="P261" i="16"/>
  <c r="Q261" i="16"/>
  <c r="R261" i="16"/>
  <c r="S261" i="16"/>
  <c r="T261" i="16"/>
  <c r="N262" i="16"/>
  <c r="O262" i="16"/>
  <c r="P262" i="16"/>
  <c r="Q262" i="16"/>
  <c r="S262" i="16" s="1"/>
  <c r="T262" i="16"/>
  <c r="N263" i="16"/>
  <c r="O263" i="16"/>
  <c r="P263" i="16"/>
  <c r="Q263" i="16"/>
  <c r="R263" i="16"/>
  <c r="S263" i="16"/>
  <c r="T263" i="16"/>
  <c r="N264" i="16"/>
  <c r="O264" i="16"/>
  <c r="P264" i="16"/>
  <c r="Q264" i="16"/>
  <c r="R264" i="16"/>
  <c r="T264" i="16"/>
  <c r="N265" i="16"/>
  <c r="O265" i="16"/>
  <c r="P265" i="16"/>
  <c r="Q265" i="16"/>
  <c r="S265" i="16" s="1"/>
  <c r="R265" i="16"/>
  <c r="T265" i="16"/>
  <c r="N266" i="16"/>
  <c r="O266" i="16"/>
  <c r="P266" i="16"/>
  <c r="Q266" i="16"/>
  <c r="T266" i="16"/>
  <c r="N267" i="16"/>
  <c r="O267" i="16"/>
  <c r="P267" i="16"/>
  <c r="R267" i="16" s="1"/>
  <c r="Q267" i="16"/>
  <c r="S267" i="16"/>
  <c r="T267" i="16"/>
  <c r="N268" i="16"/>
  <c r="O268" i="16"/>
  <c r="S268" i="16" s="1"/>
  <c r="P268" i="16"/>
  <c r="R268" i="16" s="1"/>
  <c r="Q268" i="16"/>
  <c r="T268" i="16"/>
  <c r="N269" i="16"/>
  <c r="O269" i="16"/>
  <c r="P269" i="16"/>
  <c r="Q269" i="16"/>
  <c r="S269" i="16" s="1"/>
  <c r="R269" i="16"/>
  <c r="T269" i="16"/>
  <c r="N270" i="16"/>
  <c r="O270" i="16"/>
  <c r="P270" i="16"/>
  <c r="R270" i="16" s="1"/>
  <c r="Q270" i="16"/>
  <c r="S270" i="16" s="1"/>
  <c r="T270" i="16"/>
  <c r="J271" i="16"/>
  <c r="M271" i="16"/>
  <c r="Q271" i="16" s="1"/>
  <c r="N271" i="16"/>
  <c r="O271" i="16"/>
  <c r="P271" i="16"/>
  <c r="R271" i="16" s="1"/>
  <c r="J272" i="16"/>
  <c r="M272" i="16"/>
  <c r="Q272" i="16" s="1"/>
  <c r="S272" i="16" s="1"/>
  <c r="N272" i="16"/>
  <c r="O272" i="16"/>
  <c r="P272" i="16"/>
  <c r="R272" i="16" s="1"/>
  <c r="J273" i="16"/>
  <c r="M273" i="16"/>
  <c r="N273" i="16"/>
  <c r="O273" i="16"/>
  <c r="P273" i="16"/>
  <c r="M274" i="16"/>
  <c r="T274" i="16" s="1"/>
  <c r="N274" i="16"/>
  <c r="O274" i="16"/>
  <c r="P274" i="16"/>
  <c r="R274" i="16" s="1"/>
  <c r="V274" i="16"/>
  <c r="Z274" i="16"/>
  <c r="AA274" i="16"/>
  <c r="M275" i="16"/>
  <c r="T275" i="16" s="1"/>
  <c r="N275" i="16"/>
  <c r="O275" i="16"/>
  <c r="P275" i="16"/>
  <c r="Q275" i="16"/>
  <c r="S275" i="16" s="1"/>
  <c r="R275" i="16"/>
  <c r="Z275" i="16"/>
  <c r="AA275" i="16" s="1"/>
  <c r="J276" i="16"/>
  <c r="M276" i="16"/>
  <c r="Q276" i="16" s="1"/>
  <c r="N276" i="16"/>
  <c r="O276" i="16"/>
  <c r="P276" i="16"/>
  <c r="R276" i="16" s="1"/>
  <c r="S276" i="16"/>
  <c r="T276" i="16"/>
  <c r="Z276" i="16"/>
  <c r="AA276" i="16" s="1"/>
  <c r="J277" i="16"/>
  <c r="M277" i="16"/>
  <c r="T277" i="16" s="1"/>
  <c r="N277" i="16"/>
  <c r="O277" i="16"/>
  <c r="P277" i="16"/>
  <c r="Z277" i="16"/>
  <c r="AA277" i="16" s="1"/>
  <c r="J278" i="16"/>
  <c r="M278" i="16"/>
  <c r="T278" i="16" s="1"/>
  <c r="N278" i="16"/>
  <c r="O278" i="16"/>
  <c r="P278" i="16"/>
  <c r="Q278" i="16"/>
  <c r="R278" i="16"/>
  <c r="S278" i="16"/>
  <c r="M279" i="16"/>
  <c r="Q279" i="16" s="1"/>
  <c r="N279" i="16"/>
  <c r="O279" i="16"/>
  <c r="P279" i="16"/>
  <c r="R279" i="16"/>
  <c r="S279" i="16"/>
  <c r="T279" i="16"/>
  <c r="J280" i="16"/>
  <c r="M280" i="16"/>
  <c r="N280" i="16"/>
  <c r="O280" i="16"/>
  <c r="P280" i="16"/>
  <c r="J281" i="16"/>
  <c r="M281" i="16"/>
  <c r="T281" i="16" s="1"/>
  <c r="N281" i="16"/>
  <c r="O281" i="16"/>
  <c r="P281" i="16"/>
  <c r="Q281" i="16"/>
  <c r="R281" i="16"/>
  <c r="S281" i="16"/>
  <c r="J282" i="16"/>
  <c r="M282" i="16"/>
  <c r="Q282" i="16" s="1"/>
  <c r="S282" i="16" s="1"/>
  <c r="N282" i="16"/>
  <c r="O282" i="16"/>
  <c r="P282" i="16"/>
  <c r="R282" i="16" s="1"/>
  <c r="J283" i="16"/>
  <c r="M283" i="16"/>
  <c r="N283" i="16"/>
  <c r="O283" i="16"/>
  <c r="P283" i="16"/>
  <c r="R283" i="16"/>
  <c r="J284" i="16"/>
  <c r="M284" i="16"/>
  <c r="Q284" i="16" s="1"/>
  <c r="S284" i="16" s="1"/>
  <c r="N284" i="16"/>
  <c r="O284" i="16"/>
  <c r="P284" i="16"/>
  <c r="M285" i="16"/>
  <c r="N285" i="16"/>
  <c r="O285" i="16"/>
  <c r="P285" i="16"/>
  <c r="R285" i="16"/>
  <c r="J286" i="16"/>
  <c r="M286" i="16"/>
  <c r="Q286" i="16" s="1"/>
  <c r="S286" i="16" s="1"/>
  <c r="N286" i="16"/>
  <c r="O286" i="16"/>
  <c r="P286" i="16"/>
  <c r="R286" i="16" s="1"/>
  <c r="V286" i="16"/>
  <c r="J287" i="16"/>
  <c r="M287" i="16"/>
  <c r="Q287" i="16" s="1"/>
  <c r="S287" i="16" s="1"/>
  <c r="N287" i="16"/>
  <c r="O287" i="16"/>
  <c r="P287" i="16"/>
  <c r="R287" i="16" s="1"/>
  <c r="J288" i="16"/>
  <c r="M288" i="16"/>
  <c r="Q288" i="16" s="1"/>
  <c r="N288" i="16"/>
  <c r="O288" i="16"/>
  <c r="S288" i="16" s="1"/>
  <c r="P288" i="16"/>
  <c r="T288" i="16"/>
  <c r="J289" i="16"/>
  <c r="M289" i="16"/>
  <c r="T289" i="16" s="1"/>
  <c r="N289" i="16"/>
  <c r="O289" i="16"/>
  <c r="P289" i="16"/>
  <c r="R289" i="16" s="1"/>
  <c r="M290" i="16"/>
  <c r="N290" i="16"/>
  <c r="O290" i="16"/>
  <c r="P290" i="16"/>
  <c r="Q290" i="16"/>
  <c r="R290" i="16"/>
  <c r="S290" i="16"/>
  <c r="T290" i="16"/>
  <c r="J291" i="16"/>
  <c r="F140" i="10" s="1"/>
  <c r="M291" i="16"/>
  <c r="T291" i="16" s="1"/>
  <c r="N291" i="16"/>
  <c r="O291" i="16"/>
  <c r="P291" i="16"/>
  <c r="Q291" i="16"/>
  <c r="S291" i="16" s="1"/>
  <c r="R291" i="16"/>
  <c r="J292" i="16"/>
  <c r="M292" i="16"/>
  <c r="Q292" i="16" s="1"/>
  <c r="N292" i="16"/>
  <c r="O292" i="16"/>
  <c r="P292" i="16"/>
  <c r="R292" i="16" s="1"/>
  <c r="J293" i="16"/>
  <c r="M293" i="16"/>
  <c r="N293" i="16"/>
  <c r="O293" i="16"/>
  <c r="P293" i="16"/>
  <c r="Q293" i="16"/>
  <c r="S293" i="16" s="1"/>
  <c r="R293" i="16"/>
  <c r="T293" i="16"/>
  <c r="J294" i="16"/>
  <c r="M294" i="16"/>
  <c r="Q294" i="16" s="1"/>
  <c r="S294" i="16" s="1"/>
  <c r="N294" i="16"/>
  <c r="O294" i="16"/>
  <c r="R294" i="16" s="1"/>
  <c r="P294" i="16"/>
  <c r="J295" i="16"/>
  <c r="M295" i="16"/>
  <c r="T295" i="16" s="1"/>
  <c r="N295" i="16"/>
  <c r="O295" i="16"/>
  <c r="P295" i="16"/>
  <c r="Q295" i="16"/>
  <c r="R295" i="16"/>
  <c r="S295" i="16"/>
  <c r="J296" i="16"/>
  <c r="F120" i="10" s="1"/>
  <c r="M296" i="16"/>
  <c r="N296" i="16"/>
  <c r="O296" i="16"/>
  <c r="P296" i="16"/>
  <c r="Q296" i="16"/>
  <c r="S296" i="16" s="1"/>
  <c r="T296" i="16"/>
  <c r="J297" i="16"/>
  <c r="M297" i="16"/>
  <c r="Q297" i="16" s="1"/>
  <c r="S297" i="16" s="1"/>
  <c r="N297" i="16"/>
  <c r="O297" i="16"/>
  <c r="P297" i="16"/>
  <c r="J298" i="16"/>
  <c r="M298" i="16"/>
  <c r="N298" i="16"/>
  <c r="O298" i="16"/>
  <c r="P298" i="16"/>
  <c r="R298" i="16" s="1"/>
  <c r="Q298" i="16"/>
  <c r="S298" i="16"/>
  <c r="T298" i="16"/>
  <c r="M299" i="16"/>
  <c r="N299" i="16"/>
  <c r="O299" i="16"/>
  <c r="P299" i="16"/>
  <c r="R299" i="16" s="1"/>
  <c r="J300" i="16"/>
  <c r="M300" i="16"/>
  <c r="T300" i="16" s="1"/>
  <c r="N300" i="16"/>
  <c r="O300" i="16"/>
  <c r="P300" i="16"/>
  <c r="R300" i="16" s="1"/>
  <c r="J301" i="16"/>
  <c r="M301" i="16"/>
  <c r="T301" i="16" s="1"/>
  <c r="N301" i="16"/>
  <c r="O301" i="16"/>
  <c r="P301" i="16"/>
  <c r="R301" i="16" s="1"/>
  <c r="J302" i="16"/>
  <c r="F123" i="10" s="1"/>
  <c r="M302" i="16"/>
  <c r="T302" i="16" s="1"/>
  <c r="N302" i="16"/>
  <c r="O302" i="16"/>
  <c r="P302" i="16"/>
  <c r="R302" i="16" s="1"/>
  <c r="Q302" i="16"/>
  <c r="S302" i="16"/>
  <c r="J303" i="16"/>
  <c r="F124" i="10" s="1"/>
  <c r="M303" i="16"/>
  <c r="N303" i="16"/>
  <c r="O303" i="16"/>
  <c r="P303" i="16"/>
  <c r="R303" i="16" s="1"/>
  <c r="M304" i="16"/>
  <c r="T304" i="16" s="1"/>
  <c r="N304" i="16"/>
  <c r="O304" i="16"/>
  <c r="P304" i="16"/>
  <c r="Q304" i="16"/>
  <c r="S304" i="16" s="1"/>
  <c r="R304" i="16"/>
  <c r="J305" i="16"/>
  <c r="M305" i="16"/>
  <c r="Q305" i="16" s="1"/>
  <c r="N305" i="16"/>
  <c r="O305" i="16"/>
  <c r="P305" i="16"/>
  <c r="R305" i="16"/>
  <c r="M306" i="16"/>
  <c r="T306" i="16" s="1"/>
  <c r="N306" i="16"/>
  <c r="O306" i="16"/>
  <c r="P306" i="16"/>
  <c r="M307" i="16"/>
  <c r="T307" i="16" s="1"/>
  <c r="N307" i="16"/>
  <c r="O307" i="16"/>
  <c r="P307" i="16"/>
  <c r="Q307" i="16"/>
  <c r="R307" i="16"/>
  <c r="S307" i="16"/>
  <c r="M308" i="16"/>
  <c r="Q308" i="16" s="1"/>
  <c r="N308" i="16"/>
  <c r="O308" i="16"/>
  <c r="P308" i="16"/>
  <c r="J309" i="16"/>
  <c r="M309" i="16"/>
  <c r="N309" i="16"/>
  <c r="O309" i="16"/>
  <c r="P309" i="16"/>
  <c r="R309" i="16" s="1"/>
  <c r="Q309" i="16"/>
  <c r="S309" i="16"/>
  <c r="T309" i="16"/>
  <c r="J310" i="16"/>
  <c r="M310" i="16"/>
  <c r="Q310" i="16" s="1"/>
  <c r="N310" i="16"/>
  <c r="O310" i="16"/>
  <c r="P310" i="16"/>
  <c r="J311" i="16"/>
  <c r="M311" i="16"/>
  <c r="T311" i="16" s="1"/>
  <c r="N311" i="16"/>
  <c r="O311" i="16"/>
  <c r="P311" i="16"/>
  <c r="Q311" i="16"/>
  <c r="S311" i="16"/>
  <c r="J312" i="16"/>
  <c r="M312" i="16"/>
  <c r="N312" i="16"/>
  <c r="O312" i="16"/>
  <c r="P312" i="16"/>
  <c r="Q312" i="16"/>
  <c r="S312" i="16" s="1"/>
  <c r="R312" i="16"/>
  <c r="T312" i="16"/>
  <c r="M313" i="16"/>
  <c r="T313" i="16" s="1"/>
  <c r="N313" i="16"/>
  <c r="O313" i="16"/>
  <c r="R313" i="16" s="1"/>
  <c r="P313" i="16"/>
  <c r="J314" i="16"/>
  <c r="M314" i="16"/>
  <c r="Q314" i="16" s="1"/>
  <c r="N314" i="16"/>
  <c r="O314" i="16"/>
  <c r="P314" i="16"/>
  <c r="R314" i="16" s="1"/>
  <c r="T314" i="16"/>
  <c r="M315" i="16"/>
  <c r="Q315" i="16" s="1"/>
  <c r="N315" i="16"/>
  <c r="O315" i="16"/>
  <c r="P315" i="16"/>
  <c r="J316" i="16"/>
  <c r="M316" i="16"/>
  <c r="N316" i="16"/>
  <c r="O316" i="16"/>
  <c r="P316" i="16"/>
  <c r="Q316" i="16"/>
  <c r="S316" i="16" s="1"/>
  <c r="R316" i="16"/>
  <c r="T316" i="16"/>
  <c r="M317" i="16"/>
  <c r="T317" i="16" s="1"/>
  <c r="N317" i="16"/>
  <c r="O317" i="16"/>
  <c r="P317" i="16"/>
  <c r="R317" i="16" s="1"/>
  <c r="M318" i="16"/>
  <c r="T318" i="16" s="1"/>
  <c r="N318" i="16"/>
  <c r="O318" i="16"/>
  <c r="P318" i="16"/>
  <c r="Q318" i="16"/>
  <c r="S318" i="16" s="1"/>
  <c r="R318" i="16"/>
  <c r="M319" i="16"/>
  <c r="T319" i="16" s="1"/>
  <c r="N319" i="16"/>
  <c r="O319" i="16"/>
  <c r="P319" i="16"/>
  <c r="R319" i="16" s="1"/>
  <c r="Q319" i="16"/>
  <c r="S319" i="16" s="1"/>
  <c r="J320" i="16"/>
  <c r="M320" i="16"/>
  <c r="N320" i="16"/>
  <c r="O320" i="16"/>
  <c r="P320" i="16"/>
  <c r="R320" i="16"/>
  <c r="J321" i="16"/>
  <c r="M321" i="16"/>
  <c r="T321" i="16" s="1"/>
  <c r="N321" i="16"/>
  <c r="O321" i="16"/>
  <c r="P321" i="16"/>
  <c r="R321" i="16" s="1"/>
  <c r="M322" i="16"/>
  <c r="N322" i="16"/>
  <c r="O322" i="16"/>
  <c r="P322" i="16"/>
  <c r="R322" i="16"/>
  <c r="M323" i="16"/>
  <c r="T323" i="16" s="1"/>
  <c r="N323" i="16"/>
  <c r="O323" i="16"/>
  <c r="R323" i="16" s="1"/>
  <c r="P323" i="16"/>
  <c r="M324" i="16"/>
  <c r="T324" i="16" s="1"/>
  <c r="N324" i="16"/>
  <c r="O324" i="16"/>
  <c r="P324" i="16"/>
  <c r="Q324" i="16"/>
  <c r="R324" i="16"/>
  <c r="S324" i="16"/>
  <c r="M325" i="16"/>
  <c r="Q325" i="16" s="1"/>
  <c r="S325" i="16" s="1"/>
  <c r="N325" i="16"/>
  <c r="O325" i="16"/>
  <c r="P325" i="16"/>
  <c r="M326" i="16"/>
  <c r="N326" i="16"/>
  <c r="O326" i="16"/>
  <c r="P326" i="16"/>
  <c r="Q326" i="16"/>
  <c r="R326" i="16"/>
  <c r="S326" i="16"/>
  <c r="T326" i="16"/>
  <c r="M327" i="16"/>
  <c r="Q327" i="16" s="1"/>
  <c r="S327" i="16" s="1"/>
  <c r="N327" i="16"/>
  <c r="O327" i="16"/>
  <c r="P327" i="16"/>
  <c r="R327" i="16" s="1"/>
  <c r="M328" i="16"/>
  <c r="T328" i="16" s="1"/>
  <c r="N328" i="16"/>
  <c r="O328" i="16"/>
  <c r="P328" i="16"/>
  <c r="Q328" i="16"/>
  <c r="S328" i="16" s="1"/>
  <c r="R328" i="16"/>
  <c r="M329" i="16"/>
  <c r="Q329" i="16" s="1"/>
  <c r="S329" i="16" s="1"/>
  <c r="N329" i="16"/>
  <c r="O329" i="16"/>
  <c r="R329" i="16" s="1"/>
  <c r="P329" i="16"/>
  <c r="M330" i="16"/>
  <c r="Q330" i="16" s="1"/>
  <c r="N330" i="16"/>
  <c r="O330" i="16"/>
  <c r="P330" i="16"/>
  <c r="R330" i="16"/>
  <c r="M331" i="16"/>
  <c r="T331" i="16" s="1"/>
  <c r="N331" i="16"/>
  <c r="O331" i="16"/>
  <c r="P331" i="16"/>
  <c r="R331" i="16"/>
  <c r="M332" i="16"/>
  <c r="T332" i="16" s="1"/>
  <c r="N332" i="16"/>
  <c r="O332" i="16"/>
  <c r="P332" i="16"/>
  <c r="Q332" i="16"/>
  <c r="R332" i="16"/>
  <c r="S332" i="16"/>
  <c r="M333" i="16"/>
  <c r="Q333" i="16" s="1"/>
  <c r="N333" i="16"/>
  <c r="O333" i="16"/>
  <c r="R333" i="16" s="1"/>
  <c r="P333" i="16"/>
  <c r="S333" i="16"/>
  <c r="T333" i="16"/>
  <c r="M334" i="16"/>
  <c r="M335" i="16" s="1"/>
  <c r="Q335" i="16" s="1"/>
  <c r="S335" i="16" s="1"/>
  <c r="N334" i="16"/>
  <c r="O334" i="16"/>
  <c r="P334" i="16"/>
  <c r="R334" i="16" s="1"/>
  <c r="Q334" i="16"/>
  <c r="S334" i="16" s="1"/>
  <c r="N335" i="16"/>
  <c r="O335" i="16"/>
  <c r="P335" i="16"/>
  <c r="R335" i="16" s="1"/>
  <c r="T335" i="16"/>
  <c r="M336" i="16"/>
  <c r="M337" i="16" s="1"/>
  <c r="Q337" i="16" s="1"/>
  <c r="S337" i="16" s="1"/>
  <c r="N336" i="16"/>
  <c r="O336" i="16"/>
  <c r="P336" i="16"/>
  <c r="R336" i="16" s="1"/>
  <c r="N337" i="16"/>
  <c r="O337" i="16"/>
  <c r="P337" i="16"/>
  <c r="M338" i="16"/>
  <c r="T338" i="16" s="1"/>
  <c r="N338" i="16"/>
  <c r="O338" i="16"/>
  <c r="P338" i="16"/>
  <c r="Q338" i="16"/>
  <c r="R338" i="16"/>
  <c r="S338" i="16"/>
  <c r="N339" i="16"/>
  <c r="O339" i="16"/>
  <c r="P339" i="16"/>
  <c r="R339" i="16"/>
  <c r="M340" i="16"/>
  <c r="M341" i="16" s="1"/>
  <c r="Q341" i="16" s="1"/>
  <c r="S341" i="16" s="1"/>
  <c r="N340" i="16"/>
  <c r="O340" i="16"/>
  <c r="P340" i="16"/>
  <c r="Q340" i="16"/>
  <c r="S340" i="16" s="1"/>
  <c r="R340" i="16"/>
  <c r="N341" i="16"/>
  <c r="O341" i="16"/>
  <c r="P341" i="16"/>
  <c r="R341" i="16" s="1"/>
  <c r="M342" i="16"/>
  <c r="Q342" i="16" s="1"/>
  <c r="N342" i="16"/>
  <c r="O342" i="16"/>
  <c r="P342" i="16"/>
  <c r="R342" i="16"/>
  <c r="M343" i="16"/>
  <c r="T343" i="16" s="1"/>
  <c r="N343" i="16"/>
  <c r="O343" i="16"/>
  <c r="P343" i="16"/>
  <c r="R343" i="16"/>
  <c r="N344" i="16"/>
  <c r="O344" i="16"/>
  <c r="P344" i="16"/>
  <c r="Q344" i="16"/>
  <c r="T344" i="16"/>
  <c r="N345" i="16"/>
  <c r="O345" i="16"/>
  <c r="P345" i="16"/>
  <c r="Q345" i="16"/>
  <c r="S345" i="16" s="1"/>
  <c r="R345" i="16"/>
  <c r="T345" i="16"/>
  <c r="N346" i="16"/>
  <c r="O346" i="16"/>
  <c r="P346" i="16"/>
  <c r="Q346" i="16"/>
  <c r="T346" i="16"/>
  <c r="N347" i="16"/>
  <c r="O347" i="16"/>
  <c r="R347" i="16" s="1"/>
  <c r="P347" i="16"/>
  <c r="Q347" i="16"/>
  <c r="T347" i="16"/>
  <c r="N348" i="16"/>
  <c r="O348" i="16"/>
  <c r="P348" i="16"/>
  <c r="Q348" i="16"/>
  <c r="T348" i="16"/>
  <c r="N349" i="16"/>
  <c r="O349" i="16"/>
  <c r="R349" i="16" s="1"/>
  <c r="P349" i="16"/>
  <c r="Q349" i="16"/>
  <c r="T349" i="16"/>
  <c r="N350" i="16"/>
  <c r="O350" i="16"/>
  <c r="P350" i="16"/>
  <c r="Q350" i="16"/>
  <c r="R350" i="16"/>
  <c r="S350" i="16"/>
  <c r="T350" i="16"/>
  <c r="N351" i="16"/>
  <c r="O351" i="16"/>
  <c r="P351" i="16"/>
  <c r="R351" i="16" s="1"/>
  <c r="Q351" i="16"/>
  <c r="S351" i="16" s="1"/>
  <c r="T351" i="16"/>
  <c r="N352" i="16"/>
  <c r="O352" i="16"/>
  <c r="P352" i="16"/>
  <c r="R352" i="16" s="1"/>
  <c r="Q352" i="16"/>
  <c r="S352" i="16"/>
  <c r="T352" i="16"/>
  <c r="N353" i="16"/>
  <c r="O353" i="16"/>
  <c r="P353" i="16"/>
  <c r="R353" i="16" s="1"/>
  <c r="Q353" i="16"/>
  <c r="S353" i="16" s="1"/>
  <c r="T353" i="16"/>
  <c r="N354" i="16"/>
  <c r="O354" i="16"/>
  <c r="P354" i="16"/>
  <c r="Q354" i="16"/>
  <c r="R354" i="16"/>
  <c r="S354" i="16"/>
  <c r="T354" i="16"/>
  <c r="N355" i="16"/>
  <c r="O355" i="16"/>
  <c r="P355" i="16"/>
  <c r="R355" i="16" s="1"/>
  <c r="Q355" i="16"/>
  <c r="T355" i="16"/>
  <c r="N356" i="16"/>
  <c r="O356" i="16"/>
  <c r="P356" i="16"/>
  <c r="Q356" i="16"/>
  <c r="R356" i="16"/>
  <c r="S356" i="16"/>
  <c r="T356" i="16"/>
  <c r="M357" i="16"/>
  <c r="N357" i="16"/>
  <c r="O357" i="16"/>
  <c r="P357" i="16"/>
  <c r="Q357" i="16"/>
  <c r="T357" i="16"/>
  <c r="N358" i="16"/>
  <c r="O358" i="16"/>
  <c r="P358" i="16"/>
  <c r="Q358" i="16"/>
  <c r="S358" i="16" s="1"/>
  <c r="R358" i="16"/>
  <c r="T358" i="16"/>
  <c r="N359" i="16"/>
  <c r="O359" i="16"/>
  <c r="P359" i="16"/>
  <c r="Q359" i="16"/>
  <c r="T359" i="16"/>
  <c r="M360" i="16"/>
  <c r="N360" i="16"/>
  <c r="O360" i="16"/>
  <c r="P360" i="16"/>
  <c r="R360" i="16"/>
  <c r="N361" i="16"/>
  <c r="O361" i="16"/>
  <c r="P361" i="16"/>
  <c r="Q361" i="16"/>
  <c r="S361" i="16" s="1"/>
  <c r="R361" i="16"/>
  <c r="T361" i="16"/>
  <c r="N362" i="16"/>
  <c r="O362" i="16"/>
  <c r="P362" i="16"/>
  <c r="R362" i="16" s="1"/>
  <c r="Q362" i="16"/>
  <c r="S362" i="16"/>
  <c r="T362" i="16"/>
  <c r="M363" i="16"/>
  <c r="T363" i="16" s="1"/>
  <c r="N363" i="16"/>
  <c r="O363" i="16"/>
  <c r="P363" i="16"/>
  <c r="R363" i="16"/>
  <c r="N364" i="16"/>
  <c r="O364" i="16"/>
  <c r="P364" i="16"/>
  <c r="Q364" i="16"/>
  <c r="S364" i="16" s="1"/>
  <c r="R364" i="16"/>
  <c r="T364" i="16"/>
  <c r="N365" i="16"/>
  <c r="O365" i="16"/>
  <c r="P365" i="16"/>
  <c r="R365" i="16" s="1"/>
  <c r="Q365" i="16"/>
  <c r="T365" i="16"/>
  <c r="M366" i="16"/>
  <c r="T366" i="16" s="1"/>
  <c r="N366" i="16"/>
  <c r="O366" i="16"/>
  <c r="P366" i="16"/>
  <c r="R366" i="16" s="1"/>
  <c r="Q366" i="16"/>
  <c r="S366" i="16" s="1"/>
  <c r="N367" i="16"/>
  <c r="O367" i="16"/>
  <c r="P367" i="16"/>
  <c r="R367" i="16" s="1"/>
  <c r="Q367" i="16"/>
  <c r="S367" i="16" s="1"/>
  <c r="T367" i="16"/>
  <c r="N368" i="16"/>
  <c r="O368" i="16"/>
  <c r="P368" i="16"/>
  <c r="Q368" i="16"/>
  <c r="T368" i="16"/>
  <c r="M369" i="16"/>
  <c r="Q369" i="16" s="1"/>
  <c r="S369" i="16" s="1"/>
  <c r="N369" i="16"/>
  <c r="O369" i="16"/>
  <c r="P369" i="16"/>
  <c r="R369" i="16" s="1"/>
  <c r="N370" i="16"/>
  <c r="O370" i="16"/>
  <c r="P370" i="16"/>
  <c r="R370" i="16" s="1"/>
  <c r="Q370" i="16"/>
  <c r="T370" i="16"/>
  <c r="N371" i="16"/>
  <c r="O371" i="16"/>
  <c r="R371" i="16" s="1"/>
  <c r="P371" i="16"/>
  <c r="Q371" i="16"/>
  <c r="S371" i="16"/>
  <c r="T371" i="16"/>
  <c r="M372" i="16"/>
  <c r="T372" i="16" s="1"/>
  <c r="N372" i="16"/>
  <c r="O372" i="16"/>
  <c r="P372" i="16"/>
  <c r="R372" i="16" s="1"/>
  <c r="Q372" i="16"/>
  <c r="S372" i="16" s="1"/>
  <c r="N373" i="16"/>
  <c r="O373" i="16"/>
  <c r="P373" i="16"/>
  <c r="R373" i="16" s="1"/>
  <c r="Q373" i="16"/>
  <c r="T373" i="16"/>
  <c r="N374" i="16"/>
  <c r="O374" i="16"/>
  <c r="P374" i="16"/>
  <c r="R374" i="16" s="1"/>
  <c r="Q374" i="16"/>
  <c r="S374" i="16" s="1"/>
  <c r="T374" i="16"/>
  <c r="N375" i="16"/>
  <c r="O375" i="16"/>
  <c r="P375" i="16"/>
  <c r="R375" i="16" s="1"/>
  <c r="Q375" i="16"/>
  <c r="S375" i="16" s="1"/>
  <c r="T375" i="16"/>
  <c r="N376" i="16"/>
  <c r="O376" i="16"/>
  <c r="P376" i="16"/>
  <c r="R376" i="16" s="1"/>
  <c r="Q376" i="16"/>
  <c r="S376" i="16" s="1"/>
  <c r="T376" i="16"/>
  <c r="N377" i="16"/>
  <c r="O377" i="16"/>
  <c r="P377" i="16"/>
  <c r="R377" i="16" s="1"/>
  <c r="Q377" i="16"/>
  <c r="S377" i="16"/>
  <c r="T377" i="16"/>
  <c r="N378" i="16"/>
  <c r="O378" i="16"/>
  <c r="P378" i="16"/>
  <c r="R378" i="16" s="1"/>
  <c r="Q378" i="16"/>
  <c r="S378" i="16" s="1"/>
  <c r="T378" i="16"/>
  <c r="N379" i="16"/>
  <c r="O379" i="16"/>
  <c r="P379" i="16"/>
  <c r="Q379" i="16"/>
  <c r="R379" i="16"/>
  <c r="S379" i="16"/>
  <c r="T379" i="16"/>
  <c r="N380" i="16"/>
  <c r="O380" i="16"/>
  <c r="P380" i="16"/>
  <c r="R380" i="16" s="1"/>
  <c r="Q380" i="16"/>
  <c r="S380" i="16" s="1"/>
  <c r="T380" i="16"/>
  <c r="N381" i="16"/>
  <c r="O381" i="16"/>
  <c r="P381" i="16"/>
  <c r="Q381" i="16"/>
  <c r="R381" i="16"/>
  <c r="S381" i="16"/>
  <c r="T381" i="16"/>
  <c r="N382" i="16"/>
  <c r="O382" i="16"/>
  <c r="P382" i="16"/>
  <c r="R382" i="16" s="1"/>
  <c r="Q382" i="16"/>
  <c r="T382" i="16"/>
  <c r="N383" i="16"/>
  <c r="O383" i="16"/>
  <c r="P383" i="16"/>
  <c r="Q383" i="16"/>
  <c r="R383" i="16"/>
  <c r="S383" i="16"/>
  <c r="T383" i="16"/>
  <c r="N384" i="16"/>
  <c r="O384" i="16"/>
  <c r="P384" i="16"/>
  <c r="Q384" i="16"/>
  <c r="T384" i="16"/>
  <c r="N385" i="16"/>
  <c r="O385" i="16"/>
  <c r="P385" i="16"/>
  <c r="Q385" i="16"/>
  <c r="R385" i="16"/>
  <c r="S385" i="16"/>
  <c r="T385" i="16"/>
  <c r="N386" i="16"/>
  <c r="O386" i="16"/>
  <c r="P386" i="16"/>
  <c r="R386" i="16" s="1"/>
  <c r="Q386" i="16"/>
  <c r="S386" i="16"/>
  <c r="T386" i="16"/>
  <c r="N387" i="16"/>
  <c r="O387" i="16"/>
  <c r="P387" i="16"/>
  <c r="Q387" i="16"/>
  <c r="S387" i="16" s="1"/>
  <c r="R387" i="16"/>
  <c r="T387" i="16"/>
  <c r="F212" i="10"/>
  <c r="F211" i="10"/>
  <c r="F213" i="10"/>
  <c r="F205" i="10"/>
  <c r="F204" i="10"/>
  <c r="F206" i="10"/>
  <c r="F198" i="10"/>
  <c r="F197" i="10"/>
  <c r="F199" i="10"/>
  <c r="F184" i="10"/>
  <c r="F183" i="10"/>
  <c r="F215" i="10"/>
  <c r="F209" i="10"/>
  <c r="F208" i="10"/>
  <c r="F202" i="10"/>
  <c r="F201" i="10"/>
  <c r="F194" i="10"/>
  <c r="F195" i="10"/>
  <c r="F187" i="10"/>
  <c r="F185" i="10"/>
  <c r="F181" i="10"/>
  <c r="F129" i="10"/>
  <c r="F149" i="10"/>
  <c r="F150" i="10"/>
  <c r="F146" i="10"/>
  <c r="F147" i="10"/>
  <c r="F144" i="10"/>
  <c r="F141" i="10"/>
  <c r="F138" i="10"/>
  <c r="F134" i="10"/>
  <c r="F135" i="10"/>
  <c r="F67" i="10"/>
  <c r="F58" i="10"/>
  <c r="F52" i="10"/>
  <c r="F54" i="10"/>
  <c r="F53" i="10"/>
  <c r="F55" i="10"/>
  <c r="F48" i="10"/>
  <c r="F47" i="10"/>
  <c r="F40" i="10"/>
  <c r="F34" i="10"/>
  <c r="F33" i="10"/>
  <c r="F27" i="10"/>
  <c r="F29" i="10"/>
  <c r="F28" i="10"/>
  <c r="F15" i="10"/>
  <c r="F16" i="10"/>
  <c r="F12" i="10"/>
  <c r="F9" i="10"/>
  <c r="F93" i="10"/>
  <c r="F127" i="10"/>
  <c r="F126" i="10"/>
  <c r="F143" i="10"/>
  <c r="F121" i="10"/>
  <c r="F118" i="10"/>
  <c r="F137" i="10"/>
  <c r="F115" i="10"/>
  <c r="F112" i="10"/>
  <c r="F107" i="10"/>
  <c r="S308" i="16" l="1"/>
  <c r="S134" i="16"/>
  <c r="R311" i="16"/>
  <c r="R368" i="16"/>
  <c r="R344" i="16"/>
  <c r="T369" i="16"/>
  <c r="R348" i="16"/>
  <c r="S342" i="16"/>
  <c r="S174" i="16"/>
  <c r="T108" i="16"/>
  <c r="R92" i="16"/>
  <c r="R35" i="16"/>
  <c r="S373" i="16"/>
  <c r="S365" i="16"/>
  <c r="Q363" i="16"/>
  <c r="S363" i="16" s="1"/>
  <c r="T341" i="16"/>
  <c r="R337" i="16"/>
  <c r="T329" i="16"/>
  <c r="T310" i="16"/>
  <c r="T272" i="16"/>
  <c r="S266" i="16"/>
  <c r="S264" i="16"/>
  <c r="T200" i="16"/>
  <c r="T145" i="16"/>
  <c r="T138" i="16"/>
  <c r="T120" i="16"/>
  <c r="R80" i="16"/>
  <c r="T43" i="16"/>
  <c r="S29" i="16"/>
  <c r="O389" i="16"/>
  <c r="R38" i="16"/>
  <c r="R121" i="16"/>
  <c r="S292" i="16"/>
  <c r="S271" i="16"/>
  <c r="R96" i="16"/>
  <c r="T66" i="16"/>
  <c r="S330" i="16"/>
  <c r="R180" i="16"/>
  <c r="S357" i="16"/>
  <c r="S349" i="16"/>
  <c r="S347" i="16"/>
  <c r="S305" i="16"/>
  <c r="T294" i="16"/>
  <c r="T284" i="16"/>
  <c r="AB277" i="16"/>
  <c r="R266" i="16"/>
  <c r="S258" i="16"/>
  <c r="S233" i="16"/>
  <c r="T216" i="16"/>
  <c r="S205" i="16"/>
  <c r="S186" i="16"/>
  <c r="T166" i="16"/>
  <c r="T157" i="16"/>
  <c r="R155" i="16"/>
  <c r="R153" i="16"/>
  <c r="Q140" i="16"/>
  <c r="S140" i="16" s="1"/>
  <c r="S122" i="16"/>
  <c r="Q118" i="16"/>
  <c r="S118" i="16" s="1"/>
  <c r="T89" i="16"/>
  <c r="S74" i="16"/>
  <c r="R39" i="16"/>
  <c r="T28" i="16"/>
  <c r="S315" i="16"/>
  <c r="S230" i="16"/>
  <c r="R44" i="16"/>
  <c r="T286" i="16"/>
  <c r="S182" i="16"/>
  <c r="R359" i="16"/>
  <c r="Q343" i="16"/>
  <c r="S343" i="16" s="1"/>
  <c r="T334" i="16"/>
  <c r="Q331" i="16"/>
  <c r="S331" i="16" s="1"/>
  <c r="Q301" i="16"/>
  <c r="S301" i="16" s="1"/>
  <c r="T297" i="16"/>
  <c r="Q289" i="16"/>
  <c r="S289" i="16" s="1"/>
  <c r="T287" i="16"/>
  <c r="R277" i="16"/>
  <c r="Q274" i="16"/>
  <c r="S274" i="16" s="1"/>
  <c r="Q243" i="16"/>
  <c r="S243" i="16" s="1"/>
  <c r="R231" i="16"/>
  <c r="T226" i="16"/>
  <c r="T222" i="16"/>
  <c r="S202" i="16"/>
  <c r="S198" i="16"/>
  <c r="S194" i="16"/>
  <c r="T129" i="16"/>
  <c r="T91" i="16"/>
  <c r="T34" i="16"/>
  <c r="T32" i="16"/>
  <c r="S8" i="16"/>
  <c r="R93" i="16"/>
  <c r="R23" i="16"/>
  <c r="S123" i="16"/>
  <c r="R19" i="16"/>
  <c r="R246" i="16"/>
  <c r="S191" i="16"/>
  <c r="R384" i="16"/>
  <c r="S355" i="16"/>
  <c r="M339" i="16"/>
  <c r="Q323" i="16"/>
  <c r="S323" i="16" s="1"/>
  <c r="Q321" i="16"/>
  <c r="S321" i="16" s="1"/>
  <c r="Q313" i="16"/>
  <c r="S310" i="16"/>
  <c r="T308" i="16"/>
  <c r="R284" i="16"/>
  <c r="AB275" i="16"/>
  <c r="R262" i="16"/>
  <c r="R200" i="16"/>
  <c r="R194" i="16"/>
  <c r="S177" i="16"/>
  <c r="Q143" i="16"/>
  <c r="S143" i="16" s="1"/>
  <c r="T134" i="16"/>
  <c r="T123" i="16"/>
  <c r="T99" i="16"/>
  <c r="T95" i="16"/>
  <c r="S63" i="16"/>
  <c r="S61" i="16"/>
  <c r="S10" i="16"/>
  <c r="R315" i="16"/>
  <c r="R306" i="16"/>
  <c r="R170" i="16"/>
  <c r="R9" i="16"/>
  <c r="S117" i="16"/>
  <c r="S50" i="16"/>
  <c r="T340" i="16"/>
  <c r="Q317" i="16"/>
  <c r="S317" i="16" s="1"/>
  <c r="R308" i="16"/>
  <c r="Q306" i="16"/>
  <c r="S306" i="16" s="1"/>
  <c r="R297" i="16"/>
  <c r="R228" i="16"/>
  <c r="R212" i="16"/>
  <c r="S210" i="16"/>
  <c r="Q189" i="16"/>
  <c r="S189" i="16" s="1"/>
  <c r="S183" i="16"/>
  <c r="R134" i="16"/>
  <c r="R129" i="16"/>
  <c r="T127" i="16"/>
  <c r="T113" i="16"/>
  <c r="R104" i="16"/>
  <c r="Q101" i="16"/>
  <c r="S101" i="16" s="1"/>
  <c r="Q93" i="16"/>
  <c r="S93" i="16" s="1"/>
  <c r="R91" i="16"/>
  <c r="S77" i="16"/>
  <c r="S57" i="16"/>
  <c r="R47" i="16"/>
  <c r="T38" i="16"/>
  <c r="T139" i="16"/>
  <c r="Q139" i="16"/>
  <c r="S139" i="16" s="1"/>
  <c r="Q65" i="16"/>
  <c r="S65" i="16" s="1"/>
  <c r="T65" i="16"/>
  <c r="R216" i="16"/>
  <c r="S216" i="16"/>
  <c r="T121" i="16"/>
  <c r="Q121" i="16"/>
  <c r="S121" i="16" s="1"/>
  <c r="Q96" i="16"/>
  <c r="S96" i="16" s="1"/>
  <c r="T96" i="16"/>
  <c r="Q67" i="16"/>
  <c r="S67" i="16" s="1"/>
  <c r="T67" i="16"/>
  <c r="Q303" i="16"/>
  <c r="S303" i="16" s="1"/>
  <c r="T303" i="16"/>
  <c r="Q119" i="16"/>
  <c r="S119" i="16" s="1"/>
  <c r="T119" i="16"/>
  <c r="T100" i="16"/>
  <c r="Q100" i="16"/>
  <c r="S100" i="16" s="1"/>
  <c r="R5" i="16"/>
  <c r="S5" i="16"/>
  <c r="T192" i="16"/>
  <c r="Q192" i="16"/>
  <c r="S192" i="16" s="1"/>
  <c r="S54" i="16"/>
  <c r="R54" i="16"/>
  <c r="S44" i="16"/>
  <c r="Q320" i="16"/>
  <c r="S320" i="16" s="1"/>
  <c r="T320" i="16"/>
  <c r="S242" i="16"/>
  <c r="R242" i="16"/>
  <c r="Q280" i="16"/>
  <c r="S280" i="16" s="1"/>
  <c r="T280" i="16"/>
  <c r="R218" i="16"/>
  <c r="S218" i="16"/>
  <c r="Q214" i="16"/>
  <c r="S214" i="16" s="1"/>
  <c r="T214" i="16"/>
  <c r="Q155" i="16"/>
  <c r="S155" i="16" s="1"/>
  <c r="T155" i="16"/>
  <c r="R82" i="16"/>
  <c r="S82" i="16"/>
  <c r="Q285" i="16"/>
  <c r="S285" i="16" s="1"/>
  <c r="T285" i="16"/>
  <c r="Q147" i="16"/>
  <c r="S147" i="16" s="1"/>
  <c r="T147" i="16"/>
  <c r="Q283" i="16"/>
  <c r="S283" i="16" s="1"/>
  <c r="T283" i="16"/>
  <c r="R171" i="16"/>
  <c r="S171" i="16"/>
  <c r="Q124" i="16"/>
  <c r="S124" i="16" s="1"/>
  <c r="T124" i="16"/>
  <c r="T104" i="16"/>
  <c r="Q104" i="16"/>
  <c r="S104" i="16" s="1"/>
  <c r="T42" i="16"/>
  <c r="Q42" i="16"/>
  <c r="S42" i="16" s="1"/>
  <c r="Q26" i="16"/>
  <c r="S26" i="16" s="1"/>
  <c r="T26" i="16"/>
  <c r="T360" i="16"/>
  <c r="Q360" i="16"/>
  <c r="S360" i="16" s="1"/>
  <c r="T327" i="16"/>
  <c r="T305" i="16"/>
  <c r="T271" i="16"/>
  <c r="Q167" i="16"/>
  <c r="S167" i="16" s="1"/>
  <c r="T167" i="16"/>
  <c r="S145" i="16"/>
  <c r="S138" i="16"/>
  <c r="T30" i="16"/>
  <c r="Q30" i="16"/>
  <c r="S30" i="16" s="1"/>
  <c r="T315" i="16"/>
  <c r="S314" i="16"/>
  <c r="T282" i="16"/>
  <c r="R173" i="16"/>
  <c r="S173" i="16"/>
  <c r="Q161" i="16"/>
  <c r="S161" i="16" s="1"/>
  <c r="T161" i="16"/>
  <c r="R154" i="16"/>
  <c r="S154" i="16"/>
  <c r="S99" i="16"/>
  <c r="T29" i="16"/>
  <c r="S368" i="16"/>
  <c r="S359" i="16"/>
  <c r="S348" i="16"/>
  <c r="T337" i="16"/>
  <c r="Q336" i="16"/>
  <c r="S336" i="16" s="1"/>
  <c r="T336" i="16"/>
  <c r="Q300" i="16"/>
  <c r="S300" i="16" s="1"/>
  <c r="T292" i="16"/>
  <c r="Q273" i="16"/>
  <c r="S273" i="16" s="1"/>
  <c r="T273" i="16"/>
  <c r="R203" i="16"/>
  <c r="S203" i="16"/>
  <c r="S170" i="16"/>
  <c r="Q152" i="16"/>
  <c r="S152" i="16" s="1"/>
  <c r="T152" i="16"/>
  <c r="Q33" i="16"/>
  <c r="S33" i="16" s="1"/>
  <c r="S384" i="16"/>
  <c r="T330" i="16"/>
  <c r="T325" i="16"/>
  <c r="S313" i="16"/>
  <c r="Q277" i="16"/>
  <c r="S277" i="16" s="1"/>
  <c r="S246" i="16"/>
  <c r="S219" i="16"/>
  <c r="R219" i="16"/>
  <c r="T39" i="16"/>
  <c r="Q39" i="16"/>
  <c r="S39" i="16" s="1"/>
  <c r="Q35" i="16"/>
  <c r="S35" i="16" s="1"/>
  <c r="T35" i="16"/>
  <c r="S9" i="16"/>
  <c r="P389" i="16"/>
  <c r="S346" i="16"/>
  <c r="S344" i="16"/>
  <c r="T342" i="16"/>
  <c r="Q228" i="16"/>
  <c r="S228" i="16" s="1"/>
  <c r="S180" i="16"/>
  <c r="S172" i="16"/>
  <c r="T132" i="16"/>
  <c r="Q132" i="16"/>
  <c r="S132" i="16" s="1"/>
  <c r="T117" i="16"/>
  <c r="Q110" i="16"/>
  <c r="S110" i="16" s="1"/>
  <c r="T110" i="16"/>
  <c r="Q41" i="16"/>
  <c r="S41" i="16" s="1"/>
  <c r="T41" i="16"/>
  <c r="S382" i="16"/>
  <c r="R357" i="16"/>
  <c r="R346" i="16"/>
  <c r="Q339" i="16"/>
  <c r="S339" i="16" s="1"/>
  <c r="T339" i="16"/>
  <c r="R325" i="16"/>
  <c r="T322" i="16"/>
  <c r="Q322" i="16"/>
  <c r="S322" i="16" s="1"/>
  <c r="R310" i="16"/>
  <c r="R280" i="16"/>
  <c r="R240" i="16"/>
  <c r="S238" i="16"/>
  <c r="T196" i="16"/>
  <c r="R174" i="16"/>
  <c r="R172" i="16"/>
  <c r="Q156" i="16"/>
  <c r="S156" i="16" s="1"/>
  <c r="M158" i="16"/>
  <c r="T156" i="16"/>
  <c r="S127" i="16"/>
  <c r="T106" i="16"/>
  <c r="T45" i="16"/>
  <c r="Q45" i="16"/>
  <c r="S45" i="16" s="1"/>
  <c r="S11" i="16"/>
  <c r="R222" i="16"/>
  <c r="R179" i="16"/>
  <c r="R158" i="16"/>
  <c r="T97" i="16"/>
  <c r="Q97" i="16"/>
  <c r="S97" i="16" s="1"/>
  <c r="S92" i="16"/>
  <c r="Q64" i="16"/>
  <c r="S64" i="16" s="1"/>
  <c r="T64" i="16"/>
  <c r="S38" i="16"/>
  <c r="T27" i="16"/>
  <c r="Q27" i="16"/>
  <c r="S27" i="16" s="1"/>
  <c r="S23" i="16"/>
  <c r="Q224" i="16"/>
  <c r="S224" i="16" s="1"/>
  <c r="T224" i="16"/>
  <c r="S207" i="16"/>
  <c r="Q149" i="16"/>
  <c r="S149" i="16" s="1"/>
  <c r="T149" i="16"/>
  <c r="S114" i="16"/>
  <c r="S370" i="16"/>
  <c r="Q299" i="16"/>
  <c r="S299" i="16" s="1"/>
  <c r="T299" i="16"/>
  <c r="R288" i="16"/>
  <c r="R273" i="16"/>
  <c r="S255" i="16"/>
  <c r="S240" i="16"/>
  <c r="R214" i="16"/>
  <c r="R132" i="16"/>
  <c r="S80" i="16"/>
  <c r="S32" i="16"/>
  <c r="AB276" i="16"/>
  <c r="S245" i="16"/>
  <c r="R209" i="16"/>
  <c r="Q204" i="16"/>
  <c r="S204" i="16" s="1"/>
  <c r="T204" i="16"/>
  <c r="R114" i="16"/>
  <c r="R10" i="16"/>
  <c r="R296" i="16"/>
  <c r="R255" i="16"/>
  <c r="S142" i="16"/>
  <c r="R117" i="16"/>
  <c r="S89" i="16"/>
  <c r="Y7" i="16"/>
  <c r="Y8" i="16" s="1"/>
  <c r="Y9" i="16" s="1"/>
  <c r="W7" i="16" s="1"/>
  <c r="W8" i="16" s="1"/>
  <c r="T1" i="16" s="1"/>
  <c r="F111" i="10"/>
  <c r="F117" i="10"/>
  <c r="F114" i="10"/>
  <c r="F96" i="10"/>
  <c r="R389" i="16" l="1"/>
  <c r="R390" i="16" s="1"/>
  <c r="Q158" i="16"/>
  <c r="S158" i="16" s="1"/>
  <c r="S389" i="16" s="1"/>
  <c r="AA1" i="16" s="1"/>
  <c r="M160" i="16"/>
  <c r="T158" i="16"/>
  <c r="Y11" i="16"/>
  <c r="Q389" i="16" l="1"/>
  <c r="Q160" i="16"/>
  <c r="S160" i="16" s="1"/>
  <c r="T160" i="16"/>
  <c r="M162" i="16"/>
  <c r="W2" i="16" l="1"/>
  <c r="X2" i="16"/>
  <c r="W12" i="16"/>
  <c r="W13" i="16" s="1"/>
  <c r="N1" i="16" s="1"/>
  <c r="M164" i="16"/>
  <c r="Q162" i="16"/>
  <c r="S162" i="16" s="1"/>
  <c r="T162" i="16"/>
  <c r="Q164" i="16" l="1"/>
  <c r="S164" i="16" s="1"/>
  <c r="T164" i="16"/>
  <c r="X3" i="16"/>
  <c r="X4" i="16"/>
  <c r="J192" i="10" l="1"/>
  <c r="H192" i="10"/>
  <c r="M192" i="10"/>
  <c r="J191" i="10"/>
  <c r="H191" i="10"/>
  <c r="M191" i="10"/>
  <c r="J190" i="10"/>
  <c r="H190" i="10"/>
  <c r="M190" i="10"/>
  <c r="M189" i="10"/>
  <c r="J189" i="10"/>
  <c r="H189" i="10"/>
  <c r="J188" i="10"/>
  <c r="H188" i="10"/>
  <c r="M188" i="10"/>
  <c r="J187" i="10"/>
  <c r="H187" i="10"/>
  <c r="M187" i="10"/>
  <c r="J108" i="10"/>
  <c r="H108" i="10"/>
  <c r="M108" i="10"/>
  <c r="K187" i="10" l="1"/>
  <c r="L187" i="10" s="1"/>
  <c r="N187" i="10" s="1"/>
  <c r="K189" i="10"/>
  <c r="L189" i="10" s="1"/>
  <c r="N189" i="10" s="1"/>
  <c r="K191" i="10"/>
  <c r="L191" i="10" s="1"/>
  <c r="N191" i="10" s="1"/>
  <c r="K188" i="10"/>
  <c r="L188" i="10" s="1"/>
  <c r="N188" i="10" s="1"/>
  <c r="K192" i="10"/>
  <c r="L192" i="10" s="1"/>
  <c r="N192" i="10" s="1"/>
  <c r="K190" i="10"/>
  <c r="L190" i="10" s="1"/>
  <c r="N190" i="10" s="1"/>
  <c r="K108" i="10"/>
  <c r="L108" i="10" s="1"/>
  <c r="N108" i="10" l="1"/>
  <c r="H108" i="17"/>
  <c r="M225" i="10"/>
  <c r="J225" i="10"/>
  <c r="H225" i="10"/>
  <c r="M224" i="10"/>
  <c r="J224" i="10"/>
  <c r="H224" i="10"/>
  <c r="M223" i="10"/>
  <c r="J223" i="10"/>
  <c r="H223" i="10"/>
  <c r="M221" i="10"/>
  <c r="J221" i="10"/>
  <c r="H221" i="10"/>
  <c r="J220" i="10"/>
  <c r="H220" i="10"/>
  <c r="M220" i="10"/>
  <c r="M219" i="10"/>
  <c r="J219" i="10"/>
  <c r="H219" i="10"/>
  <c r="H177" i="10"/>
  <c r="J177" i="10"/>
  <c r="M177" i="10"/>
  <c r="M173" i="10"/>
  <c r="J173" i="10"/>
  <c r="H173" i="10"/>
  <c r="M172" i="10"/>
  <c r="J172" i="10"/>
  <c r="H172" i="10"/>
  <c r="M170" i="10"/>
  <c r="J170" i="10"/>
  <c r="H170" i="10"/>
  <c r="M169" i="10"/>
  <c r="J169" i="10"/>
  <c r="H169" i="10"/>
  <c r="M167" i="10"/>
  <c r="J167" i="10"/>
  <c r="H167" i="10"/>
  <c r="M166" i="10"/>
  <c r="J166" i="10"/>
  <c r="H166" i="10"/>
  <c r="M164" i="10"/>
  <c r="J164" i="10"/>
  <c r="H164" i="10"/>
  <c r="M163" i="10"/>
  <c r="J163" i="10"/>
  <c r="H163" i="10"/>
  <c r="M160" i="10"/>
  <c r="J160" i="10"/>
  <c r="H160" i="10"/>
  <c r="M159" i="10"/>
  <c r="J159" i="10"/>
  <c r="H159" i="10"/>
  <c r="M158" i="10"/>
  <c r="J158" i="10"/>
  <c r="H158" i="10"/>
  <c r="M157" i="10"/>
  <c r="J157" i="10"/>
  <c r="H157" i="10"/>
  <c r="M156" i="10"/>
  <c r="J156" i="10"/>
  <c r="H156" i="10"/>
  <c r="M129" i="10"/>
  <c r="J129" i="10"/>
  <c r="H129" i="10"/>
  <c r="M150" i="10"/>
  <c r="J150" i="10"/>
  <c r="H150" i="10"/>
  <c r="M149" i="10"/>
  <c r="J149" i="10"/>
  <c r="H149" i="10"/>
  <c r="M147" i="10"/>
  <c r="J147" i="10"/>
  <c r="H147" i="10"/>
  <c r="M146" i="10"/>
  <c r="J146" i="10"/>
  <c r="H146" i="10"/>
  <c r="M144" i="10"/>
  <c r="J144" i="10"/>
  <c r="H144" i="10"/>
  <c r="M143" i="10"/>
  <c r="J143" i="10"/>
  <c r="H143" i="10"/>
  <c r="M141" i="10"/>
  <c r="J141" i="10"/>
  <c r="H141" i="10"/>
  <c r="M140" i="10"/>
  <c r="J140" i="10"/>
  <c r="H140" i="10"/>
  <c r="M138" i="10"/>
  <c r="J138" i="10"/>
  <c r="H138" i="10"/>
  <c r="M137" i="10"/>
  <c r="J137" i="10"/>
  <c r="H137" i="10"/>
  <c r="M135" i="10"/>
  <c r="J135" i="10"/>
  <c r="H135" i="10"/>
  <c r="M134" i="10"/>
  <c r="J134" i="10"/>
  <c r="H134" i="10"/>
  <c r="M132" i="10"/>
  <c r="J132" i="10"/>
  <c r="H132" i="10"/>
  <c r="M131" i="10"/>
  <c r="J131" i="10"/>
  <c r="H131" i="10"/>
  <c r="M127" i="10"/>
  <c r="J127" i="10"/>
  <c r="H127" i="10"/>
  <c r="M126" i="10"/>
  <c r="J126" i="10"/>
  <c r="H126" i="10"/>
  <c r="M124" i="10"/>
  <c r="J124" i="10"/>
  <c r="H124" i="10"/>
  <c r="M123" i="10"/>
  <c r="J123" i="10"/>
  <c r="H123" i="10"/>
  <c r="M121" i="10"/>
  <c r="J121" i="10"/>
  <c r="H121" i="10"/>
  <c r="M120" i="10"/>
  <c r="J120" i="10"/>
  <c r="H120" i="10"/>
  <c r="M118" i="10"/>
  <c r="J118" i="10"/>
  <c r="H118" i="10"/>
  <c r="M117" i="10"/>
  <c r="J117" i="10"/>
  <c r="H117" i="10"/>
  <c r="M153" i="10"/>
  <c r="J153" i="10"/>
  <c r="H153" i="10"/>
  <c r="M152" i="10"/>
  <c r="J152" i="10"/>
  <c r="H152" i="10"/>
  <c r="M115" i="10"/>
  <c r="J115" i="10"/>
  <c r="H115" i="10"/>
  <c r="M114" i="10"/>
  <c r="J114" i="10"/>
  <c r="H114" i="10"/>
  <c r="M112" i="10"/>
  <c r="J112" i="10"/>
  <c r="H112" i="10"/>
  <c r="M111" i="10"/>
  <c r="J111" i="10"/>
  <c r="H111" i="10"/>
  <c r="M109" i="10"/>
  <c r="J109" i="10"/>
  <c r="H109" i="10"/>
  <c r="M107" i="10"/>
  <c r="J107" i="10"/>
  <c r="H107" i="10"/>
  <c r="H104" i="10"/>
  <c r="J104" i="10"/>
  <c r="M104" i="10"/>
  <c r="M101" i="10"/>
  <c r="J101" i="10"/>
  <c r="H101" i="10"/>
  <c r="M100" i="10"/>
  <c r="J100" i="10"/>
  <c r="H100" i="10"/>
  <c r="M99" i="10"/>
  <c r="J99" i="10"/>
  <c r="H99" i="10"/>
  <c r="M97" i="10"/>
  <c r="J97" i="10"/>
  <c r="H97" i="10"/>
  <c r="M96" i="10"/>
  <c r="J96" i="10"/>
  <c r="H96" i="10"/>
  <c r="M94" i="10"/>
  <c r="J94" i="10"/>
  <c r="H94" i="10"/>
  <c r="M93" i="10"/>
  <c r="J93" i="10"/>
  <c r="H93" i="10"/>
  <c r="M91" i="10"/>
  <c r="J91" i="10"/>
  <c r="H91" i="10"/>
  <c r="M90" i="10"/>
  <c r="J90" i="10"/>
  <c r="H90" i="10"/>
  <c r="M85" i="10"/>
  <c r="J85" i="10"/>
  <c r="H85" i="10"/>
  <c r="M84" i="10"/>
  <c r="J84" i="10"/>
  <c r="H84" i="10"/>
  <c r="M87" i="10"/>
  <c r="J87" i="10"/>
  <c r="H87" i="10"/>
  <c r="M86" i="10"/>
  <c r="J86" i="10"/>
  <c r="H86" i="10"/>
  <c r="M81" i="10"/>
  <c r="J81" i="10"/>
  <c r="H81" i="10"/>
  <c r="M80" i="10"/>
  <c r="J80" i="10"/>
  <c r="H80" i="10"/>
  <c r="M79" i="10"/>
  <c r="J79" i="10"/>
  <c r="H79" i="10"/>
  <c r="H72" i="10"/>
  <c r="J72" i="10"/>
  <c r="M72" i="10"/>
  <c r="H71" i="10"/>
  <c r="J71" i="10"/>
  <c r="M71" i="10"/>
  <c r="H70" i="10"/>
  <c r="J70" i="10"/>
  <c r="M70" i="10"/>
  <c r="J67" i="10"/>
  <c r="H67" i="10"/>
  <c r="M67" i="10"/>
  <c r="H59" i="10"/>
  <c r="M58" i="10"/>
  <c r="J58" i="10"/>
  <c r="H58" i="10"/>
  <c r="M54" i="10"/>
  <c r="J54" i="10"/>
  <c r="H54" i="10"/>
  <c r="M53" i="10"/>
  <c r="J53" i="10"/>
  <c r="H53" i="10"/>
  <c r="M52" i="10"/>
  <c r="J52" i="10"/>
  <c r="H52" i="10"/>
  <c r="M49" i="10"/>
  <c r="J49" i="10"/>
  <c r="H49" i="10"/>
  <c r="M48" i="10"/>
  <c r="J48" i="10"/>
  <c r="H48" i="10"/>
  <c r="M47" i="10"/>
  <c r="J47" i="10"/>
  <c r="H47" i="10"/>
  <c r="M46" i="10"/>
  <c r="J46" i="10"/>
  <c r="H46" i="10"/>
  <c r="M45" i="10"/>
  <c r="J45" i="10"/>
  <c r="H45" i="10"/>
  <c r="M44" i="10"/>
  <c r="J44" i="10"/>
  <c r="H44" i="10"/>
  <c r="M43" i="10"/>
  <c r="J43" i="10"/>
  <c r="H43" i="10"/>
  <c r="M42" i="10"/>
  <c r="J42" i="10"/>
  <c r="H42" i="10"/>
  <c r="M41" i="10"/>
  <c r="J41" i="10"/>
  <c r="H41" i="10"/>
  <c r="M40" i="10"/>
  <c r="J40" i="10"/>
  <c r="H40" i="10"/>
  <c r="M37" i="10"/>
  <c r="J37" i="10"/>
  <c r="H37" i="10"/>
  <c r="H55" i="10"/>
  <c r="J55" i="10"/>
  <c r="M55" i="10"/>
  <c r="H27" i="10"/>
  <c r="J27" i="10"/>
  <c r="M27" i="10"/>
  <c r="M230" i="10"/>
  <c r="J230" i="10"/>
  <c r="H230" i="10"/>
  <c r="M232" i="10"/>
  <c r="J232" i="10"/>
  <c r="H232" i="10"/>
  <c r="M231" i="10"/>
  <c r="J231" i="10"/>
  <c r="H231" i="10"/>
  <c r="M228" i="10"/>
  <c r="J228" i="10"/>
  <c r="H228" i="10"/>
  <c r="M215" i="10"/>
  <c r="J215" i="10"/>
  <c r="H215" i="10"/>
  <c r="M216" i="10"/>
  <c r="J216" i="10"/>
  <c r="H216" i="10"/>
  <c r="J213" i="10"/>
  <c r="H213" i="10"/>
  <c r="M213" i="10"/>
  <c r="M211" i="10"/>
  <c r="J211" i="10"/>
  <c r="H211" i="10"/>
  <c r="M212" i="10"/>
  <c r="J212" i="10"/>
  <c r="H212" i="10"/>
  <c r="M210" i="10"/>
  <c r="J210" i="10"/>
  <c r="H210" i="10"/>
  <c r="J209" i="10"/>
  <c r="H209" i="10"/>
  <c r="M209" i="10"/>
  <c r="J208" i="10"/>
  <c r="H208" i="10"/>
  <c r="M208" i="10"/>
  <c r="J206" i="10"/>
  <c r="H206" i="10"/>
  <c r="M206" i="10"/>
  <c r="M204" i="10"/>
  <c r="J204" i="10"/>
  <c r="H204" i="10"/>
  <c r="J205" i="10"/>
  <c r="H205" i="10"/>
  <c r="M205" i="10"/>
  <c r="M203" i="10"/>
  <c r="J203" i="10"/>
  <c r="H203" i="10"/>
  <c r="J202" i="10"/>
  <c r="H202" i="10"/>
  <c r="M202" i="10"/>
  <c r="J201" i="10"/>
  <c r="H201" i="10"/>
  <c r="M201" i="10"/>
  <c r="J199" i="10"/>
  <c r="H199" i="10"/>
  <c r="M199" i="10"/>
  <c r="M197" i="10"/>
  <c r="J197" i="10"/>
  <c r="H197" i="10"/>
  <c r="J198" i="10"/>
  <c r="H198" i="10"/>
  <c r="M198" i="10"/>
  <c r="M196" i="10"/>
  <c r="J196" i="10"/>
  <c r="H196" i="10"/>
  <c r="J195" i="10"/>
  <c r="H195" i="10"/>
  <c r="M195" i="10"/>
  <c r="J194" i="10"/>
  <c r="H194" i="10"/>
  <c r="M194" i="10"/>
  <c r="J185" i="10"/>
  <c r="H185" i="10"/>
  <c r="M185" i="10"/>
  <c r="M183" i="10"/>
  <c r="J183" i="10"/>
  <c r="H183" i="10"/>
  <c r="J184" i="10"/>
  <c r="H184" i="10"/>
  <c r="M184" i="10"/>
  <c r="M182" i="10"/>
  <c r="J182" i="10"/>
  <c r="H182" i="10"/>
  <c r="J181" i="10"/>
  <c r="H181" i="10"/>
  <c r="M181" i="10"/>
  <c r="M180" i="10"/>
  <c r="J180" i="10"/>
  <c r="H180" i="10"/>
  <c r="M176" i="10"/>
  <c r="J176" i="10"/>
  <c r="H176" i="10"/>
  <c r="M175" i="10"/>
  <c r="J175" i="10"/>
  <c r="H175" i="10"/>
  <c r="M103" i="10"/>
  <c r="J103" i="10"/>
  <c r="H103" i="10"/>
  <c r="M76" i="10"/>
  <c r="J76" i="10"/>
  <c r="H76" i="10"/>
  <c r="M75" i="10"/>
  <c r="J75" i="10"/>
  <c r="H75" i="10"/>
  <c r="M69" i="10"/>
  <c r="J69" i="10"/>
  <c r="H69" i="10"/>
  <c r="M68" i="10"/>
  <c r="J68" i="10"/>
  <c r="H68" i="10"/>
  <c r="J66" i="10"/>
  <c r="H66" i="10"/>
  <c r="M66" i="10"/>
  <c r="M65" i="10"/>
  <c r="J65" i="10"/>
  <c r="H65" i="10"/>
  <c r="M64" i="10"/>
  <c r="J64" i="10"/>
  <c r="H64" i="10"/>
  <c r="M63" i="10"/>
  <c r="J63" i="10"/>
  <c r="H63" i="10"/>
  <c r="M62" i="10"/>
  <c r="J62" i="10"/>
  <c r="H62" i="10"/>
  <c r="M59" i="10"/>
  <c r="J59" i="10"/>
  <c r="J34" i="10"/>
  <c r="H34" i="10"/>
  <c r="M34" i="10"/>
  <c r="J33" i="10"/>
  <c r="H33" i="10"/>
  <c r="M33" i="10"/>
  <c r="M32" i="10"/>
  <c r="J32" i="10"/>
  <c r="H32" i="10"/>
  <c r="M29" i="10"/>
  <c r="J29" i="10"/>
  <c r="H29" i="10"/>
  <c r="M28" i="10"/>
  <c r="J28" i="10"/>
  <c r="H28" i="10"/>
  <c r="J24" i="10"/>
  <c r="M23" i="10"/>
  <c r="J23" i="10"/>
  <c r="H23" i="10"/>
  <c r="J20" i="10"/>
  <c r="H20" i="10"/>
  <c r="M20" i="10"/>
  <c r="M17" i="10"/>
  <c r="J17" i="10"/>
  <c r="H17" i="10"/>
  <c r="M16" i="10"/>
  <c r="J16" i="10"/>
  <c r="H16" i="10"/>
  <c r="M15" i="10"/>
  <c r="J15" i="10"/>
  <c r="H15" i="10"/>
  <c r="M12" i="10"/>
  <c r="J12" i="10"/>
  <c r="H12" i="10"/>
  <c r="M9" i="10"/>
  <c r="J9" i="10"/>
  <c r="H9" i="10"/>
  <c r="M237" i="10" l="1"/>
  <c r="M239" i="10"/>
  <c r="M238" i="10"/>
  <c r="K223" i="10"/>
  <c r="L223" i="10" s="1"/>
  <c r="N223" i="10" s="1"/>
  <c r="K225" i="10"/>
  <c r="L225" i="10" s="1"/>
  <c r="N225" i="10" s="1"/>
  <c r="K224" i="10"/>
  <c r="K219" i="10"/>
  <c r="L219" i="10" s="1"/>
  <c r="N219" i="10" s="1"/>
  <c r="K220" i="10"/>
  <c r="L220" i="10" s="1"/>
  <c r="N220" i="10" s="1"/>
  <c r="K221" i="10"/>
  <c r="K177" i="10"/>
  <c r="L177" i="10" s="1"/>
  <c r="N177" i="10" s="1"/>
  <c r="K163" i="10"/>
  <c r="L163" i="10" s="1"/>
  <c r="N163" i="10" s="1"/>
  <c r="K173" i="10"/>
  <c r="L173" i="10" s="1"/>
  <c r="N173" i="10" s="1"/>
  <c r="K172" i="10"/>
  <c r="L172" i="10" s="1"/>
  <c r="N172" i="10" s="1"/>
  <c r="K170" i="10"/>
  <c r="L170" i="10" s="1"/>
  <c r="N170" i="10" s="1"/>
  <c r="K169" i="10"/>
  <c r="L169" i="10" s="1"/>
  <c r="N169" i="10" s="1"/>
  <c r="K167" i="10"/>
  <c r="L167" i="10" s="1"/>
  <c r="N167" i="10" s="1"/>
  <c r="K166" i="10"/>
  <c r="L166" i="10" s="1"/>
  <c r="N166" i="10" s="1"/>
  <c r="K164" i="10"/>
  <c r="L164" i="10" s="1"/>
  <c r="N164" i="10" s="1"/>
  <c r="K157" i="10"/>
  <c r="L157" i="10" s="1"/>
  <c r="N157" i="10" s="1"/>
  <c r="K160" i="10"/>
  <c r="L160" i="10" s="1"/>
  <c r="N160" i="10" s="1"/>
  <c r="K159" i="10"/>
  <c r="K158" i="10"/>
  <c r="L158" i="10" s="1"/>
  <c r="N158" i="10" s="1"/>
  <c r="K156" i="10"/>
  <c r="L156" i="10" s="1"/>
  <c r="N156" i="10" s="1"/>
  <c r="K129" i="10"/>
  <c r="L129" i="10" s="1"/>
  <c r="N129" i="10" s="1"/>
  <c r="K138" i="10"/>
  <c r="L138" i="10" s="1"/>
  <c r="N138" i="10" s="1"/>
  <c r="K150" i="10"/>
  <c r="L150" i="10" s="1"/>
  <c r="N150" i="10" s="1"/>
  <c r="K144" i="10"/>
  <c r="L144" i="10" s="1"/>
  <c r="N144" i="10" s="1"/>
  <c r="K147" i="10"/>
  <c r="L147" i="10" s="1"/>
  <c r="N147" i="10" s="1"/>
  <c r="K141" i="10"/>
  <c r="L141" i="10" s="1"/>
  <c r="N141" i="10" s="1"/>
  <c r="K149" i="10"/>
  <c r="L149" i="10" s="1"/>
  <c r="N149" i="10" s="1"/>
  <c r="K146" i="10"/>
  <c r="L146" i="10" s="1"/>
  <c r="N146" i="10" s="1"/>
  <c r="K143" i="10"/>
  <c r="L143" i="10" s="1"/>
  <c r="N143" i="10" s="1"/>
  <c r="K140" i="10"/>
  <c r="L140" i="10" s="1"/>
  <c r="N140" i="10" s="1"/>
  <c r="K137" i="10"/>
  <c r="L137" i="10" s="1"/>
  <c r="N137" i="10" s="1"/>
  <c r="K135" i="10"/>
  <c r="L135" i="10" s="1"/>
  <c r="N135" i="10" s="1"/>
  <c r="K132" i="10"/>
  <c r="L132" i="10" s="1"/>
  <c r="N132" i="10" s="1"/>
  <c r="K131" i="10"/>
  <c r="L131" i="10" s="1"/>
  <c r="N131" i="10" s="1"/>
  <c r="K134" i="10"/>
  <c r="L134" i="10" s="1"/>
  <c r="N134" i="10" s="1"/>
  <c r="K127" i="10"/>
  <c r="L127" i="10" s="1"/>
  <c r="N127" i="10" s="1"/>
  <c r="K126" i="10"/>
  <c r="L126" i="10" s="1"/>
  <c r="N126" i="10" s="1"/>
  <c r="K123" i="10"/>
  <c r="L123" i="10" s="1"/>
  <c r="N123" i="10" s="1"/>
  <c r="K121" i="10"/>
  <c r="L121" i="10" s="1"/>
  <c r="N121" i="10" s="1"/>
  <c r="K124" i="10"/>
  <c r="L124" i="10" s="1"/>
  <c r="N124" i="10" s="1"/>
  <c r="K120" i="10"/>
  <c r="L120" i="10" s="1"/>
  <c r="N120" i="10" s="1"/>
  <c r="K107" i="10"/>
  <c r="L107" i="10" s="1"/>
  <c r="K153" i="10"/>
  <c r="L153" i="10" s="1"/>
  <c r="N153" i="10" s="1"/>
  <c r="K112" i="10"/>
  <c r="L112" i="10" s="1"/>
  <c r="N112" i="10" s="1"/>
  <c r="K117" i="10"/>
  <c r="L117" i="10" s="1"/>
  <c r="N117" i="10" s="1"/>
  <c r="K118" i="10"/>
  <c r="L118" i="10" s="1"/>
  <c r="N118" i="10" s="1"/>
  <c r="K152" i="10"/>
  <c r="K114" i="10"/>
  <c r="L114" i="10" s="1"/>
  <c r="N114" i="10" s="1"/>
  <c r="K109" i="10"/>
  <c r="L109" i="10" s="1"/>
  <c r="N109" i="10" s="1"/>
  <c r="K115" i="10"/>
  <c r="L115" i="10" s="1"/>
  <c r="N115" i="10" s="1"/>
  <c r="K111" i="10"/>
  <c r="L111" i="10" s="1"/>
  <c r="N111" i="10" s="1"/>
  <c r="K104" i="10"/>
  <c r="L104" i="10" s="1"/>
  <c r="N104" i="10" s="1"/>
  <c r="K101" i="10"/>
  <c r="L101" i="10" s="1"/>
  <c r="N101" i="10" s="1"/>
  <c r="K100" i="10"/>
  <c r="L100" i="10" s="1"/>
  <c r="N100" i="10" s="1"/>
  <c r="K99" i="10"/>
  <c r="L99" i="10" s="1"/>
  <c r="N99" i="10" s="1"/>
  <c r="K97" i="10"/>
  <c r="L97" i="10" s="1"/>
  <c r="N97" i="10" s="1"/>
  <c r="K96" i="10"/>
  <c r="L96" i="10" s="1"/>
  <c r="N96" i="10" s="1"/>
  <c r="K94" i="10"/>
  <c r="L94" i="10" s="1"/>
  <c r="N94" i="10" s="1"/>
  <c r="K93" i="10"/>
  <c r="L93" i="10" s="1"/>
  <c r="N93" i="10" s="1"/>
  <c r="K91" i="10"/>
  <c r="L91" i="10" s="1"/>
  <c r="N91" i="10" s="1"/>
  <c r="K90" i="10"/>
  <c r="L90" i="10" s="1"/>
  <c r="N90" i="10" s="1"/>
  <c r="K85" i="10"/>
  <c r="L85" i="10" s="1"/>
  <c r="N85" i="10" s="1"/>
  <c r="K84" i="10"/>
  <c r="L84" i="10" s="1"/>
  <c r="N84" i="10" s="1"/>
  <c r="K79" i="10"/>
  <c r="K87" i="10"/>
  <c r="L87" i="10" s="1"/>
  <c r="N87" i="10" s="1"/>
  <c r="K86" i="10"/>
  <c r="L86" i="10" s="1"/>
  <c r="N86" i="10" s="1"/>
  <c r="K81" i="10"/>
  <c r="L81" i="10" s="1"/>
  <c r="N81" i="10" s="1"/>
  <c r="K80" i="10"/>
  <c r="L80" i="10" s="1"/>
  <c r="N80" i="10" s="1"/>
  <c r="K58" i="10"/>
  <c r="L58" i="10" s="1"/>
  <c r="N58" i="10" s="1"/>
  <c r="K71" i="10"/>
  <c r="L71" i="10" s="1"/>
  <c r="N71" i="10" s="1"/>
  <c r="K72" i="10"/>
  <c r="L72" i="10" s="1"/>
  <c r="N72" i="10" s="1"/>
  <c r="K70" i="10"/>
  <c r="L70" i="10" s="1"/>
  <c r="N70" i="10" s="1"/>
  <c r="K67" i="10"/>
  <c r="K55" i="10"/>
  <c r="K41" i="10"/>
  <c r="L41" i="10" s="1"/>
  <c r="N41" i="10" s="1"/>
  <c r="K45" i="10"/>
  <c r="K49" i="10"/>
  <c r="K54" i="10"/>
  <c r="K53" i="10"/>
  <c r="L53" i="10" s="1"/>
  <c r="N53" i="10" s="1"/>
  <c r="K52" i="10"/>
  <c r="L52" i="10" s="1"/>
  <c r="N52" i="10" s="1"/>
  <c r="K46" i="10"/>
  <c r="K43" i="10"/>
  <c r="K40" i="10"/>
  <c r="L40" i="10" s="1"/>
  <c r="N40" i="10" s="1"/>
  <c r="K48" i="10"/>
  <c r="K42" i="10"/>
  <c r="K44" i="10"/>
  <c r="K47" i="10"/>
  <c r="K27" i="10"/>
  <c r="K37" i="10"/>
  <c r="K68" i="10"/>
  <c r="L68" i="10" s="1"/>
  <c r="N68" i="10" s="1"/>
  <c r="K183" i="10"/>
  <c r="K176" i="10"/>
  <c r="K203" i="10"/>
  <c r="K211" i="10"/>
  <c r="K9" i="10"/>
  <c r="L9" i="10" s="1"/>
  <c r="N9" i="10" s="1"/>
  <c r="K15" i="10"/>
  <c r="K17" i="10"/>
  <c r="K103" i="10"/>
  <c r="K182" i="10"/>
  <c r="K184" i="10"/>
  <c r="K196" i="10"/>
  <c r="K197" i="10"/>
  <c r="K204" i="10"/>
  <c r="K206" i="10"/>
  <c r="K228" i="10"/>
  <c r="K210" i="10"/>
  <c r="K69" i="10"/>
  <c r="N69" i="10" s="1"/>
  <c r="K12" i="10"/>
  <c r="K29" i="10"/>
  <c r="L29" i="10" s="1"/>
  <c r="N29" i="10" s="1"/>
  <c r="K63" i="10"/>
  <c r="K185" i="10"/>
  <c r="K16" i="10"/>
  <c r="K62" i="10"/>
  <c r="H24" i="10"/>
  <c r="K24" i="10" s="1"/>
  <c r="L24" i="10" s="1"/>
  <c r="N24" i="10" s="1"/>
  <c r="K23" i="10"/>
  <c r="K75" i="10"/>
  <c r="K199" i="10"/>
  <c r="K209" i="10"/>
  <c r="K216" i="10"/>
  <c r="K232" i="10"/>
  <c r="L232" i="10" s="1"/>
  <c r="N232" i="10" s="1"/>
  <c r="K20" i="10"/>
  <c r="K76" i="10"/>
  <c r="K181" i="10"/>
  <c r="L181" i="10" s="1"/>
  <c r="N181" i="10" s="1"/>
  <c r="K201" i="10"/>
  <c r="L201" i="10" s="1"/>
  <c r="N201" i="10" s="1"/>
  <c r="K202" i="10"/>
  <c r="L202" i="10" s="1"/>
  <c r="N202" i="10" s="1"/>
  <c r="K212" i="10"/>
  <c r="K215" i="10"/>
  <c r="K33" i="10"/>
  <c r="K34" i="10"/>
  <c r="K64" i="10"/>
  <c r="K194" i="10"/>
  <c r="K195" i="10"/>
  <c r="K28" i="10"/>
  <c r="K65" i="10"/>
  <c r="K180" i="10"/>
  <c r="L180" i="10" s="1"/>
  <c r="N180" i="10" s="1"/>
  <c r="K205" i="10"/>
  <c r="K213" i="10"/>
  <c r="M24" i="10"/>
  <c r="M235" i="10" s="1"/>
  <c r="K32" i="10"/>
  <c r="K59" i="10"/>
  <c r="L59" i="10" s="1"/>
  <c r="N59" i="10" s="1"/>
  <c r="K66" i="10"/>
  <c r="K175" i="10"/>
  <c r="K198" i="10"/>
  <c r="K208" i="10"/>
  <c r="K230" i="10"/>
  <c r="K231" i="10"/>
  <c r="L231" i="10" s="1"/>
  <c r="N231" i="10" s="1"/>
  <c r="N107" i="10" l="1"/>
  <c r="H107" i="17"/>
  <c r="M240" i="10"/>
  <c r="M241" i="10" s="1"/>
  <c r="C8" i="4"/>
  <c r="L221" i="10"/>
  <c r="L224" i="10"/>
  <c r="N224" i="10" s="1"/>
  <c r="L159" i="10"/>
  <c r="N159" i="10" s="1"/>
  <c r="L152" i="10"/>
  <c r="N152" i="10" s="1"/>
  <c r="L79" i="10"/>
  <c r="N79" i="10" s="1"/>
  <c r="L67" i="10"/>
  <c r="N67" i="10" s="1"/>
  <c r="L211" i="10"/>
  <c r="N211" i="10" s="1"/>
  <c r="L228" i="10"/>
  <c r="N228" i="10" s="1"/>
  <c r="L42" i="10"/>
  <c r="N42" i="10" s="1"/>
  <c r="L215" i="10"/>
  <c r="N215" i="10" s="1"/>
  <c r="L213" i="10"/>
  <c r="N213" i="10" s="1"/>
  <c r="L23" i="10"/>
  <c r="N23" i="10" s="1"/>
  <c r="L184" i="10"/>
  <c r="N184" i="10" s="1"/>
  <c r="L208" i="10"/>
  <c r="N208" i="10" s="1"/>
  <c r="L198" i="10"/>
  <c r="N198" i="10" s="1"/>
  <c r="L34" i="10"/>
  <c r="N34" i="10" s="1"/>
  <c r="L62" i="10"/>
  <c r="N62" i="10" s="1"/>
  <c r="L203" i="10"/>
  <c r="N203" i="10" s="1"/>
  <c r="L33" i="10"/>
  <c r="N33" i="10" s="1"/>
  <c r="L16" i="10"/>
  <c r="N16" i="10" s="1"/>
  <c r="L44" i="10"/>
  <c r="N44" i="10" s="1"/>
  <c r="L66" i="10"/>
  <c r="N66" i="10" s="1"/>
  <c r="L212" i="10"/>
  <c r="N212" i="10" s="1"/>
  <c r="L206" i="10"/>
  <c r="N206" i="10" s="1"/>
  <c r="L46" i="10"/>
  <c r="N46" i="10" s="1"/>
  <c r="L195" i="10"/>
  <c r="N195" i="10" s="1"/>
  <c r="L204" i="10"/>
  <c r="N204" i="10" s="1"/>
  <c r="L54" i="10"/>
  <c r="N54" i="10" s="1"/>
  <c r="L20" i="10"/>
  <c r="N20" i="10" s="1"/>
  <c r="L64" i="10"/>
  <c r="N64" i="10" s="1"/>
  <c r="L182" i="10"/>
  <c r="N182" i="10" s="1"/>
  <c r="L175" i="10"/>
  <c r="N175" i="10" s="1"/>
  <c r="L216" i="10"/>
  <c r="N216" i="10" s="1"/>
  <c r="L65" i="10"/>
  <c r="N65" i="10" s="1"/>
  <c r="L28" i="10"/>
  <c r="N28" i="10" s="1"/>
  <c r="L103" i="10"/>
  <c r="N103" i="10" s="1"/>
  <c r="L183" i="10"/>
  <c r="N183" i="10" s="1"/>
  <c r="L43" i="10"/>
  <c r="N43" i="10" s="1"/>
  <c r="L75" i="10"/>
  <c r="N75" i="10" s="1"/>
  <c r="L63" i="10"/>
  <c r="N63" i="10" s="1"/>
  <c r="L197" i="10"/>
  <c r="N197" i="10" s="1"/>
  <c r="L17" i="10"/>
  <c r="L37" i="10"/>
  <c r="N37" i="10" s="1"/>
  <c r="L49" i="10"/>
  <c r="N49" i="10" s="1"/>
  <c r="L12" i="10"/>
  <c r="N12" i="10" s="1"/>
  <c r="L205" i="10"/>
  <c r="N205" i="10" s="1"/>
  <c r="L176" i="10"/>
  <c r="N176" i="10" s="1"/>
  <c r="L55" i="10"/>
  <c r="N55" i="10" s="1"/>
  <c r="L47" i="10"/>
  <c r="N47" i="10" s="1"/>
  <c r="L210" i="10"/>
  <c r="N210" i="10" s="1"/>
  <c r="L48" i="10"/>
  <c r="N48" i="10" s="1"/>
  <c r="L209" i="10"/>
  <c r="N209" i="10" s="1"/>
  <c r="L32" i="10"/>
  <c r="N32" i="10" s="1"/>
  <c r="L199" i="10"/>
  <c r="N199" i="10" s="1"/>
  <c r="L185" i="10"/>
  <c r="N185" i="10" s="1"/>
  <c r="L194" i="10"/>
  <c r="N194" i="10" s="1"/>
  <c r="L230" i="10"/>
  <c r="N230" i="10" s="1"/>
  <c r="L76" i="10"/>
  <c r="N76" i="10" s="1"/>
  <c r="L196" i="10"/>
  <c r="N196" i="10" s="1"/>
  <c r="L15" i="10"/>
  <c r="N15" i="10" s="1"/>
  <c r="L27" i="10"/>
  <c r="N27" i="10" s="1"/>
  <c r="L45" i="10"/>
  <c r="N45" i="10" s="1"/>
  <c r="N221" i="10" l="1"/>
  <c r="H221" i="17"/>
  <c r="N17" i="10"/>
  <c r="N235" i="10" s="1"/>
  <c r="O235" i="10" s="1"/>
  <c r="H17" i="17"/>
  <c r="N239" i="10"/>
  <c r="O239" i="10" s="1"/>
  <c r="P239" i="10" s="1"/>
  <c r="N238" i="10"/>
  <c r="O238" i="10" s="1"/>
  <c r="P238" i="10" s="1"/>
  <c r="N237" i="10"/>
  <c r="N240" i="10" l="1"/>
  <c r="N241" i="10" s="1"/>
  <c r="O237" i="10"/>
  <c r="E8" i="4"/>
  <c r="G8" i="4" s="1"/>
  <c r="P237" i="10" l="1"/>
  <c r="O240" i="10"/>
  <c r="I8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Lindsay Waldram</author>
  </authors>
  <commentList>
    <comment ref="F33" authorId="0" shapeId="0" xr:uid="{671D01E1-AB85-4BE7-805A-E09A56E882D2}">
      <text>
        <r>
          <rPr>
            <sz val="9"/>
            <color indexed="81"/>
            <rFont val="Tahoma"/>
            <family val="2"/>
          </rPr>
          <t>Multiplied by count by 4.33</t>
        </r>
      </text>
    </comment>
    <comment ref="F34" authorId="0" shapeId="0" xr:uid="{2727E2BF-4429-493A-B9BC-B3877D6DF01E}">
      <text>
        <r>
          <rPr>
            <sz val="9"/>
            <color indexed="81"/>
            <rFont val="Tahoma"/>
            <family val="2"/>
          </rPr>
          <t>Multiplied by count by 4.33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tc={E288BFDB-B27C-4779-8FC9-64ABD9897A12}</author>
  </authors>
  <commentList>
    <comment ref="I2" authorId="0" shapeId="0" xr:uid="{E288BFDB-B27C-4779-8FC9-64ABD9897A12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columns I &amp; J for the DF filing to calculate annual p/u's to be used on the Disp Increase Calc tab.</t>
      </text>
    </comment>
  </commentList>
</comments>
</file>

<file path=xl/sharedStrings.xml><?xml version="1.0" encoding="utf-8"?>
<sst xmlns="http://schemas.openxmlformats.org/spreadsheetml/2006/main" count="2058" uniqueCount="493">
  <si>
    <t>Index</t>
  </si>
  <si>
    <t>Increase</t>
  </si>
  <si>
    <t>Residential</t>
  </si>
  <si>
    <t>1 Can MG</t>
  </si>
  <si>
    <t>1 Can WG</t>
  </si>
  <si>
    <t>1 64 Gallon Weekly</t>
  </si>
  <si>
    <t>1 96 Gallon Weekly</t>
  </si>
  <si>
    <t>1 300 Gallon Weekly</t>
  </si>
  <si>
    <t>Extra can or unit</t>
  </si>
  <si>
    <t>Total</t>
  </si>
  <si>
    <t>Commercial</t>
  </si>
  <si>
    <t xml:space="preserve">Calculation of B&amp;O Tax Increase </t>
  </si>
  <si>
    <t>Prior Tax Rate</t>
  </si>
  <si>
    <t>Current Tax Rate</t>
  </si>
  <si>
    <t>Annual Revenue</t>
  </si>
  <si>
    <t>Current Tariff Rate</t>
  </si>
  <si>
    <t>Customers Prior Rate Case</t>
  </si>
  <si>
    <t>Revised Tariff Rate</t>
  </si>
  <si>
    <t>Current Rate</t>
  </si>
  <si>
    <t>Proposed Rate</t>
  </si>
  <si>
    <t>Returned Check Charge</t>
  </si>
  <si>
    <t>Restart Fees</t>
  </si>
  <si>
    <t>Redelivery Fee Cart</t>
  </si>
  <si>
    <t>Redelivery Fee Container</t>
  </si>
  <si>
    <t>Over-sized/Weight Can</t>
  </si>
  <si>
    <t>Overtime Periods per hour</t>
  </si>
  <si>
    <t>Minimum Charge</t>
  </si>
  <si>
    <t>Return Trips Cans</t>
  </si>
  <si>
    <t>Return Trip Container</t>
  </si>
  <si>
    <t>Return Trip Drop Box</t>
  </si>
  <si>
    <t>Carry Out</t>
  </si>
  <si>
    <t>Drive-In Residential</t>
  </si>
  <si>
    <t>Drive-In Commercial</t>
  </si>
  <si>
    <t>Delivery Charge - 64 &amp; 96 gal</t>
  </si>
  <si>
    <t>Loose and Bulky - Carry Charge</t>
  </si>
  <si>
    <t>Time Rates - Tandem Non-Packer</t>
  </si>
  <si>
    <t>Time Rates - Tandem Packer</t>
  </si>
  <si>
    <t>Roll out Charges - Containers</t>
  </si>
  <si>
    <t>Roll out Charges - Carts</t>
  </si>
  <si>
    <t>Excess Weight - Overfilled Cart (All Sizes)</t>
  </si>
  <si>
    <t>Excess Weight - Overfilled Container</t>
  </si>
  <si>
    <t>Excess Weight - Overfilled Dbox</t>
  </si>
  <si>
    <t>Washing\Sanitizing - Container Delivery Charge</t>
  </si>
  <si>
    <t>Washing\Sanitizing - Dbox Delivery Charge</t>
  </si>
  <si>
    <t>Container Svc - Gate/Obstruction</t>
  </si>
  <si>
    <t>Container Svc - Comp Material Gate/Obstruction</t>
  </si>
  <si>
    <t>Container Svc - Comp Material Disconnect Charge</t>
  </si>
  <si>
    <t>Drop Box Svc - Rent</t>
  </si>
  <si>
    <t>Drop Box Svc - 20 Yd  Monthly Rent</t>
  </si>
  <si>
    <t>Drop Box Svc - 20Yd 1st p/u</t>
  </si>
  <si>
    <t>Drop Box Svc - 20Yd Ea. Addt'l p/u</t>
  </si>
  <si>
    <t>Drop Box Svc - 20Yd -Temporary Service</t>
  </si>
  <si>
    <t>Drop Box Svc - 20 Yd Delivery</t>
  </si>
  <si>
    <t>Drop Box Svc - 30 Yd  Monthly Rent</t>
  </si>
  <si>
    <t>Drop Box Svc - 30Yd 1st p/u</t>
  </si>
  <si>
    <t>Drop Box Svc - 30Yd Ea. Addt'l p/u</t>
  </si>
  <si>
    <t>Drop Box Svc - 30Yd -Temporary Service</t>
  </si>
  <si>
    <t>Drop Box Svc - 30 Yd Delivery</t>
  </si>
  <si>
    <t>Drop Box Svc - 40 Yd  Monthly Rent</t>
  </si>
  <si>
    <t>Drop Box Svc - 40Yd 1st p/u</t>
  </si>
  <si>
    <t>Drop Box Svc - 40Yd Ea. Addt'l p/u</t>
  </si>
  <si>
    <t>Drop Box Svc - 40Yd -Temporary Service</t>
  </si>
  <si>
    <t>Drop Box Svc - 40 Yd Delivery</t>
  </si>
  <si>
    <t>Drop Box Svc - Gate Charge</t>
  </si>
  <si>
    <t>Mileage Charge</t>
  </si>
  <si>
    <t>Drop Box Svc - Disconnect</t>
  </si>
  <si>
    <t>Drop Box Svc - Mileage</t>
  </si>
  <si>
    <t>Per Ton</t>
  </si>
  <si>
    <t>Calculated Revenue Increase</t>
  </si>
  <si>
    <t>As a result of increased B&amp;O Tax (Non Disposal)</t>
  </si>
  <si>
    <t>Current</t>
  </si>
  <si>
    <t xml:space="preserve">Proposed </t>
  </si>
  <si>
    <t>Revenue</t>
  </si>
  <si>
    <t>Dollars</t>
  </si>
  <si>
    <t>Percentage</t>
  </si>
  <si>
    <t>BDI</t>
  </si>
  <si>
    <t>EDS</t>
  </si>
  <si>
    <t>Description</t>
  </si>
  <si>
    <t>Item Number</t>
  </si>
  <si>
    <t>Page Number</t>
  </si>
  <si>
    <t>Can Carriage - Special Service</t>
  </si>
  <si>
    <t>2 Can WG</t>
  </si>
  <si>
    <t>3 Can WG</t>
  </si>
  <si>
    <t>4 Can WG</t>
  </si>
  <si>
    <t>5 Can WG</t>
  </si>
  <si>
    <t>6 Can WG</t>
  </si>
  <si>
    <t>Roll-out</t>
  </si>
  <si>
    <t>On-call</t>
  </si>
  <si>
    <t>Loose and Bulky - per cubic yard</t>
  </si>
  <si>
    <t>Time Rates - Single Non-packer</t>
  </si>
  <si>
    <t>Time Rates - Tandem Drop-box</t>
  </si>
  <si>
    <t>Time Rates - Tandem Minimum Charge</t>
  </si>
  <si>
    <t>Time Rates - Tandem Each Extra Person</t>
  </si>
  <si>
    <t>Time Rates - Single Minimum Charge</t>
  </si>
  <si>
    <t>Time Rates - Single Each Extra Person</t>
  </si>
  <si>
    <t>Time Rates - Truck &amp; Trailer</t>
  </si>
  <si>
    <t>Time Rates - Truck &amp; Trailer Each Extra Person</t>
  </si>
  <si>
    <t>Time Rates - Truck &amp; Trailer Minimum Charge</t>
  </si>
  <si>
    <t>Washing\Sanitizing - per yard</t>
  </si>
  <si>
    <t>Washing\Sanitizing - Minimum</t>
  </si>
  <si>
    <t>Permanent Service 64 Gal Cart - Pickup</t>
  </si>
  <si>
    <t>Permanent Service 96 Gal Cart - Pickup</t>
  </si>
  <si>
    <t>Permanent Service 300 Gal Cart - Pickup</t>
  </si>
  <si>
    <t>Temporary Service 96 Gal Cart - Initial Delivery</t>
  </si>
  <si>
    <t>Temporary Service 96 Gal Cart - Pickup</t>
  </si>
  <si>
    <t>Temporary Service 96 Gal Cart - Daily Rent</t>
  </si>
  <si>
    <t>Occassional Extra Unit</t>
  </si>
  <si>
    <t>Permanent Service 1.5 Yd - Pickup</t>
  </si>
  <si>
    <t>Permanent Service 2 Yd - Pickup</t>
  </si>
  <si>
    <t>Permanent Service 3 Yd - Pickup</t>
  </si>
  <si>
    <t>Permanent Service 4 Yd - Pickup</t>
  </si>
  <si>
    <t>Permanent Service 6 Yd - Pickup</t>
  </si>
  <si>
    <t>Permanent Service 8 Yd - Pickup</t>
  </si>
  <si>
    <t>Temporary Service 1 Yd - Pickup</t>
  </si>
  <si>
    <t>Temporary Service 1.5 Yd - Pickup</t>
  </si>
  <si>
    <t>Temporary Service 2 Yd - Pickup</t>
  </si>
  <si>
    <t>Temporary Service 3 Yd - Pickup</t>
  </si>
  <si>
    <t>Temporary Service 4 Yd - Pickup</t>
  </si>
  <si>
    <t>Temporary Service 6 Yd - Pickup</t>
  </si>
  <si>
    <t>Temporary Service 8 Yd - Pickup</t>
  </si>
  <si>
    <t>Temporary Service 1 Yd - Daily Rent</t>
  </si>
  <si>
    <t>Temporary Service 1.5 Yd - Daily Rent</t>
  </si>
  <si>
    <t>Temporary Service 2 Yd - Daily Rent</t>
  </si>
  <si>
    <t>Temporary Service 3 Yd - Daily Rent</t>
  </si>
  <si>
    <t>Temporary Service 4 Yd - Daily Rent</t>
  </si>
  <si>
    <t>Temporary Service 6 Yd - Daily Rent</t>
  </si>
  <si>
    <t>Temporary Service 8 Yd - Daily Rent</t>
  </si>
  <si>
    <t>Permanent Service 8 Yd - Special Pickup</t>
  </si>
  <si>
    <t>Permanent Service 6 Yd - Special Pickup</t>
  </si>
  <si>
    <t>Permanent Service 4 Yd - Special Pickup</t>
  </si>
  <si>
    <t>Permanent Service 3 Yd - Special Pickup</t>
  </si>
  <si>
    <t>Permanent Service 2 Yd - Special Pickup</t>
  </si>
  <si>
    <t>Permanent Service 1.5 Yd - Special Pickup</t>
  </si>
  <si>
    <t>Permanent Service 1 Yd - Special Pickup</t>
  </si>
  <si>
    <t>Temporary Service - Initial Delivery 1-8 yd</t>
  </si>
  <si>
    <t>Permanent Service 32 Gal Can - Pickup</t>
  </si>
  <si>
    <t>Permanent Service 32 Gal Can - Special Pickup</t>
  </si>
  <si>
    <t>Permanent Service 32 Gal Can - Minimum</t>
  </si>
  <si>
    <t>Container Svc - Comp Material Occasional Extra</t>
  </si>
  <si>
    <t>Drop Box Svc - 20 Yd Rent</t>
  </si>
  <si>
    <t>Drop Box Svc - 11 Yd Rent</t>
  </si>
  <si>
    <t>Drop Box Svc - 11 Yd  Monthly Rent</t>
  </si>
  <si>
    <t>Drop Box Svc - 11 Yd  1st p/u</t>
  </si>
  <si>
    <t>Drop Box Svc - 11 Yd  Ea. Addt'l p/u</t>
  </si>
  <si>
    <t>Drop Box Svc - 11 Yd Delivery</t>
  </si>
  <si>
    <t>Drop Box Svc - 11 Yd - Temporary Service</t>
  </si>
  <si>
    <t>Drop Box Svc - 15 Yd  Monthly Rent</t>
  </si>
  <si>
    <t>Drop Box Svc - 15 Yd  1st p/u</t>
  </si>
  <si>
    <t>Drop Box Svc - 15 Yd  Ea. Addt'l p/u</t>
  </si>
  <si>
    <t>Drop Box Svc - 15 Yd Delivery</t>
  </si>
  <si>
    <t>Drop Box Svc - 15 Yd - Temporary Service</t>
  </si>
  <si>
    <t>Drop Box Svc - 15 Yd Rent</t>
  </si>
  <si>
    <t>Drop Box Svc - Comp Material Disconnect Charge</t>
  </si>
  <si>
    <t>Drop Box Svc - 30-45 Yd  Comp Monthly Rent</t>
  </si>
  <si>
    <t>Drop Box Svc - 30 Yd Comp 1st p/u</t>
  </si>
  <si>
    <t>Drop Box Svc - 30 Yd  Comp Ea. Addt'l p/u</t>
  </si>
  <si>
    <t>Drop Box Svc - Comp Material (Cust Owned) Ea. p/u 15-40 Yd</t>
  </si>
  <si>
    <t>Redelivery Fee Drop Box</t>
  </si>
  <si>
    <t>Industrial Superfund Clean-Up</t>
  </si>
  <si>
    <t>Supp No. 6</t>
  </si>
  <si>
    <t>Per Unit</t>
  </si>
  <si>
    <t>Commericla Superfund Clean-Up</t>
  </si>
  <si>
    <t>Residential Superfund Clean-Up</t>
  </si>
  <si>
    <t>Industrial Perm 40 Yard Compactor - Haul</t>
  </si>
  <si>
    <t>Industrial Perm 35 Yard Compactor - Haul</t>
  </si>
  <si>
    <t>Industrial Perm 30 Yard Compactor - Haul</t>
  </si>
  <si>
    <t>Per Day</t>
  </si>
  <si>
    <t>Industrial Drop Box Compactor - Disconnect Fee</t>
  </si>
  <si>
    <t>Industrial Temp 40 Yard Drop Box - Delivery</t>
  </si>
  <si>
    <t>Industrial Temp 40 Yard Drop Box - Daily Rent</t>
  </si>
  <si>
    <t>Industrial Temp 40 Yard Drop Box - Haul</t>
  </si>
  <si>
    <t>Industrial Perm 11 Yard Drop Box - Minimum Monthly Charge</t>
  </si>
  <si>
    <t>Industrial Temp 20 Yard Drop Box - Delivery</t>
  </si>
  <si>
    <t>Industrial Temp 20 Yard Drop Box - Haul</t>
  </si>
  <si>
    <t>Industrial Temp 20 Yard Drop Box - Daily Rent</t>
  </si>
  <si>
    <t>Industrial Perm 40 Yard Drop Box - Minimum Monthly Charge</t>
  </si>
  <si>
    <t>Industrial Perm 20 Yard Drop Box - Minimum Monthly Charge</t>
  </si>
  <si>
    <t>Industrial Perm 20 Yard Drop Box - Haul</t>
  </si>
  <si>
    <t>Industrial Perm 30 Yard Drop Box - Haul</t>
  </si>
  <si>
    <t>Industrial Perm 30 Yard Drop Box - Minimum Monthly Charge</t>
  </si>
  <si>
    <t>Industrial Perm 40 Yard Drop Box - Haul</t>
  </si>
  <si>
    <t>Per Mile</t>
  </si>
  <si>
    <t xml:space="preserve">Industrial Mileage Charge </t>
  </si>
  <si>
    <t>Industrial Temp 50 Yard Drop Box - Haul</t>
  </si>
  <si>
    <t>Industrial Temp 50 Yard Drop Box - Delivery</t>
  </si>
  <si>
    <t>Industrial Temp 50 Yard Drop Box - Daily Rent</t>
  </si>
  <si>
    <t>Industrial Temp 50 Yard Drop Box - Bring-in</t>
  </si>
  <si>
    <t>Industrial Temp 40 Yard Drop Box - Bring-in</t>
  </si>
  <si>
    <t>Industrial Temp 30 Yard Drop Box - Haul</t>
  </si>
  <si>
    <t>Industrial Temp 30 Yard Drop Box - Delivery</t>
  </si>
  <si>
    <t>Industrial Temp 30 Yard Drop Box - Daily Rent</t>
  </si>
  <si>
    <t>Industrial Temp 30 Yard Drop Box - Bring-in</t>
  </si>
  <si>
    <t>Industrial Temp 20 Yard Drop Box - Bring-in</t>
  </si>
  <si>
    <t>Industrial Temp 15 Yard Drop Box - Haul</t>
  </si>
  <si>
    <t>Industrial Temp 15 Yard Drop Box - Delivery</t>
  </si>
  <si>
    <t>Industrial Temp 15 Yard Drop Box - Daily Rent</t>
  </si>
  <si>
    <t>Industrial Temp 15 Yard Drop Box - Bring-in</t>
  </si>
  <si>
    <t>Industrial Temp 11 Yard Drop Box - Haul</t>
  </si>
  <si>
    <t>Industrial Perm 50 Yard Drop Box - Minimum Monthly Charge</t>
  </si>
  <si>
    <t>Industrial Perm 50 Yard Drop Box - Haul</t>
  </si>
  <si>
    <t>Industrial Perm 50 Yard Drop Box - Bring-in</t>
  </si>
  <si>
    <t>Industrial Perm 40 Yard Drop Box - Bring-in</t>
  </si>
  <si>
    <t>Industrial Perm 30 Yard Drop Box - Bring-in</t>
  </si>
  <si>
    <t>Industrial Perm 20 Yard Drop Box - Bring-in</t>
  </si>
  <si>
    <t>Industrial Perm 15 Yard Drop Box - Minimum Monthly Charge</t>
  </si>
  <si>
    <t>Industrial Perm 15 Yard Drop Box - Haul</t>
  </si>
  <si>
    <t>Industrial Perm 15 Yard Drop Box - Bring-in</t>
  </si>
  <si>
    <t>Industrial Perm 11 Yard Drop Box - Haul</t>
  </si>
  <si>
    <t>Industrial Perm 11 Yard Drop Box - Daily Rent</t>
  </si>
  <si>
    <t xml:space="preserve">Industrial Perm 11 Yard Drop Box - Bring-in </t>
  </si>
  <si>
    <t>Per Pickup</t>
  </si>
  <si>
    <t>Industrial Gate Charge</t>
  </si>
  <si>
    <t>1xWK</t>
  </si>
  <si>
    <t>Industrial Drop Box - Locking Container</t>
  </si>
  <si>
    <t>Commercial 6.0 Yard Compactor Customer Owned - Special Pickup</t>
  </si>
  <si>
    <t>Commercial 6.0 Yard Compactor Customer Owned</t>
  </si>
  <si>
    <t>Commercial 4.0 Yard Compactor Customer Owned - Special Pickup</t>
  </si>
  <si>
    <t>Commercial 4.0 Yard Compactor Customer Owned</t>
  </si>
  <si>
    <t>Commercial 3.0 Yard Compactor Customer Owned - Special Pickup</t>
  </si>
  <si>
    <t>Commercial 3.0 Yard Compactor Customer Owned</t>
  </si>
  <si>
    <t>Commercial 2.0 Yard Compactor Customer Owned - Special Pickup</t>
  </si>
  <si>
    <t>Commercial 2.0 Yard Compactor Customer Owned</t>
  </si>
  <si>
    <t>Commercial 32 Gallon Cart - Special Pickup</t>
  </si>
  <si>
    <t>Commercial 32 Gallon Cart</t>
  </si>
  <si>
    <t>2xWK</t>
  </si>
  <si>
    <t>Commerical 96 Gallon Cart</t>
  </si>
  <si>
    <t>Commerical 64 Gallon Cart</t>
  </si>
  <si>
    <t>Commercial Open Gate Charge</t>
  </si>
  <si>
    <t>Commercial 96 Gallon Cart - Extra Dump</t>
  </si>
  <si>
    <t>Commercial 96 Gallon Cart</t>
  </si>
  <si>
    <t>1xEOW</t>
  </si>
  <si>
    <t>Commercial 96 Gallon - Special Pickup</t>
  </si>
  <si>
    <t>Commercial 8.0 Yard Container - Temp On Call</t>
  </si>
  <si>
    <t>Commercial 8.0 Yard Container - Temp Delivery</t>
  </si>
  <si>
    <t>Commercial 8.0 Yard Container - Temp Daily Rent</t>
  </si>
  <si>
    <t>Commercial 8.0 Yard Container - Special Pickup</t>
  </si>
  <si>
    <t>5xWK</t>
  </si>
  <si>
    <t>Commercial 8.0 Yard Container</t>
  </si>
  <si>
    <t>Commercial 64 Gallon Cart - Special Pickup</t>
  </si>
  <si>
    <t>Commercial 64 Gallon Cart - Extra Dump</t>
  </si>
  <si>
    <t>Commercial 64 Gallon Cart</t>
  </si>
  <si>
    <t>Commercial 6.0 Yard Container - Temp On Call</t>
  </si>
  <si>
    <t>Commercial 6.0 Yard Container - Temp Delivery</t>
  </si>
  <si>
    <t>Commercial 6.0 Yard Container - Temp Daily Rent</t>
  </si>
  <si>
    <t>Commercial 6.0 Yard Container - Special Pickup</t>
  </si>
  <si>
    <t>Commercial 6.0 Yard Container</t>
  </si>
  <si>
    <t>Commercial 4.0 Yard Container - Temp On Call</t>
  </si>
  <si>
    <t>Commercial 4.0 Yard Container - Temp Delivery</t>
  </si>
  <si>
    <t>Commercial 4.0 Yard Container - Temp Daily Rent</t>
  </si>
  <si>
    <t>Commercial 4.0 Yard Container - Special Pickup</t>
  </si>
  <si>
    <t>Commercial 4.0 Yard Container</t>
  </si>
  <si>
    <t>Commercial 300 Gallon Container - Temp On Call</t>
  </si>
  <si>
    <t>Commercial 300 Gallon Container - Special Pickup</t>
  </si>
  <si>
    <t>Commercial 300 Gallon Container</t>
  </si>
  <si>
    <t>Commercial 3.0 Yard Container - Temp On Call</t>
  </si>
  <si>
    <t>Commercial 3.0 Yard Container - Temp Delivery</t>
  </si>
  <si>
    <t>Commercial 3.0 Yard Container - Temp Daily Rent</t>
  </si>
  <si>
    <t>Commercial 3.0 Yard Container - Special Pickup</t>
  </si>
  <si>
    <t>Commercial 3.0 Yard Container</t>
  </si>
  <si>
    <t>Commercial 2.0 Yard Container - Temp On Call</t>
  </si>
  <si>
    <t>Commercial 2.0 Yard Container - Temp Delivery</t>
  </si>
  <si>
    <t>Commercial 2.0 Yard Container - Temp Daily Rent</t>
  </si>
  <si>
    <t>Commercial 2.0 Yard Container - Special Pickup</t>
  </si>
  <si>
    <t>Commercial 2.0 Yard Container</t>
  </si>
  <si>
    <t>Commercial 1.5 Yard Container - Temp On Call</t>
  </si>
  <si>
    <t>Commercial 1.5 Yard Container - Temp Delivery</t>
  </si>
  <si>
    <t>Commercial 1.5 Yard Container - Temp Daily Rent</t>
  </si>
  <si>
    <t>Commercial 1.5 Yard Container - Special Pickup</t>
  </si>
  <si>
    <t>Commercial 1.5 Yard Container</t>
  </si>
  <si>
    <t>Commercial 1.0 Yard Container - Temp On Call</t>
  </si>
  <si>
    <t>Commercial 1.0 Yard Container - Temp Delivery</t>
  </si>
  <si>
    <t>Commercial 1.0 Yard Container - Temp Daily Rent</t>
  </si>
  <si>
    <t>Commercial 1.0 Yard Container - Special Pickup</t>
  </si>
  <si>
    <t>Commercial 1.0 Yard Container</t>
  </si>
  <si>
    <t>Columbia Basin LLC - Appliance</t>
  </si>
  <si>
    <t>Columbia Basin LLC - Freon Appliance</t>
  </si>
  <si>
    <t>Columbia Basin LLC - MSW Disposal</t>
  </si>
  <si>
    <t>Columbia Basin LLC - Truck Tires w/Rim &gt;= 235/75 R16</t>
  </si>
  <si>
    <t>Columbia Basin LLC - Truck Tires &gt;= 235/75 R16</t>
  </si>
  <si>
    <t>Columbia Basin LLC - Semi Tires w/Rim</t>
  </si>
  <si>
    <t>Columbia Basin LLC - Semi Tires</t>
  </si>
  <si>
    <t>Columbia Basin LLC - Passenger Tires w/Rim &lt; 235/75 R16</t>
  </si>
  <si>
    <t>Columbia Basin LLC - Passenger Tires &lt; 235/75 R16</t>
  </si>
  <si>
    <t>Per Yard</t>
  </si>
  <si>
    <t>Commercial Steam Clean Container</t>
  </si>
  <si>
    <t>Commercial Rollout Container</t>
  </si>
  <si>
    <t>Commercial Rollout Cart</t>
  </si>
  <si>
    <t>Per Hour</t>
  </si>
  <si>
    <t>Industrial Time Charge - Tandem</t>
  </si>
  <si>
    <t>Industrial Time Charge - Single</t>
  </si>
  <si>
    <t>Commercial Time Charge - Tandem</t>
  </si>
  <si>
    <t>Commercial Time Charge - Single</t>
  </si>
  <si>
    <t>Residential Time Charge - Tandem Axle</t>
  </si>
  <si>
    <t>Residential Time Charge - Single Axle</t>
  </si>
  <si>
    <t>Residential Extra Person</t>
  </si>
  <si>
    <t>Commercial Extra Yards</t>
  </si>
  <si>
    <t>Residential Extra Yards</t>
  </si>
  <si>
    <t>Commercial Extra Bag/Box/Unit</t>
  </si>
  <si>
    <t>Residential On Call</t>
  </si>
  <si>
    <t>Residential Extra Bag/Box/Unit</t>
  </si>
  <si>
    <t>Residential Extra 32 Gallon Can</t>
  </si>
  <si>
    <t>Residential Cart Overfull</t>
  </si>
  <si>
    <t>Residential 96 Gallon Cart - Multi-Family</t>
  </si>
  <si>
    <t>Residential 96 Gallon Cart - Extra</t>
  </si>
  <si>
    <t>Residential 96 Gallon Cart - Duplex</t>
  </si>
  <si>
    <t>Residential 96 Gallon Cart - Delivery</t>
  </si>
  <si>
    <t>Residential 96 Gallon Cart</t>
  </si>
  <si>
    <t>Residential 96 Gallon Additional Cart</t>
  </si>
  <si>
    <t>Residential 64 Gallon Cart - Extra</t>
  </si>
  <si>
    <t>Residential 64 Gallon Cart</t>
  </si>
  <si>
    <t>Residential 6 Can</t>
  </si>
  <si>
    <t>Residential 5 Can</t>
  </si>
  <si>
    <t>Residential 4 Can</t>
  </si>
  <si>
    <t>Residential 300 Gallon Cart</t>
  </si>
  <si>
    <t>Residential 3 Can</t>
  </si>
  <si>
    <t>Residential 2 Can</t>
  </si>
  <si>
    <t>Residential 1 Can</t>
  </si>
  <si>
    <t>1xMO</t>
  </si>
  <si>
    <t>Residentail 64 Gallon Cart - Delivery</t>
  </si>
  <si>
    <t>Commercial Drive-in Fee Over 125-Feet</t>
  </si>
  <si>
    <t>Residential Drive in Fee Over 125-feet</t>
  </si>
  <si>
    <t>Residential Carryout/Rollout Service 25-feet plus per Cart</t>
  </si>
  <si>
    <t>Industrial Drop Box - Return Trip Charge</t>
  </si>
  <si>
    <t>Commercial 96 Gallon Cart - Return Trip</t>
  </si>
  <si>
    <t>Commercial 8.0 Yard Container - Return Trip</t>
  </si>
  <si>
    <t>Commercial 64 Gallon Cart - Return Trip</t>
  </si>
  <si>
    <t>Commercial 6.0 Yard Container - Return Trip</t>
  </si>
  <si>
    <t>Commercial 6.0 Yard Compactor - Return Trip</t>
  </si>
  <si>
    <t>Commercial 4.0 Yard Container - Return Trip</t>
  </si>
  <si>
    <t>Commercial 4.0 Yard Compactor - Return Trip</t>
  </si>
  <si>
    <t>Commercial 300 Gallon Container - Return Trip</t>
  </si>
  <si>
    <t>Commercial 3.0 Yard Container - Return Trip</t>
  </si>
  <si>
    <t>Commercial 3.0 Yard Compactor - Return Trip</t>
  </si>
  <si>
    <t>Commercial 200/220 Container - Return Trip</t>
  </si>
  <si>
    <t>Commercial 2.0 Yard Container - Return Trip</t>
  </si>
  <si>
    <t>Commercial 2.0 Yard Compactor - Return Trip</t>
  </si>
  <si>
    <t>Commercial 1.5 Yard Container - Return Trip</t>
  </si>
  <si>
    <t>Commercial 1.0 Yard Container - Return Trip</t>
  </si>
  <si>
    <t>Residential 96 Gallon Cart - Return Trip</t>
  </si>
  <si>
    <t>Residential 64 Gallon Cart - Return Trip</t>
  </si>
  <si>
    <t>Residential 32 Gallon Cart - Return Trip</t>
  </si>
  <si>
    <t>Residential 300 Gallon Container - Return Trip</t>
  </si>
  <si>
    <t>Industrial Overtime Charge</t>
  </si>
  <si>
    <t>Commercial 8.0 Yard Container - Non-Pay Delivery</t>
  </si>
  <si>
    <t>Commercial 64 Gallon Cart - Non-Pay Delivery</t>
  </si>
  <si>
    <t>Commercial 6.0 Yard Container - Non-Pay Delivery</t>
  </si>
  <si>
    <t>Commercial 4.0 Yard Container - Non-Pay Delivery</t>
  </si>
  <si>
    <t>Commercial 32 Gallon Cart - Non-Pay Delivery</t>
  </si>
  <si>
    <t>Commercial 300 Gallon Container - Non-Pay Delivery</t>
  </si>
  <si>
    <t>Plug to Balance</t>
  </si>
  <si>
    <t>Commercial 3.0 Yard Container - Non-Pay Delivery</t>
  </si>
  <si>
    <t>Commercial 2.0 Yard Container - Non-Pay Delivery</t>
  </si>
  <si>
    <t>Commercial 1.5 Yard Container - Non-Pay Delivery</t>
  </si>
  <si>
    <t>Difference</t>
  </si>
  <si>
    <t>Commercial 1.0 Yard Container - Non-Pay Delivery</t>
  </si>
  <si>
    <t>Revenue per Price Out</t>
  </si>
  <si>
    <t>Commercail 96 Gallon Cart - Non-Pay Delivery</t>
  </si>
  <si>
    <t>Revenue Requirement per LG</t>
  </si>
  <si>
    <t>Residential 96 Gallon Cart - Non-Pay Delivery</t>
  </si>
  <si>
    <t>Residential 64 Gallon Cart - Non-Pay Delivery</t>
  </si>
  <si>
    <t>Residential 300 Gallon Cart - Non-Pay Delivery</t>
  </si>
  <si>
    <t>Revised Increase</t>
  </si>
  <si>
    <t>Residentail 32 Gallon Cart - Non-Pay Delivery</t>
  </si>
  <si>
    <t>Commercail Restart Fee</t>
  </si>
  <si>
    <t>ROE</t>
  </si>
  <si>
    <t>Pct % Inc/(Decr) per LG</t>
  </si>
  <si>
    <t>Residential Restart Non-Pay Restart Fee</t>
  </si>
  <si>
    <t>ROA</t>
  </si>
  <si>
    <t>Commercial Return Check Fee</t>
  </si>
  <si>
    <t>NOPAT</t>
  </si>
  <si>
    <t>Residential Return Check Fee</t>
  </si>
  <si>
    <t>Operating Ratio</t>
  </si>
  <si>
    <t>Percent Change</t>
  </si>
  <si>
    <t>New Revised Revenue Inc/(Decr)</t>
  </si>
  <si>
    <t>Original Revised Revenue Inc/(Decr)</t>
  </si>
  <si>
    <t>New Proposed Revenue</t>
  </si>
  <si>
    <t>Original Proposed Revenue</t>
  </si>
  <si>
    <t>Current Revenue</t>
  </si>
  <si>
    <t>Revised Rate Inc/(Decr)</t>
  </si>
  <si>
    <t>New Proposed Rate</t>
  </si>
  <si>
    <t>Original Proposed Rate</t>
  </si>
  <si>
    <t>Annual Units</t>
  </si>
  <si>
    <t>Serviced</t>
  </si>
  <si>
    <t>Pricing Area</t>
  </si>
  <si>
    <t>Item</t>
  </si>
  <si>
    <t>Company</t>
  </si>
  <si>
    <t>Order</t>
  </si>
  <si>
    <t>Industrial Perm 40 Yard Compactor Customer Owned - Haul</t>
  </si>
  <si>
    <t>BENTON COUNTY</t>
  </si>
  <si>
    <t>Industrial Perm 35 Yard Compactor Customer Owned - Haul</t>
  </si>
  <si>
    <t>Industrial Perm 30 Yard Compactor Customer Owned - Haul</t>
  </si>
  <si>
    <t>Industrial Perm 20 Yard Compactor Customer Owned - Haul</t>
  </si>
  <si>
    <t>Industrial Perm 15 Yard Compactor Customer Owned - Haul</t>
  </si>
  <si>
    <t>Industrial Perm 45 Yard Compactor Company Owned -Month Rent</t>
  </si>
  <si>
    <t>Industrial Perm 45 Yard Compactor Company Owned - Month Rent</t>
  </si>
  <si>
    <t>Industrial Perm 40 Yard Compactor Company Owned - Month Rent</t>
  </si>
  <si>
    <t>Industrial Perm 35 Yard Compactor Company Owned - Month Rent</t>
  </si>
  <si>
    <t>Industrial Perm 30 Yard Compactor Company Owned - Month Rent</t>
  </si>
  <si>
    <t>Delist</t>
  </si>
  <si>
    <t>Industrial Temp 11 Yard Drop Box - Delivery</t>
  </si>
  <si>
    <t>Industrial Open/Unlock Gate Charge</t>
  </si>
  <si>
    <t>Commerical 2.0 Yard Compactor Company Owned - Special Pickup</t>
  </si>
  <si>
    <t>Commerical 2.0 Yard Compactor Company Owned</t>
  </si>
  <si>
    <t>Commercial 8.0 Yard Compactor Company Owned - Special Pickup</t>
  </si>
  <si>
    <t>Commercial 8.0 Yard Compactor Company Owned</t>
  </si>
  <si>
    <t>Commercial 6.0 Yard Compactor Company Owned - Special Pickup</t>
  </si>
  <si>
    <t>Commercial 6.0 Yard Compactor Company Owned</t>
  </si>
  <si>
    <t>Commercial 4.0 Yard Compactor Company Owned - Special Pickup</t>
  </si>
  <si>
    <t>Commercial 4.0 Yard Compactor Company Owned</t>
  </si>
  <si>
    <t>Commercial 3.0 Yard Compactor Company Owned - Special Pickup</t>
  </si>
  <si>
    <t>Commercial 3.0 Yard Compactor Company Owned</t>
  </si>
  <si>
    <t>Commercial 1.5 Yard Compactor Company Owned - Special Pickup</t>
  </si>
  <si>
    <t>Commercial 1.5 Yard Compactor Company Owned</t>
  </si>
  <si>
    <t>Commercial Temp Container Delivery Fee</t>
  </si>
  <si>
    <t>Commercial Open/Unlock Gate Charge</t>
  </si>
  <si>
    <t>Commercial 96 Gallon Cart - Additional Pickup</t>
  </si>
  <si>
    <t>Commercial 64 Gallon Cart - Additional Pickup</t>
  </si>
  <si>
    <t>per yard</t>
  </si>
  <si>
    <t>Waste Management Kenewick Transfer Station -MSW Disposal</t>
  </si>
  <si>
    <t>Finley Buttes Landfill - MSW Disposal</t>
  </si>
  <si>
    <t>City of Walla Walla Sudbury Landfill- MSW Disposal</t>
  </si>
  <si>
    <t>City of Richland Landfill - MSW Disposal</t>
  </si>
  <si>
    <t>Industrial Drop Box Overfull</t>
  </si>
  <si>
    <t>Commercial Container Overfull</t>
  </si>
  <si>
    <t>Industrial Time Charge - Tandem Drive</t>
  </si>
  <si>
    <t>Industrial Time Charge - Single Packer</t>
  </si>
  <si>
    <t>Industrial Time Charge - Single Drop Box</t>
  </si>
  <si>
    <t>Industrial Time Charge - Single Drive (Flatbed)</t>
  </si>
  <si>
    <t>Industrial Time Charge - Extra Person</t>
  </si>
  <si>
    <t>Commercial Bulky/Loose Materials</t>
  </si>
  <si>
    <t>Residential Rollout Service 5-feet plus per Cart</t>
  </si>
  <si>
    <t>Residential Extra Can/Bag/Unit</t>
  </si>
  <si>
    <t>Residential 64 Gallon Cart - Delivery</t>
  </si>
  <si>
    <t>Residential Carryout Service 25-feet plus per Cart</t>
  </si>
  <si>
    <t>Residential Return Trip Cart</t>
  </si>
  <si>
    <t>Commercial Return Trip Container</t>
  </si>
  <si>
    <t>Residential Cart Redelivery Fee</t>
  </si>
  <si>
    <t>Commercial Container Redelivery Fee</t>
  </si>
  <si>
    <t>Residential Restart Fee</t>
  </si>
  <si>
    <t>Commercial Restart Fee</t>
  </si>
  <si>
    <t>Look at</t>
  </si>
  <si>
    <t>Annual Pick-Ups</t>
  </si>
  <si>
    <t>Meeks Frequency</t>
  </si>
  <si>
    <t>Pct % Inc/(Decr)</t>
  </si>
  <si>
    <t>WUTC - BDI Benton Price Out</t>
  </si>
  <si>
    <t>Permanent Service 64 Gal Cart - Special Pickup</t>
  </si>
  <si>
    <t>Permanent Service 96 Gal Cart - Special Pickup</t>
  </si>
  <si>
    <t>Permanent Service 300 Gal Cart - Special Pickup</t>
  </si>
  <si>
    <t xml:space="preserve">Drop Box </t>
  </si>
  <si>
    <t xml:space="preserve">Item 51, Page 17 </t>
  </si>
  <si>
    <t xml:space="preserve">Item 52, Page 17 </t>
  </si>
  <si>
    <t xml:space="preserve">Item 55, Page 18 </t>
  </si>
  <si>
    <t xml:space="preserve">Item 60, Page 18 </t>
  </si>
  <si>
    <t xml:space="preserve">Item 70, Page 19 </t>
  </si>
  <si>
    <t xml:space="preserve">Item 80, Page 21 </t>
  </si>
  <si>
    <t xml:space="preserve">Item 90, Page 22 </t>
  </si>
  <si>
    <t xml:space="preserve">Item 100, Page 23 </t>
  </si>
  <si>
    <t xml:space="preserve">Item 150, Page 25 </t>
  </si>
  <si>
    <t xml:space="preserve">Item 160, Page 26 </t>
  </si>
  <si>
    <t xml:space="preserve">Item 260, Page 37 </t>
  </si>
  <si>
    <t xml:space="preserve">Item 270, Page 38 </t>
  </si>
  <si>
    <t xml:space="preserve">Item 275, Page 39 </t>
  </si>
  <si>
    <t xml:space="preserve">Item 50, Page 16 </t>
  </si>
  <si>
    <t>Item 100, Page 24</t>
  </si>
  <si>
    <t>Item 205, Page 28</t>
  </si>
  <si>
    <t>Item 207, Page 29</t>
  </si>
  <si>
    <t>Item 210, Page 30</t>
  </si>
  <si>
    <t>Item 240, Page 32</t>
  </si>
  <si>
    <t>32-A</t>
  </si>
  <si>
    <t>Item 240, Page 32A</t>
  </si>
  <si>
    <t>Permanent Service 1 Yd - First Pickup</t>
  </si>
  <si>
    <t>Permanent Service 1 Yd - Additional Pickup</t>
  </si>
  <si>
    <t>Item 245, Page 33</t>
  </si>
  <si>
    <t>Item 255, Page 34</t>
  </si>
  <si>
    <t>Permanent Service - Comp - 2 Yd - Pickup</t>
  </si>
  <si>
    <t>Permanent Service - Comp - 2 Yd - Special Pickup</t>
  </si>
  <si>
    <t>Permanent Service - Comp - 3 Yd - Pickup</t>
  </si>
  <si>
    <t>Permanent Service - Comp - 3 Yd - Special Pickup</t>
  </si>
  <si>
    <t>Permanent Service - Comp - 4 Yd - Pickup</t>
  </si>
  <si>
    <t>Permanent Service - Comp - 4 Yd - Special Pickup</t>
  </si>
  <si>
    <t>Permanent Service - Comp - 6 Yd - Pickup</t>
  </si>
  <si>
    <t>Permanent Service - Comp - 6 Yd - Special Pickup</t>
  </si>
  <si>
    <t>X</t>
  </si>
  <si>
    <t>Ed's Disposal, Inc. G-110</t>
  </si>
  <si>
    <t>Ed's Disposal, Inc.</t>
  </si>
  <si>
    <t>B&amp;O Increase %</t>
  </si>
  <si>
    <t>No Change</t>
  </si>
  <si>
    <t>Item 260, Page 35</t>
  </si>
  <si>
    <t xml:space="preserve">Item 270, Page 36 </t>
  </si>
  <si>
    <t>Item 275, Page 37</t>
  </si>
  <si>
    <t>Minimum half hour. Rounding adj.</t>
  </si>
  <si>
    <t>Drop Box Svc - 30-45 Yd Comp 1st p/u</t>
  </si>
  <si>
    <t>Drop Box Svc - 30-45 Yd  Comp Ea. Addt'l p/u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</si>
</sst>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.00"/>
    <numFmt numFmtId="167" formatCode="0.000%"/>
    <numFmt numFmtId="168" formatCode="General_)"/>
    <numFmt numFmtId="169" formatCode="_(&quot;$&quot;* #,##0_);_(&quot;$&quot;* \(#,##0\);_(&quot;$&quot;* &quot;-&quot;??_);_(@_)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name val="Helv"/>
    </font>
    <font>
      <sz val="9"/>
      <name val="Tahoma"/>
      <family val="2"/>
    </font>
    <font>
      <b/>
      <sz val="12"/>
      <name val="Times New Roman"/>
      <family val="1"/>
    </font>
    <font>
      <b/>
      <sz val="12"/>
      <color indexed="8"/>
      <name val="Times New Roman"/>
      <family val="1"/>
    </font>
    <font>
      <sz val="12"/>
      <name val="SWISS"/>
    </font>
    <font>
      <b/>
      <sz val="12"/>
      <color theme="1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9"/>
      </patternFill>
    </fill>
    <fill>
      <patternFill patternType="solid">
        <fgColor indexed="15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ck">
        <color rgb="FFFF0000"/>
      </right>
      <top/>
      <bottom/>
      <diagonal/>
    </border>
    <border>
      <left style="thick">
        <color rgb="FFFF0000"/>
      </left>
      <right style="thick">
        <color rgb="FFFF0000"/>
      </right>
      <top/>
      <bottom style="thick">
        <color rgb="FFFF0000"/>
      </bottom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ck">
        <color rgb="FFFF0000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  <xf numFmtId="168" fontId="12" fillId="0" borderId="0"/>
    <xf numFmtId="9" fontId="13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Alignment="0"/>
    <xf numFmtId="44" fontId="13" fillId="0" borderId="0" applyFont="0" applyFill="0" applyBorder="0" applyAlignment="0" applyProtection="0"/>
    <xf numFmtId="0" fontId="16" fillId="10" borderId="0"/>
    <xf numFmtId="9" fontId="1" fillId="0" borderId="0" applyFont="0" applyFill="0" applyBorder="0" applyAlignment="0" applyProtection="0"/>
  </cellStyleXfs>
  <cellXfs count="17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/>
    <xf numFmtId="0" fontId="0" fillId="0" borderId="2" xfId="0" applyBorder="1"/>
    <xf numFmtId="4" fontId="5" fillId="0" borderId="0" xfId="6" applyNumberFormat="1"/>
    <xf numFmtId="0" fontId="5" fillId="0" borderId="0" xfId="6"/>
    <xf numFmtId="0" fontId="0" fillId="0" borderId="7" xfId="0" applyBorder="1"/>
    <xf numFmtId="3" fontId="0" fillId="0" borderId="7" xfId="0" applyNumberFormat="1" applyBorder="1"/>
    <xf numFmtId="10" fontId="0" fillId="0" borderId="7" xfId="3" applyNumberFormat="1" applyFont="1" applyBorder="1"/>
    <xf numFmtId="0" fontId="0" fillId="0" borderId="3" xfId="0" applyBorder="1"/>
    <xf numFmtId="10" fontId="0" fillId="0" borderId="7" xfId="0" applyNumberFormat="1" applyBorder="1"/>
    <xf numFmtId="0" fontId="5" fillId="0" borderId="0" xfId="6" applyAlignment="1">
      <alignment horizontal="centerContinuous"/>
    </xf>
    <xf numFmtId="0" fontId="5" fillId="0" borderId="0" xfId="6" applyAlignment="1">
      <alignment horizontal="center" wrapText="1"/>
    </xf>
    <xf numFmtId="0" fontId="5" fillId="0" borderId="0" xfId="6" applyAlignment="1">
      <alignment horizontal="center"/>
    </xf>
    <xf numFmtId="167" fontId="5" fillId="0" borderId="0" xfId="6" applyNumberFormat="1" applyAlignment="1">
      <alignment horizontal="center"/>
    </xf>
    <xf numFmtId="10" fontId="5" fillId="0" borderId="0" xfId="6" applyNumberFormat="1" applyAlignment="1">
      <alignment horizontal="center"/>
    </xf>
    <xf numFmtId="0" fontId="5" fillId="6" borderId="0" xfId="6" applyFill="1"/>
    <xf numFmtId="0" fontId="5" fillId="6" borderId="0" xfId="6" applyFill="1" applyAlignment="1">
      <alignment horizontal="center" wrapText="1"/>
    </xf>
    <xf numFmtId="0" fontId="5" fillId="6" borderId="0" xfId="6" applyFill="1" applyAlignment="1">
      <alignment horizontal="center"/>
    </xf>
    <xf numFmtId="167" fontId="5" fillId="6" borderId="0" xfId="6" applyNumberFormat="1" applyFill="1" applyAlignment="1">
      <alignment horizontal="center"/>
    </xf>
    <xf numFmtId="10" fontId="5" fillId="6" borderId="0" xfId="6" applyNumberFormat="1" applyFill="1" applyAlignment="1">
      <alignment horizontal="center"/>
    </xf>
    <xf numFmtId="0" fontId="6" fillId="6" borderId="0" xfId="6" applyFont="1" applyFill="1"/>
    <xf numFmtId="0" fontId="5" fillId="0" borderId="0" xfId="6" applyAlignment="1">
      <alignment horizontal="right"/>
    </xf>
    <xf numFmtId="0" fontId="6" fillId="0" borderId="0" xfId="6" applyFont="1"/>
    <xf numFmtId="0" fontId="7" fillId="0" borderId="0" xfId="0" applyFont="1" applyAlignment="1">
      <alignment horizontal="left"/>
    </xf>
    <xf numFmtId="44" fontId="5" fillId="0" borderId="0" xfId="2" applyFont="1"/>
    <xf numFmtId="44" fontId="5" fillId="0" borderId="0" xfId="6" applyNumberFormat="1"/>
    <xf numFmtId="44" fontId="5" fillId="0" borderId="0" xfId="2" applyFont="1" applyBorder="1"/>
    <xf numFmtId="165" fontId="5" fillId="0" borderId="0" xfId="1" applyNumberFormat="1" applyFont="1"/>
    <xf numFmtId="0" fontId="10" fillId="0" borderId="0" xfId="7" applyFont="1"/>
    <xf numFmtId="3" fontId="11" fillId="0" borderId="0" xfId="8" applyNumberFormat="1" applyFont="1" applyBorder="1" applyAlignment="1">
      <alignment horizontal="center"/>
    </xf>
    <xf numFmtId="168" fontId="11" fillId="0" borderId="0" xfId="9" applyFont="1" applyAlignment="1">
      <alignment horizontal="center"/>
    </xf>
    <xf numFmtId="168" fontId="11" fillId="0" borderId="0" xfId="9" applyFont="1"/>
    <xf numFmtId="0" fontId="10" fillId="0" borderId="8" xfId="7" applyFont="1" applyBorder="1"/>
    <xf numFmtId="0" fontId="10" fillId="0" borderId="9" xfId="7" applyFont="1" applyBorder="1"/>
    <xf numFmtId="0" fontId="10" fillId="0" borderId="11" xfId="7" applyFont="1" applyBorder="1"/>
    <xf numFmtId="0" fontId="10" fillId="0" borderId="12" xfId="7" applyFont="1" applyBorder="1"/>
    <xf numFmtId="165" fontId="10" fillId="0" borderId="0" xfId="7" applyNumberFormat="1" applyFont="1"/>
    <xf numFmtId="10" fontId="10" fillId="0" borderId="0" xfId="10" applyNumberFormat="1" applyFont="1" applyBorder="1"/>
    <xf numFmtId="41" fontId="10" fillId="0" borderId="0" xfId="7" applyNumberFormat="1" applyFont="1"/>
    <xf numFmtId="169" fontId="11" fillId="0" borderId="0" xfId="11" applyNumberFormat="1" applyFont="1" applyFill="1" applyBorder="1" applyAlignment="1">
      <alignment wrapText="1"/>
    </xf>
    <xf numFmtId="166" fontId="11" fillId="7" borderId="0" xfId="8" applyNumberFormat="1" applyFont="1" applyFill="1" applyBorder="1" applyAlignment="1">
      <alignment horizontal="center" wrapText="1"/>
    </xf>
    <xf numFmtId="10" fontId="11" fillId="0" borderId="0" xfId="12" applyNumberFormat="1" applyFont="1" applyFill="1" applyBorder="1"/>
    <xf numFmtId="169" fontId="11" fillId="0" borderId="0" xfId="13" applyNumberFormat="1" applyFont="1" applyFill="1" applyBorder="1" applyAlignment="1">
      <alignment wrapText="1"/>
    </xf>
    <xf numFmtId="8" fontId="11" fillId="0" borderId="0" xfId="8" applyNumberFormat="1" applyFont="1" applyFill="1" applyBorder="1" applyAlignment="1">
      <alignment horizontal="center" wrapText="1"/>
    </xf>
    <xf numFmtId="166" fontId="11" fillId="0" borderId="0" xfId="8" applyNumberFormat="1" applyFont="1" applyFill="1" applyBorder="1" applyAlignment="1">
      <alignment horizontal="center" wrapText="1"/>
    </xf>
    <xf numFmtId="166" fontId="11" fillId="8" borderId="0" xfId="8" applyNumberFormat="1" applyFont="1" applyFill="1" applyBorder="1" applyAlignment="1">
      <alignment horizontal="center" wrapText="1"/>
    </xf>
    <xf numFmtId="10" fontId="10" fillId="9" borderId="0" xfId="10" applyNumberFormat="1" applyFont="1" applyFill="1"/>
    <xf numFmtId="0" fontId="10" fillId="9" borderId="0" xfId="7" applyFont="1" applyFill="1"/>
    <xf numFmtId="41" fontId="10" fillId="7" borderId="0" xfId="7" applyNumberFormat="1" applyFont="1" applyFill="1"/>
    <xf numFmtId="0" fontId="10" fillId="7" borderId="0" xfId="7" applyFont="1" applyFill="1" applyAlignment="1">
      <alignment horizontal="right"/>
    </xf>
    <xf numFmtId="41" fontId="10" fillId="7" borderId="1" xfId="7" applyNumberFormat="1" applyFont="1" applyFill="1" applyBorder="1"/>
    <xf numFmtId="0" fontId="11" fillId="7" borderId="0" xfId="16" applyFont="1" applyFill="1" applyAlignment="1">
      <alignment horizontal="right"/>
    </xf>
    <xf numFmtId="43" fontId="10" fillId="0" borderId="0" xfId="7" applyNumberFormat="1" applyFont="1"/>
    <xf numFmtId="10" fontId="17" fillId="7" borderId="0" xfId="10" applyNumberFormat="1" applyFont="1" applyFill="1" applyBorder="1"/>
    <xf numFmtId="0" fontId="14" fillId="11" borderId="0" xfId="16" applyFont="1" applyFill="1" applyAlignment="1">
      <alignment horizontal="right"/>
    </xf>
    <xf numFmtId="10" fontId="10" fillId="7" borderId="1" xfId="10" applyNumberFormat="1" applyFont="1" applyFill="1" applyBorder="1"/>
    <xf numFmtId="0" fontId="11" fillId="11" borderId="0" xfId="16" applyFont="1" applyFill="1" applyAlignment="1">
      <alignment horizontal="right"/>
    </xf>
    <xf numFmtId="10" fontId="11" fillId="7" borderId="0" xfId="10" applyNumberFormat="1" applyFont="1" applyFill="1" applyBorder="1"/>
    <xf numFmtId="169" fontId="10" fillId="0" borderId="0" xfId="7" applyNumberFormat="1" applyFont="1"/>
    <xf numFmtId="10" fontId="10" fillId="0" borderId="0" xfId="7" applyNumberFormat="1" applyFont="1"/>
    <xf numFmtId="0" fontId="15" fillId="4" borderId="1" xfId="7" applyFont="1" applyFill="1" applyBorder="1" applyAlignment="1">
      <alignment horizontal="center" wrapText="1"/>
    </xf>
    <xf numFmtId="0" fontId="15" fillId="4" borderId="13" xfId="7" applyFont="1" applyFill="1" applyBorder="1" applyAlignment="1">
      <alignment horizontal="center" wrapText="1"/>
    </xf>
    <xf numFmtId="169" fontId="10" fillId="0" borderId="15" xfId="7" applyNumberFormat="1" applyFont="1" applyBorder="1"/>
    <xf numFmtId="0" fontId="10" fillId="0" borderId="15" xfId="7" applyFont="1" applyBorder="1"/>
    <xf numFmtId="41" fontId="10" fillId="0" borderId="15" xfId="7" applyNumberFormat="1" applyFont="1" applyBorder="1"/>
    <xf numFmtId="0" fontId="17" fillId="0" borderId="16" xfId="7" applyFont="1" applyBorder="1"/>
    <xf numFmtId="165" fontId="5" fillId="0" borderId="0" xfId="1" applyNumberFormat="1" applyFont="1" applyAlignment="1">
      <alignment horizontal="centerContinuous"/>
    </xf>
    <xf numFmtId="10" fontId="11" fillId="0" borderId="0" xfId="17" applyNumberFormat="1" applyFont="1"/>
    <xf numFmtId="165" fontId="11" fillId="0" borderId="0" xfId="8" applyNumberFormat="1" applyFont="1"/>
    <xf numFmtId="10" fontId="10" fillId="0" borderId="0" xfId="10" applyNumberFormat="1" applyFont="1"/>
    <xf numFmtId="169" fontId="15" fillId="4" borderId="1" xfId="11" applyNumberFormat="1" applyFont="1" applyFill="1" applyBorder="1" applyAlignment="1">
      <alignment horizontal="right"/>
    </xf>
    <xf numFmtId="166" fontId="11" fillId="2" borderId="0" xfId="8" applyNumberFormat="1" applyFont="1" applyFill="1" applyBorder="1" applyAlignment="1">
      <alignment horizontal="center" wrapText="1"/>
    </xf>
    <xf numFmtId="168" fontId="11" fillId="3" borderId="0" xfId="9" applyFont="1" applyFill="1"/>
    <xf numFmtId="166" fontId="10" fillId="0" borderId="0" xfId="7" applyNumberFormat="1" applyFont="1"/>
    <xf numFmtId="9" fontId="10" fillId="0" borderId="0" xfId="10" applyFont="1"/>
    <xf numFmtId="3" fontId="11" fillId="12" borderId="0" xfId="8" applyNumberFormat="1" applyFont="1" applyFill="1" applyBorder="1" applyAlignment="1">
      <alignment horizontal="center"/>
    </xf>
    <xf numFmtId="168" fontId="11" fillId="12" borderId="0" xfId="9" applyFont="1" applyFill="1" applyAlignment="1">
      <alignment horizontal="center"/>
    </xf>
    <xf numFmtId="168" fontId="11" fillId="12" borderId="0" xfId="9" applyFont="1" applyFill="1"/>
    <xf numFmtId="0" fontId="10" fillId="12" borderId="0" xfId="7" applyFont="1" applyFill="1"/>
    <xf numFmtId="0" fontId="10" fillId="12" borderId="12" xfId="7" applyFont="1" applyFill="1" applyBorder="1"/>
    <xf numFmtId="3" fontId="11" fillId="5" borderId="0" xfId="8" applyNumberFormat="1" applyFont="1" applyFill="1" applyBorder="1" applyAlignment="1">
      <alignment horizontal="center"/>
    </xf>
    <xf numFmtId="168" fontId="11" fillId="5" borderId="0" xfId="9" applyFont="1" applyFill="1" applyAlignment="1">
      <alignment horizontal="center"/>
    </xf>
    <xf numFmtId="168" fontId="11" fillId="5" borderId="0" xfId="9" applyFont="1" applyFill="1"/>
    <xf numFmtId="0" fontId="10" fillId="5" borderId="0" xfId="7" applyFont="1" applyFill="1"/>
    <xf numFmtId="0" fontId="10" fillId="5" borderId="12" xfId="7" applyFont="1" applyFill="1" applyBorder="1"/>
    <xf numFmtId="3" fontId="11" fillId="13" borderId="0" xfId="8" applyNumberFormat="1" applyFont="1" applyFill="1" applyBorder="1" applyAlignment="1">
      <alignment horizontal="center"/>
    </xf>
    <xf numFmtId="169" fontId="10" fillId="0" borderId="14" xfId="7" applyNumberFormat="1" applyFont="1" applyBorder="1"/>
    <xf numFmtId="10" fontId="10" fillId="0" borderId="15" xfId="7" applyNumberFormat="1" applyFont="1" applyBorder="1"/>
    <xf numFmtId="10" fontId="11" fillId="11" borderId="15" xfId="10" applyNumberFormat="1" applyFont="1" applyFill="1" applyBorder="1"/>
    <xf numFmtId="0" fontId="11" fillId="11" borderId="15" xfId="16" applyFont="1" applyFill="1" applyBorder="1"/>
    <xf numFmtId="4" fontId="5" fillId="0" borderId="4" xfId="6" applyNumberFormat="1" applyBorder="1"/>
    <xf numFmtId="10" fontId="5" fillId="0" borderId="4" xfId="3" applyNumberFormat="1" applyFont="1" applyFill="1" applyBorder="1"/>
    <xf numFmtId="0" fontId="6" fillId="15" borderId="0" xfId="6" applyFont="1" applyFill="1"/>
    <xf numFmtId="0" fontId="5" fillId="15" borderId="0" xfId="6" applyFill="1"/>
    <xf numFmtId="0" fontId="5" fillId="15" borderId="0" xfId="6" applyFill="1" applyAlignment="1">
      <alignment horizontal="center" wrapText="1"/>
    </xf>
    <xf numFmtId="0" fontId="5" fillId="15" borderId="0" xfId="6" applyFill="1" applyAlignment="1">
      <alignment horizontal="center"/>
    </xf>
    <xf numFmtId="167" fontId="5" fillId="15" borderId="0" xfId="6" applyNumberFormat="1" applyFill="1" applyAlignment="1">
      <alignment horizontal="center"/>
    </xf>
    <xf numFmtId="10" fontId="5" fillId="15" borderId="0" xfId="6" applyNumberFormat="1" applyFill="1" applyAlignment="1">
      <alignment horizontal="center"/>
    </xf>
    <xf numFmtId="10" fontId="5" fillId="0" borderId="0" xfId="3" applyNumberFormat="1" applyFont="1"/>
    <xf numFmtId="165" fontId="10" fillId="0" borderId="0" xfId="1" applyNumberFormat="1" applyFont="1"/>
    <xf numFmtId="43" fontId="10" fillId="0" borderId="0" xfId="1" applyFont="1"/>
    <xf numFmtId="165" fontId="11" fillId="0" borderId="0" xfId="1" applyNumberFormat="1" applyFont="1" applyBorder="1" applyAlignment="1">
      <alignment horizontal="center"/>
    </xf>
    <xf numFmtId="43" fontId="11" fillId="0" borderId="0" xfId="1" applyFont="1" applyBorder="1" applyAlignment="1">
      <alignment horizontal="center"/>
    </xf>
    <xf numFmtId="3" fontId="11" fillId="16" borderId="0" xfId="8" applyNumberFormat="1" applyFont="1" applyFill="1" applyBorder="1" applyAlignment="1">
      <alignment horizontal="center"/>
    </xf>
    <xf numFmtId="168" fontId="11" fillId="16" borderId="0" xfId="9" applyFont="1" applyFill="1" applyAlignment="1">
      <alignment horizontal="center"/>
    </xf>
    <xf numFmtId="168" fontId="11" fillId="16" borderId="0" xfId="9" applyFont="1" applyFill="1"/>
    <xf numFmtId="43" fontId="10" fillId="0" borderId="11" xfId="1" applyFont="1" applyBorder="1"/>
    <xf numFmtId="168" fontId="11" fillId="17" borderId="0" xfId="9" applyFont="1" applyFill="1" applyAlignment="1">
      <alignment horizontal="center"/>
    </xf>
    <xf numFmtId="168" fontId="11" fillId="17" borderId="0" xfId="9" applyFont="1" applyFill="1"/>
    <xf numFmtId="0" fontId="10" fillId="17" borderId="0" xfId="7" applyFont="1" applyFill="1"/>
    <xf numFmtId="3" fontId="11" fillId="17" borderId="0" xfId="8" applyNumberFormat="1" applyFont="1" applyFill="1" applyBorder="1" applyAlignment="1">
      <alignment horizontal="center"/>
    </xf>
    <xf numFmtId="165" fontId="11" fillId="12" borderId="0" xfId="1" applyNumberFormat="1" applyFont="1" applyFill="1" applyBorder="1" applyAlignment="1">
      <alignment horizontal="center"/>
    </xf>
    <xf numFmtId="43" fontId="11" fillId="12" borderId="0" xfId="1" applyFont="1" applyFill="1" applyBorder="1" applyAlignment="1">
      <alignment horizontal="center"/>
    </xf>
    <xf numFmtId="43" fontId="11" fillId="12" borderId="0" xfId="1" applyFont="1" applyFill="1" applyBorder="1"/>
    <xf numFmtId="165" fontId="11" fillId="5" borderId="0" xfId="1" applyNumberFormat="1" applyFont="1" applyFill="1" applyBorder="1" applyAlignment="1">
      <alignment horizontal="center"/>
    </xf>
    <xf numFmtId="43" fontId="11" fillId="5" borderId="0" xfId="1" applyFont="1" applyFill="1" applyBorder="1" applyAlignment="1">
      <alignment horizontal="center"/>
    </xf>
    <xf numFmtId="43" fontId="10" fillId="0" borderId="0" xfId="1" applyFont="1" applyBorder="1"/>
    <xf numFmtId="165" fontId="15" fillId="14" borderId="1" xfId="1" applyNumberFormat="1" applyFont="1" applyFill="1" applyBorder="1" applyAlignment="1">
      <alignment horizontal="center" wrapText="1"/>
    </xf>
    <xf numFmtId="43" fontId="15" fillId="14" borderId="1" xfId="1" applyFont="1" applyFill="1" applyBorder="1" applyAlignment="1">
      <alignment horizontal="center" wrapText="1"/>
    </xf>
    <xf numFmtId="165" fontId="10" fillId="0" borderId="15" xfId="1" applyNumberFormat="1" applyFont="1" applyBorder="1"/>
    <xf numFmtId="43" fontId="10" fillId="0" borderId="15" xfId="1" applyFont="1" applyBorder="1"/>
    <xf numFmtId="10" fontId="5" fillId="0" borderId="0" xfId="6" applyNumberFormat="1"/>
    <xf numFmtId="43" fontId="5" fillId="0" borderId="0" xfId="1" applyFont="1"/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0" xfId="0" applyNumberFormat="1" applyBorder="1"/>
    <xf numFmtId="3" fontId="0" fillId="0" borderId="9" xfId="0" applyNumberFormat="1" applyBorder="1"/>
    <xf numFmtId="3" fontId="0" fillId="0" borderId="8" xfId="0" applyNumberFormat="1" applyBorder="1"/>
    <xf numFmtId="4" fontId="5" fillId="18" borderId="0" xfId="6" applyNumberFormat="1" applyFill="1"/>
    <xf numFmtId="165" fontId="5" fillId="0" borderId="1" xfId="1" applyNumberFormat="1" applyFont="1" applyBorder="1"/>
    <xf numFmtId="165" fontId="5" fillId="0" borderId="17" xfId="1" applyNumberFormat="1" applyFont="1" applyBorder="1"/>
    <xf numFmtId="165" fontId="5" fillId="0" borderId="18" xfId="1" applyNumberFormat="1" applyFont="1" applyBorder="1" applyAlignment="1">
      <alignment horizontal="center" wrapText="1"/>
    </xf>
    <xf numFmtId="165" fontId="5" fillId="6" borderId="18" xfId="1" applyNumberFormat="1" applyFont="1" applyFill="1" applyBorder="1" applyAlignment="1">
      <alignment horizontal="center" wrapText="1"/>
    </xf>
    <xf numFmtId="165" fontId="5" fillId="0" borderId="18" xfId="1" applyNumberFormat="1" applyFont="1" applyBorder="1"/>
    <xf numFmtId="165" fontId="5" fillId="15" borderId="18" xfId="1" applyNumberFormat="1" applyFont="1" applyFill="1" applyBorder="1" applyAlignment="1">
      <alignment horizontal="center" wrapText="1"/>
    </xf>
    <xf numFmtId="165" fontId="5" fillId="15" borderId="18" xfId="1" applyNumberFormat="1" applyFont="1" applyFill="1" applyBorder="1"/>
    <xf numFmtId="165" fontId="5" fillId="0" borderId="18" xfId="1" applyNumberFormat="1" applyFont="1" applyFill="1" applyBorder="1" applyAlignment="1">
      <alignment horizontal="center" wrapText="1"/>
    </xf>
    <xf numFmtId="165" fontId="5" fillId="0" borderId="18" xfId="1" applyNumberFormat="1" applyFont="1" applyFill="1" applyBorder="1"/>
    <xf numFmtId="165" fontId="4" fillId="0" borderId="18" xfId="1" applyNumberFormat="1" applyFont="1" applyBorder="1"/>
    <xf numFmtId="165" fontId="5" fillId="0" borderId="19" xfId="1" applyNumberFormat="1" applyFont="1" applyBorder="1"/>
    <xf numFmtId="0" fontId="5" fillId="0" borderId="12" xfId="6" applyBorder="1" applyAlignment="1">
      <alignment horizontal="center" wrapText="1"/>
    </xf>
    <xf numFmtId="0" fontId="5" fillId="0" borderId="11" xfId="6" applyBorder="1" applyAlignment="1">
      <alignment horizontal="center" wrapText="1"/>
    </xf>
    <xf numFmtId="0" fontId="5" fillId="6" borderId="12" xfId="6" applyFill="1" applyBorder="1" applyAlignment="1">
      <alignment horizontal="center" wrapText="1"/>
    </xf>
    <xf numFmtId="0" fontId="5" fillId="6" borderId="11" xfId="6" applyFill="1" applyBorder="1" applyAlignment="1">
      <alignment horizontal="center" wrapText="1"/>
    </xf>
    <xf numFmtId="4" fontId="5" fillId="0" borderId="12" xfId="6" applyNumberFormat="1" applyBorder="1"/>
    <xf numFmtId="4" fontId="5" fillId="0" borderId="11" xfId="6" applyNumberFormat="1" applyBorder="1"/>
    <xf numFmtId="0" fontId="5" fillId="15" borderId="12" xfId="6" applyFill="1" applyBorder="1" applyAlignment="1">
      <alignment horizontal="center" wrapText="1"/>
    </xf>
    <xf numFmtId="0" fontId="5" fillId="15" borderId="11" xfId="6" applyFill="1" applyBorder="1" applyAlignment="1">
      <alignment horizontal="center" wrapText="1"/>
    </xf>
    <xf numFmtId="0" fontId="5" fillId="0" borderId="12" xfId="6" applyBorder="1"/>
    <xf numFmtId="0" fontId="5" fillId="0" borderId="11" xfId="6" applyBorder="1"/>
    <xf numFmtId="4" fontId="5" fillId="0" borderId="20" xfId="6" applyNumberFormat="1" applyBorder="1"/>
    <xf numFmtId="4" fontId="5" fillId="0" borderId="21" xfId="6" applyNumberFormat="1" applyBorder="1"/>
    <xf numFmtId="43" fontId="5" fillId="0" borderId="10" xfId="1" applyFont="1" applyBorder="1"/>
    <xf numFmtId="43" fontId="5" fillId="0" borderId="8" xfId="1" applyFont="1" applyBorder="1"/>
    <xf numFmtId="165" fontId="10" fillId="0" borderId="0" xfId="1" applyNumberFormat="1" applyFont="1" applyBorder="1"/>
    <xf numFmtId="169" fontId="15" fillId="4" borderId="10" xfId="11" applyNumberFormat="1" applyFont="1" applyFill="1" applyBorder="1" applyAlignment="1">
      <alignment horizontal="right"/>
    </xf>
    <xf numFmtId="169" fontId="15" fillId="4" borderId="9" xfId="11" applyNumberFormat="1" applyFont="1" applyFill="1" applyBorder="1" applyAlignment="1">
      <alignment horizontal="right"/>
    </xf>
    <xf numFmtId="169" fontId="15" fillId="4" borderId="10" xfId="11" applyNumberFormat="1" applyFont="1" applyFill="1" applyBorder="1" applyAlignment="1">
      <alignment horizontal="left"/>
    </xf>
    <xf numFmtId="43" fontId="15" fillId="4" borderId="9" xfId="1" applyFont="1" applyFill="1" applyBorder="1" applyAlignment="1">
      <alignment horizontal="right"/>
    </xf>
    <xf numFmtId="165" fontId="15" fillId="4" borderId="9" xfId="1" applyNumberFormat="1" applyFont="1" applyFill="1" applyBorder="1" applyAlignment="1">
      <alignment horizontal="right"/>
    </xf>
    <xf numFmtId="169" fontId="15" fillId="0" borderId="9" xfId="11" applyNumberFormat="1" applyFont="1" applyFill="1" applyBorder="1" applyAlignment="1">
      <alignment horizontal="right"/>
    </xf>
    <xf numFmtId="169" fontId="15" fillId="4" borderId="9" xfId="15" applyNumberFormat="1" applyFont="1" applyFill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5" fillId="0" borderId="16" xfId="6" applyBorder="1" applyAlignment="1">
      <alignment horizontal="center"/>
    </xf>
    <xf numFmtId="0" fontId="5" fillId="0" borderId="14" xfId="6" applyBorder="1" applyAlignment="1">
      <alignment horizontal="center"/>
    </xf>
    <xf numFmtId="0" fontId="5" fillId="0" borderId="0" xfId="6" applyAlignment="1">
      <alignment horizontal="center"/>
    </xf>
  </cellXfs>
  <cellStyles count="18">
    <cellStyle name="Comma" xfId="1" builtinId="3"/>
    <cellStyle name="Comma 14" xfId="8" xr:uid="{4C5C283D-ECC2-4DC6-85BE-D78115F19213}"/>
    <cellStyle name="Currency" xfId="2" builtinId="4"/>
    <cellStyle name="Currency 2" xfId="5" xr:uid="{00000000-0005-0000-0000-000002000000}"/>
    <cellStyle name="Currency 3" xfId="13" xr:uid="{4345C27D-07AA-49AE-8C5C-38EDCE1A120E}"/>
    <cellStyle name="Currency 3 2" xfId="11" xr:uid="{5F97F129-2FAB-45C9-9793-07B2846BEC21}"/>
    <cellStyle name="Currency 4" xfId="15" xr:uid="{51181DA1-C298-40BA-AE58-8BBD0A1AECB3}"/>
    <cellStyle name="Normal" xfId="0" builtinId="0"/>
    <cellStyle name="Normal 105" xfId="4" xr:uid="{00000000-0005-0000-0000-000004000000}"/>
    <cellStyle name="Normal 15" xfId="7" xr:uid="{D07EBD8B-4892-40D3-88EF-69DA29018944}"/>
    <cellStyle name="Normal 2" xfId="6" xr:uid="{00000000-0005-0000-0000-000005000000}"/>
    <cellStyle name="Normal 3" xfId="14" xr:uid="{A7D78A3E-860D-4134-906C-C74D3033233D}"/>
    <cellStyle name="Normal 4" xfId="16" xr:uid="{261911C4-A6D2-48B9-A3EE-7F1801AE3850}"/>
    <cellStyle name="Normal 5 2" xfId="9" xr:uid="{913FF4EB-7673-4C66-B569-907D95B3753A}"/>
    <cellStyle name="Percent" xfId="3" builtinId="5"/>
    <cellStyle name="Percent 2" xfId="10" xr:uid="{8C0E48BF-062A-498A-A812-3F77760F3F63}"/>
    <cellStyle name="Percent 3 3" xfId="12" xr:uid="{939F7400-399D-4ABA-859C-DB2556964782}"/>
    <cellStyle name="Percent 8" xfId="17" xr:uid="{A4CCC9E3-A7B4-46D1-A46A-A578DFEF2EDA}"/>
  </cellStyles>
  <dxfs count="4">
    <dxf>
      <fill>
        <patternFill>
          <bgColor rgb="FFFF7C8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9.xml"/><Relationship Id="rId18" Type="http://schemas.openxmlformats.org/officeDocument/2006/relationships/externalLink" Target="externalLinks/externalLink14.xml"/><Relationship Id="rId26" Type="http://schemas.openxmlformats.org/officeDocument/2006/relationships/externalLink" Target="externalLinks/externalLink22.xml"/><Relationship Id="rId21" Type="http://schemas.openxmlformats.org/officeDocument/2006/relationships/externalLink" Target="externalLinks/externalLink17.xml"/><Relationship Id="rId34" Type="http://schemas.openxmlformats.org/officeDocument/2006/relationships/customXml" Target="../customXml/item1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externalLink" Target="externalLinks/externalLink13.xml"/><Relationship Id="rId25" Type="http://schemas.openxmlformats.org/officeDocument/2006/relationships/externalLink" Target="externalLinks/externalLink21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2.xml"/><Relationship Id="rId20" Type="http://schemas.openxmlformats.org/officeDocument/2006/relationships/externalLink" Target="externalLinks/externalLink16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24" Type="http://schemas.openxmlformats.org/officeDocument/2006/relationships/externalLink" Target="externalLinks/externalLink20.xml"/><Relationship Id="rId32" Type="http://schemas.microsoft.com/office/2017/10/relationships/person" Target="persons/person.xml"/><Relationship Id="rId37" Type="http://schemas.openxmlformats.org/officeDocument/2006/relationships/customXml" Target="../customXml/item4.xml"/><Relationship Id="rId5" Type="http://schemas.openxmlformats.org/officeDocument/2006/relationships/externalLink" Target="externalLinks/externalLink1.xml"/><Relationship Id="rId15" Type="http://schemas.openxmlformats.org/officeDocument/2006/relationships/externalLink" Target="externalLinks/externalLink11.xml"/><Relationship Id="rId23" Type="http://schemas.openxmlformats.org/officeDocument/2006/relationships/externalLink" Target="externalLinks/externalLink19.xml"/><Relationship Id="rId28" Type="http://schemas.openxmlformats.org/officeDocument/2006/relationships/externalLink" Target="externalLinks/externalLink24.xml"/><Relationship Id="rId36" Type="http://schemas.openxmlformats.org/officeDocument/2006/relationships/customXml" Target="../customXml/item3.xml"/><Relationship Id="rId10" Type="http://schemas.openxmlformats.org/officeDocument/2006/relationships/externalLink" Target="externalLinks/externalLink6.xml"/><Relationship Id="rId19" Type="http://schemas.openxmlformats.org/officeDocument/2006/relationships/externalLink" Target="externalLinks/externalLink15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externalLink" Target="externalLinks/externalLink10.xml"/><Relationship Id="rId22" Type="http://schemas.openxmlformats.org/officeDocument/2006/relationships/externalLink" Target="externalLinks/externalLink18.xml"/><Relationship Id="rId27" Type="http://schemas.openxmlformats.org/officeDocument/2006/relationships/externalLink" Target="externalLinks/externalLink23.xml"/><Relationship Id="rId30" Type="http://schemas.openxmlformats.org/officeDocument/2006/relationships/styles" Target="styles.xml"/><Relationship Id="rId35" Type="http://schemas.openxmlformats.org/officeDocument/2006/relationships/customXml" Target="../customXml/item2.xml"/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_db5_srv\SRC\User\REPORTS\STANDARD%20REPORTS\CUSTOM%20REPORTS\PL_RollingTrend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shon\Rate%20Incr%201-1-2013\ProForma%20Pacific%20Disposal_Staff%20Final%20outcome%208-20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FOLDER/CITIES-Fuel%20Surcharge-Rates-Etc/_MasterData_RateCase/CostAllocationModel_v4.1-1.1f%20(Dave%20Edits)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NANCIAL%20FOLDER\CITIES-Fuel%20Surcharge-Rates-Etc\_MasterData_RateCase\CostAllocationModel_v4.1-1.1f%20(Dave%20Edits)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WCNX%20Stuff/Excel/Financials/Excel%20Financials/ExcelFinancia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CNX%20Stuff\Excel\Financials\Excel%20Financials\ExcelFinancial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Vashon/Rate%20Incr%201-1-2012/Vashon%20Pro%20Form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shon\Rate%20Incr%201-1-2012\Vashon%20Pro%20Forma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cinf06\sacshare\Data_Automation\DMS\RouteManagerReports\RM_MM001_Query_v4c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Annual%20Reports/2180%20LeMay/2009/LeMay%20Annual%20Report%200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nnual%20Reports\2180%20LeMay\2009\LeMay%20Annual%20Report%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RC%20Reports/SRC%20Format/Bonus%20Schedule/PNWR%20SRC%20Bonus%20Schedule%2020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LeMay/Master%20Truck%20Schedule/South_LeMay%20Master%20Truck%20Schedule-Shared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May\Master%20Truck%20Schedule\South_LeMay%20Master%20Truck%20Schedule-Share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celFinancials_v3c1" TargetMode="External"/></Relationships>
</file>

<file path=xl/externalLinks/_rels/externalLink23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basindisposal.sharepoint.com/sites/AccountingTeam/Shared%20Documents/Rate%20Making/WUTC/01-BDI-Tariff%2094/Rate%20Increase%20Filings/2023/DF%20Eff.%201.1.2024/230187-GRC-Basin%20Disposal-Staff%20Wkbk-Revised%205-16-23_Company_Final.xlsx" TargetMode="External"/><Relationship Id="rId2" Type="http://schemas.microsoft.com/office/2019/04/relationships/externalLinkLongPath" Target="/sites/AccountingTeam/Shared%20Documents/Rate%20Making/WUTC/02-EDS-Tariff%20110/Rate%20Increase%20Filings/2023/1.1.2024%20DF/230187-GRC-Basin%20Disposal-Staff%20Wkbk-Revised%205-16-23_Company_Final.xlsx?A512C2D1" TargetMode="External"/><Relationship Id="rId1" Type="http://schemas.openxmlformats.org/officeDocument/2006/relationships/externalLinkPath" Target="file:///\\A512C2D1\230187-GRC-Basin%20Disposal-Staff%20Wkbk-Revised%205-16-23_Company_Final.xlsx" TargetMode="External"/></Relationships>
</file>

<file path=xl/externalLinks/_rels/externalLink2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inds\Downloads\Ed's-%20DF%20Rate%20Calculation%20Jan2024%20(C).xlsx" TargetMode="External"/><Relationship Id="rId1" Type="http://schemas.openxmlformats.org/officeDocument/2006/relationships/externalLinkPath" Target="file:///C:\Users\linds\Downloads\Ed's-%20DF%20Rate%20Calculation%20Jan2024%20(C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RC%20Reports\SRC%20Format\Bonus%20Schedule\PNWR%20SRC%20Bonus%20Schedule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i-file\admin\Users\angelina\AppData\Local\Microsoft\Windows\Temporary%20Internet%20Files\Content.Outlook\1AXMKK8L\PSC%20unique%20cust_6-25-1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FOLDER/CITIES-Fuel%20Surcharge-Rates-Etc/_MasterData_RateCase/CityRateCases/BDI%20Cost%20Allocation%20Model%20Ver%203.4%204-19-17%20(CB%20New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FINANCIAL%20FOLDER\CITIES-Fuel%20Surcharge-Rates-Etc\_MasterData_RateCase\CityRateCases\BDI%20Cost%20Allocation%20Model%20Ver%203.4%204-19-17%20(CB%20New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hris/Documents/Bell%20&amp;%20Associates/City%20of%20Yakima/Rates%202016/Yakima%20City%20SW%20Cost%20Workbook%2020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hris\Documents\Bell%20&amp;%20Associates\City%20of%20Yakima\Rates%202016\Yakima%20City%20SW%20Cost%20Workbook%20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Vashon/Rate%20Incr%201-1-2013/ProForma%20Pacific%20Disposal_Staff%20Final%20outcome%208-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Instructions"/>
      <sheetName val="User"/>
      <sheetName val="Settings"/>
      <sheetName val="Orientation"/>
      <sheetName val="Delivery"/>
      <sheetName val="RptClose"/>
      <sheetName val="Hid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A IS"/>
      <sheetName val="2183 IS"/>
      <sheetName val="2184 IS"/>
      <sheetName val="2185 IS"/>
      <sheetName val="Consolidated IS"/>
      <sheetName val="Ratios Thurston"/>
      <sheetName val="2183 Pro forma"/>
      <sheetName val="2183 Ratios"/>
      <sheetName val="Restating Expl"/>
      <sheetName val="Pro forma Expl"/>
      <sheetName val="Pacific Regulated - Price Out"/>
      <sheetName val="Total Matrix"/>
      <sheetName val="Packer_RO Matrix"/>
      <sheetName val="COS Packer_RO"/>
      <sheetName val="Res YW Matix"/>
      <sheetName val="Res Recy Matrix"/>
      <sheetName val="MF Recy Matrix"/>
      <sheetName val="COS RR YW MFR"/>
      <sheetName val="Total Pac,Rural"/>
      <sheetName val="Rural"/>
      <sheetName val="LG-Pacific Pckr Rts"/>
      <sheetName val="LG-RO"/>
      <sheetName val="Res Recycl"/>
      <sheetName val="MF Recycl"/>
      <sheetName val="YW"/>
      <sheetName val="Depr Summary 2183"/>
      <sheetName val="Trucks 2183"/>
      <sheetName val="Containers 2183"/>
      <sheetName val="OTHER EQUIP 2183"/>
      <sheetName val="LeMay Global"/>
      <sheetName val="Fuel"/>
      <sheetName val="DF Schedule"/>
      <sheetName val="2183 Payroll"/>
      <sheetName val="2184 Payroll"/>
      <sheetName val="2185 Payroll"/>
      <sheetName val="Cust Cnt"/>
      <sheetName val="Unit Cnt"/>
      <sheetName val="70148 Summary"/>
      <sheetName val="Time Study"/>
      <sheetName val="Corp O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Pivot_RevenueAccounts"/>
      <sheetName val="Pivot_BalanceSheetAccounts"/>
      <sheetName val="Pivot_ExpenseAccounts"/>
      <sheetName val="1. GLSummary"/>
      <sheetName val="1a. CustomerCount"/>
      <sheetName val="1b. LaborHours"/>
      <sheetName val="1c. EmployeeRoster"/>
      <sheetName val="1d. InvoiceCount"/>
      <sheetName val="1e. Container-Cart Census"/>
      <sheetName val="1f. RevenueSummary"/>
      <sheetName val="2a GL_Check"/>
      <sheetName val="2b ISAssign_Check"/>
      <sheetName val="3. Lookup Tables"/>
      <sheetName val="3a. IS_Expense_Lookup"/>
      <sheetName val="3b. IS_Revenue_Lookup"/>
      <sheetName val="3c BS_Lookup"/>
      <sheetName val="3d EmployeeRoster"/>
      <sheetName val="4. IncomeStatement_12Mo_BDI"/>
      <sheetName val="4. IncomeStatement_12Mo_EDS"/>
      <sheetName val="4. IncomeStatement_12Mo_YAK"/>
      <sheetName val="4. IncomeStatement_12Mo_WW"/>
      <sheetName val="4. IncomeStatement_12Mo_BLU"/>
      <sheetName val="5. CustomerCounts_BDI-EDS"/>
      <sheetName val="5. CustomerCounts_YAKIMA"/>
      <sheetName val="6. EmployeeCount"/>
      <sheetName val="7. AllocationGlobalShare_New"/>
      <sheetName val="7. AllocationGlobalShare"/>
      <sheetName val="8. ProForma_BDI-EDS"/>
      <sheetName val="8. ProForma_YAKIMA"/>
      <sheetName val="9. MATRIX_BDI-EDS"/>
      <sheetName val="MATRIX_YAKI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up"/>
      <sheetName val="Pivot_RevenueAccounts"/>
      <sheetName val="Pivot_BalanceSheetAccounts"/>
      <sheetName val="Pivot_ExpenseAccounts"/>
      <sheetName val="1. GLSummary"/>
      <sheetName val="1a. CustomerCount"/>
      <sheetName val="1b. LaborHours"/>
      <sheetName val="1c. EmployeeRoster"/>
      <sheetName val="1d. InvoiceCount"/>
      <sheetName val="1e. Container-Cart Census"/>
      <sheetName val="1f. RevenueSummary"/>
      <sheetName val="2a GL_Check"/>
      <sheetName val="2b ISAssign_Check"/>
      <sheetName val="3. Lookup Tables"/>
      <sheetName val="3a. IS_Expense_Lookup"/>
      <sheetName val="3b. IS_Revenue_Lookup"/>
      <sheetName val="3c BS_Lookup"/>
      <sheetName val="3d EmployeeRoster"/>
      <sheetName val="4. IncomeStatement_12Mo_BDI"/>
      <sheetName val="4. IncomeStatement_12Mo_EDS"/>
      <sheetName val="4. IncomeStatement_12Mo_YAK"/>
      <sheetName val="4. IncomeStatement_12Mo_WW"/>
      <sheetName val="4. IncomeStatement_12Mo_BLU"/>
      <sheetName val="5. CustomerCounts_BDI-EDS"/>
      <sheetName val="5. CustomerCounts_YAKIMA"/>
      <sheetName val="6. EmployeeCount"/>
      <sheetName val="7. AllocationGlobalShare_New"/>
      <sheetName val="7. AllocationGlobalShare"/>
      <sheetName val="8. ProForma_BDI-EDS"/>
      <sheetName val="8. ProForma_YAKIMA"/>
      <sheetName val="9. MATRIX_BDI-EDS"/>
      <sheetName val="MATRIX_YAKI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rorNote"/>
      <sheetName val="ControlPanel"/>
      <sheetName val="PL_ActReview"/>
      <sheetName val="BS_Close"/>
      <sheetName val="PL_ActTranx"/>
      <sheetName val="JE_Review"/>
      <sheetName val="PL_CloseByDay"/>
      <sheetName val="PL_IS200"/>
      <sheetName val="PL_IS210"/>
      <sheetName val="PL_ActByDistrict"/>
      <sheetName val="PL_ProjRe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rorNote"/>
      <sheetName val="ControlPanel"/>
      <sheetName val="PL_ActReview"/>
      <sheetName val="BS_Close"/>
      <sheetName val="PL_ActTranx"/>
      <sheetName val="JE_Review"/>
      <sheetName val="PL_CloseByDay"/>
      <sheetName val="PL_IS200"/>
      <sheetName val="PL_IS210"/>
      <sheetName val="PL_ActByDistrict"/>
      <sheetName val="PL_ProjRevi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A, IS "/>
      <sheetName val="Vashon BS"/>
      <sheetName val="Vashon IS"/>
      <sheetName val="Consolidated IS"/>
      <sheetName val="Restating Adj"/>
      <sheetName val="Prof Adj"/>
      <sheetName val="Price-out"/>
      <sheetName val="LG-Total Comp"/>
      <sheetName val="LG-Packer Rts"/>
      <sheetName val="LG-RO Rts"/>
      <sheetName val="LG-Recycl"/>
      <sheetName val="DF Schedule"/>
      <sheetName val="Depr-Summary"/>
      <sheetName val="2132 Trks"/>
      <sheetName val="2132 Cont, DB"/>
      <sheetName val="2132 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A, IS "/>
      <sheetName val="Vashon BS"/>
      <sheetName val="Vashon IS"/>
      <sheetName val="Consolidated IS"/>
      <sheetName val="Restating Adj"/>
      <sheetName val="Prof Adj"/>
      <sheetName val="Price-out"/>
      <sheetName val="LG-Total Comp"/>
      <sheetName val="LG-Packer Rts"/>
      <sheetName val="LG-RO Rts"/>
      <sheetName val="LG-Recycl"/>
      <sheetName val="DF Schedule"/>
      <sheetName val="Depr-Summary"/>
      <sheetName val="2132 Trks"/>
      <sheetName val="2132 Cont, DB"/>
      <sheetName val="2132 Oth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M001Tranx"/>
      <sheetName val="JEexport"/>
      <sheetName val="Intro Memo"/>
      <sheetName val="JE_Summary"/>
      <sheetName val="Mth00"/>
      <sheetName val="Mth01"/>
      <sheetName val="Mth02"/>
      <sheetName val="Mth03"/>
      <sheetName val="Mth04"/>
      <sheetName val="Mth05"/>
      <sheetName val="Mth06"/>
      <sheetName val="Mth07"/>
      <sheetName val="Mth08"/>
      <sheetName val="Mth09"/>
      <sheetName val="Mth10"/>
      <sheetName val="Mth11"/>
      <sheetName val="Mth12"/>
      <sheetName val="TEST"/>
      <sheetName val="To Do"/>
      <sheetName val="GLMapping"/>
      <sheetName val="BatchLog"/>
      <sheetName val="Re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A, Certification"/>
      <sheetName val="OrgControl"/>
      <sheetName val="InsuranceAccident"/>
      <sheetName val="bsasset"/>
      <sheetName val="bsliab"/>
      <sheetName val="FixedAssets"/>
      <sheetName val="RetainedEarnings"/>
      <sheetName val="Income Statement"/>
      <sheetName val="RevenuesCust"/>
      <sheetName val="Recycle"/>
      <sheetName val="contracts"/>
      <sheetName val="GarbageDisp"/>
      <sheetName val="RecycleProcessing"/>
      <sheetName val="Payroll"/>
      <sheetName val="Fee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A, Certification"/>
      <sheetName val="OrgControl"/>
      <sheetName val="InsuranceAccident"/>
      <sheetName val="bsasset"/>
      <sheetName val="bsliab"/>
      <sheetName val="FixedAssets"/>
      <sheetName val="RetainedEarnings"/>
      <sheetName val="Income Statement"/>
      <sheetName val="RevenuesCust"/>
      <sheetName val="Recycle"/>
      <sheetName val="contracts"/>
      <sheetName val="GarbageDisp"/>
      <sheetName val="RecycleProcessing"/>
      <sheetName val="Payroll"/>
      <sheetName val="FeeCa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Instructions"/>
      <sheetName val="User"/>
      <sheetName val="Settings"/>
      <sheetName val="Orientation"/>
      <sheetName val="Delivery"/>
      <sheetName val="RptClose"/>
      <sheetName val="Hid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Truck Schedule"/>
      <sheetName val="Jun 2011 FAR"/>
      <sheetName val="Scrap List"/>
      <sheetName val="Sheet1"/>
      <sheetName val="Sheet2"/>
      <sheetName val="Sheet3"/>
      <sheetName val="Sheet4"/>
      <sheetName val="Feb'12 FAR Data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ster Truck Schedule"/>
      <sheetName val="Jun 2011 FAR"/>
      <sheetName val="Scrap List"/>
      <sheetName val="Sheet1"/>
      <sheetName val="Sheet2"/>
      <sheetName val="Sheet3"/>
      <sheetName val="Sheet4"/>
      <sheetName val="Feb'12 FAR Data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rrorNote"/>
      <sheetName val="ControlPanel"/>
      <sheetName val="4MthProj1"/>
      <sheetName val="4MthProj2"/>
      <sheetName val="PL_ActReview"/>
      <sheetName val="PL_ActReview2"/>
      <sheetName val="BS_Close"/>
      <sheetName val="IS200PL"/>
      <sheetName val="PL_ActTranx"/>
      <sheetName val="IS210PL"/>
      <sheetName val="ProjRevCheck"/>
      <sheetName val="BDebtCheck"/>
      <sheetName val="52901Check"/>
      <sheetName val="ICCheck"/>
      <sheetName val="BSCheck"/>
      <sheetName val="BadJECheck"/>
      <sheetName val="JE_Review"/>
      <sheetName val="Proj1"/>
      <sheetName val="Proj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LG-Benton"/>
      <sheetName val="LG-FrankWallaHanfd"/>
      <sheetName val="Consolidated-AllocationMatrix"/>
      <sheetName val="BDI&amp;EDS-PROFORMA"/>
      <sheetName val="BDI&amp;EDS-Allocation Matrix"/>
      <sheetName val="Staff Calculations "/>
      <sheetName val="BDI&amp;EDS-RestatingAdjustments"/>
      <sheetName val="BDI&amp;EDS-ProformaAdjustments"/>
      <sheetName val="Staff Depn Input and Calc"/>
      <sheetName val="Reg Depr Sch"/>
      <sheetName val="COLA-Adjustments"/>
      <sheetName val="Salary Adj"/>
      <sheetName val="NewPositionsAdj"/>
      <sheetName val="Tonnage Summary"/>
      <sheetName val="PriceOut-Other"/>
      <sheetName val="BDI-UTC-Other-RateSheet"/>
      <sheetName val="PriceOut-Other-Revised"/>
      <sheetName val="BDI-UTC-Other-RateSheet-Revised"/>
      <sheetName val="PriceOut-Benton"/>
      <sheetName val="BDI-UTC-Benton-RateSheet"/>
      <sheetName val="PriceOut-Benton-Revised"/>
      <sheetName val="BDI-UTC-Benton-RateSheet-Revise"/>
      <sheetName val="EDS-UTC-Benton-RateSheet"/>
      <sheetName val="WRRA Adj"/>
      <sheetName val="PLP-SC-Revenue"/>
      <sheetName val="Fuel Cost"/>
      <sheetName val="GRC-Expense"/>
      <sheetName val="BDI&amp;EDS-Medical WP"/>
      <sheetName val="InterestExpenseAdj"/>
      <sheetName val="GL Insurance Exp"/>
      <sheetName val="BDI&amp;EDS PayrollFees"/>
      <sheetName val="Customer Counts"/>
      <sheetName val="RouteHours"/>
      <sheetName val="BDI&amp;EDS-IS"/>
      <sheetName val="BDI&amp;EDS BS"/>
      <sheetName val="VelixoReportsSettings"/>
      <sheetName val="VelixoReportsGIOptions"/>
    </sheetNames>
    <sheetDataSet>
      <sheetData sheetId="0">
        <row r="7">
          <cell r="C7">
            <v>1098267.4864482414</v>
          </cell>
        </row>
        <row r="11">
          <cell r="M11">
            <v>29630.70650774414</v>
          </cell>
        </row>
        <row r="12">
          <cell r="M12">
            <v>42270.654266560647</v>
          </cell>
        </row>
        <row r="14">
          <cell r="M14">
            <v>159018.17557420436</v>
          </cell>
        </row>
        <row r="21">
          <cell r="J21">
            <v>2596256.5832548295</v>
          </cell>
        </row>
        <row r="22">
          <cell r="K22">
            <v>-3.2164567802252853E-2</v>
          </cell>
        </row>
        <row r="33">
          <cell r="K33">
            <v>0.17176952282547522</v>
          </cell>
        </row>
        <row r="34">
          <cell r="K34">
            <v>0.23601647389098479</v>
          </cell>
        </row>
        <row r="35">
          <cell r="K35">
            <v>0.91105673536356946</v>
          </cell>
        </row>
      </sheetData>
      <sheetData sheetId="1">
        <row r="7">
          <cell r="C7">
            <v>2121240.8649792238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>
        <row r="7">
          <cell r="R7">
            <v>0.3265564307864639</v>
          </cell>
        </row>
      </sheetData>
      <sheetData sheetId="15" refreshError="1"/>
      <sheetData sheetId="16">
        <row r="48">
          <cell r="K48">
            <v>12.042646171460571</v>
          </cell>
        </row>
      </sheetData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d's_Disp Increase Calc"/>
      <sheetName val="Ed's_RevenueIncrease"/>
      <sheetName val="PriceOut-Benton-TG-230189"/>
      <sheetName val="Tonnage Summary - TG-230187"/>
      <sheetName val="Ed's-BDI Ton Breakout"/>
      <sheetName val="References_BDI"/>
    </sheetNames>
    <sheetDataSet>
      <sheetData sheetId="0"/>
      <sheetData sheetId="1"/>
      <sheetData sheetId="2"/>
      <sheetData sheetId="3"/>
      <sheetData sheetId="4"/>
      <sheetData sheetId="5">
        <row r="6">
          <cell r="J6">
            <v>8.6666666666666661</v>
          </cell>
        </row>
        <row r="7">
          <cell r="J7">
            <v>4.333333333333333</v>
          </cell>
        </row>
        <row r="8">
          <cell r="J8">
            <v>2.1666666666666665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"/>
      <sheetName val="Instructions"/>
      <sheetName val="User"/>
      <sheetName val="Settings"/>
      <sheetName val="Orientation"/>
      <sheetName val="Delivery"/>
      <sheetName val="RptClose"/>
      <sheetName val="Hidd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_ROL"/>
      <sheetName val="Data"/>
      <sheetName val="Original_List"/>
      <sheetName val="ROL"/>
      <sheetName val="ROL_ALL CO"/>
      <sheetName val="Price_Out"/>
      <sheetName val="Pivot_Cust"/>
      <sheetName val="Cust"/>
      <sheetName val="Billing Groups"/>
      <sheetName val="Customers"/>
      <sheetName val="Customers_wo disc"/>
      <sheetName val="Price_Out WM"/>
      <sheetName val="PSC unique cust_6-25-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_Version"/>
      <sheetName val="Model Summary"/>
      <sheetName val="1. BDI General Ledger Table"/>
      <sheetName val="2. BDI Rev &amp; Exp Total Sheet"/>
      <sheetName val="3. V Lookup Tables"/>
      <sheetName val="4. 12 Month Income Stmt. 4(c)"/>
      <sheetName val="5. BDI Customer Counts"/>
      <sheetName val="13. BDI Allocation Factors"/>
      <sheetName val="6. Employee Count Sept16"/>
      <sheetName val="7. Allocation Shared Exp"/>
      <sheetName val="8. ProForma"/>
      <sheetName val="9. BDI Matrix"/>
      <sheetName val="9a. LG Op Ratio Calc Pasco"/>
      <sheetName val="9a. LG Op Ratio Calc Prosser"/>
      <sheetName val="9a. LG Op Ratio Calc Mesa"/>
      <sheetName val="9a. LG Op Ratio Calc Kalotus"/>
      <sheetName val="9a. LG Op Ratio Calc WUTC"/>
      <sheetName val="10. Pasco Rates"/>
      <sheetName val="10. Prosser Rates"/>
      <sheetName val="10. Mesa Rates"/>
      <sheetName val="10. Kahlotus Rates"/>
      <sheetName val="11. Check Sum "/>
      <sheetName val="12. Price Out Pasco"/>
      <sheetName val="12. Price Out Prosser"/>
      <sheetName val="12. Price Out Mesa"/>
      <sheetName val="12. Price Out Kahlotus"/>
      <sheetName val="14. Cart Rent"/>
      <sheetName val="15. Tonnage Summary"/>
      <sheetName val="GL Pivot"/>
      <sheetName val="RA-1. Regulatory Depr Sch"/>
      <sheetName val="RA-2. Lobby Expense"/>
      <sheetName val="RA-3. Dues &amp; Subs"/>
      <sheetName val="RA-4.  Stockholder Insurance"/>
      <sheetName val="PA-1. Tip Fee Increse"/>
      <sheetName val="PA-2. Labor Pro Forma Adjust"/>
      <sheetName val="PA-3. Rate Case Expense"/>
      <sheetName val="PA-4. Medical Insurance "/>
      <sheetName val="PA-4. Medical Cost Increase Not"/>
      <sheetName val="PA-5. L&amp;I Cost Increase Calc"/>
      <sheetName val="PA-5. L&amp;I Rate Summary"/>
      <sheetName val="PA-6. New Hire Salary Adjust"/>
      <sheetName val="PA-7. 401K Contribution"/>
      <sheetName val="PA-8. General Insurance"/>
      <sheetName val="10. BDI Balance Sheet"/>
      <sheetName val="Legal "/>
      <sheetName val="Recon"/>
      <sheetName val="BDI_IS_2015-16"/>
      <sheetName val="BDI_IS_2016"/>
      <sheetName val="BDI_IS for 2015"/>
      <sheetName val="Format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_Version"/>
      <sheetName val="Model Summary"/>
      <sheetName val="1. BDI General Ledger Table"/>
      <sheetName val="2. BDI Rev &amp; Exp Total Sheet"/>
      <sheetName val="3. V Lookup Tables"/>
      <sheetName val="4. 12 Month Income Stmt. 4(c)"/>
      <sheetName val="5. BDI Customer Counts"/>
      <sheetName val="13. BDI Allocation Factors"/>
      <sheetName val="6. Employee Count Sept16"/>
      <sheetName val="7. Allocation Shared Exp"/>
      <sheetName val="8. ProForma"/>
      <sheetName val="9. BDI Matrix"/>
      <sheetName val="9a. LG Op Ratio Calc Pasco"/>
      <sheetName val="9a. LG Op Ratio Calc Prosser"/>
      <sheetName val="9a. LG Op Ratio Calc Mesa"/>
      <sheetName val="9a. LG Op Ratio Calc Kalotus"/>
      <sheetName val="9a. LG Op Ratio Calc WUTC"/>
      <sheetName val="10. Pasco Rates"/>
      <sheetName val="10. Prosser Rates"/>
      <sheetName val="10. Mesa Rates"/>
      <sheetName val="10. Kahlotus Rates"/>
      <sheetName val="11. Check Sum "/>
      <sheetName val="12. Price Out Pasco"/>
      <sheetName val="12. Price Out Prosser"/>
      <sheetName val="12. Price Out Mesa"/>
      <sheetName val="12. Price Out Kahlotus"/>
      <sheetName val="14. Cart Rent"/>
      <sheetName val="15. Tonnage Summary"/>
      <sheetName val="GL Pivot"/>
      <sheetName val="RA-1. Regulatory Depr Sch"/>
      <sheetName val="RA-2. Lobby Expense"/>
      <sheetName val="RA-3. Dues &amp; Subs"/>
      <sheetName val="RA-4.  Stockholder Insurance"/>
      <sheetName val="PA-1. Tip Fee Increse"/>
      <sheetName val="PA-2. Labor Pro Forma Adjust"/>
      <sheetName val="PA-3. Rate Case Expense"/>
      <sheetName val="PA-4. Medical Insurance "/>
      <sheetName val="PA-4. Medical Cost Increase Not"/>
      <sheetName val="PA-5. L&amp;I Cost Increase Calc"/>
      <sheetName val="PA-5. L&amp;I Rate Summary"/>
      <sheetName val="PA-6. New Hire Salary Adjust"/>
      <sheetName val="PA-7. 401K Contribution"/>
      <sheetName val="PA-8. General Insurance"/>
      <sheetName val="10. BDI Balance Sheet"/>
      <sheetName val="Legal "/>
      <sheetName val="Recon"/>
      <sheetName val="BDI_IS_2015-16"/>
      <sheetName val="BDI_IS_2016"/>
      <sheetName val="BDI_IS for 2015"/>
      <sheetName val="Format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W"/>
      <sheetName val="Data"/>
      <sheetName val="2017 Add'l Expenses"/>
      <sheetName val="Current Rates &amp; Revenue"/>
      <sheetName val="JULY"/>
      <sheetName val="Census"/>
      <sheetName val="Labor Hours"/>
      <sheetName val="Tonnage 2015"/>
      <sheetName val="BLS Data Series"/>
      <sheetName val="Fund 471 Jan to Jun"/>
      <sheetName val="Fund 471 FS Jan to Aug"/>
      <sheetName val="CA Yenta Revenue and Expenses"/>
      <sheetName val="Old Revenue and Expenses"/>
      <sheetName val="CA Yenta 2015 Performance"/>
      <sheetName val="Program Cuts"/>
      <sheetName val="2017 Rev &amp; Expense Summary"/>
      <sheetName val="Rate Calcs at 3.7% and 7.1%"/>
      <sheetName val="Chart"/>
      <sheetName val="Disposal per month"/>
      <sheetName val="2014 Tonnage Data"/>
      <sheetName val="Truck Expense"/>
      <sheetName val="Pivot Age"/>
      <sheetName val="Pivot Costs"/>
      <sheetName val="Trucks"/>
      <sheetName val="Rate Summaries"/>
      <sheetName val="Residential Collection"/>
      <sheetName val="Yard Debris Collection"/>
      <sheetName val="Bin Collection"/>
      <sheetName val="EOW YD Collection"/>
      <sheetName val="EOW Rec Collection"/>
      <sheetName val="Sheet1"/>
      <sheetName val="Rates and Revenue Recon"/>
      <sheetName val="2015 Illegal Dump CleanUps"/>
      <sheetName val="Bundled Residential Rates"/>
      <sheetName val="2015 Program Costs"/>
      <sheetName val="Driver Stats"/>
      <sheetName val="Pilot Data"/>
      <sheetName val="Bin Rate Calculation"/>
      <sheetName val="Container Data"/>
      <sheetName val="Rate Comparison"/>
      <sheetName val="2013 Tonnage"/>
      <sheetName val="Customer Totals"/>
      <sheetName val="Total Hrs"/>
      <sheetName val="Tax Burden"/>
      <sheetName val="Bin Counts"/>
      <sheetName val="Cart Costs"/>
      <sheetName val="Truck Table"/>
      <sheetName val="Truck Pivot Table"/>
      <sheetName val="Population Projection"/>
      <sheetName val="Pop_To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W"/>
      <sheetName val="Data"/>
      <sheetName val="2017 Add'l Expenses"/>
      <sheetName val="Current Rates &amp; Revenue"/>
      <sheetName val="JULY"/>
      <sheetName val="Census"/>
      <sheetName val="Labor Hours"/>
      <sheetName val="Tonnage 2015"/>
      <sheetName val="BLS Data Series"/>
      <sheetName val="Fund 471 Jan to Jun"/>
      <sheetName val="Fund 471 FS Jan to Aug"/>
      <sheetName val="CA Yenta Revenue and Expenses"/>
      <sheetName val="Old Revenue and Expenses"/>
      <sheetName val="CA Yenta 2015 Performance"/>
      <sheetName val="Program Cuts"/>
      <sheetName val="2017 Rev &amp; Expense Summary"/>
      <sheetName val="Rate Calcs at 3.7% and 7.1%"/>
      <sheetName val="Chart"/>
      <sheetName val="Disposal per month"/>
      <sheetName val="2014 Tonnage Data"/>
      <sheetName val="Truck Expense"/>
      <sheetName val="Pivot Age"/>
      <sheetName val="Pivot Costs"/>
      <sheetName val="Trucks"/>
      <sheetName val="Rate Summaries"/>
      <sheetName val="Residential Collection"/>
      <sheetName val="Yard Debris Collection"/>
      <sheetName val="Bin Collection"/>
      <sheetName val="EOW YD Collection"/>
      <sheetName val="EOW Rec Collection"/>
      <sheetName val="Sheet1"/>
      <sheetName val="Rates and Revenue Recon"/>
      <sheetName val="2015 Illegal Dump CleanUps"/>
      <sheetName val="Bundled Residential Rates"/>
      <sheetName val="2015 Program Costs"/>
      <sheetName val="Driver Stats"/>
      <sheetName val="Pilot Data"/>
      <sheetName val="Bin Rate Calculation"/>
      <sheetName val="Container Data"/>
      <sheetName val="Rate Comparison"/>
      <sheetName val="2013 Tonnage"/>
      <sheetName val="Customer Totals"/>
      <sheetName val="Total Hrs"/>
      <sheetName val="Tax Burden"/>
      <sheetName val="Bin Counts"/>
      <sheetName val="Cart Costs"/>
      <sheetName val="Truck Table"/>
      <sheetName val="Truck Pivot Table"/>
      <sheetName val="Population Projection"/>
      <sheetName val="Pop_Tota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A IS"/>
      <sheetName val="2183 IS"/>
      <sheetName val="2184 IS"/>
      <sheetName val="2185 IS"/>
      <sheetName val="Consolidated IS"/>
      <sheetName val="Ratios Thurston"/>
      <sheetName val="2183 Pro forma"/>
      <sheetName val="2183 Ratios"/>
      <sheetName val="Restating Expl"/>
      <sheetName val="Pro forma Expl"/>
      <sheetName val="Pacific Regulated - Price Out"/>
      <sheetName val="Total Matrix"/>
      <sheetName val="Packer_RO Matrix"/>
      <sheetName val="COS Packer_RO"/>
      <sheetName val="Res YW Matix"/>
      <sheetName val="Res Recy Matrix"/>
      <sheetName val="MF Recy Matrix"/>
      <sheetName val="COS RR YW MFR"/>
      <sheetName val="Total Pac,Rural"/>
      <sheetName val="Rural"/>
      <sheetName val="LG-Pacific Pckr Rts"/>
      <sheetName val="LG-RO"/>
      <sheetName val="Res Recycl"/>
      <sheetName val="MF Recycl"/>
      <sheetName val="YW"/>
      <sheetName val="Depr Summary 2183"/>
      <sheetName val="Trucks 2183"/>
      <sheetName val="Containers 2183"/>
      <sheetName val="OTHER EQUIP 2183"/>
      <sheetName val="LeMay Global"/>
      <sheetName val="Fuel"/>
      <sheetName val="DF Schedule"/>
      <sheetName val="2183 Payroll"/>
      <sheetName val="2184 Payroll"/>
      <sheetName val="2185 Payroll"/>
      <sheetName val="Cust Cnt"/>
      <sheetName val="Unit Cnt"/>
      <sheetName val="70148 Summary"/>
      <sheetName val="Time Study"/>
      <sheetName val="Corp O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eather Garland" id="{1BA0C748-3438-43DA-A3AB-19282159A53C}" userId="S::HeatherG@basindisposal.com::e97241a4-178a-4e02-9662-83cde26206f8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" dT="2023-10-24T18:24:08.48" personId="{1BA0C748-3438-43DA-A3AB-19282159A53C}" id="{E288BFDB-B27C-4779-8FC9-64ABD9897A12}">
    <text>Added columns I &amp; J for the DF filing to calculate annual p/u's to be used on the Disp Increase Calc tab.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M8"/>
  <sheetViews>
    <sheetView tabSelected="1" zoomScaleNormal="100" workbookViewId="0">
      <selection activeCell="I19" sqref="I19"/>
    </sheetView>
  </sheetViews>
  <sheetFormatPr defaultRowHeight="15"/>
  <cols>
    <col min="1" max="1" width="8.85546875" customWidth="1"/>
    <col min="2" max="2" width="2.140625" customWidth="1"/>
    <col min="3" max="3" width="13.42578125" customWidth="1"/>
    <col min="4" max="4" width="2.42578125" customWidth="1"/>
    <col min="5" max="5" width="13.85546875" customWidth="1"/>
    <col min="6" max="6" width="2" customWidth="1"/>
    <col min="7" max="7" width="7.85546875" bestFit="1" customWidth="1"/>
    <col min="8" max="8" width="1.7109375" customWidth="1"/>
    <col min="9" max="9" width="10.140625" bestFit="1" customWidth="1"/>
  </cols>
  <sheetData>
    <row r="1" spans="1:13" ht="18.75">
      <c r="A1" s="166" t="s">
        <v>484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7"/>
    </row>
    <row r="2" spans="1:13" ht="18.75">
      <c r="A2" s="168" t="s">
        <v>68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9"/>
    </row>
    <row r="3" spans="1:13" ht="18.75">
      <c r="A3" s="170">
        <v>45992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1"/>
    </row>
    <row r="4" spans="1:13" ht="18.75">
      <c r="A4" s="168" t="s">
        <v>69</v>
      </c>
      <c r="B4" s="168"/>
      <c r="C4" s="168"/>
      <c r="D4" s="168"/>
      <c r="E4" s="168"/>
      <c r="F4" s="168"/>
      <c r="G4" s="168"/>
      <c r="H4" s="168"/>
      <c r="I4" s="168"/>
      <c r="J4" s="168"/>
      <c r="K4" s="168"/>
      <c r="L4" s="169"/>
    </row>
    <row r="5" spans="1:13" ht="15.75" thickBot="1">
      <c r="L5" s="3"/>
    </row>
    <row r="6" spans="1:13" ht="15.75" thickTop="1">
      <c r="A6" s="1"/>
      <c r="C6" s="124" t="s">
        <v>70</v>
      </c>
      <c r="D6" s="125"/>
      <c r="E6" s="126" t="s">
        <v>71</v>
      </c>
      <c r="F6" s="1"/>
      <c r="G6" s="1" t="s">
        <v>1</v>
      </c>
      <c r="I6" s="1" t="s">
        <v>1</v>
      </c>
      <c r="L6" s="3"/>
    </row>
    <row r="7" spans="1:13">
      <c r="A7" s="1"/>
      <c r="C7" s="127" t="s">
        <v>72</v>
      </c>
      <c r="D7" s="1"/>
      <c r="E7" s="128" t="s">
        <v>72</v>
      </c>
      <c r="F7" s="1"/>
      <c r="G7" s="1" t="s">
        <v>73</v>
      </c>
      <c r="I7" s="1" t="s">
        <v>74</v>
      </c>
      <c r="L7" s="3"/>
    </row>
    <row r="8" spans="1:13" ht="15.75" thickBot="1">
      <c r="A8" s="10"/>
      <c r="B8" s="6"/>
      <c r="C8" s="129">
        <f>'B&amp;O Tax Increase Calculations'!M235</f>
        <v>1854230.9941129463</v>
      </c>
      <c r="D8" s="130"/>
      <c r="E8" s="131">
        <f>'B&amp;O Tax Increase Calculations'!N235</f>
        <v>1860720.8025923423</v>
      </c>
      <c r="F8" s="6"/>
      <c r="G8" s="7">
        <f>E8-C8</f>
        <v>6489.8084793959279</v>
      </c>
      <c r="H8" s="6"/>
      <c r="I8" s="8">
        <f>(E8-C8)/C8</f>
        <v>3.5000000000003323E-3</v>
      </c>
      <c r="J8" s="6"/>
      <c r="K8" s="7"/>
      <c r="L8" s="9"/>
      <c r="M8" s="2"/>
    </row>
  </sheetData>
  <mergeCells count="4">
    <mergeCell ref="A1:L1"/>
    <mergeCell ref="A2:L2"/>
    <mergeCell ref="A3:L3"/>
    <mergeCell ref="A4:L4"/>
  </mergeCells>
  <pageMargins left="0.7" right="0.7" top="0.75" bottom="0.75" header="0.3" footer="0.3"/>
  <pageSetup orientation="portrait" r:id="rId1"/>
  <headerFooter>
    <oddHeader>&amp;C&amp;KFF0000INFORMATION RED OUTLINED AND/OR IN REDACTED AREA IS CONFIDENTIAL PER WAC 480-07-160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6D72C-D4CC-4E8A-8B5E-4C35A407BAA3}">
  <dimension ref="A1:I242"/>
  <sheetViews>
    <sheetView tabSelected="1" zoomScaleNormal="100" workbookViewId="0">
      <selection activeCell="I19" sqref="I19"/>
    </sheetView>
  </sheetViews>
  <sheetFormatPr defaultColWidth="8.85546875" defaultRowHeight="15"/>
  <cols>
    <col min="1" max="1" width="8.85546875" style="5"/>
    <col min="2" max="2" width="51.85546875" style="5" bestFit="1" customWidth="1"/>
    <col min="3" max="3" width="12.85546875" style="5" bestFit="1" customWidth="1"/>
    <col min="4" max="4" width="13.140625" style="5" bestFit="1" customWidth="1"/>
    <col min="5" max="5" width="10.5703125" style="5" customWidth="1"/>
    <col min="6" max="6" width="8.85546875" style="5"/>
    <col min="7" max="7" width="11.140625" style="5" customWidth="1"/>
    <col min="8" max="16384" width="8.85546875" style="5"/>
  </cols>
  <sheetData>
    <row r="1" spans="1:8">
      <c r="B1" s="5" t="s">
        <v>483</v>
      </c>
    </row>
    <row r="2" spans="1:8">
      <c r="B2" s="13" t="s">
        <v>11</v>
      </c>
      <c r="C2" s="13"/>
      <c r="D2" s="13"/>
      <c r="E2" s="13"/>
      <c r="F2" s="13"/>
      <c r="G2" s="13"/>
    </row>
    <row r="6" spans="1:8">
      <c r="B6" s="5" t="s">
        <v>485</v>
      </c>
      <c r="C6" s="122">
        <f>+'B&amp;O Tax Increase Calculations'!J7-'B&amp;O Tax Increase Calculations'!H7</f>
        <v>3.4999999999999996E-3</v>
      </c>
    </row>
    <row r="7" spans="1:8" ht="30">
      <c r="B7" s="5" t="s">
        <v>77</v>
      </c>
      <c r="C7" s="5" t="s">
        <v>78</v>
      </c>
      <c r="D7" s="5" t="s">
        <v>79</v>
      </c>
      <c r="E7" s="12" t="s">
        <v>15</v>
      </c>
      <c r="F7" s="13" t="s">
        <v>1</v>
      </c>
      <c r="G7" s="12" t="s">
        <v>17</v>
      </c>
    </row>
    <row r="8" spans="1:8">
      <c r="A8" s="21" t="s">
        <v>462</v>
      </c>
      <c r="B8" s="16"/>
      <c r="C8" s="16"/>
      <c r="D8" s="16"/>
      <c r="E8" s="17"/>
      <c r="F8" s="18"/>
      <c r="G8" s="17"/>
    </row>
    <row r="9" spans="1:8">
      <c r="B9" s="5" t="s">
        <v>20</v>
      </c>
      <c r="C9" s="5">
        <v>50</v>
      </c>
      <c r="D9" s="5">
        <v>16</v>
      </c>
      <c r="E9" s="4">
        <v>15</v>
      </c>
      <c r="F9" s="4">
        <f>+E9*$C$6</f>
        <v>5.2499999999999991E-2</v>
      </c>
      <c r="G9" s="4">
        <f>+E9+F9</f>
        <v>15.0525</v>
      </c>
      <c r="H9" s="123">
        <f>+G9-'B&amp;O Tax Increase Calculations'!L9</f>
        <v>0</v>
      </c>
    </row>
    <row r="10" spans="1:8">
      <c r="E10" s="4"/>
      <c r="F10" s="4"/>
      <c r="G10" s="4"/>
      <c r="H10" s="123">
        <f>+G10-'B&amp;O Tax Increase Calculations'!L10</f>
        <v>0</v>
      </c>
    </row>
    <row r="11" spans="1:8">
      <c r="A11" s="93" t="s">
        <v>449</v>
      </c>
      <c r="B11" s="94"/>
      <c r="C11" s="94"/>
      <c r="D11" s="94"/>
      <c r="E11" s="95"/>
      <c r="F11" s="96"/>
      <c r="G11" s="95"/>
      <c r="H11" s="123">
        <f>+G11-'B&amp;O Tax Increase Calculations'!L11</f>
        <v>0</v>
      </c>
    </row>
    <row r="12" spans="1:8">
      <c r="B12" s="5" t="s">
        <v>21</v>
      </c>
      <c r="C12" s="5">
        <v>51</v>
      </c>
      <c r="D12" s="5">
        <v>17</v>
      </c>
      <c r="E12" s="4">
        <v>22.56</v>
      </c>
      <c r="F12" s="4">
        <f>+E12*$C$6</f>
        <v>7.8959999999999989E-2</v>
      </c>
      <c r="G12" s="4">
        <f>+E12+F12</f>
        <v>22.638959999999997</v>
      </c>
      <c r="H12" s="123">
        <f>+G12-'B&amp;O Tax Increase Calculations'!L12</f>
        <v>0</v>
      </c>
    </row>
    <row r="13" spans="1:8">
      <c r="E13" s="4"/>
      <c r="F13" s="4"/>
      <c r="G13" s="4"/>
      <c r="H13" s="123">
        <f>+G13-'B&amp;O Tax Increase Calculations'!L13</f>
        <v>0</v>
      </c>
    </row>
    <row r="14" spans="1:8">
      <c r="A14" s="93" t="s">
        <v>450</v>
      </c>
      <c r="B14" s="94"/>
      <c r="C14" s="94"/>
      <c r="D14" s="94"/>
      <c r="E14" s="95"/>
      <c r="F14" s="96"/>
      <c r="G14" s="95"/>
      <c r="H14" s="123">
        <f>+G14-'B&amp;O Tax Increase Calculations'!L14</f>
        <v>0</v>
      </c>
    </row>
    <row r="15" spans="1:8">
      <c r="B15" s="5" t="s">
        <v>22</v>
      </c>
      <c r="C15" s="5">
        <v>52</v>
      </c>
      <c r="D15" s="5">
        <v>17</v>
      </c>
      <c r="E15" s="4">
        <v>17</v>
      </c>
      <c r="F15" s="4">
        <f t="shared" ref="F15:F17" si="0">+E15*$C$6</f>
        <v>5.9499999999999997E-2</v>
      </c>
      <c r="G15" s="4">
        <f>+E15+F15</f>
        <v>17.0595</v>
      </c>
      <c r="H15" s="123">
        <f>+G15-'B&amp;O Tax Increase Calculations'!L15</f>
        <v>0</v>
      </c>
    </row>
    <row r="16" spans="1:8">
      <c r="B16" s="5" t="s">
        <v>23</v>
      </c>
      <c r="C16" s="5">
        <v>52</v>
      </c>
      <c r="D16" s="5">
        <v>17</v>
      </c>
      <c r="E16" s="4">
        <v>30</v>
      </c>
      <c r="F16" s="4">
        <f t="shared" si="0"/>
        <v>0.10499999999999998</v>
      </c>
      <c r="G16" s="4">
        <f>+E16+F16</f>
        <v>30.105</v>
      </c>
      <c r="H16" s="123">
        <f>+G16-'B&amp;O Tax Increase Calculations'!L16</f>
        <v>0</v>
      </c>
    </row>
    <row r="17" spans="1:9">
      <c r="B17" s="5" t="s">
        <v>157</v>
      </c>
      <c r="C17" s="5">
        <v>52</v>
      </c>
      <c r="D17" s="5">
        <v>17</v>
      </c>
      <c r="E17" s="4">
        <v>52.4</v>
      </c>
      <c r="F17" s="4">
        <f t="shared" si="0"/>
        <v>0.18339999999999998</v>
      </c>
      <c r="G17" s="4">
        <f>+E17+F17</f>
        <v>52.583399999999997</v>
      </c>
      <c r="H17" s="123">
        <f>+G17-'B&amp;O Tax Increase Calculations'!L17</f>
        <v>0</v>
      </c>
    </row>
    <row r="18" spans="1:9">
      <c r="E18" s="4"/>
      <c r="F18" s="4"/>
      <c r="G18" s="4"/>
      <c r="H18" s="123">
        <f>+G18-'B&amp;O Tax Increase Calculations'!L18</f>
        <v>0</v>
      </c>
    </row>
    <row r="19" spans="1:9">
      <c r="A19" s="93" t="s">
        <v>451</v>
      </c>
      <c r="B19" s="94"/>
      <c r="C19" s="94"/>
      <c r="D19" s="94"/>
      <c r="E19" s="95"/>
      <c r="F19" s="96"/>
      <c r="G19" s="95"/>
      <c r="H19" s="123">
        <f>+G19-'B&amp;O Tax Increase Calculations'!L19</f>
        <v>0</v>
      </c>
    </row>
    <row r="20" spans="1:9">
      <c r="B20" s="5" t="s">
        <v>24</v>
      </c>
      <c r="C20" s="5">
        <v>55</v>
      </c>
      <c r="D20" s="5">
        <v>18</v>
      </c>
      <c r="E20" s="4">
        <v>3.42</v>
      </c>
      <c r="F20" s="4">
        <f>+E20*$C$6</f>
        <v>1.1969999999999998E-2</v>
      </c>
      <c r="G20" s="4">
        <f>+E20+F20</f>
        <v>3.4319699999999997</v>
      </c>
      <c r="H20" s="123">
        <f>+G20-'B&amp;O Tax Increase Calculations'!L20</f>
        <v>0</v>
      </c>
    </row>
    <row r="21" spans="1:9">
      <c r="E21" s="4"/>
      <c r="F21" s="4"/>
      <c r="G21" s="4"/>
      <c r="H21" s="123">
        <f>+G21-'B&amp;O Tax Increase Calculations'!L21</f>
        <v>0</v>
      </c>
    </row>
    <row r="22" spans="1:9">
      <c r="A22" s="93" t="s">
        <v>452</v>
      </c>
      <c r="B22" s="94"/>
      <c r="C22" s="94"/>
      <c r="D22" s="94"/>
      <c r="E22" s="95"/>
      <c r="F22" s="96"/>
      <c r="G22" s="95"/>
      <c r="H22" s="123">
        <f>+G22-'B&amp;O Tax Increase Calculations'!L22</f>
        <v>0</v>
      </c>
    </row>
    <row r="23" spans="1:9">
      <c r="B23" s="5" t="s">
        <v>25</v>
      </c>
      <c r="C23" s="5">
        <v>60</v>
      </c>
      <c r="D23" s="5">
        <v>18</v>
      </c>
      <c r="E23" s="4">
        <v>71</v>
      </c>
      <c r="F23" s="4">
        <f t="shared" ref="F23:F24" si="1">+E23*$C$6</f>
        <v>0.24849999999999997</v>
      </c>
      <c r="G23" s="4">
        <f>+E23+F23</f>
        <v>71.248500000000007</v>
      </c>
      <c r="H23" s="123">
        <f>+G23-'B&amp;O Tax Increase Calculations'!L23</f>
        <v>0</v>
      </c>
    </row>
    <row r="24" spans="1:9">
      <c r="B24" s="5" t="s">
        <v>26</v>
      </c>
      <c r="C24" s="5">
        <v>60</v>
      </c>
      <c r="D24" s="5">
        <v>18</v>
      </c>
      <c r="E24" s="4">
        <v>71</v>
      </c>
      <c r="F24" s="4">
        <f t="shared" si="1"/>
        <v>0.24849999999999997</v>
      </c>
      <c r="G24" s="4">
        <f>+E24+F24</f>
        <v>71.248500000000007</v>
      </c>
      <c r="H24" s="123">
        <f>+G24-'B&amp;O Tax Increase Calculations'!L24</f>
        <v>0</v>
      </c>
    </row>
    <row r="25" spans="1:9">
      <c r="E25" s="4"/>
      <c r="F25" s="4"/>
      <c r="G25" s="4"/>
      <c r="H25" s="123">
        <f>+G25-'B&amp;O Tax Increase Calculations'!L25</f>
        <v>0</v>
      </c>
    </row>
    <row r="26" spans="1:9">
      <c r="A26" s="93" t="s">
        <v>453</v>
      </c>
      <c r="B26" s="94"/>
      <c r="C26" s="94"/>
      <c r="D26" s="94"/>
      <c r="E26" s="95"/>
      <c r="F26" s="96"/>
      <c r="G26" s="95"/>
      <c r="H26" s="123">
        <f>+G26-'B&amp;O Tax Increase Calculations'!L26</f>
        <v>0</v>
      </c>
    </row>
    <row r="27" spans="1:9">
      <c r="B27" s="5" t="s">
        <v>27</v>
      </c>
      <c r="C27" s="5">
        <v>70</v>
      </c>
      <c r="D27" s="5">
        <v>19</v>
      </c>
      <c r="E27" s="4">
        <v>7.81</v>
      </c>
      <c r="F27" s="4">
        <f t="shared" ref="F27:F29" si="2">+E27*$C$6</f>
        <v>2.7334999999999995E-2</v>
      </c>
      <c r="G27" s="4">
        <f>+E27+F27</f>
        <v>7.8373349999999995</v>
      </c>
      <c r="H27" s="123">
        <f>+G27-'B&amp;O Tax Increase Calculations'!L27</f>
        <v>0</v>
      </c>
    </row>
    <row r="28" spans="1:9">
      <c r="B28" s="5" t="s">
        <v>28</v>
      </c>
      <c r="C28" s="5">
        <v>70</v>
      </c>
      <c r="D28" s="5">
        <v>19</v>
      </c>
      <c r="E28" s="4">
        <v>10.4</v>
      </c>
      <c r="F28" s="4">
        <f t="shared" si="2"/>
        <v>3.6399999999999995E-2</v>
      </c>
      <c r="G28" s="4">
        <f>+E28+F28</f>
        <v>10.436400000000001</v>
      </c>
      <c r="H28" s="123">
        <f>+G28-'B&amp;O Tax Increase Calculations'!L28</f>
        <v>0</v>
      </c>
    </row>
    <row r="29" spans="1:9">
      <c r="B29" s="5" t="s">
        <v>29</v>
      </c>
      <c r="C29" s="5">
        <v>70</v>
      </c>
      <c r="D29" s="5">
        <v>19</v>
      </c>
      <c r="E29" s="4">
        <v>52.4</v>
      </c>
      <c r="F29" s="4">
        <f t="shared" si="2"/>
        <v>0.18339999999999998</v>
      </c>
      <c r="G29" s="4">
        <f>+E29+F29</f>
        <v>52.583399999999997</v>
      </c>
      <c r="H29" s="123">
        <f>+G29-'B&amp;O Tax Increase Calculations'!L29</f>
        <v>0</v>
      </c>
    </row>
    <row r="30" spans="1:9">
      <c r="E30" s="4"/>
      <c r="F30" s="4"/>
      <c r="G30" s="4"/>
      <c r="H30" s="123">
        <f>+G30-'B&amp;O Tax Increase Calculations'!L30</f>
        <v>0</v>
      </c>
    </row>
    <row r="31" spans="1:9">
      <c r="A31" s="93" t="s">
        <v>454</v>
      </c>
      <c r="B31" s="94"/>
      <c r="C31" s="94"/>
      <c r="D31" s="94"/>
      <c r="E31" s="95"/>
      <c r="F31" s="96"/>
      <c r="G31" s="95"/>
      <c r="H31" s="123">
        <f>+G31-'B&amp;O Tax Increase Calculations'!L31</f>
        <v>0</v>
      </c>
    </row>
    <row r="32" spans="1:9">
      <c r="B32" s="5" t="s">
        <v>30</v>
      </c>
      <c r="C32" s="5">
        <v>80</v>
      </c>
      <c r="D32" s="5">
        <v>21</v>
      </c>
      <c r="E32" s="4">
        <v>0.31</v>
      </c>
      <c r="F32" s="4">
        <f t="shared" ref="F32:F34" si="3">+E32*$C$6</f>
        <v>1.0849999999999998E-3</v>
      </c>
      <c r="G32" s="4">
        <f>+E32+F32</f>
        <v>0.311085</v>
      </c>
      <c r="H32" s="123">
        <f>+G32-'B&amp;O Tax Increase Calculations'!L32</f>
        <v>0</v>
      </c>
      <c r="I32" s="5" t="s">
        <v>486</v>
      </c>
    </row>
    <row r="33" spans="1:9">
      <c r="B33" s="5" t="s">
        <v>31</v>
      </c>
      <c r="C33" s="5">
        <v>80</v>
      </c>
      <c r="D33" s="5">
        <v>21</v>
      </c>
      <c r="E33" s="4">
        <v>1.34</v>
      </c>
      <c r="F33" s="4">
        <f t="shared" si="3"/>
        <v>4.6899999999999997E-3</v>
      </c>
      <c r="G33" s="4">
        <f>+E33+F33</f>
        <v>1.3446900000000002</v>
      </c>
      <c r="H33" s="123">
        <f>+G33-'B&amp;O Tax Increase Calculations'!L33</f>
        <v>0</v>
      </c>
      <c r="I33" s="5" t="s">
        <v>486</v>
      </c>
    </row>
    <row r="34" spans="1:9">
      <c r="B34" s="5" t="s">
        <v>32</v>
      </c>
      <c r="C34" s="5">
        <v>80</v>
      </c>
      <c r="D34" s="5">
        <v>21</v>
      </c>
      <c r="E34" s="4">
        <v>1.34</v>
      </c>
      <c r="F34" s="4">
        <f t="shared" si="3"/>
        <v>4.6899999999999997E-3</v>
      </c>
      <c r="G34" s="4">
        <f>+E34+F34</f>
        <v>1.3446900000000002</v>
      </c>
      <c r="H34" s="123">
        <f>+G34-'B&amp;O Tax Increase Calculations'!L34</f>
        <v>0</v>
      </c>
      <c r="I34" s="5" t="s">
        <v>486</v>
      </c>
    </row>
    <row r="35" spans="1:9">
      <c r="E35" s="4"/>
      <c r="F35" s="4"/>
      <c r="G35" s="4"/>
      <c r="H35" s="123">
        <f>+G35-'B&amp;O Tax Increase Calculations'!L35</f>
        <v>0</v>
      </c>
    </row>
    <row r="36" spans="1:9">
      <c r="A36" s="93" t="s">
        <v>455</v>
      </c>
      <c r="B36" s="94"/>
      <c r="C36" s="94"/>
      <c r="D36" s="94"/>
      <c r="E36" s="95"/>
      <c r="F36" s="96"/>
      <c r="G36" s="95"/>
      <c r="H36" s="123">
        <f>+G36-'B&amp;O Tax Increase Calculations'!L36</f>
        <v>0</v>
      </c>
    </row>
    <row r="37" spans="1:9">
      <c r="B37" s="5" t="s">
        <v>80</v>
      </c>
      <c r="C37" s="5">
        <v>90</v>
      </c>
      <c r="D37" s="22">
        <v>22</v>
      </c>
      <c r="E37" s="4">
        <v>0.31</v>
      </c>
      <c r="F37" s="4">
        <f>+E37*$C$6</f>
        <v>1.0849999999999998E-3</v>
      </c>
      <c r="G37" s="4">
        <f>+E37+F37</f>
        <v>0.311085</v>
      </c>
      <c r="H37" s="123">
        <f>+G37-'B&amp;O Tax Increase Calculations'!L37</f>
        <v>0</v>
      </c>
      <c r="I37" s="5" t="s">
        <v>486</v>
      </c>
    </row>
    <row r="38" spans="1:9">
      <c r="D38" s="22"/>
      <c r="E38" s="4"/>
      <c r="F38" s="4"/>
      <c r="G38" s="4"/>
      <c r="H38" s="123">
        <f>+G38-'B&amp;O Tax Increase Calculations'!L38</f>
        <v>0</v>
      </c>
    </row>
    <row r="39" spans="1:9">
      <c r="A39" s="93" t="s">
        <v>456</v>
      </c>
      <c r="B39" s="94"/>
      <c r="C39" s="94"/>
      <c r="D39" s="94"/>
      <c r="E39" s="95"/>
      <c r="F39" s="96"/>
      <c r="G39" s="95"/>
      <c r="H39" s="123">
        <f>+G39-'B&amp;O Tax Increase Calculations'!L39</f>
        <v>0</v>
      </c>
    </row>
    <row r="40" spans="1:9">
      <c r="A40" s="23"/>
      <c r="B40" s="5" t="s">
        <v>3</v>
      </c>
      <c r="C40" s="5">
        <v>100</v>
      </c>
      <c r="D40" s="5">
        <v>23</v>
      </c>
      <c r="E40" s="4">
        <v>9.17</v>
      </c>
      <c r="F40" s="4">
        <f t="shared" ref="F40:F49" si="4">+E40*$C$6</f>
        <v>3.2094999999999999E-2</v>
      </c>
      <c r="G40" s="4">
        <f t="shared" ref="G40:G49" si="5">+E40+F40</f>
        <v>9.2020949999999999</v>
      </c>
      <c r="H40" s="123">
        <f>+G40-'B&amp;O Tax Increase Calculations'!L40</f>
        <v>0</v>
      </c>
    </row>
    <row r="41" spans="1:9">
      <c r="A41" s="23"/>
      <c r="B41" s="5" t="s">
        <v>4</v>
      </c>
      <c r="C41" s="5">
        <v>100</v>
      </c>
      <c r="D41" s="5">
        <v>23</v>
      </c>
      <c r="E41" s="4">
        <v>19.64</v>
      </c>
      <c r="F41" s="4">
        <f t="shared" si="4"/>
        <v>6.8739999999999996E-2</v>
      </c>
      <c r="G41" s="4">
        <f t="shared" si="5"/>
        <v>19.708739999999999</v>
      </c>
      <c r="H41" s="123">
        <f>+G41-'B&amp;O Tax Increase Calculations'!L41</f>
        <v>0</v>
      </c>
    </row>
    <row r="42" spans="1:9">
      <c r="A42" s="23"/>
      <c r="B42" s="5" t="s">
        <v>81</v>
      </c>
      <c r="C42" s="5">
        <v>100</v>
      </c>
      <c r="D42" s="5">
        <v>23</v>
      </c>
      <c r="E42" s="4">
        <v>23.99</v>
      </c>
      <c r="F42" s="4">
        <f t="shared" si="4"/>
        <v>8.3964999999999984E-2</v>
      </c>
      <c r="G42" s="4">
        <f t="shared" si="5"/>
        <v>24.073964999999998</v>
      </c>
      <c r="H42" s="123">
        <f>+G42-'B&amp;O Tax Increase Calculations'!L42</f>
        <v>0</v>
      </c>
    </row>
    <row r="43" spans="1:9">
      <c r="A43" s="23"/>
      <c r="B43" s="5" t="s">
        <v>82</v>
      </c>
      <c r="C43" s="5">
        <v>100</v>
      </c>
      <c r="D43" s="5">
        <v>23</v>
      </c>
      <c r="E43" s="4">
        <v>29.25</v>
      </c>
      <c r="F43" s="4">
        <f t="shared" si="4"/>
        <v>0.10237499999999999</v>
      </c>
      <c r="G43" s="4">
        <f t="shared" si="5"/>
        <v>29.352374999999999</v>
      </c>
      <c r="H43" s="123">
        <f>+G43-'B&amp;O Tax Increase Calculations'!L43</f>
        <v>0</v>
      </c>
    </row>
    <row r="44" spans="1:9">
      <c r="A44" s="23"/>
      <c r="B44" s="5" t="s">
        <v>83</v>
      </c>
      <c r="C44" s="5">
        <v>100</v>
      </c>
      <c r="D44" s="5">
        <v>23</v>
      </c>
      <c r="E44" s="4">
        <v>34.72</v>
      </c>
      <c r="F44" s="4">
        <f t="shared" si="4"/>
        <v>0.12151999999999999</v>
      </c>
      <c r="G44" s="4">
        <f t="shared" si="5"/>
        <v>34.841519999999996</v>
      </c>
      <c r="H44" s="123">
        <f>+G44-'B&amp;O Tax Increase Calculations'!L44</f>
        <v>0</v>
      </c>
    </row>
    <row r="45" spans="1:9">
      <c r="A45" s="23"/>
      <c r="B45" s="5" t="s">
        <v>84</v>
      </c>
      <c r="C45" s="5">
        <v>100</v>
      </c>
      <c r="D45" s="5">
        <v>23</v>
      </c>
      <c r="E45" s="4">
        <v>44.7</v>
      </c>
      <c r="F45" s="4">
        <f t="shared" si="4"/>
        <v>0.15645000000000001</v>
      </c>
      <c r="G45" s="4">
        <f t="shared" si="5"/>
        <v>44.856450000000002</v>
      </c>
      <c r="H45" s="123">
        <f>+G45-'B&amp;O Tax Increase Calculations'!L45</f>
        <v>0</v>
      </c>
    </row>
    <row r="46" spans="1:9">
      <c r="A46" s="23"/>
      <c r="B46" s="5" t="s">
        <v>85</v>
      </c>
      <c r="C46" s="5">
        <v>100</v>
      </c>
      <c r="D46" s="5">
        <v>23</v>
      </c>
      <c r="E46" s="4">
        <v>51.36</v>
      </c>
      <c r="F46" s="4">
        <f t="shared" si="4"/>
        <v>0.17975999999999998</v>
      </c>
      <c r="G46" s="4">
        <f t="shared" si="5"/>
        <v>51.539760000000001</v>
      </c>
      <c r="H46" s="123">
        <f>+G46-'B&amp;O Tax Increase Calculations'!L46</f>
        <v>0</v>
      </c>
    </row>
    <row r="47" spans="1:9">
      <c r="A47" s="23"/>
      <c r="B47" s="5" t="s">
        <v>5</v>
      </c>
      <c r="C47" s="5">
        <v>100</v>
      </c>
      <c r="D47" s="5">
        <v>23</v>
      </c>
      <c r="E47" s="4">
        <v>19.170000000000002</v>
      </c>
      <c r="F47" s="4">
        <f t="shared" si="4"/>
        <v>6.7095000000000002E-2</v>
      </c>
      <c r="G47" s="4">
        <f t="shared" si="5"/>
        <v>19.237095</v>
      </c>
      <c r="H47" s="123">
        <f>+G47-'B&amp;O Tax Increase Calculations'!L47</f>
        <v>0</v>
      </c>
    </row>
    <row r="48" spans="1:9">
      <c r="A48" s="23"/>
      <c r="B48" s="5" t="s">
        <v>6</v>
      </c>
      <c r="C48" s="5">
        <v>100</v>
      </c>
      <c r="D48" s="5">
        <v>23</v>
      </c>
      <c r="E48" s="4">
        <v>24.31</v>
      </c>
      <c r="F48" s="4">
        <f t="shared" si="4"/>
        <v>8.508499999999998E-2</v>
      </c>
      <c r="G48" s="4">
        <f t="shared" si="5"/>
        <v>24.395084999999998</v>
      </c>
      <c r="H48" s="123">
        <f>+G48-'B&amp;O Tax Increase Calculations'!L48</f>
        <v>0</v>
      </c>
    </row>
    <row r="49" spans="1:8">
      <c r="A49" s="23"/>
      <c r="B49" s="5" t="s">
        <v>7</v>
      </c>
      <c r="C49" s="5">
        <v>100</v>
      </c>
      <c r="D49" s="5">
        <v>23</v>
      </c>
      <c r="E49" s="4">
        <v>88.78</v>
      </c>
      <c r="F49" s="4">
        <f t="shared" si="4"/>
        <v>0.31072999999999995</v>
      </c>
      <c r="G49" s="4">
        <f t="shared" si="5"/>
        <v>89.090730000000008</v>
      </c>
      <c r="H49" s="123">
        <f>+G49-'B&amp;O Tax Increase Calculations'!L49</f>
        <v>0</v>
      </c>
    </row>
    <row r="50" spans="1:8">
      <c r="A50" s="23"/>
      <c r="E50" s="12"/>
      <c r="F50" s="13"/>
      <c r="G50" s="12"/>
      <c r="H50" s="123">
        <f>+G50-'B&amp;O Tax Increase Calculations'!L50</f>
        <v>0</v>
      </c>
    </row>
    <row r="51" spans="1:8">
      <c r="A51" s="93" t="s">
        <v>463</v>
      </c>
      <c r="B51" s="94"/>
      <c r="C51" s="94"/>
      <c r="D51" s="94"/>
      <c r="E51" s="95"/>
      <c r="F51" s="96"/>
      <c r="G51" s="95"/>
      <c r="H51" s="123">
        <f>+G51-'B&amp;O Tax Increase Calculations'!L51</f>
        <v>0</v>
      </c>
    </row>
    <row r="52" spans="1:8">
      <c r="A52" s="23"/>
      <c r="B52" s="5" t="s">
        <v>86</v>
      </c>
      <c r="C52" s="5">
        <v>100</v>
      </c>
      <c r="D52" s="5">
        <v>24</v>
      </c>
      <c r="E52" s="4">
        <v>2.77</v>
      </c>
      <c r="F52" s="4">
        <f t="shared" ref="F52:F55" si="6">+E52*$C$6</f>
        <v>9.6949999999999988E-3</v>
      </c>
      <c r="G52" s="4">
        <f>+E52+F52</f>
        <v>2.7796949999999998</v>
      </c>
      <c r="H52" s="123">
        <f>+G52-'B&amp;O Tax Increase Calculations'!L52</f>
        <v>0</v>
      </c>
    </row>
    <row r="53" spans="1:8">
      <c r="A53" s="23"/>
      <c r="B53" s="24" t="s">
        <v>8</v>
      </c>
      <c r="C53" s="5">
        <v>100</v>
      </c>
      <c r="D53" s="5">
        <v>24</v>
      </c>
      <c r="E53" s="4">
        <v>3.42</v>
      </c>
      <c r="F53" s="4">
        <f t="shared" si="6"/>
        <v>1.1969999999999998E-2</v>
      </c>
      <c r="G53" s="4">
        <f>+E53+F53</f>
        <v>3.4319699999999997</v>
      </c>
      <c r="H53" s="123">
        <f>+G53-'B&amp;O Tax Increase Calculations'!L53</f>
        <v>0</v>
      </c>
    </row>
    <row r="54" spans="1:8">
      <c r="A54" s="23"/>
      <c r="B54" s="5" t="s">
        <v>87</v>
      </c>
      <c r="C54" s="5">
        <v>100</v>
      </c>
      <c r="D54" s="5">
        <v>24</v>
      </c>
      <c r="E54" s="4">
        <v>14.44</v>
      </c>
      <c r="F54" s="4">
        <f t="shared" si="6"/>
        <v>5.0539999999999995E-2</v>
      </c>
      <c r="G54" s="4">
        <f>+E54+F54</f>
        <v>14.490539999999999</v>
      </c>
      <c r="H54" s="123">
        <f>+G54-'B&amp;O Tax Increase Calculations'!L54</f>
        <v>0</v>
      </c>
    </row>
    <row r="55" spans="1:8">
      <c r="B55" s="5" t="s">
        <v>33</v>
      </c>
      <c r="C55" s="5">
        <v>100</v>
      </c>
      <c r="D55" s="5">
        <v>24</v>
      </c>
      <c r="E55" s="4">
        <v>3.26</v>
      </c>
      <c r="F55" s="4">
        <f t="shared" si="6"/>
        <v>1.1409999999999998E-2</v>
      </c>
      <c r="G55" s="4">
        <f>+E55+F55</f>
        <v>3.2714099999999999</v>
      </c>
      <c r="H55" s="123">
        <f>+G55-'B&amp;O Tax Increase Calculations'!L55</f>
        <v>0</v>
      </c>
    </row>
    <row r="56" spans="1:8">
      <c r="A56" s="23"/>
      <c r="E56" s="12"/>
      <c r="F56" s="13"/>
      <c r="G56" s="12"/>
      <c r="H56" s="123">
        <f>+G56-'B&amp;O Tax Increase Calculations'!L56</f>
        <v>0</v>
      </c>
    </row>
    <row r="57" spans="1:8">
      <c r="A57" s="93" t="s">
        <v>457</v>
      </c>
      <c r="B57" s="94"/>
      <c r="C57" s="94"/>
      <c r="D57" s="94"/>
      <c r="E57" s="95"/>
      <c r="F57" s="96"/>
      <c r="G57" s="95"/>
      <c r="H57" s="123">
        <f>+G57-'B&amp;O Tax Increase Calculations'!L57</f>
        <v>0</v>
      </c>
    </row>
    <row r="58" spans="1:8">
      <c r="A58" s="23"/>
      <c r="B58" s="5" t="s">
        <v>88</v>
      </c>
      <c r="C58" s="5">
        <v>150</v>
      </c>
      <c r="D58" s="5">
        <v>25</v>
      </c>
      <c r="E58" s="4">
        <v>16.079999999999998</v>
      </c>
      <c r="F58" s="4">
        <f t="shared" ref="F58:F59" si="7">+E58*$C$6</f>
        <v>5.627999999999999E-2</v>
      </c>
      <c r="G58" s="4">
        <f>+E58+F58</f>
        <v>16.136279999999999</v>
      </c>
      <c r="H58" s="123">
        <f>+G58-'B&amp;O Tax Increase Calculations'!L58</f>
        <v>0</v>
      </c>
    </row>
    <row r="59" spans="1:8">
      <c r="B59" s="5" t="s">
        <v>34</v>
      </c>
      <c r="C59" s="5">
        <v>150</v>
      </c>
      <c r="D59" s="5">
        <v>25</v>
      </c>
      <c r="E59" s="4">
        <v>3.37</v>
      </c>
      <c r="F59" s="4">
        <f t="shared" si="7"/>
        <v>1.1795E-2</v>
      </c>
      <c r="G59" s="4">
        <f>+E59+F59</f>
        <v>3.3817950000000003</v>
      </c>
      <c r="H59" s="123">
        <f>+G59-'B&amp;O Tax Increase Calculations'!L59</f>
        <v>0</v>
      </c>
    </row>
    <row r="60" spans="1:8">
      <c r="A60" s="23"/>
      <c r="E60" s="12"/>
      <c r="F60" s="13"/>
      <c r="G60" s="12"/>
      <c r="H60" s="123">
        <f>+G60-'B&amp;O Tax Increase Calculations'!L60</f>
        <v>0</v>
      </c>
    </row>
    <row r="61" spans="1:8">
      <c r="A61" s="93" t="s">
        <v>458</v>
      </c>
      <c r="B61" s="94"/>
      <c r="C61" s="94"/>
      <c r="D61" s="94"/>
      <c r="E61" s="95"/>
      <c r="F61" s="96"/>
      <c r="G61" s="95"/>
      <c r="H61" s="123">
        <f>+G61-'B&amp;O Tax Increase Calculations'!L61</f>
        <v>0</v>
      </c>
    </row>
    <row r="62" spans="1:8">
      <c r="B62" s="5" t="s">
        <v>89</v>
      </c>
      <c r="C62" s="5">
        <v>160</v>
      </c>
      <c r="D62" s="5">
        <v>26</v>
      </c>
      <c r="E62" s="4">
        <v>84.74</v>
      </c>
      <c r="F62" s="4">
        <f t="shared" ref="F62:F72" si="8">+E62*$C$6</f>
        <v>0.29658999999999996</v>
      </c>
      <c r="G62" s="4">
        <f t="shared" ref="G62:G72" si="9">+E62+F62</f>
        <v>85.03658999999999</v>
      </c>
      <c r="H62" s="123">
        <f>+G62-'B&amp;O Tax Increase Calculations'!L62</f>
        <v>0</v>
      </c>
    </row>
    <row r="63" spans="1:8">
      <c r="B63" s="5" t="s">
        <v>94</v>
      </c>
      <c r="C63" s="5">
        <v>160</v>
      </c>
      <c r="D63" s="5">
        <v>26</v>
      </c>
      <c r="E63" s="4">
        <v>46.26</v>
      </c>
      <c r="F63" s="4">
        <f t="shared" si="8"/>
        <v>0.16190999999999997</v>
      </c>
      <c r="G63" s="4">
        <f t="shared" si="9"/>
        <v>46.421909999999997</v>
      </c>
      <c r="H63" s="123">
        <f>+G63-'B&amp;O Tax Increase Calculations'!L63</f>
        <v>0</v>
      </c>
    </row>
    <row r="64" spans="1:8">
      <c r="B64" s="5" t="s">
        <v>93</v>
      </c>
      <c r="C64" s="5">
        <v>160</v>
      </c>
      <c r="D64" s="5">
        <v>26</v>
      </c>
      <c r="E64" s="4">
        <v>42.37</v>
      </c>
      <c r="F64" s="4">
        <f t="shared" si="8"/>
        <v>0.14829499999999998</v>
      </c>
      <c r="G64" s="4">
        <f t="shared" si="9"/>
        <v>42.518294999999995</v>
      </c>
      <c r="H64" s="123">
        <f>+G64-'B&amp;O Tax Increase Calculations'!L64</f>
        <v>0</v>
      </c>
    </row>
    <row r="65" spans="1:9">
      <c r="B65" s="5" t="s">
        <v>35</v>
      </c>
      <c r="C65" s="5">
        <v>160</v>
      </c>
      <c r="D65" s="5">
        <v>26</v>
      </c>
      <c r="E65" s="4">
        <v>117.29</v>
      </c>
      <c r="F65" s="4">
        <f t="shared" si="8"/>
        <v>0.41051499999999996</v>
      </c>
      <c r="G65" s="4">
        <f t="shared" si="9"/>
        <v>117.70051500000001</v>
      </c>
      <c r="H65" s="123">
        <f>+G65-'B&amp;O Tax Increase Calculations'!L65</f>
        <v>0</v>
      </c>
    </row>
    <row r="66" spans="1:9">
      <c r="B66" s="5" t="s">
        <v>36</v>
      </c>
      <c r="C66" s="5">
        <v>160</v>
      </c>
      <c r="D66" s="5">
        <v>26</v>
      </c>
      <c r="E66" s="4">
        <v>117.29</v>
      </c>
      <c r="F66" s="4">
        <f t="shared" si="8"/>
        <v>0.41051499999999996</v>
      </c>
      <c r="G66" s="4">
        <f t="shared" si="9"/>
        <v>117.70051500000001</v>
      </c>
      <c r="H66" s="123">
        <f>+G66-'B&amp;O Tax Increase Calculations'!L66</f>
        <v>0</v>
      </c>
    </row>
    <row r="67" spans="1:9">
      <c r="B67" s="5" t="s">
        <v>90</v>
      </c>
      <c r="C67" s="5">
        <v>160</v>
      </c>
      <c r="D67" s="5">
        <v>26</v>
      </c>
      <c r="E67" s="4">
        <v>117.29</v>
      </c>
      <c r="F67" s="4">
        <f t="shared" si="8"/>
        <v>0.41051499999999996</v>
      </c>
      <c r="G67" s="4">
        <f t="shared" si="9"/>
        <v>117.70051500000001</v>
      </c>
      <c r="H67" s="123">
        <f>+G67-'B&amp;O Tax Increase Calculations'!L67</f>
        <v>0</v>
      </c>
    </row>
    <row r="68" spans="1:9">
      <c r="B68" s="5" t="s">
        <v>92</v>
      </c>
      <c r="C68" s="5">
        <v>160</v>
      </c>
      <c r="D68" s="5">
        <v>26</v>
      </c>
      <c r="E68" s="4">
        <v>46.26</v>
      </c>
      <c r="F68" s="4">
        <f t="shared" si="8"/>
        <v>0.16190999999999997</v>
      </c>
      <c r="G68" s="4">
        <f t="shared" si="9"/>
        <v>46.421909999999997</v>
      </c>
      <c r="H68" s="123">
        <f>+G68-'B&amp;O Tax Increase Calculations'!L68</f>
        <v>0</v>
      </c>
    </row>
    <row r="69" spans="1:9">
      <c r="B69" s="5" t="s">
        <v>91</v>
      </c>
      <c r="C69" s="5">
        <v>160</v>
      </c>
      <c r="D69" s="5">
        <v>26</v>
      </c>
      <c r="E69" s="4">
        <v>58.65</v>
      </c>
      <c r="F69" s="4">
        <f t="shared" si="8"/>
        <v>0.20527499999999999</v>
      </c>
      <c r="G69" s="132">
        <f>G66*0.5</f>
        <v>58.850257500000005</v>
      </c>
      <c r="H69" s="123">
        <f>+G69-'B&amp;O Tax Increase Calculations'!L69</f>
        <v>0</v>
      </c>
      <c r="I69" s="5" t="s">
        <v>490</v>
      </c>
    </row>
    <row r="70" spans="1:9">
      <c r="B70" s="5" t="s">
        <v>95</v>
      </c>
      <c r="C70" s="5">
        <v>160</v>
      </c>
      <c r="D70" s="5">
        <v>26</v>
      </c>
      <c r="E70" s="4">
        <v>150</v>
      </c>
      <c r="F70" s="4">
        <f t="shared" si="8"/>
        <v>0.52499999999999991</v>
      </c>
      <c r="G70" s="4">
        <f t="shared" si="9"/>
        <v>150.52500000000001</v>
      </c>
      <c r="H70" s="123">
        <f>+G70-'B&amp;O Tax Increase Calculations'!L70</f>
        <v>0</v>
      </c>
    </row>
    <row r="71" spans="1:9">
      <c r="B71" s="5" t="s">
        <v>96</v>
      </c>
      <c r="C71" s="5">
        <v>160</v>
      </c>
      <c r="D71" s="5">
        <v>26</v>
      </c>
      <c r="E71" s="4">
        <v>46.26</v>
      </c>
      <c r="F71" s="4">
        <f t="shared" si="8"/>
        <v>0.16190999999999997</v>
      </c>
      <c r="G71" s="4">
        <f t="shared" si="9"/>
        <v>46.421909999999997</v>
      </c>
      <c r="H71" s="123">
        <f>+G71-'B&amp;O Tax Increase Calculations'!L71</f>
        <v>0</v>
      </c>
    </row>
    <row r="72" spans="1:9">
      <c r="B72" s="5" t="s">
        <v>97</v>
      </c>
      <c r="C72" s="5">
        <v>160</v>
      </c>
      <c r="D72" s="5">
        <v>26</v>
      </c>
      <c r="E72" s="4">
        <v>75</v>
      </c>
      <c r="F72" s="4">
        <f t="shared" si="8"/>
        <v>0.26249999999999996</v>
      </c>
      <c r="G72" s="4">
        <f t="shared" si="9"/>
        <v>75.262500000000003</v>
      </c>
      <c r="H72" s="123">
        <f>+G72-'B&amp;O Tax Increase Calculations'!L72</f>
        <v>0</v>
      </c>
    </row>
    <row r="73" spans="1:9">
      <c r="E73" s="4"/>
      <c r="F73" s="4"/>
      <c r="G73" s="4"/>
      <c r="H73" s="123">
        <f>+G73-'B&amp;O Tax Increase Calculations'!L73</f>
        <v>0</v>
      </c>
    </row>
    <row r="74" spans="1:9">
      <c r="A74" s="93" t="s">
        <v>464</v>
      </c>
      <c r="B74" s="94"/>
      <c r="C74" s="94"/>
      <c r="D74" s="94"/>
      <c r="E74" s="95"/>
      <c r="F74" s="96"/>
      <c r="G74" s="95"/>
      <c r="H74" s="123">
        <f>+G74-'B&amp;O Tax Increase Calculations'!L74</f>
        <v>0</v>
      </c>
    </row>
    <row r="75" spans="1:9">
      <c r="B75" s="5" t="s">
        <v>37</v>
      </c>
      <c r="C75" s="5">
        <v>205</v>
      </c>
      <c r="D75" s="5">
        <v>28</v>
      </c>
      <c r="E75" s="4">
        <v>3.46</v>
      </c>
      <c r="F75" s="4">
        <f t="shared" ref="F75:F76" si="10">+E75*$C$6</f>
        <v>1.2109999999999999E-2</v>
      </c>
      <c r="G75" s="4">
        <f>+E75+F75</f>
        <v>3.4721099999999998</v>
      </c>
      <c r="H75" s="123">
        <f>+G75-'B&amp;O Tax Increase Calculations'!L75</f>
        <v>0</v>
      </c>
    </row>
    <row r="76" spans="1:9">
      <c r="B76" s="5" t="s">
        <v>38</v>
      </c>
      <c r="C76" s="5">
        <v>205</v>
      </c>
      <c r="D76" s="5">
        <v>28</v>
      </c>
      <c r="E76" s="4">
        <v>2.77</v>
      </c>
      <c r="F76" s="4">
        <f t="shared" si="10"/>
        <v>9.6949999999999988E-3</v>
      </c>
      <c r="G76" s="4">
        <f>+E76+F76</f>
        <v>2.7796949999999998</v>
      </c>
      <c r="H76" s="123">
        <f>+G76-'B&amp;O Tax Increase Calculations'!L76</f>
        <v>0</v>
      </c>
    </row>
    <row r="77" spans="1:9">
      <c r="E77" s="4"/>
      <c r="F77" s="4"/>
      <c r="G77" s="4"/>
      <c r="H77" s="123">
        <f>+G77-'B&amp;O Tax Increase Calculations'!L77</f>
        <v>0</v>
      </c>
    </row>
    <row r="78" spans="1:9">
      <c r="A78" s="93" t="s">
        <v>465</v>
      </c>
      <c r="B78" s="94"/>
      <c r="C78" s="94"/>
      <c r="D78" s="94"/>
      <c r="E78" s="95"/>
      <c r="F78" s="96"/>
      <c r="G78" s="95"/>
      <c r="H78" s="123">
        <f>+G78-'B&amp;O Tax Increase Calculations'!L78</f>
        <v>0</v>
      </c>
    </row>
    <row r="79" spans="1:9">
      <c r="B79" s="5" t="s">
        <v>39</v>
      </c>
      <c r="C79" s="5">
        <v>207</v>
      </c>
      <c r="D79" s="5">
        <v>29</v>
      </c>
      <c r="E79" s="4">
        <v>3.42</v>
      </c>
      <c r="F79" s="4">
        <f t="shared" ref="F79:F81" si="11">+E79*$C$6</f>
        <v>1.1969999999999998E-2</v>
      </c>
      <c r="G79" s="4">
        <f>+E79+F79</f>
        <v>3.4319699999999997</v>
      </c>
      <c r="H79" s="123">
        <f>+G79-'B&amp;O Tax Increase Calculations'!L79</f>
        <v>0</v>
      </c>
    </row>
    <row r="80" spans="1:9">
      <c r="B80" s="5" t="s">
        <v>40</v>
      </c>
      <c r="C80" s="5">
        <v>207</v>
      </c>
      <c r="D80" s="5">
        <v>29</v>
      </c>
      <c r="E80" s="4">
        <v>16.079999999999998</v>
      </c>
      <c r="F80" s="4">
        <f t="shared" si="11"/>
        <v>5.627999999999999E-2</v>
      </c>
      <c r="G80" s="4">
        <f>+E80+F80</f>
        <v>16.136279999999999</v>
      </c>
      <c r="H80" s="123">
        <f>+G80-'B&amp;O Tax Increase Calculations'!L80</f>
        <v>0</v>
      </c>
    </row>
    <row r="81" spans="1:8">
      <c r="B81" s="5" t="s">
        <v>41</v>
      </c>
      <c r="C81" s="5">
        <v>207</v>
      </c>
      <c r="D81" s="5">
        <v>29</v>
      </c>
      <c r="E81" s="4">
        <v>27.12</v>
      </c>
      <c r="F81" s="4">
        <f t="shared" si="11"/>
        <v>9.491999999999999E-2</v>
      </c>
      <c r="G81" s="4">
        <f>+E81+F81</f>
        <v>27.214919999999999</v>
      </c>
      <c r="H81" s="123">
        <f>+G81-'B&amp;O Tax Increase Calculations'!L81</f>
        <v>0</v>
      </c>
    </row>
    <row r="82" spans="1:8">
      <c r="E82" s="4"/>
      <c r="F82" s="4"/>
      <c r="G82" s="4"/>
      <c r="H82" s="123">
        <f>+G82-'B&amp;O Tax Increase Calculations'!L82</f>
        <v>0</v>
      </c>
    </row>
    <row r="83" spans="1:8">
      <c r="A83" s="93" t="s">
        <v>466</v>
      </c>
      <c r="B83" s="94"/>
      <c r="C83" s="94"/>
      <c r="D83" s="94"/>
      <c r="E83" s="95"/>
      <c r="F83" s="96"/>
      <c r="G83" s="95"/>
      <c r="H83" s="123">
        <f>+G83-'B&amp;O Tax Increase Calculations'!L83</f>
        <v>0</v>
      </c>
    </row>
    <row r="84" spans="1:8">
      <c r="A84" s="23"/>
      <c r="B84" s="5" t="s">
        <v>98</v>
      </c>
      <c r="C84" s="5">
        <v>210</v>
      </c>
      <c r="D84" s="5">
        <v>30</v>
      </c>
      <c r="E84" s="4">
        <v>6</v>
      </c>
      <c r="F84" s="4">
        <f t="shared" ref="F84:F87" si="12">+E84*$C$6</f>
        <v>2.0999999999999998E-2</v>
      </c>
      <c r="G84" s="4">
        <f>+E84+F84</f>
        <v>6.0209999999999999</v>
      </c>
      <c r="H84" s="123">
        <f>+G84-'B&amp;O Tax Increase Calculations'!L84</f>
        <v>0</v>
      </c>
    </row>
    <row r="85" spans="1:8">
      <c r="A85" s="23"/>
      <c r="B85" s="5" t="s">
        <v>99</v>
      </c>
      <c r="C85" s="5">
        <v>210</v>
      </c>
      <c r="D85" s="5">
        <v>30</v>
      </c>
      <c r="E85" s="4">
        <v>36</v>
      </c>
      <c r="F85" s="4">
        <f t="shared" si="12"/>
        <v>0.126</v>
      </c>
      <c r="G85" s="4">
        <f>+E85+F85</f>
        <v>36.125999999999998</v>
      </c>
      <c r="H85" s="123">
        <f>+G85-'B&amp;O Tax Increase Calculations'!L85</f>
        <v>0</v>
      </c>
    </row>
    <row r="86" spans="1:8">
      <c r="B86" s="5" t="s">
        <v>42</v>
      </c>
      <c r="C86" s="5">
        <v>210</v>
      </c>
      <c r="D86" s="5">
        <v>30</v>
      </c>
      <c r="E86" s="4">
        <v>30</v>
      </c>
      <c r="F86" s="4">
        <f t="shared" si="12"/>
        <v>0.10499999999999998</v>
      </c>
      <c r="G86" s="4">
        <f>+E86+F86</f>
        <v>30.105</v>
      </c>
      <c r="H86" s="123">
        <f>+G86-'B&amp;O Tax Increase Calculations'!L86</f>
        <v>0</v>
      </c>
    </row>
    <row r="87" spans="1:8">
      <c r="B87" s="5" t="s">
        <v>43</v>
      </c>
      <c r="C87" s="5">
        <v>210</v>
      </c>
      <c r="D87" s="5">
        <v>30</v>
      </c>
      <c r="E87" s="4">
        <v>52.4</v>
      </c>
      <c r="F87" s="4">
        <f t="shared" si="12"/>
        <v>0.18339999999999998</v>
      </c>
      <c r="G87" s="4">
        <f>+E87+F87</f>
        <v>52.583399999999997</v>
      </c>
      <c r="H87" s="123">
        <f>+G87-'B&amp;O Tax Increase Calculations'!L87</f>
        <v>0</v>
      </c>
    </row>
    <row r="88" spans="1:8">
      <c r="E88" s="4"/>
      <c r="F88" s="4"/>
      <c r="G88" s="4"/>
      <c r="H88" s="123">
        <f>+G88-'B&amp;O Tax Increase Calculations'!L88</f>
        <v>0</v>
      </c>
    </row>
    <row r="89" spans="1:8">
      <c r="A89" s="93" t="s">
        <v>467</v>
      </c>
      <c r="B89" s="94"/>
      <c r="C89" s="94"/>
      <c r="D89" s="94"/>
      <c r="E89" s="95"/>
      <c r="F89" s="96"/>
      <c r="G89" s="95"/>
      <c r="H89" s="123">
        <f>+G89-'B&amp;O Tax Increase Calculations'!L89</f>
        <v>0</v>
      </c>
    </row>
    <row r="90" spans="1:8">
      <c r="B90" s="5" t="s">
        <v>100</v>
      </c>
      <c r="C90" s="5">
        <v>240</v>
      </c>
      <c r="D90" s="22">
        <v>32</v>
      </c>
      <c r="E90" s="4">
        <v>4.46</v>
      </c>
      <c r="F90" s="4">
        <f t="shared" ref="F90:F91" si="13">+E90*$C$6</f>
        <v>1.5609999999999999E-2</v>
      </c>
      <c r="G90" s="4">
        <f>+E90+F90</f>
        <v>4.4756099999999996</v>
      </c>
      <c r="H90" s="123">
        <f>+G90-'B&amp;O Tax Increase Calculations'!L90</f>
        <v>0</v>
      </c>
    </row>
    <row r="91" spans="1:8">
      <c r="B91" s="5" t="s">
        <v>445</v>
      </c>
      <c r="C91" s="5">
        <v>240</v>
      </c>
      <c r="D91" s="22">
        <v>32</v>
      </c>
      <c r="E91" s="4">
        <v>12.27</v>
      </c>
      <c r="F91" s="4">
        <f t="shared" si="13"/>
        <v>4.2944999999999997E-2</v>
      </c>
      <c r="G91" s="4">
        <f>+E91+F91</f>
        <v>12.312944999999999</v>
      </c>
      <c r="H91" s="123">
        <f>+G91-'B&amp;O Tax Increase Calculations'!L91</f>
        <v>0</v>
      </c>
    </row>
    <row r="92" spans="1:8">
      <c r="D92" s="22"/>
      <c r="E92" s="4"/>
      <c r="F92" s="4"/>
      <c r="G92" s="4"/>
      <c r="H92" s="123">
        <f>+G92-'B&amp;O Tax Increase Calculations'!L92</f>
        <v>0</v>
      </c>
    </row>
    <row r="93" spans="1:8">
      <c r="B93" s="5" t="s">
        <v>101</v>
      </c>
      <c r="C93" s="5">
        <v>240</v>
      </c>
      <c r="D93" s="22">
        <v>32</v>
      </c>
      <c r="E93" s="4">
        <v>6.43</v>
      </c>
      <c r="F93" s="4">
        <f t="shared" ref="F93:F94" si="14">+E93*$C$6</f>
        <v>2.2504999999999997E-2</v>
      </c>
      <c r="G93" s="4">
        <f>+E93+F93</f>
        <v>6.4525049999999995</v>
      </c>
      <c r="H93" s="123">
        <f>+G93-'B&amp;O Tax Increase Calculations'!L93</f>
        <v>0</v>
      </c>
    </row>
    <row r="94" spans="1:8">
      <c r="B94" s="5" t="s">
        <v>446</v>
      </c>
      <c r="C94" s="5">
        <v>240</v>
      </c>
      <c r="D94" s="22">
        <v>32</v>
      </c>
      <c r="E94" s="4">
        <v>14.24</v>
      </c>
      <c r="F94" s="4">
        <f t="shared" si="14"/>
        <v>4.9839999999999995E-2</v>
      </c>
      <c r="G94" s="4">
        <f>+E94+F94</f>
        <v>14.28984</v>
      </c>
      <c r="H94" s="123">
        <f>+G94-'B&amp;O Tax Increase Calculations'!L94</f>
        <v>0</v>
      </c>
    </row>
    <row r="95" spans="1:8">
      <c r="D95" s="22"/>
      <c r="E95" s="4"/>
      <c r="F95" s="4"/>
      <c r="G95" s="4"/>
      <c r="H95" s="123">
        <f>+G95-'B&amp;O Tax Increase Calculations'!L95</f>
        <v>0</v>
      </c>
    </row>
    <row r="96" spans="1:8">
      <c r="B96" s="5" t="s">
        <v>102</v>
      </c>
      <c r="C96" s="5">
        <v>240</v>
      </c>
      <c r="D96" s="22">
        <v>32</v>
      </c>
      <c r="E96" s="4">
        <v>17.3</v>
      </c>
      <c r="F96" s="4">
        <f t="shared" ref="F96:F97" si="15">+E96*$C$6</f>
        <v>6.055E-2</v>
      </c>
      <c r="G96" s="4">
        <f>+E96+F96</f>
        <v>17.36055</v>
      </c>
      <c r="H96" s="123">
        <f>+G96-'B&amp;O Tax Increase Calculations'!L96</f>
        <v>0</v>
      </c>
    </row>
    <row r="97" spans="1:9">
      <c r="B97" s="5" t="s">
        <v>447</v>
      </c>
      <c r="C97" s="5">
        <v>240</v>
      </c>
      <c r="D97" s="22">
        <v>32</v>
      </c>
      <c r="E97" s="4">
        <v>27.7</v>
      </c>
      <c r="F97" s="4">
        <f t="shared" si="15"/>
        <v>9.6949999999999981E-2</v>
      </c>
      <c r="G97" s="4">
        <f>+E97+F97</f>
        <v>27.796949999999999</v>
      </c>
      <c r="H97" s="123">
        <f>+G97-'B&amp;O Tax Increase Calculations'!L97</f>
        <v>0</v>
      </c>
    </row>
    <row r="98" spans="1:9">
      <c r="D98" s="22"/>
      <c r="E98" s="4"/>
      <c r="F98" s="4"/>
      <c r="G98" s="4"/>
      <c r="H98" s="123">
        <f>+G98-'B&amp;O Tax Increase Calculations'!L98</f>
        <v>0</v>
      </c>
    </row>
    <row r="99" spans="1:9">
      <c r="B99" s="5" t="s">
        <v>103</v>
      </c>
      <c r="C99" s="5">
        <v>240</v>
      </c>
      <c r="D99" s="22">
        <v>32</v>
      </c>
      <c r="E99" s="4">
        <v>3.26</v>
      </c>
      <c r="F99" s="4">
        <f t="shared" ref="F99:F101" si="16">+E99*$C$6</f>
        <v>1.1409999999999998E-2</v>
      </c>
      <c r="G99" s="4">
        <f>+E99+F99</f>
        <v>3.2714099999999999</v>
      </c>
      <c r="H99" s="123">
        <f>+G99-'B&amp;O Tax Increase Calculations'!L99</f>
        <v>0</v>
      </c>
    </row>
    <row r="100" spans="1:9">
      <c r="B100" s="5" t="s">
        <v>104</v>
      </c>
      <c r="C100" s="5">
        <v>240</v>
      </c>
      <c r="D100" s="22">
        <v>32</v>
      </c>
      <c r="E100" s="4">
        <v>6.43</v>
      </c>
      <c r="F100" s="4">
        <f t="shared" si="16"/>
        <v>2.2504999999999997E-2</v>
      </c>
      <c r="G100" s="4">
        <f>+E100+F100</f>
        <v>6.4525049999999995</v>
      </c>
      <c r="H100" s="123">
        <f>+G100-'B&amp;O Tax Increase Calculations'!L100</f>
        <v>0</v>
      </c>
    </row>
    <row r="101" spans="1:9">
      <c r="B101" s="5" t="s">
        <v>105</v>
      </c>
      <c r="C101" s="5">
        <v>240</v>
      </c>
      <c r="D101" s="22">
        <v>32</v>
      </c>
      <c r="E101" s="4">
        <v>0.64</v>
      </c>
      <c r="F101" s="4">
        <f t="shared" si="16"/>
        <v>2.2399999999999998E-3</v>
      </c>
      <c r="G101" s="4">
        <f>+E101+F101</f>
        <v>0.64224000000000003</v>
      </c>
      <c r="H101" s="123">
        <f>+G101-'B&amp;O Tax Increase Calculations'!L101</f>
        <v>0</v>
      </c>
      <c r="I101" s="5" t="s">
        <v>486</v>
      </c>
    </row>
    <row r="102" spans="1:9">
      <c r="D102" s="22"/>
      <c r="E102" s="4"/>
      <c r="F102" s="4"/>
      <c r="G102" s="4"/>
      <c r="H102" s="123">
        <f>+G102-'B&amp;O Tax Increase Calculations'!L102</f>
        <v>0</v>
      </c>
    </row>
    <row r="103" spans="1:9">
      <c r="B103" s="5" t="s">
        <v>44</v>
      </c>
      <c r="C103" s="5">
        <v>240</v>
      </c>
      <c r="D103" s="5">
        <v>32</v>
      </c>
      <c r="E103" s="4">
        <v>3.96</v>
      </c>
      <c r="F103" s="4">
        <f t="shared" ref="F103:F104" si="17">+E103*$C$6</f>
        <v>1.3859999999999999E-2</v>
      </c>
      <c r="G103" s="4">
        <f>+E103+F103</f>
        <v>3.9738600000000002</v>
      </c>
      <c r="H103" s="123">
        <f>+G103-'B&amp;O Tax Increase Calculations'!L103</f>
        <v>0</v>
      </c>
    </row>
    <row r="104" spans="1:9">
      <c r="B104" s="5" t="s">
        <v>106</v>
      </c>
      <c r="C104" s="5">
        <v>240</v>
      </c>
      <c r="D104" s="5">
        <v>32</v>
      </c>
      <c r="E104" s="4">
        <v>3.42</v>
      </c>
      <c r="F104" s="4">
        <f t="shared" si="17"/>
        <v>1.1969999999999998E-2</v>
      </c>
      <c r="G104" s="4">
        <f>+E104+F104</f>
        <v>3.4319699999999997</v>
      </c>
      <c r="H104" s="123">
        <f>+G104-'B&amp;O Tax Increase Calculations'!L104</f>
        <v>0</v>
      </c>
    </row>
    <row r="105" spans="1:9">
      <c r="E105" s="4"/>
      <c r="F105" s="4"/>
      <c r="G105" s="4"/>
      <c r="H105" s="123">
        <f>+G105-'B&amp;O Tax Increase Calculations'!L105</f>
        <v>0</v>
      </c>
    </row>
    <row r="106" spans="1:9">
      <c r="A106" s="93" t="s">
        <v>469</v>
      </c>
      <c r="B106" s="94"/>
      <c r="C106" s="94"/>
      <c r="D106" s="94"/>
      <c r="E106" s="95"/>
      <c r="F106" s="96"/>
      <c r="G106" s="95"/>
      <c r="H106" s="123">
        <f>+G106-'B&amp;O Tax Increase Calculations'!L106</f>
        <v>0</v>
      </c>
    </row>
    <row r="107" spans="1:9">
      <c r="B107" s="5" t="s">
        <v>470</v>
      </c>
      <c r="C107" s="5">
        <v>240</v>
      </c>
      <c r="D107" s="22" t="s">
        <v>468</v>
      </c>
      <c r="E107" s="4">
        <v>13.34</v>
      </c>
      <c r="F107" s="4">
        <f t="shared" ref="F107:F109" si="18">+E107*$C$6</f>
        <v>4.6689999999999995E-2</v>
      </c>
      <c r="G107" s="4">
        <f>+E107+F107</f>
        <v>13.38669</v>
      </c>
      <c r="H107" s="123">
        <f>+G107-'B&amp;O Tax Increase Calculations'!L107</f>
        <v>0</v>
      </c>
    </row>
    <row r="108" spans="1:9">
      <c r="B108" s="5" t="s">
        <v>471</v>
      </c>
      <c r="C108" s="5">
        <v>240</v>
      </c>
      <c r="D108" s="22" t="s">
        <v>468</v>
      </c>
      <c r="E108" s="4">
        <v>13.34</v>
      </c>
      <c r="F108" s="4">
        <f t="shared" si="18"/>
        <v>4.6689999999999995E-2</v>
      </c>
      <c r="G108" s="4">
        <f>+E108+F108</f>
        <v>13.38669</v>
      </c>
      <c r="H108" s="123">
        <f>+G108-'B&amp;O Tax Increase Calculations'!L108</f>
        <v>0</v>
      </c>
    </row>
    <row r="109" spans="1:9">
      <c r="B109" s="5" t="s">
        <v>133</v>
      </c>
      <c r="C109" s="5">
        <v>240</v>
      </c>
      <c r="D109" s="22" t="s">
        <v>468</v>
      </c>
      <c r="E109" s="4">
        <v>23.6</v>
      </c>
      <c r="F109" s="4">
        <f t="shared" si="18"/>
        <v>8.2599999999999993E-2</v>
      </c>
      <c r="G109" s="4">
        <f>+E109+F109</f>
        <v>23.682600000000001</v>
      </c>
      <c r="H109" s="123">
        <f>+G109-'B&amp;O Tax Increase Calculations'!L109</f>
        <v>0</v>
      </c>
    </row>
    <row r="110" spans="1:9">
      <c r="D110" s="22"/>
      <c r="E110" s="4"/>
      <c r="F110" s="4"/>
      <c r="G110" s="4"/>
      <c r="H110" s="123">
        <f>+G110-'B&amp;O Tax Increase Calculations'!L110</f>
        <v>0</v>
      </c>
    </row>
    <row r="111" spans="1:9">
      <c r="B111" s="5" t="s">
        <v>107</v>
      </c>
      <c r="C111" s="5">
        <v>240</v>
      </c>
      <c r="D111" s="22" t="s">
        <v>468</v>
      </c>
      <c r="E111" s="4">
        <v>17.350000000000001</v>
      </c>
      <c r="F111" s="4">
        <f t="shared" ref="F111:F112" si="19">+E111*$C$6</f>
        <v>6.0725000000000001E-2</v>
      </c>
      <c r="G111" s="4">
        <f>+E111+F111</f>
        <v>17.410725000000003</v>
      </c>
      <c r="H111" s="123">
        <f>+G111-'B&amp;O Tax Increase Calculations'!L111</f>
        <v>0</v>
      </c>
    </row>
    <row r="112" spans="1:9">
      <c r="B112" s="5" t="s">
        <v>132</v>
      </c>
      <c r="C112" s="5">
        <v>240</v>
      </c>
      <c r="D112" s="22" t="s">
        <v>468</v>
      </c>
      <c r="E112" s="4">
        <v>27.75</v>
      </c>
      <c r="F112" s="4">
        <f t="shared" si="19"/>
        <v>9.7124999999999989E-2</v>
      </c>
      <c r="G112" s="4">
        <f>+E112+F112</f>
        <v>27.847124999999998</v>
      </c>
      <c r="H112" s="123">
        <f>+G112-'B&amp;O Tax Increase Calculations'!L112</f>
        <v>0</v>
      </c>
    </row>
    <row r="113" spans="2:8">
      <c r="D113" s="22"/>
      <c r="E113" s="4"/>
      <c r="F113" s="4"/>
      <c r="G113" s="4"/>
      <c r="H113" s="123">
        <f>+G113-'B&amp;O Tax Increase Calculations'!L113</f>
        <v>0</v>
      </c>
    </row>
    <row r="114" spans="2:8">
      <c r="B114" s="5" t="s">
        <v>108</v>
      </c>
      <c r="C114" s="5">
        <v>240</v>
      </c>
      <c r="D114" s="22" t="s">
        <v>468</v>
      </c>
      <c r="E114" s="4">
        <v>19.829999999999998</v>
      </c>
      <c r="F114" s="4">
        <f t="shared" ref="F114:F115" si="20">+E114*$C$6</f>
        <v>6.9404999999999981E-2</v>
      </c>
      <c r="G114" s="4">
        <f>+E114+F114</f>
        <v>19.899404999999998</v>
      </c>
      <c r="H114" s="123">
        <f>+G114-'B&amp;O Tax Increase Calculations'!L114</f>
        <v>0</v>
      </c>
    </row>
    <row r="115" spans="2:8">
      <c r="B115" s="5" t="s">
        <v>131</v>
      </c>
      <c r="C115" s="5">
        <v>240</v>
      </c>
      <c r="D115" s="22" t="s">
        <v>468</v>
      </c>
      <c r="E115" s="4">
        <v>30.23</v>
      </c>
      <c r="F115" s="4">
        <f t="shared" si="20"/>
        <v>0.105805</v>
      </c>
      <c r="G115" s="4">
        <f>+E115+F115</f>
        <v>30.335805000000001</v>
      </c>
      <c r="H115" s="123">
        <f>+G115-'B&amp;O Tax Increase Calculations'!L115</f>
        <v>0</v>
      </c>
    </row>
    <row r="116" spans="2:8">
      <c r="D116" s="22"/>
      <c r="E116" s="4"/>
      <c r="F116" s="4"/>
      <c r="G116" s="4"/>
      <c r="H116" s="123">
        <f>+G116-'B&amp;O Tax Increase Calculations'!L116</f>
        <v>0</v>
      </c>
    </row>
    <row r="117" spans="2:8">
      <c r="B117" s="5" t="s">
        <v>109</v>
      </c>
      <c r="C117" s="5">
        <v>240</v>
      </c>
      <c r="D117" s="22" t="s">
        <v>468</v>
      </c>
      <c r="E117" s="4">
        <v>25.56</v>
      </c>
      <c r="F117" s="4">
        <f t="shared" ref="F117:F118" si="21">+E117*$C$6</f>
        <v>8.9459999999999984E-2</v>
      </c>
      <c r="G117" s="4">
        <f>+E117+F117</f>
        <v>25.649459999999998</v>
      </c>
      <c r="H117" s="123">
        <f>+G117-'B&amp;O Tax Increase Calculations'!L117</f>
        <v>0</v>
      </c>
    </row>
    <row r="118" spans="2:8">
      <c r="B118" s="5" t="s">
        <v>130</v>
      </c>
      <c r="C118" s="5">
        <v>240</v>
      </c>
      <c r="D118" s="22" t="s">
        <v>468</v>
      </c>
      <c r="E118" s="4">
        <v>35.96</v>
      </c>
      <c r="F118" s="4">
        <f t="shared" si="21"/>
        <v>0.12586</v>
      </c>
      <c r="G118" s="4">
        <f>+E118+F118</f>
        <v>36.085860000000004</v>
      </c>
      <c r="H118" s="123">
        <f>+G118-'B&amp;O Tax Increase Calculations'!L118</f>
        <v>0</v>
      </c>
    </row>
    <row r="119" spans="2:8">
      <c r="D119" s="22"/>
      <c r="E119" s="4"/>
      <c r="F119" s="4"/>
      <c r="G119" s="4"/>
      <c r="H119" s="123">
        <f>+G119-'B&amp;O Tax Increase Calculations'!L119</f>
        <v>0</v>
      </c>
    </row>
    <row r="120" spans="2:8">
      <c r="B120" s="5" t="s">
        <v>110</v>
      </c>
      <c r="C120" s="5">
        <v>240</v>
      </c>
      <c r="D120" s="22" t="s">
        <v>468</v>
      </c>
      <c r="E120" s="4">
        <v>28.09</v>
      </c>
      <c r="F120" s="4">
        <f t="shared" ref="F120:F121" si="22">+E120*$C$6</f>
        <v>9.8314999999999986E-2</v>
      </c>
      <c r="G120" s="4">
        <f>+E120+F120</f>
        <v>28.188314999999999</v>
      </c>
      <c r="H120" s="123">
        <f>+G120-'B&amp;O Tax Increase Calculations'!L120</f>
        <v>0</v>
      </c>
    </row>
    <row r="121" spans="2:8">
      <c r="B121" s="5" t="s">
        <v>129</v>
      </c>
      <c r="C121" s="5">
        <v>240</v>
      </c>
      <c r="D121" s="22" t="s">
        <v>468</v>
      </c>
      <c r="E121" s="4">
        <v>38.49</v>
      </c>
      <c r="F121" s="4">
        <f t="shared" si="22"/>
        <v>0.134715</v>
      </c>
      <c r="G121" s="4">
        <f>+E121+F121</f>
        <v>38.624715000000002</v>
      </c>
      <c r="H121" s="123">
        <f>+G121-'B&amp;O Tax Increase Calculations'!L121</f>
        <v>0</v>
      </c>
    </row>
    <row r="122" spans="2:8">
      <c r="D122" s="22"/>
      <c r="E122" s="4"/>
      <c r="F122" s="4"/>
      <c r="G122" s="4"/>
      <c r="H122" s="123">
        <f>+G122-'B&amp;O Tax Increase Calculations'!L122</f>
        <v>0</v>
      </c>
    </row>
    <row r="123" spans="2:8">
      <c r="B123" s="5" t="s">
        <v>111</v>
      </c>
      <c r="C123" s="5">
        <v>240</v>
      </c>
      <c r="D123" s="22" t="s">
        <v>468</v>
      </c>
      <c r="E123" s="4">
        <v>35.08</v>
      </c>
      <c r="F123" s="4">
        <f t="shared" ref="F123:F124" si="23">+E123*$C$6</f>
        <v>0.12277999999999999</v>
      </c>
      <c r="G123" s="4">
        <f>+E123+F123</f>
        <v>35.202779999999997</v>
      </c>
      <c r="H123" s="123">
        <f>+G123-'B&amp;O Tax Increase Calculations'!L123</f>
        <v>0</v>
      </c>
    </row>
    <row r="124" spans="2:8">
      <c r="B124" s="5" t="s">
        <v>128</v>
      </c>
      <c r="C124" s="5">
        <v>240</v>
      </c>
      <c r="D124" s="22" t="s">
        <v>468</v>
      </c>
      <c r="E124" s="4">
        <v>45.48</v>
      </c>
      <c r="F124" s="4">
        <f t="shared" si="23"/>
        <v>0.15917999999999996</v>
      </c>
      <c r="G124" s="4">
        <f>+E124+F124</f>
        <v>45.639179999999996</v>
      </c>
      <c r="H124" s="123">
        <f>+G124-'B&amp;O Tax Increase Calculations'!L124</f>
        <v>0</v>
      </c>
    </row>
    <row r="125" spans="2:8">
      <c r="D125" s="22"/>
      <c r="E125" s="4"/>
      <c r="F125" s="4"/>
      <c r="G125" s="4"/>
      <c r="H125" s="123">
        <f>+G125-'B&amp;O Tax Increase Calculations'!L125</f>
        <v>0</v>
      </c>
    </row>
    <row r="126" spans="2:8">
      <c r="B126" s="5" t="s">
        <v>112</v>
      </c>
      <c r="C126" s="5">
        <v>240</v>
      </c>
      <c r="D126" s="22" t="s">
        <v>468</v>
      </c>
      <c r="E126" s="4">
        <v>43.44</v>
      </c>
      <c r="F126" s="4">
        <f t="shared" ref="F126:F127" si="24">+E126*$C$6</f>
        <v>0.15203999999999998</v>
      </c>
      <c r="G126" s="4">
        <f>+E126+F126</f>
        <v>43.592039999999997</v>
      </c>
      <c r="H126" s="123">
        <f>+G126-'B&amp;O Tax Increase Calculations'!L126</f>
        <v>0</v>
      </c>
    </row>
    <row r="127" spans="2:8">
      <c r="B127" s="5" t="s">
        <v>127</v>
      </c>
      <c r="C127" s="5">
        <v>240</v>
      </c>
      <c r="D127" s="22" t="s">
        <v>468</v>
      </c>
      <c r="E127" s="4">
        <v>53.84</v>
      </c>
      <c r="F127" s="4">
        <f t="shared" si="24"/>
        <v>0.18844</v>
      </c>
      <c r="G127" s="4">
        <f>+E127+F127</f>
        <v>54.028440000000003</v>
      </c>
      <c r="H127" s="123">
        <f>+G127-'B&amp;O Tax Increase Calculations'!L127</f>
        <v>0</v>
      </c>
    </row>
    <row r="128" spans="2:8">
      <c r="D128" s="22"/>
      <c r="E128" s="4"/>
      <c r="F128" s="4"/>
      <c r="G128" s="4"/>
      <c r="H128" s="123">
        <f>+G128-'B&amp;O Tax Increase Calculations'!L128</f>
        <v>0</v>
      </c>
    </row>
    <row r="129" spans="2:9">
      <c r="B129" s="5" t="s">
        <v>134</v>
      </c>
      <c r="C129" s="5">
        <v>240</v>
      </c>
      <c r="D129" s="22" t="s">
        <v>468</v>
      </c>
      <c r="E129" s="4">
        <v>21.56</v>
      </c>
      <c r="F129" s="4">
        <f>+E129*$C$6</f>
        <v>7.5459999999999985E-2</v>
      </c>
      <c r="G129" s="4">
        <f>+E129+F129</f>
        <v>21.635459999999998</v>
      </c>
      <c r="H129" s="123">
        <f>+G129-'B&amp;O Tax Increase Calculations'!L129</f>
        <v>0</v>
      </c>
    </row>
    <row r="130" spans="2:9">
      <c r="D130" s="22"/>
      <c r="E130" s="4"/>
      <c r="F130" s="4"/>
      <c r="G130" s="4"/>
      <c r="H130" s="123">
        <f>+G130-'B&amp;O Tax Increase Calculations'!L130</f>
        <v>0</v>
      </c>
    </row>
    <row r="131" spans="2:9">
      <c r="B131" s="5" t="s">
        <v>113</v>
      </c>
      <c r="C131" s="5">
        <v>240</v>
      </c>
      <c r="D131" s="22" t="s">
        <v>468</v>
      </c>
      <c r="E131" s="4">
        <v>23.6</v>
      </c>
      <c r="F131" s="4">
        <f t="shared" ref="F131:F132" si="25">+E131*$C$6</f>
        <v>8.2599999999999993E-2</v>
      </c>
      <c r="G131" s="4">
        <f>+E131+F131</f>
        <v>23.682600000000001</v>
      </c>
      <c r="H131" s="123">
        <f>+G131-'B&amp;O Tax Increase Calculations'!L131</f>
        <v>0</v>
      </c>
    </row>
    <row r="132" spans="2:9">
      <c r="B132" s="5" t="s">
        <v>120</v>
      </c>
      <c r="C132" s="5">
        <v>240</v>
      </c>
      <c r="D132" s="22" t="s">
        <v>468</v>
      </c>
      <c r="E132" s="4">
        <v>0.83</v>
      </c>
      <c r="F132" s="4">
        <f t="shared" si="25"/>
        <v>2.9049999999999996E-3</v>
      </c>
      <c r="G132" s="4">
        <f>+E132+F132</f>
        <v>0.83290500000000001</v>
      </c>
      <c r="H132" s="123">
        <f>+G132-'B&amp;O Tax Increase Calculations'!L132</f>
        <v>0</v>
      </c>
      <c r="I132" s="5" t="s">
        <v>486</v>
      </c>
    </row>
    <row r="133" spans="2:9">
      <c r="D133" s="22"/>
      <c r="E133" s="4"/>
      <c r="F133" s="4"/>
      <c r="G133" s="4"/>
      <c r="H133" s="123">
        <f>+G133-'B&amp;O Tax Increase Calculations'!L133</f>
        <v>0</v>
      </c>
    </row>
    <row r="134" spans="2:9">
      <c r="B134" s="5" t="s">
        <v>114</v>
      </c>
      <c r="C134" s="5">
        <v>240</v>
      </c>
      <c r="D134" s="22" t="s">
        <v>468</v>
      </c>
      <c r="E134" s="4">
        <v>27.75</v>
      </c>
      <c r="F134" s="4">
        <f t="shared" ref="F134:F135" si="26">+E134*$C$6</f>
        <v>9.7124999999999989E-2</v>
      </c>
      <c r="G134" s="4">
        <f>+E134+F134</f>
        <v>27.847124999999998</v>
      </c>
      <c r="H134" s="123">
        <f>+G134-'B&amp;O Tax Increase Calculations'!L134</f>
        <v>0</v>
      </c>
    </row>
    <row r="135" spans="2:9">
      <c r="B135" s="5" t="s">
        <v>121</v>
      </c>
      <c r="C135" s="5">
        <v>240</v>
      </c>
      <c r="D135" s="22" t="s">
        <v>468</v>
      </c>
      <c r="E135" s="4">
        <v>1.1000000000000001</v>
      </c>
      <c r="F135" s="4">
        <f t="shared" si="26"/>
        <v>3.8500000000000001E-3</v>
      </c>
      <c r="G135" s="4">
        <f>+E135+F135</f>
        <v>1.10385</v>
      </c>
      <c r="H135" s="123">
        <f>+G135-'B&amp;O Tax Increase Calculations'!L135</f>
        <v>0</v>
      </c>
      <c r="I135" s="5" t="s">
        <v>486</v>
      </c>
    </row>
    <row r="136" spans="2:9">
      <c r="D136" s="22"/>
      <c r="E136" s="4"/>
      <c r="F136" s="4"/>
      <c r="G136" s="4"/>
      <c r="H136" s="123">
        <f>+G136-'B&amp;O Tax Increase Calculations'!L136</f>
        <v>0</v>
      </c>
    </row>
    <row r="137" spans="2:9">
      <c r="B137" s="5" t="s">
        <v>115</v>
      </c>
      <c r="C137" s="5">
        <v>240</v>
      </c>
      <c r="D137" s="22" t="s">
        <v>468</v>
      </c>
      <c r="E137" s="4">
        <v>30.23</v>
      </c>
      <c r="F137" s="4">
        <f t="shared" ref="F137:F138" si="27">+E137*$C$6</f>
        <v>0.105805</v>
      </c>
      <c r="G137" s="4">
        <f>+E137+F137</f>
        <v>30.335805000000001</v>
      </c>
      <c r="H137" s="123">
        <f>+G137-'B&amp;O Tax Increase Calculations'!L137</f>
        <v>0</v>
      </c>
    </row>
    <row r="138" spans="2:9">
      <c r="B138" s="5" t="s">
        <v>122</v>
      </c>
      <c r="C138" s="5">
        <v>240</v>
      </c>
      <c r="D138" s="22" t="s">
        <v>468</v>
      </c>
      <c r="E138" s="4">
        <v>1.21</v>
      </c>
      <c r="F138" s="4">
        <f t="shared" si="27"/>
        <v>4.2349999999999992E-3</v>
      </c>
      <c r="G138" s="4">
        <f>+E138+F138</f>
        <v>1.214235</v>
      </c>
      <c r="H138" s="123">
        <f>+G138-'B&amp;O Tax Increase Calculations'!L138</f>
        <v>0</v>
      </c>
      <c r="I138" s="5" t="s">
        <v>486</v>
      </c>
    </row>
    <row r="139" spans="2:9">
      <c r="D139" s="22"/>
      <c r="E139" s="4"/>
      <c r="F139" s="4"/>
      <c r="G139" s="4"/>
      <c r="H139" s="123">
        <f>+G139-'B&amp;O Tax Increase Calculations'!L139</f>
        <v>0</v>
      </c>
    </row>
    <row r="140" spans="2:9">
      <c r="B140" s="5" t="s">
        <v>116</v>
      </c>
      <c r="C140" s="5">
        <v>240</v>
      </c>
      <c r="D140" s="22" t="s">
        <v>468</v>
      </c>
      <c r="E140" s="4">
        <v>35.96</v>
      </c>
      <c r="F140" s="4">
        <f t="shared" ref="F140:F141" si="28">+E140*$C$6</f>
        <v>0.12586</v>
      </c>
      <c r="G140" s="4">
        <f>+E140+F140</f>
        <v>36.085860000000004</v>
      </c>
      <c r="H140" s="123">
        <f>+G140-'B&amp;O Tax Increase Calculations'!L140</f>
        <v>0</v>
      </c>
    </row>
    <row r="141" spans="2:9">
      <c r="B141" s="5" t="s">
        <v>123</v>
      </c>
      <c r="C141" s="5">
        <v>240</v>
      </c>
      <c r="D141" s="22" t="s">
        <v>468</v>
      </c>
      <c r="E141" s="4">
        <v>1.65</v>
      </c>
      <c r="F141" s="4">
        <f t="shared" si="28"/>
        <v>5.7749999999999989E-3</v>
      </c>
      <c r="G141" s="4">
        <f>+E141+F141</f>
        <v>1.655775</v>
      </c>
      <c r="H141" s="123">
        <f>+G141-'B&amp;O Tax Increase Calculations'!L141</f>
        <v>0</v>
      </c>
    </row>
    <row r="142" spans="2:9">
      <c r="D142" s="22"/>
      <c r="E142" s="4"/>
      <c r="F142" s="4"/>
      <c r="G142" s="4"/>
      <c r="H142" s="123">
        <f>+G142-'B&amp;O Tax Increase Calculations'!L142</f>
        <v>0</v>
      </c>
    </row>
    <row r="143" spans="2:9">
      <c r="B143" s="5" t="s">
        <v>117</v>
      </c>
      <c r="C143" s="5">
        <v>240</v>
      </c>
      <c r="D143" s="22" t="s">
        <v>468</v>
      </c>
      <c r="E143" s="4">
        <v>38.49</v>
      </c>
      <c r="F143" s="4">
        <f t="shared" ref="F143:F144" si="29">+E143*$C$6</f>
        <v>0.134715</v>
      </c>
      <c r="G143" s="4">
        <f>+E143+F143</f>
        <v>38.624715000000002</v>
      </c>
      <c r="H143" s="123">
        <f>+G143-'B&amp;O Tax Increase Calculations'!L143</f>
        <v>0</v>
      </c>
    </row>
    <row r="144" spans="2:9">
      <c r="B144" s="5" t="s">
        <v>124</v>
      </c>
      <c r="C144" s="5">
        <v>240</v>
      </c>
      <c r="D144" s="22" t="s">
        <v>468</v>
      </c>
      <c r="E144" s="4">
        <v>1.93</v>
      </c>
      <c r="F144" s="4">
        <f t="shared" si="29"/>
        <v>6.7549999999999989E-3</v>
      </c>
      <c r="G144" s="4">
        <f>+E144+F144</f>
        <v>1.936755</v>
      </c>
      <c r="H144" s="123">
        <f>+G144-'B&amp;O Tax Increase Calculations'!L144</f>
        <v>0</v>
      </c>
    </row>
    <row r="145" spans="1:8">
      <c r="D145" s="22"/>
      <c r="E145" s="4"/>
      <c r="F145" s="4"/>
      <c r="G145" s="4"/>
      <c r="H145" s="123">
        <f>+G145-'B&amp;O Tax Increase Calculations'!L145</f>
        <v>0</v>
      </c>
    </row>
    <row r="146" spans="1:8">
      <c r="B146" s="5" t="s">
        <v>118</v>
      </c>
      <c r="C146" s="5">
        <v>240</v>
      </c>
      <c r="D146" s="22" t="s">
        <v>468</v>
      </c>
      <c r="E146" s="4">
        <v>45.48</v>
      </c>
      <c r="F146" s="4">
        <f t="shared" ref="F146:F147" si="30">+E146*$C$6</f>
        <v>0.15917999999999996</v>
      </c>
      <c r="G146" s="4">
        <f>+E146+F146</f>
        <v>45.639179999999996</v>
      </c>
      <c r="H146" s="123">
        <f>+G146-'B&amp;O Tax Increase Calculations'!L146</f>
        <v>0</v>
      </c>
    </row>
    <row r="147" spans="1:8">
      <c r="B147" s="5" t="s">
        <v>125</v>
      </c>
      <c r="C147" s="5">
        <v>240</v>
      </c>
      <c r="D147" s="22" t="s">
        <v>468</v>
      </c>
      <c r="E147" s="4">
        <v>2.09</v>
      </c>
      <c r="F147" s="4">
        <f t="shared" si="30"/>
        <v>7.3149999999999986E-3</v>
      </c>
      <c r="G147" s="4">
        <f>+E147+F147</f>
        <v>2.097315</v>
      </c>
      <c r="H147" s="123">
        <f>+G147-'B&amp;O Tax Increase Calculations'!L147</f>
        <v>0</v>
      </c>
    </row>
    <row r="148" spans="1:8">
      <c r="D148" s="22"/>
      <c r="E148" s="4"/>
      <c r="F148" s="4"/>
      <c r="G148" s="4"/>
      <c r="H148" s="123">
        <f>+G148-'B&amp;O Tax Increase Calculations'!L148</f>
        <v>0</v>
      </c>
    </row>
    <row r="149" spans="1:8">
      <c r="B149" s="5" t="s">
        <v>119</v>
      </c>
      <c r="C149" s="5">
        <v>240</v>
      </c>
      <c r="D149" s="22" t="s">
        <v>468</v>
      </c>
      <c r="E149" s="4">
        <v>53.84</v>
      </c>
      <c r="F149" s="4">
        <f t="shared" ref="F149:F150" si="31">+E149*$C$6</f>
        <v>0.18844</v>
      </c>
      <c r="G149" s="4">
        <f>+E149+F149</f>
        <v>54.028440000000003</v>
      </c>
      <c r="H149" s="123">
        <f>+G149-'B&amp;O Tax Increase Calculations'!L149</f>
        <v>0</v>
      </c>
    </row>
    <row r="150" spans="1:8">
      <c r="B150" s="5" t="s">
        <v>126</v>
      </c>
      <c r="C150" s="5">
        <v>240</v>
      </c>
      <c r="D150" s="22" t="s">
        <v>468</v>
      </c>
      <c r="E150" s="4">
        <v>2.48</v>
      </c>
      <c r="F150" s="4">
        <f t="shared" si="31"/>
        <v>8.6799999999999985E-3</v>
      </c>
      <c r="G150" s="4">
        <f>+E150+F150</f>
        <v>2.48868</v>
      </c>
      <c r="H150" s="123">
        <f>+G150-'B&amp;O Tax Increase Calculations'!L150</f>
        <v>0</v>
      </c>
    </row>
    <row r="151" spans="1:8">
      <c r="D151" s="22"/>
      <c r="E151" s="4"/>
      <c r="F151" s="4"/>
      <c r="G151" s="4"/>
      <c r="H151" s="123">
        <f>+G151-'B&amp;O Tax Increase Calculations'!L151</f>
        <v>0</v>
      </c>
    </row>
    <row r="152" spans="1:8">
      <c r="B152" s="5" t="s">
        <v>44</v>
      </c>
      <c r="C152" s="5">
        <v>240</v>
      </c>
      <c r="D152" s="22" t="s">
        <v>468</v>
      </c>
      <c r="E152" s="4">
        <v>3.96</v>
      </c>
      <c r="F152" s="4">
        <f t="shared" ref="F152:F153" si="32">+E152*$C$6</f>
        <v>1.3859999999999999E-2</v>
      </c>
      <c r="G152" s="4">
        <f>+E152+F152</f>
        <v>3.9738600000000002</v>
      </c>
      <c r="H152" s="123">
        <f>+G152-'B&amp;O Tax Increase Calculations'!L152</f>
        <v>0</v>
      </c>
    </row>
    <row r="153" spans="1:8">
      <c r="B153" s="5" t="s">
        <v>106</v>
      </c>
      <c r="C153" s="5">
        <v>240</v>
      </c>
      <c r="D153" s="22" t="s">
        <v>468</v>
      </c>
      <c r="E153" s="4">
        <v>3.42</v>
      </c>
      <c r="F153" s="4">
        <f t="shared" si="32"/>
        <v>1.1969999999999998E-2</v>
      </c>
      <c r="G153" s="4">
        <f>+E153+F153</f>
        <v>3.4319699999999997</v>
      </c>
      <c r="H153" s="123">
        <f>+G153-'B&amp;O Tax Increase Calculations'!L153</f>
        <v>0</v>
      </c>
    </row>
    <row r="154" spans="1:8">
      <c r="E154" s="4"/>
      <c r="F154" s="4"/>
      <c r="G154" s="4"/>
      <c r="H154" s="123">
        <f>+G154-'B&amp;O Tax Increase Calculations'!L154</f>
        <v>0</v>
      </c>
    </row>
    <row r="155" spans="1:8">
      <c r="A155" s="93" t="s">
        <v>472</v>
      </c>
      <c r="B155" s="94"/>
      <c r="C155" s="94"/>
      <c r="D155" s="94"/>
      <c r="E155" s="95"/>
      <c r="F155" s="96"/>
      <c r="G155" s="95"/>
      <c r="H155" s="123">
        <f>+G155-'B&amp;O Tax Increase Calculations'!L155</f>
        <v>0</v>
      </c>
    </row>
    <row r="156" spans="1:8">
      <c r="B156" s="5" t="s">
        <v>135</v>
      </c>
      <c r="C156" s="5">
        <v>245</v>
      </c>
      <c r="D156" s="22">
        <v>33</v>
      </c>
      <c r="E156" s="4">
        <v>3.76</v>
      </c>
      <c r="F156" s="4">
        <f t="shared" ref="F156:F160" si="33">+E156*$C$6</f>
        <v>1.3159999999999998E-2</v>
      </c>
      <c r="G156" s="4">
        <f>+E156+F156</f>
        <v>3.7731599999999998</v>
      </c>
      <c r="H156" s="123">
        <f>+G156-'B&amp;O Tax Increase Calculations'!L156</f>
        <v>0</v>
      </c>
    </row>
    <row r="157" spans="1:8">
      <c r="B157" s="5" t="s">
        <v>136</v>
      </c>
      <c r="C157" s="5">
        <v>245</v>
      </c>
      <c r="D157" s="22">
        <v>33</v>
      </c>
      <c r="E157" s="4">
        <v>11.57</v>
      </c>
      <c r="F157" s="4">
        <f t="shared" si="33"/>
        <v>4.0494999999999996E-2</v>
      </c>
      <c r="G157" s="4">
        <f>+E157+F157</f>
        <v>11.610495</v>
      </c>
      <c r="H157" s="123">
        <f>+G157-'B&amp;O Tax Increase Calculations'!L157</f>
        <v>0</v>
      </c>
    </row>
    <row r="158" spans="1:8">
      <c r="B158" s="5" t="s">
        <v>137</v>
      </c>
      <c r="C158" s="5">
        <v>245</v>
      </c>
      <c r="D158" s="22">
        <v>33</v>
      </c>
      <c r="E158" s="4">
        <v>16.28</v>
      </c>
      <c r="F158" s="4">
        <f t="shared" si="33"/>
        <v>5.6979999999999996E-2</v>
      </c>
      <c r="G158" s="4">
        <f>+E158+F158</f>
        <v>16.336980000000001</v>
      </c>
      <c r="H158" s="123">
        <f>+G158-'B&amp;O Tax Increase Calculations'!L158</f>
        <v>0</v>
      </c>
    </row>
    <row r="159" spans="1:8">
      <c r="B159" s="5" t="s">
        <v>44</v>
      </c>
      <c r="C159" s="5">
        <v>245</v>
      </c>
      <c r="D159" s="5">
        <v>33</v>
      </c>
      <c r="E159" s="4">
        <v>3.96</v>
      </c>
      <c r="F159" s="4">
        <f t="shared" si="33"/>
        <v>1.3859999999999999E-2</v>
      </c>
      <c r="G159" s="4">
        <f>+E159+F159</f>
        <v>3.9738600000000002</v>
      </c>
      <c r="H159" s="123">
        <f>+G159-'B&amp;O Tax Increase Calculations'!L159</f>
        <v>0</v>
      </c>
    </row>
    <row r="160" spans="1:8">
      <c r="B160" s="5" t="s">
        <v>106</v>
      </c>
      <c r="C160" s="5">
        <v>245</v>
      </c>
      <c r="D160" s="22">
        <v>33</v>
      </c>
      <c r="E160" s="4">
        <v>3.42</v>
      </c>
      <c r="F160" s="4">
        <f t="shared" si="33"/>
        <v>1.1969999999999998E-2</v>
      </c>
      <c r="G160" s="4">
        <f>+E160+F160</f>
        <v>3.4319699999999997</v>
      </c>
      <c r="H160" s="123">
        <f>+G160-'B&amp;O Tax Increase Calculations'!L160</f>
        <v>0</v>
      </c>
    </row>
    <row r="161" spans="1:8">
      <c r="E161" s="4"/>
      <c r="F161" s="4"/>
      <c r="G161" s="4"/>
      <c r="H161" s="123">
        <f>+G161-'B&amp;O Tax Increase Calculations'!L161</f>
        <v>0</v>
      </c>
    </row>
    <row r="162" spans="1:8">
      <c r="A162" s="93" t="s">
        <v>473</v>
      </c>
      <c r="B162" s="94"/>
      <c r="C162" s="94"/>
      <c r="D162" s="94"/>
      <c r="E162" s="95"/>
      <c r="F162" s="96"/>
      <c r="G162" s="95"/>
      <c r="H162" s="123">
        <f>+G162-'B&amp;O Tax Increase Calculations'!L162</f>
        <v>0</v>
      </c>
    </row>
    <row r="163" spans="1:8">
      <c r="B163" s="5" t="s">
        <v>474</v>
      </c>
      <c r="C163" s="5">
        <v>255</v>
      </c>
      <c r="D163" s="22">
        <v>34</v>
      </c>
      <c r="E163" s="4">
        <v>41.23</v>
      </c>
      <c r="F163" s="4">
        <f t="shared" ref="F163:F164" si="34">+E163*$C$6</f>
        <v>0.14430499999999996</v>
      </c>
      <c r="G163" s="4">
        <f>+E163+F163</f>
        <v>41.374305</v>
      </c>
      <c r="H163" s="123">
        <f>+G163-'B&amp;O Tax Increase Calculations'!L163</f>
        <v>0</v>
      </c>
    </row>
    <row r="164" spans="1:8">
      <c r="B164" s="5" t="s">
        <v>475</v>
      </c>
      <c r="C164" s="5">
        <v>255</v>
      </c>
      <c r="D164" s="22">
        <v>34</v>
      </c>
      <c r="E164" s="4">
        <v>51.63</v>
      </c>
      <c r="F164" s="4">
        <f t="shared" si="34"/>
        <v>0.18070499999999998</v>
      </c>
      <c r="G164" s="4">
        <f>+E164+F164</f>
        <v>51.810705000000006</v>
      </c>
      <c r="H164" s="123">
        <f>+G164-'B&amp;O Tax Increase Calculations'!L164</f>
        <v>0</v>
      </c>
    </row>
    <row r="165" spans="1:8">
      <c r="D165" s="22"/>
      <c r="E165" s="4"/>
      <c r="F165" s="4"/>
      <c r="G165" s="4"/>
      <c r="H165" s="123">
        <f>+G165-'B&amp;O Tax Increase Calculations'!L165</f>
        <v>0</v>
      </c>
    </row>
    <row r="166" spans="1:8">
      <c r="B166" s="5" t="s">
        <v>476</v>
      </c>
      <c r="C166" s="5">
        <v>255</v>
      </c>
      <c r="D166" s="22">
        <v>34</v>
      </c>
      <c r="E166" s="4">
        <v>60.13</v>
      </c>
      <c r="F166" s="4">
        <f t="shared" ref="F166:F167" si="35">+E166*$C$6</f>
        <v>0.21045499999999998</v>
      </c>
      <c r="G166" s="4">
        <f>+E166+F166</f>
        <v>60.340455000000006</v>
      </c>
      <c r="H166" s="123">
        <f>+G166-'B&amp;O Tax Increase Calculations'!L166</f>
        <v>0</v>
      </c>
    </row>
    <row r="167" spans="1:8">
      <c r="B167" s="5" t="s">
        <v>477</v>
      </c>
      <c r="C167" s="5">
        <v>255</v>
      </c>
      <c r="D167" s="22">
        <v>34</v>
      </c>
      <c r="E167" s="4">
        <v>70.53</v>
      </c>
      <c r="F167" s="4">
        <f t="shared" si="35"/>
        <v>0.24685499999999999</v>
      </c>
      <c r="G167" s="4">
        <f>+E167+F167</f>
        <v>70.776854999999998</v>
      </c>
      <c r="H167" s="123">
        <f>+G167-'B&amp;O Tax Increase Calculations'!L167</f>
        <v>0</v>
      </c>
    </row>
    <row r="168" spans="1:8">
      <c r="D168" s="22"/>
      <c r="E168" s="4"/>
      <c r="F168" s="4"/>
      <c r="G168" s="4"/>
      <c r="H168" s="123">
        <f>+G168-'B&amp;O Tax Increase Calculations'!L168</f>
        <v>0</v>
      </c>
    </row>
    <row r="169" spans="1:8">
      <c r="B169" s="5" t="s">
        <v>478</v>
      </c>
      <c r="C169" s="5">
        <v>255</v>
      </c>
      <c r="D169" s="22">
        <v>34</v>
      </c>
      <c r="E169" s="4">
        <v>77.930000000000007</v>
      </c>
      <c r="F169" s="4">
        <f t="shared" ref="F169:F170" si="36">+E169*$C$6</f>
        <v>0.27275499999999997</v>
      </c>
      <c r="G169" s="4">
        <f>+E169+F169</f>
        <v>78.20275500000001</v>
      </c>
      <c r="H169" s="123">
        <f>+G169-'B&amp;O Tax Increase Calculations'!L169</f>
        <v>0</v>
      </c>
    </row>
    <row r="170" spans="1:8">
      <c r="B170" s="5" t="s">
        <v>479</v>
      </c>
      <c r="C170" s="5">
        <v>255</v>
      </c>
      <c r="D170" s="22">
        <v>34</v>
      </c>
      <c r="E170" s="4">
        <v>88.33</v>
      </c>
      <c r="F170" s="4">
        <f t="shared" si="36"/>
        <v>0.30915499999999996</v>
      </c>
      <c r="G170" s="4">
        <f>+E170+F170</f>
        <v>88.639155000000002</v>
      </c>
      <c r="H170" s="123">
        <f>+G170-'B&amp;O Tax Increase Calculations'!L170</f>
        <v>0</v>
      </c>
    </row>
    <row r="171" spans="1:8">
      <c r="D171" s="22"/>
      <c r="E171" s="4"/>
      <c r="F171" s="4"/>
      <c r="G171" s="4"/>
      <c r="H171" s="123">
        <f>+G171-'B&amp;O Tax Increase Calculations'!L171</f>
        <v>0</v>
      </c>
    </row>
    <row r="172" spans="1:8">
      <c r="B172" s="5" t="s">
        <v>480</v>
      </c>
      <c r="C172" s="5">
        <v>255</v>
      </c>
      <c r="D172" s="22">
        <v>34</v>
      </c>
      <c r="E172" s="4">
        <v>106.42</v>
      </c>
      <c r="F172" s="4">
        <f t="shared" ref="F172:F173" si="37">+E172*$C$6</f>
        <v>0.37246999999999997</v>
      </c>
      <c r="G172" s="4">
        <f>+E172+F172</f>
        <v>106.79247000000001</v>
      </c>
      <c r="H172" s="123">
        <f>+G172-'B&amp;O Tax Increase Calculations'!L172</f>
        <v>0</v>
      </c>
    </row>
    <row r="173" spans="1:8">
      <c r="B173" s="5" t="s">
        <v>481</v>
      </c>
      <c r="C173" s="5">
        <v>255</v>
      </c>
      <c r="D173" s="22">
        <v>34</v>
      </c>
      <c r="E173" s="4">
        <v>116.82</v>
      </c>
      <c r="F173" s="4">
        <f t="shared" si="37"/>
        <v>0.40886999999999996</v>
      </c>
      <c r="G173" s="4">
        <f>+E173+F173</f>
        <v>117.22886999999999</v>
      </c>
      <c r="H173" s="123">
        <f>+G173-'B&amp;O Tax Increase Calculations'!L173</f>
        <v>0</v>
      </c>
    </row>
    <row r="174" spans="1:8">
      <c r="E174" s="4"/>
      <c r="F174" s="4"/>
      <c r="G174" s="4"/>
      <c r="H174" s="123">
        <f>+G174-'B&amp;O Tax Increase Calculations'!L174</f>
        <v>0</v>
      </c>
    </row>
    <row r="175" spans="1:8">
      <c r="B175" s="5" t="s">
        <v>45</v>
      </c>
      <c r="C175" s="5">
        <v>255</v>
      </c>
      <c r="D175" s="22">
        <v>34</v>
      </c>
      <c r="E175" s="4">
        <v>3.96</v>
      </c>
      <c r="F175" s="4">
        <f t="shared" ref="F175:F177" si="38">+E175*$C$6</f>
        <v>1.3859999999999999E-2</v>
      </c>
      <c r="G175" s="4">
        <f>+E175+F175</f>
        <v>3.9738600000000002</v>
      </c>
      <c r="H175" s="123">
        <f>+G175-'B&amp;O Tax Increase Calculations'!L175</f>
        <v>0</v>
      </c>
    </row>
    <row r="176" spans="1:8">
      <c r="B176" s="5" t="s">
        <v>46</v>
      </c>
      <c r="C176" s="5">
        <v>255</v>
      </c>
      <c r="D176" s="22">
        <v>34</v>
      </c>
      <c r="E176" s="4">
        <v>33.130000000000003</v>
      </c>
      <c r="F176" s="4">
        <f t="shared" si="38"/>
        <v>0.115955</v>
      </c>
      <c r="G176" s="4">
        <f>+E176+F176</f>
        <v>33.245955000000002</v>
      </c>
      <c r="H176" s="123">
        <f>+G176-'B&amp;O Tax Increase Calculations'!L176</f>
        <v>0</v>
      </c>
    </row>
    <row r="177" spans="1:8">
      <c r="B177" s="5" t="s">
        <v>138</v>
      </c>
      <c r="C177" s="5">
        <v>255</v>
      </c>
      <c r="D177" s="22">
        <v>34</v>
      </c>
      <c r="E177" s="4">
        <v>3.42</v>
      </c>
      <c r="F177" s="4">
        <f t="shared" si="38"/>
        <v>1.1969999999999998E-2</v>
      </c>
      <c r="G177" s="4">
        <f>+E177+F177</f>
        <v>3.4319699999999997</v>
      </c>
      <c r="H177" s="123">
        <f>+G177-'B&amp;O Tax Increase Calculations'!L177</f>
        <v>0</v>
      </c>
    </row>
    <row r="178" spans="1:8">
      <c r="E178" s="4"/>
      <c r="F178" s="4"/>
      <c r="G178" s="4"/>
      <c r="H178" s="123">
        <f>+G178-'B&amp;O Tax Increase Calculations'!L178</f>
        <v>0</v>
      </c>
    </row>
    <row r="179" spans="1:8">
      <c r="A179" s="93" t="s">
        <v>487</v>
      </c>
      <c r="B179" s="94"/>
      <c r="C179" s="94"/>
      <c r="D179" s="94"/>
      <c r="E179" s="95"/>
      <c r="F179" s="96"/>
      <c r="G179" s="95"/>
      <c r="H179" s="123">
        <f>+G179-'B&amp;O Tax Increase Calculations'!L179</f>
        <v>0</v>
      </c>
    </row>
    <row r="180" spans="1:8">
      <c r="B180" s="5" t="s">
        <v>141</v>
      </c>
      <c r="C180" s="5">
        <v>260</v>
      </c>
      <c r="D180" s="5">
        <v>35</v>
      </c>
      <c r="E180" s="4">
        <v>42.51</v>
      </c>
      <c r="F180" s="4">
        <f t="shared" ref="F180:F185" si="39">+E180*$C$6</f>
        <v>0.14878499999999997</v>
      </c>
      <c r="G180" s="4">
        <f t="shared" ref="G180:G185" si="40">+E180+F180</f>
        <v>42.658784999999995</v>
      </c>
      <c r="H180" s="123">
        <f>+G180-'B&amp;O Tax Increase Calculations'!L180</f>
        <v>0</v>
      </c>
    </row>
    <row r="181" spans="1:8">
      <c r="B181" s="5" t="s">
        <v>142</v>
      </c>
      <c r="C181" s="5">
        <v>260</v>
      </c>
      <c r="D181" s="5">
        <v>35</v>
      </c>
      <c r="E181" s="4">
        <v>113.27</v>
      </c>
      <c r="F181" s="4">
        <f t="shared" si="39"/>
        <v>0.39644499999999994</v>
      </c>
      <c r="G181" s="4">
        <f t="shared" si="40"/>
        <v>113.666445</v>
      </c>
      <c r="H181" s="123">
        <f>+G181-'B&amp;O Tax Increase Calculations'!L181</f>
        <v>0</v>
      </c>
    </row>
    <row r="182" spans="1:8">
      <c r="B182" s="5" t="s">
        <v>143</v>
      </c>
      <c r="C182" s="5">
        <v>260</v>
      </c>
      <c r="D182" s="5">
        <v>35</v>
      </c>
      <c r="E182" s="4">
        <v>113.27</v>
      </c>
      <c r="F182" s="4">
        <f t="shared" si="39"/>
        <v>0.39644499999999994</v>
      </c>
      <c r="G182" s="4">
        <f t="shared" si="40"/>
        <v>113.666445</v>
      </c>
      <c r="H182" s="123">
        <f>+G182-'B&amp;O Tax Increase Calculations'!L182</f>
        <v>0</v>
      </c>
    </row>
    <row r="183" spans="1:8">
      <c r="B183" s="5" t="s">
        <v>144</v>
      </c>
      <c r="C183" s="5">
        <v>260</v>
      </c>
      <c r="D183" s="5">
        <v>35</v>
      </c>
      <c r="E183" s="4">
        <v>52.4</v>
      </c>
      <c r="F183" s="4">
        <f t="shared" si="39"/>
        <v>0.18339999999999998</v>
      </c>
      <c r="G183" s="4">
        <f t="shared" si="40"/>
        <v>52.583399999999997</v>
      </c>
      <c r="H183" s="123">
        <f>+G183-'B&amp;O Tax Increase Calculations'!L183</f>
        <v>0</v>
      </c>
    </row>
    <row r="184" spans="1:8">
      <c r="B184" s="5" t="s">
        <v>145</v>
      </c>
      <c r="C184" s="5">
        <v>260</v>
      </c>
      <c r="D184" s="5">
        <v>35</v>
      </c>
      <c r="E184" s="4">
        <v>133.03</v>
      </c>
      <c r="F184" s="4">
        <f t="shared" si="39"/>
        <v>0.46560499999999994</v>
      </c>
      <c r="G184" s="4">
        <f t="shared" si="40"/>
        <v>133.49560500000001</v>
      </c>
      <c r="H184" s="123">
        <f>+G184-'B&amp;O Tax Increase Calculations'!L184</f>
        <v>0</v>
      </c>
    </row>
    <row r="185" spans="1:8">
      <c r="B185" s="5" t="s">
        <v>140</v>
      </c>
      <c r="C185" s="5">
        <v>260</v>
      </c>
      <c r="D185" s="5">
        <v>35</v>
      </c>
      <c r="E185" s="4">
        <v>4.29</v>
      </c>
      <c r="F185" s="4">
        <f t="shared" si="39"/>
        <v>1.5014999999999999E-2</v>
      </c>
      <c r="G185" s="4">
        <f t="shared" si="40"/>
        <v>4.305015</v>
      </c>
      <c r="H185" s="123">
        <f>+G185-'B&amp;O Tax Increase Calculations'!L185</f>
        <v>0</v>
      </c>
    </row>
    <row r="186" spans="1:8">
      <c r="E186" s="4"/>
      <c r="F186" s="4"/>
      <c r="G186" s="4"/>
      <c r="H186" s="123">
        <f>+G186-'B&amp;O Tax Increase Calculations'!L186</f>
        <v>0</v>
      </c>
    </row>
    <row r="187" spans="1:8">
      <c r="B187" s="5" t="s">
        <v>146</v>
      </c>
      <c r="C187" s="5">
        <v>260</v>
      </c>
      <c r="D187" s="5">
        <v>35</v>
      </c>
      <c r="E187" s="4">
        <v>53.09</v>
      </c>
      <c r="F187" s="4">
        <f t="shared" ref="F187:F192" si="41">+E187*$C$6</f>
        <v>0.18581499999999998</v>
      </c>
      <c r="G187" s="4">
        <f t="shared" ref="G187:G192" si="42">+E187+F187</f>
        <v>53.275815000000001</v>
      </c>
      <c r="H187" s="123">
        <f>+G187-'B&amp;O Tax Increase Calculations'!L187</f>
        <v>0</v>
      </c>
    </row>
    <row r="188" spans="1:8">
      <c r="B188" s="5" t="s">
        <v>147</v>
      </c>
      <c r="C188" s="5">
        <v>260</v>
      </c>
      <c r="D188" s="5">
        <v>35</v>
      </c>
      <c r="E188" s="4">
        <v>113.27</v>
      </c>
      <c r="F188" s="4">
        <f t="shared" si="41"/>
        <v>0.39644499999999994</v>
      </c>
      <c r="G188" s="4">
        <f t="shared" si="42"/>
        <v>113.666445</v>
      </c>
      <c r="H188" s="123">
        <f>+G188-'B&amp;O Tax Increase Calculations'!L188</f>
        <v>0</v>
      </c>
    </row>
    <row r="189" spans="1:8">
      <c r="B189" s="5" t="s">
        <v>148</v>
      </c>
      <c r="C189" s="5">
        <v>260</v>
      </c>
      <c r="D189" s="5">
        <v>35</v>
      </c>
      <c r="E189" s="4">
        <v>113.27</v>
      </c>
      <c r="F189" s="4">
        <f t="shared" si="41"/>
        <v>0.39644499999999994</v>
      </c>
      <c r="G189" s="4">
        <f t="shared" si="42"/>
        <v>113.666445</v>
      </c>
      <c r="H189" s="123">
        <f>+G189-'B&amp;O Tax Increase Calculations'!L189</f>
        <v>0</v>
      </c>
    </row>
    <row r="190" spans="1:8">
      <c r="B190" s="5" t="s">
        <v>149</v>
      </c>
      <c r="C190" s="5">
        <v>260</v>
      </c>
      <c r="D190" s="5">
        <v>35</v>
      </c>
      <c r="E190" s="4">
        <v>52.4</v>
      </c>
      <c r="F190" s="4">
        <f t="shared" si="41"/>
        <v>0.18339999999999998</v>
      </c>
      <c r="G190" s="4">
        <f t="shared" si="42"/>
        <v>52.583399999999997</v>
      </c>
      <c r="H190" s="123">
        <f>+G190-'B&amp;O Tax Increase Calculations'!L190</f>
        <v>0</v>
      </c>
    </row>
    <row r="191" spans="1:8">
      <c r="B191" s="5" t="s">
        <v>150</v>
      </c>
      <c r="C191" s="5">
        <v>260</v>
      </c>
      <c r="D191" s="5">
        <v>35</v>
      </c>
      <c r="E191" s="4">
        <v>133.03</v>
      </c>
      <c r="F191" s="4">
        <f t="shared" si="41"/>
        <v>0.46560499999999994</v>
      </c>
      <c r="G191" s="4">
        <f t="shared" si="42"/>
        <v>133.49560500000001</v>
      </c>
      <c r="H191" s="123">
        <f>+G191-'B&amp;O Tax Increase Calculations'!L191</f>
        <v>0</v>
      </c>
    </row>
    <row r="192" spans="1:8">
      <c r="B192" s="5" t="s">
        <v>151</v>
      </c>
      <c r="C192" s="5">
        <v>260</v>
      </c>
      <c r="D192" s="5">
        <v>35</v>
      </c>
      <c r="E192" s="4">
        <v>4.29</v>
      </c>
      <c r="F192" s="4">
        <f t="shared" si="41"/>
        <v>1.5014999999999999E-2</v>
      </c>
      <c r="G192" s="4">
        <f t="shared" si="42"/>
        <v>4.305015</v>
      </c>
      <c r="H192" s="123">
        <f>+G192-'B&amp;O Tax Increase Calculations'!L192</f>
        <v>0</v>
      </c>
    </row>
    <row r="193" spans="2:8">
      <c r="E193" s="4"/>
      <c r="F193" s="4"/>
      <c r="G193" s="4"/>
      <c r="H193" s="123">
        <f>+G193-'B&amp;O Tax Increase Calculations'!L193</f>
        <v>0</v>
      </c>
    </row>
    <row r="194" spans="2:8">
      <c r="B194" s="5" t="s">
        <v>48</v>
      </c>
      <c r="C194" s="5">
        <v>260</v>
      </c>
      <c r="D194" s="5">
        <v>35</v>
      </c>
      <c r="E194" s="4">
        <v>63.67</v>
      </c>
      <c r="F194" s="4">
        <f t="shared" ref="F194:F198" si="43">+E194*$C$6</f>
        <v>0.22284499999999999</v>
      </c>
      <c r="G194" s="4">
        <f t="shared" ref="G194:G199" si="44">+E194+F194</f>
        <v>63.892845000000001</v>
      </c>
      <c r="H194" s="123">
        <f>+G194-'B&amp;O Tax Increase Calculations'!L194</f>
        <v>0</v>
      </c>
    </row>
    <row r="195" spans="2:8">
      <c r="B195" s="5" t="s">
        <v>49</v>
      </c>
      <c r="C195" s="5">
        <v>260</v>
      </c>
      <c r="D195" s="5">
        <v>35</v>
      </c>
      <c r="E195" s="4">
        <v>113.27</v>
      </c>
      <c r="F195" s="4">
        <f t="shared" si="43"/>
        <v>0.39644499999999994</v>
      </c>
      <c r="G195" s="4">
        <f t="shared" si="44"/>
        <v>113.666445</v>
      </c>
      <c r="H195" s="123">
        <f>+G195-'B&amp;O Tax Increase Calculations'!L195</f>
        <v>0</v>
      </c>
    </row>
    <row r="196" spans="2:8">
      <c r="B196" s="5" t="s">
        <v>50</v>
      </c>
      <c r="C196" s="5">
        <v>260</v>
      </c>
      <c r="D196" s="5">
        <v>35</v>
      </c>
      <c r="E196" s="4">
        <v>113.27</v>
      </c>
      <c r="F196" s="4">
        <f t="shared" si="43"/>
        <v>0.39644499999999994</v>
      </c>
      <c r="G196" s="4">
        <f t="shared" si="44"/>
        <v>113.666445</v>
      </c>
      <c r="H196" s="123">
        <f>+G196-'B&amp;O Tax Increase Calculations'!L196</f>
        <v>0</v>
      </c>
    </row>
    <row r="197" spans="2:8">
      <c r="B197" s="5" t="s">
        <v>52</v>
      </c>
      <c r="C197" s="5">
        <v>260</v>
      </c>
      <c r="D197" s="5">
        <v>35</v>
      </c>
      <c r="E197" s="4">
        <v>52.4</v>
      </c>
      <c r="F197" s="4">
        <f t="shared" si="43"/>
        <v>0.18339999999999998</v>
      </c>
      <c r="G197" s="4">
        <f t="shared" si="44"/>
        <v>52.583399999999997</v>
      </c>
      <c r="H197" s="123">
        <f>+G197-'B&amp;O Tax Increase Calculations'!L197</f>
        <v>0</v>
      </c>
    </row>
    <row r="198" spans="2:8">
      <c r="B198" s="5" t="s">
        <v>51</v>
      </c>
      <c r="C198" s="5">
        <v>260</v>
      </c>
      <c r="D198" s="5">
        <v>35</v>
      </c>
      <c r="E198" s="4">
        <v>133.03</v>
      </c>
      <c r="F198" s="4">
        <f t="shared" si="43"/>
        <v>0.46560499999999994</v>
      </c>
      <c r="G198" s="4">
        <f t="shared" si="44"/>
        <v>133.49560500000001</v>
      </c>
      <c r="H198" s="123">
        <f>+G198-'B&amp;O Tax Increase Calculations'!L198</f>
        <v>0</v>
      </c>
    </row>
    <row r="199" spans="2:8">
      <c r="B199" s="5" t="s">
        <v>139</v>
      </c>
      <c r="C199" s="5">
        <v>260</v>
      </c>
      <c r="D199" s="5">
        <v>35</v>
      </c>
      <c r="E199" s="4">
        <v>4.79</v>
      </c>
      <c r="F199" s="4">
        <f>+E199*$C$6</f>
        <v>1.6764999999999999E-2</v>
      </c>
      <c r="G199" s="4">
        <f t="shared" si="44"/>
        <v>4.8067650000000004</v>
      </c>
      <c r="H199" s="123">
        <f>+G199-'B&amp;O Tax Increase Calculations'!L199</f>
        <v>0</v>
      </c>
    </row>
    <row r="200" spans="2:8">
      <c r="E200" s="4"/>
      <c r="F200" s="4"/>
      <c r="G200" s="4"/>
      <c r="H200" s="123">
        <f>+G200-'B&amp;O Tax Increase Calculations'!L200</f>
        <v>0</v>
      </c>
    </row>
    <row r="201" spans="2:8">
      <c r="B201" s="5" t="s">
        <v>53</v>
      </c>
      <c r="C201" s="5">
        <v>260</v>
      </c>
      <c r="D201" s="5">
        <v>35</v>
      </c>
      <c r="E201" s="4">
        <v>84.93</v>
      </c>
      <c r="F201" s="4">
        <f t="shared" ref="F201:F206" si="45">+E201*$C$6</f>
        <v>0.29725499999999999</v>
      </c>
      <c r="G201" s="4">
        <f t="shared" ref="G201:G206" si="46">+E201+F201</f>
        <v>85.227255000000014</v>
      </c>
      <c r="H201" s="123">
        <f>+G201-'B&amp;O Tax Increase Calculations'!L201</f>
        <v>0</v>
      </c>
    </row>
    <row r="202" spans="2:8">
      <c r="B202" s="5" t="s">
        <v>54</v>
      </c>
      <c r="C202" s="5">
        <v>260</v>
      </c>
      <c r="D202" s="5">
        <v>35</v>
      </c>
      <c r="E202" s="4">
        <v>113.27</v>
      </c>
      <c r="F202" s="4">
        <f t="shared" si="45"/>
        <v>0.39644499999999994</v>
      </c>
      <c r="G202" s="4">
        <f t="shared" si="46"/>
        <v>113.666445</v>
      </c>
      <c r="H202" s="123">
        <f>+G202-'B&amp;O Tax Increase Calculations'!L202</f>
        <v>0</v>
      </c>
    </row>
    <row r="203" spans="2:8">
      <c r="B203" s="5" t="s">
        <v>55</v>
      </c>
      <c r="C203" s="5">
        <v>260</v>
      </c>
      <c r="D203" s="5">
        <v>35</v>
      </c>
      <c r="E203" s="4">
        <v>113.27</v>
      </c>
      <c r="F203" s="4">
        <f t="shared" si="45"/>
        <v>0.39644499999999994</v>
      </c>
      <c r="G203" s="4">
        <f t="shared" si="46"/>
        <v>113.666445</v>
      </c>
      <c r="H203" s="123">
        <f>+G203-'B&amp;O Tax Increase Calculations'!L203</f>
        <v>0</v>
      </c>
    </row>
    <row r="204" spans="2:8">
      <c r="B204" s="5" t="s">
        <v>57</v>
      </c>
      <c r="C204" s="5">
        <v>260</v>
      </c>
      <c r="D204" s="5">
        <v>35</v>
      </c>
      <c r="E204" s="4">
        <v>52.4</v>
      </c>
      <c r="F204" s="4">
        <f t="shared" si="45"/>
        <v>0.18339999999999998</v>
      </c>
      <c r="G204" s="4">
        <f t="shared" si="46"/>
        <v>52.583399999999997</v>
      </c>
      <c r="H204" s="123">
        <f>+G204-'B&amp;O Tax Increase Calculations'!L204</f>
        <v>0</v>
      </c>
    </row>
    <row r="205" spans="2:8">
      <c r="B205" s="5" t="s">
        <v>56</v>
      </c>
      <c r="C205" s="5">
        <v>260</v>
      </c>
      <c r="D205" s="5">
        <v>35</v>
      </c>
      <c r="E205" s="4">
        <v>133.03</v>
      </c>
      <c r="F205" s="4">
        <f t="shared" si="45"/>
        <v>0.46560499999999994</v>
      </c>
      <c r="G205" s="4">
        <f t="shared" si="46"/>
        <v>133.49560500000001</v>
      </c>
      <c r="H205" s="123">
        <f>+G205-'B&amp;O Tax Increase Calculations'!L205</f>
        <v>0</v>
      </c>
    </row>
    <row r="206" spans="2:8">
      <c r="B206" s="5" t="s">
        <v>47</v>
      </c>
      <c r="C206" s="5">
        <v>260</v>
      </c>
      <c r="D206" s="5">
        <v>35</v>
      </c>
      <c r="E206" s="4">
        <v>5.79</v>
      </c>
      <c r="F206" s="4">
        <f t="shared" si="45"/>
        <v>2.0264999999999998E-2</v>
      </c>
      <c r="G206" s="4">
        <f t="shared" si="46"/>
        <v>5.8102650000000002</v>
      </c>
      <c r="H206" s="123">
        <f>+G206-'B&amp;O Tax Increase Calculations'!L206</f>
        <v>0</v>
      </c>
    </row>
    <row r="207" spans="2:8">
      <c r="E207" s="4"/>
      <c r="F207" s="4"/>
      <c r="G207" s="4"/>
      <c r="H207" s="123">
        <f>+G207-'B&amp;O Tax Increase Calculations'!L207</f>
        <v>0</v>
      </c>
    </row>
    <row r="208" spans="2:8">
      <c r="B208" s="5" t="s">
        <v>58</v>
      </c>
      <c r="C208" s="5">
        <v>260</v>
      </c>
      <c r="D208" s="5">
        <v>35</v>
      </c>
      <c r="E208" s="4">
        <v>95</v>
      </c>
      <c r="F208" s="4">
        <f t="shared" ref="F208:F213" si="47">+E208*$C$6</f>
        <v>0.33249999999999996</v>
      </c>
      <c r="G208" s="4">
        <f t="shared" ref="G208:G213" si="48">+E208+F208</f>
        <v>95.332499999999996</v>
      </c>
      <c r="H208" s="123">
        <f>+G208-'B&amp;O Tax Increase Calculations'!L208</f>
        <v>0</v>
      </c>
    </row>
    <row r="209" spans="1:8">
      <c r="B209" s="5" t="s">
        <v>59</v>
      </c>
      <c r="C209" s="5">
        <v>260</v>
      </c>
      <c r="D209" s="5">
        <v>35</v>
      </c>
      <c r="E209" s="4">
        <v>130.33000000000001</v>
      </c>
      <c r="F209" s="4">
        <f t="shared" si="47"/>
        <v>0.45615499999999998</v>
      </c>
      <c r="G209" s="4">
        <f t="shared" si="48"/>
        <v>130.78615500000001</v>
      </c>
      <c r="H209" s="123">
        <f>+G209-'B&amp;O Tax Increase Calculations'!L209</f>
        <v>0</v>
      </c>
    </row>
    <row r="210" spans="1:8">
      <c r="B210" s="5" t="s">
        <v>60</v>
      </c>
      <c r="C210" s="5">
        <v>260</v>
      </c>
      <c r="D210" s="5">
        <v>35</v>
      </c>
      <c r="E210" s="4">
        <v>130.33000000000001</v>
      </c>
      <c r="F210" s="4">
        <f t="shared" si="47"/>
        <v>0.45615499999999998</v>
      </c>
      <c r="G210" s="4">
        <f t="shared" si="48"/>
        <v>130.78615500000001</v>
      </c>
      <c r="H210" s="123">
        <f>+G210-'B&amp;O Tax Increase Calculations'!L210</f>
        <v>0</v>
      </c>
    </row>
    <row r="211" spans="1:8">
      <c r="B211" s="5" t="s">
        <v>62</v>
      </c>
      <c r="C211" s="5">
        <v>260</v>
      </c>
      <c r="D211" s="5">
        <v>35</v>
      </c>
      <c r="E211" s="4">
        <v>52.4</v>
      </c>
      <c r="F211" s="4">
        <f t="shared" si="47"/>
        <v>0.18339999999999998</v>
      </c>
      <c r="G211" s="4">
        <f t="shared" si="48"/>
        <v>52.583399999999997</v>
      </c>
      <c r="H211" s="123">
        <f>+G211-'B&amp;O Tax Increase Calculations'!L211</f>
        <v>0</v>
      </c>
    </row>
    <row r="212" spans="1:8">
      <c r="B212" s="5" t="s">
        <v>61</v>
      </c>
      <c r="C212" s="5">
        <v>260</v>
      </c>
      <c r="D212" s="5">
        <v>35</v>
      </c>
      <c r="E212" s="4">
        <v>160.4</v>
      </c>
      <c r="F212" s="4">
        <f t="shared" si="47"/>
        <v>0.56140000000000001</v>
      </c>
      <c r="G212" s="4">
        <f t="shared" si="48"/>
        <v>160.9614</v>
      </c>
      <c r="H212" s="123">
        <f>+G212-'B&amp;O Tax Increase Calculations'!L212</f>
        <v>0</v>
      </c>
    </row>
    <row r="213" spans="1:8">
      <c r="B213" s="5" t="s">
        <v>47</v>
      </c>
      <c r="C213" s="5">
        <v>260</v>
      </c>
      <c r="D213" s="5">
        <v>35</v>
      </c>
      <c r="E213" s="4">
        <v>6</v>
      </c>
      <c r="F213" s="4">
        <f t="shared" si="47"/>
        <v>2.0999999999999998E-2</v>
      </c>
      <c r="G213" s="4">
        <f t="shared" si="48"/>
        <v>6.0209999999999999</v>
      </c>
      <c r="H213" s="123">
        <f>+G213-'B&amp;O Tax Increase Calculations'!L213</f>
        <v>0</v>
      </c>
    </row>
    <row r="214" spans="1:8">
      <c r="E214" s="4"/>
      <c r="F214" s="4"/>
      <c r="G214" s="4"/>
      <c r="H214" s="123">
        <f>+G214-'B&amp;O Tax Increase Calculations'!L214</f>
        <v>0</v>
      </c>
    </row>
    <row r="215" spans="1:8">
      <c r="B215" s="5" t="s">
        <v>64</v>
      </c>
      <c r="C215" s="5">
        <v>260</v>
      </c>
      <c r="D215" s="5">
        <v>35</v>
      </c>
      <c r="E215" s="4">
        <v>3.49</v>
      </c>
      <c r="F215" s="4">
        <f t="shared" ref="F215:F216" si="49">+E215*$C$6</f>
        <v>1.2215E-2</v>
      </c>
      <c r="G215" s="4">
        <f>+E215+F215</f>
        <v>3.5022150000000001</v>
      </c>
      <c r="H215" s="123">
        <f>+G215-'B&amp;O Tax Increase Calculations'!L215</f>
        <v>0</v>
      </c>
    </row>
    <row r="216" spans="1:8">
      <c r="B216" s="5" t="s">
        <v>63</v>
      </c>
      <c r="C216" s="5">
        <v>260</v>
      </c>
      <c r="D216" s="5">
        <v>35</v>
      </c>
      <c r="E216" s="4">
        <v>3.96</v>
      </c>
      <c r="F216" s="4">
        <f t="shared" si="49"/>
        <v>1.3859999999999999E-2</v>
      </c>
      <c r="G216" s="4">
        <f>+E216+F216</f>
        <v>3.9738600000000002</v>
      </c>
      <c r="H216" s="123">
        <f>+G216-'B&amp;O Tax Increase Calculations'!L216</f>
        <v>0</v>
      </c>
    </row>
    <row r="217" spans="1:8">
      <c r="H217" s="123">
        <f>+G217-'B&amp;O Tax Increase Calculations'!L217</f>
        <v>0</v>
      </c>
    </row>
    <row r="218" spans="1:8">
      <c r="A218" s="93" t="s">
        <v>488</v>
      </c>
      <c r="B218" s="94"/>
      <c r="C218" s="94"/>
      <c r="D218" s="94"/>
      <c r="E218" s="95"/>
      <c r="F218" s="96"/>
      <c r="G218" s="95"/>
      <c r="H218" s="123">
        <f>+G218-'B&amp;O Tax Increase Calculations'!L218</f>
        <v>0</v>
      </c>
    </row>
    <row r="219" spans="1:8">
      <c r="B219" s="5" t="s">
        <v>153</v>
      </c>
      <c r="C219" s="5">
        <v>270</v>
      </c>
      <c r="D219" s="5">
        <v>36</v>
      </c>
      <c r="E219" s="4">
        <v>95</v>
      </c>
      <c r="F219" s="4">
        <f t="shared" ref="F219:F221" si="50">+E219*$C$6</f>
        <v>0.33249999999999996</v>
      </c>
      <c r="G219" s="4">
        <f>+E219+F219</f>
        <v>95.332499999999996</v>
      </c>
      <c r="H219" s="123">
        <f>+G219-'B&amp;O Tax Increase Calculations'!L219</f>
        <v>0</v>
      </c>
    </row>
    <row r="220" spans="1:8">
      <c r="B220" s="5" t="s">
        <v>491</v>
      </c>
      <c r="C220" s="5">
        <v>270</v>
      </c>
      <c r="D220" s="5">
        <v>36</v>
      </c>
      <c r="E220" s="4">
        <v>137.32</v>
      </c>
      <c r="F220" s="4">
        <f t="shared" si="50"/>
        <v>0.48061999999999994</v>
      </c>
      <c r="G220" s="4">
        <f>+E220+F220</f>
        <v>137.80061999999998</v>
      </c>
      <c r="H220" s="123">
        <f>+G220-'B&amp;O Tax Increase Calculations'!L220</f>
        <v>0</v>
      </c>
    </row>
    <row r="221" spans="1:8">
      <c r="B221" s="5" t="s">
        <v>492</v>
      </c>
      <c r="C221" s="5">
        <v>270</v>
      </c>
      <c r="D221" s="5">
        <v>36</v>
      </c>
      <c r="E221" s="4">
        <v>137.32</v>
      </c>
      <c r="F221" s="4">
        <f t="shared" si="50"/>
        <v>0.48061999999999994</v>
      </c>
      <c r="G221" s="4">
        <f>+E221+F221</f>
        <v>137.80061999999998</v>
      </c>
      <c r="H221" s="123">
        <f>+G221-'B&amp;O Tax Increase Calculations'!L221</f>
        <v>0</v>
      </c>
    </row>
    <row r="222" spans="1:8">
      <c r="E222" s="4"/>
      <c r="F222" s="4"/>
      <c r="G222" s="4"/>
      <c r="H222" s="123">
        <f>+G222-'B&amp;O Tax Increase Calculations'!L222</f>
        <v>0</v>
      </c>
    </row>
    <row r="223" spans="1:8">
      <c r="B223" s="5" t="s">
        <v>64</v>
      </c>
      <c r="C223" s="5">
        <v>270</v>
      </c>
      <c r="D223" s="5">
        <v>36</v>
      </c>
      <c r="E223" s="4">
        <v>3.49</v>
      </c>
      <c r="F223" s="4">
        <f t="shared" ref="F223:F225" si="51">+E223*$C$6</f>
        <v>1.2215E-2</v>
      </c>
      <c r="G223" s="4">
        <f>+E223+F223</f>
        <v>3.5022150000000001</v>
      </c>
      <c r="H223" s="123">
        <f>+G223-'B&amp;O Tax Increase Calculations'!L223</f>
        <v>0</v>
      </c>
    </row>
    <row r="224" spans="1:8">
      <c r="B224" s="5" t="s">
        <v>63</v>
      </c>
      <c r="C224" s="5">
        <v>270</v>
      </c>
      <c r="D224" s="5">
        <v>36</v>
      </c>
      <c r="E224" s="4">
        <v>3.96</v>
      </c>
      <c r="F224" s="4">
        <f t="shared" si="51"/>
        <v>1.3859999999999999E-2</v>
      </c>
      <c r="G224" s="4">
        <f>+E224+F224</f>
        <v>3.9738600000000002</v>
      </c>
      <c r="H224" s="123">
        <f>+G224-'B&amp;O Tax Increase Calculations'!L224</f>
        <v>0</v>
      </c>
    </row>
    <row r="225" spans="1:8">
      <c r="B225" s="5" t="s">
        <v>152</v>
      </c>
      <c r="C225" s="5">
        <v>270</v>
      </c>
      <c r="D225" s="5">
        <v>36</v>
      </c>
      <c r="E225" s="4">
        <v>33.130000000000003</v>
      </c>
      <c r="F225" s="4">
        <f t="shared" si="51"/>
        <v>0.115955</v>
      </c>
      <c r="G225" s="4">
        <f>+E225+F225</f>
        <v>33.245955000000002</v>
      </c>
      <c r="H225" s="123">
        <f>+G225-'B&amp;O Tax Increase Calculations'!L225</f>
        <v>0</v>
      </c>
    </row>
    <row r="226" spans="1:8">
      <c r="E226" s="4"/>
      <c r="F226" s="4"/>
      <c r="G226" s="4"/>
      <c r="H226" s="123">
        <f>+G226-'B&amp;O Tax Increase Calculations'!L226</f>
        <v>0</v>
      </c>
    </row>
    <row r="227" spans="1:8">
      <c r="A227" s="93" t="s">
        <v>489</v>
      </c>
      <c r="B227" s="94"/>
      <c r="C227" s="94"/>
      <c r="D227" s="94"/>
      <c r="E227" s="95"/>
      <c r="F227" s="96"/>
      <c r="G227" s="95"/>
      <c r="H227" s="123">
        <f>+G227-'B&amp;O Tax Increase Calculations'!L227</f>
        <v>0</v>
      </c>
    </row>
    <row r="228" spans="1:8">
      <c r="B228" s="5" t="s">
        <v>156</v>
      </c>
      <c r="C228" s="5">
        <v>275</v>
      </c>
      <c r="D228" s="5">
        <v>37</v>
      </c>
      <c r="E228" s="4">
        <v>137.32</v>
      </c>
      <c r="F228" s="4">
        <f>+E228*$C$6</f>
        <v>0.48061999999999994</v>
      </c>
      <c r="G228" s="4">
        <f>+E228+F228</f>
        <v>137.80061999999998</v>
      </c>
      <c r="H228" s="123">
        <f>+G228-'B&amp;O Tax Increase Calculations'!L228</f>
        <v>0</v>
      </c>
    </row>
    <row r="229" spans="1:8">
      <c r="E229" s="4"/>
      <c r="F229" s="4"/>
      <c r="G229" s="4"/>
      <c r="H229" s="123">
        <f>+G229-'B&amp;O Tax Increase Calculations'!L229</f>
        <v>0</v>
      </c>
    </row>
    <row r="230" spans="1:8">
      <c r="B230" s="5" t="s">
        <v>66</v>
      </c>
      <c r="C230" s="5">
        <v>275</v>
      </c>
      <c r="D230" s="5">
        <v>37</v>
      </c>
      <c r="E230" s="4">
        <v>3.49</v>
      </c>
      <c r="F230" s="4">
        <f t="shared" ref="F230:F232" si="52">+E230*$C$6</f>
        <v>1.2215E-2</v>
      </c>
      <c r="G230" s="4">
        <f>+E230+F230</f>
        <v>3.5022150000000001</v>
      </c>
      <c r="H230" s="123">
        <f>+G230-'B&amp;O Tax Increase Calculations'!L230</f>
        <v>0</v>
      </c>
    </row>
    <row r="231" spans="1:8">
      <c r="B231" s="5" t="s">
        <v>63</v>
      </c>
      <c r="C231" s="5">
        <v>275</v>
      </c>
      <c r="D231" s="5">
        <v>37</v>
      </c>
      <c r="E231" s="4">
        <v>3.96</v>
      </c>
      <c r="F231" s="4">
        <f t="shared" si="52"/>
        <v>1.3859999999999999E-2</v>
      </c>
      <c r="G231" s="4">
        <f>+E231+F231</f>
        <v>3.9738600000000002</v>
      </c>
      <c r="H231" s="123">
        <f>+G231-'B&amp;O Tax Increase Calculations'!L231</f>
        <v>0</v>
      </c>
    </row>
    <row r="232" spans="1:8">
      <c r="B232" s="5" t="s">
        <v>65</v>
      </c>
      <c r="C232" s="5">
        <v>275</v>
      </c>
      <c r="D232" s="5">
        <v>37</v>
      </c>
      <c r="E232" s="4">
        <v>33.130000000000003</v>
      </c>
      <c r="F232" s="4">
        <f t="shared" si="52"/>
        <v>0.115955</v>
      </c>
      <c r="G232" s="4">
        <f>+E232+F232</f>
        <v>33.245955000000002</v>
      </c>
      <c r="H232" s="123">
        <f>+G232-'B&amp;O Tax Increase Calculations'!L232</f>
        <v>0</v>
      </c>
    </row>
    <row r="233" spans="1:8">
      <c r="E233" s="4"/>
      <c r="F233" s="4"/>
      <c r="G233" s="4"/>
    </row>
    <row r="234" spans="1:8">
      <c r="E234" s="4"/>
      <c r="F234" s="4"/>
      <c r="G234" s="4"/>
    </row>
    <row r="235" spans="1:8">
      <c r="E235" s="4"/>
      <c r="F235" s="4"/>
      <c r="G235" s="4"/>
    </row>
    <row r="236" spans="1:8">
      <c r="E236" s="4"/>
      <c r="F236" s="4"/>
      <c r="G236" s="4"/>
    </row>
    <row r="237" spans="1:8">
      <c r="E237" s="4"/>
      <c r="F237" s="4"/>
      <c r="G237" s="4"/>
    </row>
    <row r="238" spans="1:8">
      <c r="E238" s="4"/>
      <c r="F238" s="4"/>
      <c r="G238" s="4"/>
    </row>
    <row r="239" spans="1:8">
      <c r="E239" s="4"/>
      <c r="F239" s="4"/>
      <c r="G239" s="4"/>
    </row>
    <row r="240" spans="1:8">
      <c r="E240" s="4"/>
      <c r="F240" s="4"/>
      <c r="G240" s="4"/>
    </row>
    <row r="241" spans="5:7">
      <c r="E241" s="4"/>
      <c r="F241" s="4"/>
      <c r="G241" s="4"/>
    </row>
    <row r="242" spans="5:7">
      <c r="E242" s="4"/>
      <c r="F242" s="4"/>
      <c r="G242" s="4"/>
    </row>
  </sheetData>
  <pageMargins left="0.7" right="0.7" top="0.75" bottom="0.75" header="0.3" footer="0.3"/>
  <pageSetup scale="56" orientation="portrait" horizontalDpi="200" verticalDpi="200" r:id="rId1"/>
  <headerFooter>
    <oddHeader>&amp;C&amp;KFF0000INFORMATION RED OUTLINED AND/OR IN REDACTED AREA IS CONFIDENTIAL PER WAC 480-07-160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2"/>
  <sheetViews>
    <sheetView tabSelected="1" zoomScaleNormal="100" workbookViewId="0">
      <selection activeCell="I19" sqref="I19"/>
    </sheetView>
  </sheetViews>
  <sheetFormatPr defaultColWidth="8.85546875" defaultRowHeight="15"/>
  <cols>
    <col min="1" max="1" width="8.85546875" style="5"/>
    <col min="2" max="2" width="51.85546875" style="5" bestFit="1" customWidth="1"/>
    <col min="3" max="3" width="12.85546875" style="5" bestFit="1" customWidth="1"/>
    <col min="4" max="4" width="13.140625" style="5" bestFit="1" customWidth="1"/>
    <col min="5" max="5" width="10.5703125" style="5" customWidth="1"/>
    <col min="6" max="6" width="14.42578125" style="28" customWidth="1"/>
    <col min="7" max="11" width="8.85546875" style="5"/>
    <col min="12" max="12" width="14" style="5" customWidth="1"/>
    <col min="13" max="13" width="13.85546875" style="5" customWidth="1"/>
    <col min="14" max="14" width="12.85546875" style="5" customWidth="1"/>
    <col min="15" max="15" width="9.5703125" style="5" customWidth="1"/>
    <col min="16" max="16384" width="8.85546875" style="5"/>
  </cols>
  <sheetData>
    <row r="1" spans="1:17">
      <c r="B1" s="174" t="s">
        <v>483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7">
      <c r="B2" s="11" t="s">
        <v>11</v>
      </c>
      <c r="C2" s="11"/>
      <c r="D2" s="11"/>
      <c r="E2" s="11"/>
      <c r="F2" s="67"/>
      <c r="G2" s="11"/>
      <c r="H2" s="11"/>
      <c r="I2" s="11"/>
      <c r="J2" s="11"/>
      <c r="K2" s="11"/>
      <c r="L2" s="11"/>
      <c r="M2" s="11"/>
      <c r="N2" s="11"/>
    </row>
    <row r="5" spans="1:17" ht="15.75" thickBot="1"/>
    <row r="6" spans="1:17" ht="30.75" thickTop="1">
      <c r="F6" s="134"/>
      <c r="H6" s="12" t="s">
        <v>12</v>
      </c>
      <c r="I6" s="13"/>
      <c r="J6" s="12" t="s">
        <v>13</v>
      </c>
      <c r="M6" s="172" t="s">
        <v>14</v>
      </c>
      <c r="N6" s="173"/>
    </row>
    <row r="7" spans="1:17" ht="45" customHeight="1">
      <c r="B7" s="5" t="s">
        <v>77</v>
      </c>
      <c r="C7" s="5" t="s">
        <v>78</v>
      </c>
      <c r="D7" s="5" t="s">
        <v>79</v>
      </c>
      <c r="E7" s="12" t="s">
        <v>15</v>
      </c>
      <c r="F7" s="135" t="s">
        <v>16</v>
      </c>
      <c r="G7" s="13"/>
      <c r="H7" s="14">
        <v>1.7500000000000002E-2</v>
      </c>
      <c r="I7" s="13"/>
      <c r="J7" s="15">
        <v>2.1000000000000001E-2</v>
      </c>
      <c r="K7" s="13" t="s">
        <v>1</v>
      </c>
      <c r="L7" s="12" t="s">
        <v>17</v>
      </c>
      <c r="M7" s="144" t="s">
        <v>18</v>
      </c>
      <c r="N7" s="145" t="s">
        <v>19</v>
      </c>
    </row>
    <row r="8" spans="1:17">
      <c r="A8" s="21" t="s">
        <v>462</v>
      </c>
      <c r="B8" s="16"/>
      <c r="C8" s="16"/>
      <c r="D8" s="16"/>
      <c r="E8" s="17"/>
      <c r="F8" s="136"/>
      <c r="G8" s="18"/>
      <c r="H8" s="19"/>
      <c r="I8" s="18"/>
      <c r="J8" s="20"/>
      <c r="K8" s="18"/>
      <c r="L8" s="17"/>
      <c r="M8" s="146"/>
      <c r="N8" s="147"/>
    </row>
    <row r="9" spans="1:17">
      <c r="B9" s="5" t="s">
        <v>20</v>
      </c>
      <c r="C9" s="5">
        <v>50</v>
      </c>
      <c r="D9" s="5">
        <v>16</v>
      </c>
      <c r="E9" s="4">
        <v>15</v>
      </c>
      <c r="F9" s="137">
        <f>+'PriceOut-Benton-TG-230189'!$H$217</f>
        <v>44</v>
      </c>
      <c r="H9" s="4">
        <f>+E9*H7</f>
        <v>0.26250000000000001</v>
      </c>
      <c r="J9" s="4">
        <f>+E9*J7</f>
        <v>0.315</v>
      </c>
      <c r="K9" s="4">
        <f>+J9-H9</f>
        <v>5.2499999999999991E-2</v>
      </c>
      <c r="L9" s="4">
        <f>+E9+K9</f>
        <v>15.0525</v>
      </c>
      <c r="M9" s="148">
        <f>+E9*F9</f>
        <v>660</v>
      </c>
      <c r="N9" s="149">
        <f>+L9*F9</f>
        <v>662.31000000000006</v>
      </c>
      <c r="P9" s="25"/>
      <c r="Q9" s="26"/>
    </row>
    <row r="10" spans="1:17">
      <c r="E10" s="4"/>
      <c r="F10" s="137"/>
      <c r="H10" s="4"/>
      <c r="J10" s="4"/>
      <c r="K10" s="4"/>
      <c r="L10" s="4"/>
      <c r="M10" s="148"/>
      <c r="N10" s="149"/>
      <c r="P10" s="25"/>
      <c r="Q10" s="26"/>
    </row>
    <row r="11" spans="1:17">
      <c r="A11" s="93" t="s">
        <v>449</v>
      </c>
      <c r="B11" s="94"/>
      <c r="C11" s="94"/>
      <c r="D11" s="94"/>
      <c r="E11" s="95"/>
      <c r="F11" s="138"/>
      <c r="G11" s="96"/>
      <c r="H11" s="97"/>
      <c r="I11" s="96"/>
      <c r="J11" s="98"/>
      <c r="K11" s="96"/>
      <c r="L11" s="95"/>
      <c r="M11" s="150"/>
      <c r="N11" s="151"/>
      <c r="P11" s="25"/>
      <c r="Q11" s="26"/>
    </row>
    <row r="12" spans="1:17">
      <c r="B12" s="5" t="s">
        <v>21</v>
      </c>
      <c r="C12" s="5">
        <v>51</v>
      </c>
      <c r="D12" s="5">
        <v>17</v>
      </c>
      <c r="E12" s="4">
        <v>22.56</v>
      </c>
      <c r="F12" s="137">
        <f>+'PriceOut-Benton-TG-230189'!$H$218+'PriceOut-Benton-TG-230189'!$H$219</f>
        <v>168.3909574468085</v>
      </c>
      <c r="H12" s="4">
        <f>+$H$7*E12</f>
        <v>0.39480000000000004</v>
      </c>
      <c r="I12" s="4"/>
      <c r="J12" s="4">
        <f>+$J$7*E12</f>
        <v>0.47376000000000001</v>
      </c>
      <c r="K12" s="4">
        <f t="shared" ref="K12:K199" si="0">+J12-H12</f>
        <v>7.8959999999999975E-2</v>
      </c>
      <c r="L12" s="4">
        <f t="shared" ref="L12:L199" si="1">+E12+K12</f>
        <v>22.638959999999997</v>
      </c>
      <c r="M12" s="148">
        <f t="shared" ref="M12:M199" si="2">+E12*F12</f>
        <v>3798.8999999999996</v>
      </c>
      <c r="N12" s="149">
        <f t="shared" ref="N12:N199" si="3">+L12*F12</f>
        <v>3812.1961499999993</v>
      </c>
      <c r="P12" s="25"/>
      <c r="Q12" s="26"/>
    </row>
    <row r="13" spans="1:17">
      <c r="E13" s="4"/>
      <c r="F13" s="137"/>
      <c r="H13" s="4"/>
      <c r="I13" s="4"/>
      <c r="J13" s="4"/>
      <c r="K13" s="4"/>
      <c r="L13" s="4"/>
      <c r="M13" s="148"/>
      <c r="N13" s="149"/>
      <c r="P13" s="25"/>
      <c r="Q13" s="26"/>
    </row>
    <row r="14" spans="1:17">
      <c r="A14" s="93" t="s">
        <v>450</v>
      </c>
      <c r="B14" s="94"/>
      <c r="C14" s="94"/>
      <c r="D14" s="94"/>
      <c r="E14" s="95"/>
      <c r="F14" s="138"/>
      <c r="G14" s="96"/>
      <c r="H14" s="97"/>
      <c r="I14" s="96"/>
      <c r="J14" s="98"/>
      <c r="K14" s="96"/>
      <c r="L14" s="95"/>
      <c r="M14" s="150"/>
      <c r="N14" s="151"/>
      <c r="P14" s="25"/>
      <c r="Q14" s="26"/>
    </row>
    <row r="15" spans="1:17">
      <c r="B15" s="5" t="s">
        <v>22</v>
      </c>
      <c r="C15" s="5">
        <v>52</v>
      </c>
      <c r="D15" s="5">
        <v>17</v>
      </c>
      <c r="E15" s="4">
        <v>17</v>
      </c>
      <c r="F15" s="137">
        <f>+'PriceOut-Benton-TG-230189'!$H$221</f>
        <v>27</v>
      </c>
      <c r="H15" s="4">
        <f>+$H$7*E15</f>
        <v>0.29750000000000004</v>
      </c>
      <c r="I15" s="4"/>
      <c r="J15" s="4">
        <f>+$J$7*E15</f>
        <v>0.35700000000000004</v>
      </c>
      <c r="K15" s="4">
        <f t="shared" si="0"/>
        <v>5.9499999999999997E-2</v>
      </c>
      <c r="L15" s="4">
        <f t="shared" si="1"/>
        <v>17.0595</v>
      </c>
      <c r="M15" s="148">
        <f t="shared" si="2"/>
        <v>459</v>
      </c>
      <c r="N15" s="149">
        <f t="shared" si="3"/>
        <v>460.60649999999998</v>
      </c>
      <c r="P15" s="25"/>
      <c r="Q15" s="26"/>
    </row>
    <row r="16" spans="1:17">
      <c r="B16" s="5" t="s">
        <v>23</v>
      </c>
      <c r="C16" s="5">
        <v>52</v>
      </c>
      <c r="D16" s="5">
        <v>17</v>
      </c>
      <c r="E16" s="4">
        <v>30</v>
      </c>
      <c r="F16" s="137">
        <f>+'PriceOut-Benton-TG-230189'!$H$220</f>
        <v>3</v>
      </c>
      <c r="H16" s="4">
        <f t="shared" ref="H16:H202" si="4">+$H$7*E16</f>
        <v>0.52500000000000002</v>
      </c>
      <c r="I16" s="4"/>
      <c r="J16" s="4">
        <f t="shared" ref="J16:J202" si="5">+$J$7*E16</f>
        <v>0.63</v>
      </c>
      <c r="K16" s="4">
        <f t="shared" si="0"/>
        <v>0.10499999999999998</v>
      </c>
      <c r="L16" s="4">
        <f t="shared" si="1"/>
        <v>30.105</v>
      </c>
      <c r="M16" s="148">
        <f t="shared" si="2"/>
        <v>90</v>
      </c>
      <c r="N16" s="149">
        <f t="shared" si="3"/>
        <v>90.314999999999998</v>
      </c>
      <c r="P16" s="25"/>
      <c r="Q16" s="26"/>
    </row>
    <row r="17" spans="1:17">
      <c r="B17" s="5" t="s">
        <v>157</v>
      </c>
      <c r="C17" s="5">
        <v>52</v>
      </c>
      <c r="D17" s="5">
        <v>17</v>
      </c>
      <c r="E17" s="4">
        <v>52.4</v>
      </c>
      <c r="F17" s="137"/>
      <c r="H17" s="4">
        <f t="shared" si="4"/>
        <v>0.91700000000000004</v>
      </c>
      <c r="I17" s="4"/>
      <c r="J17" s="4">
        <f t="shared" si="5"/>
        <v>1.1004</v>
      </c>
      <c r="K17" s="4">
        <f t="shared" si="0"/>
        <v>0.18340000000000001</v>
      </c>
      <c r="L17" s="4">
        <f t="shared" si="1"/>
        <v>52.583399999999997</v>
      </c>
      <c r="M17" s="148">
        <f t="shared" si="2"/>
        <v>0</v>
      </c>
      <c r="N17" s="149">
        <f t="shared" si="3"/>
        <v>0</v>
      </c>
      <c r="P17" s="25"/>
      <c r="Q17" s="26"/>
    </row>
    <row r="18" spans="1:17">
      <c r="E18" s="4"/>
      <c r="F18" s="137"/>
      <c r="H18" s="4"/>
      <c r="I18" s="4"/>
      <c r="J18" s="4"/>
      <c r="K18" s="4"/>
      <c r="L18" s="4"/>
      <c r="M18" s="148"/>
      <c r="N18" s="149"/>
      <c r="P18" s="25"/>
      <c r="Q18" s="26"/>
    </row>
    <row r="19" spans="1:17">
      <c r="A19" s="93" t="s">
        <v>451</v>
      </c>
      <c r="B19" s="94"/>
      <c r="C19" s="94"/>
      <c r="D19" s="94"/>
      <c r="E19" s="95"/>
      <c r="F19" s="138"/>
      <c r="G19" s="96"/>
      <c r="H19" s="97"/>
      <c r="I19" s="96"/>
      <c r="J19" s="98"/>
      <c r="K19" s="96"/>
      <c r="L19" s="95"/>
      <c r="M19" s="150"/>
      <c r="N19" s="151"/>
      <c r="P19" s="25"/>
      <c r="Q19" s="26"/>
    </row>
    <row r="20" spans="1:17">
      <c r="B20" s="5" t="s">
        <v>24</v>
      </c>
      <c r="C20" s="5">
        <v>55</v>
      </c>
      <c r="D20" s="5">
        <v>18</v>
      </c>
      <c r="E20" s="4">
        <v>3.42</v>
      </c>
      <c r="F20" s="137"/>
      <c r="H20" s="4">
        <f t="shared" si="4"/>
        <v>5.9850000000000007E-2</v>
      </c>
      <c r="I20" s="4"/>
      <c r="J20" s="4">
        <f t="shared" si="5"/>
        <v>7.1820000000000009E-2</v>
      </c>
      <c r="K20" s="4">
        <f t="shared" si="0"/>
        <v>1.1970000000000001E-2</v>
      </c>
      <c r="L20" s="4">
        <f t="shared" si="1"/>
        <v>3.4319699999999997</v>
      </c>
      <c r="M20" s="148">
        <f t="shared" si="2"/>
        <v>0</v>
      </c>
      <c r="N20" s="149">
        <f t="shared" si="3"/>
        <v>0</v>
      </c>
      <c r="P20" s="25"/>
      <c r="Q20" s="26"/>
    </row>
    <row r="21" spans="1:17">
      <c r="E21" s="4"/>
      <c r="F21" s="137"/>
      <c r="H21" s="4"/>
      <c r="I21" s="4"/>
      <c r="J21" s="4"/>
      <c r="K21" s="4"/>
      <c r="L21" s="4"/>
      <c r="M21" s="148"/>
      <c r="N21" s="149"/>
      <c r="P21" s="25"/>
      <c r="Q21" s="26"/>
    </row>
    <row r="22" spans="1:17">
      <c r="A22" s="93" t="s">
        <v>452</v>
      </c>
      <c r="B22" s="94"/>
      <c r="C22" s="94"/>
      <c r="D22" s="94"/>
      <c r="E22" s="95"/>
      <c r="F22" s="138"/>
      <c r="G22" s="96"/>
      <c r="H22" s="97"/>
      <c r="I22" s="96"/>
      <c r="J22" s="98"/>
      <c r="K22" s="96"/>
      <c r="L22" s="95"/>
      <c r="M22" s="150"/>
      <c r="N22" s="151"/>
      <c r="P22" s="25"/>
      <c r="Q22" s="26"/>
    </row>
    <row r="23" spans="1:17">
      <c r="B23" s="5" t="s">
        <v>25</v>
      </c>
      <c r="C23" s="5">
        <v>60</v>
      </c>
      <c r="D23" s="5">
        <v>18</v>
      </c>
      <c r="E23" s="4">
        <v>71</v>
      </c>
      <c r="F23" s="137"/>
      <c r="H23" s="4">
        <f t="shared" si="4"/>
        <v>1.2425000000000002</v>
      </c>
      <c r="I23" s="4"/>
      <c r="J23" s="4">
        <f t="shared" si="5"/>
        <v>1.4910000000000001</v>
      </c>
      <c r="K23" s="4">
        <f t="shared" si="0"/>
        <v>0.24849999999999994</v>
      </c>
      <c r="L23" s="4">
        <f t="shared" si="1"/>
        <v>71.248500000000007</v>
      </c>
      <c r="M23" s="148">
        <f t="shared" si="2"/>
        <v>0</v>
      </c>
      <c r="N23" s="149">
        <f t="shared" si="3"/>
        <v>0</v>
      </c>
      <c r="P23" s="25"/>
      <c r="Q23" s="26"/>
    </row>
    <row r="24" spans="1:17">
      <c r="B24" s="5" t="s">
        <v>26</v>
      </c>
      <c r="C24" s="5">
        <v>60</v>
      </c>
      <c r="D24" s="5">
        <v>18</v>
      </c>
      <c r="E24" s="4">
        <v>71</v>
      </c>
      <c r="F24" s="137"/>
      <c r="H24" s="4">
        <f t="shared" si="4"/>
        <v>1.2425000000000002</v>
      </c>
      <c r="I24" s="4"/>
      <c r="J24" s="4">
        <f t="shared" si="5"/>
        <v>1.4910000000000001</v>
      </c>
      <c r="K24" s="4">
        <f t="shared" si="0"/>
        <v>0.24849999999999994</v>
      </c>
      <c r="L24" s="4">
        <f t="shared" si="1"/>
        <v>71.248500000000007</v>
      </c>
      <c r="M24" s="148">
        <f t="shared" si="2"/>
        <v>0</v>
      </c>
      <c r="N24" s="149">
        <f t="shared" si="3"/>
        <v>0</v>
      </c>
      <c r="P24" s="25"/>
      <c r="Q24" s="26"/>
    </row>
    <row r="25" spans="1:17">
      <c r="E25" s="4"/>
      <c r="F25" s="137"/>
      <c r="H25" s="4"/>
      <c r="I25" s="4"/>
      <c r="J25" s="4"/>
      <c r="K25" s="4"/>
      <c r="L25" s="4"/>
      <c r="M25" s="148"/>
      <c r="N25" s="149"/>
      <c r="P25" s="25"/>
      <c r="Q25" s="26"/>
    </row>
    <row r="26" spans="1:17">
      <c r="A26" s="93" t="s">
        <v>453</v>
      </c>
      <c r="B26" s="94"/>
      <c r="C26" s="94"/>
      <c r="D26" s="94"/>
      <c r="E26" s="95"/>
      <c r="F26" s="138"/>
      <c r="G26" s="96"/>
      <c r="H26" s="97"/>
      <c r="I26" s="96"/>
      <c r="J26" s="98"/>
      <c r="K26" s="96"/>
      <c r="L26" s="95"/>
      <c r="M26" s="150"/>
      <c r="N26" s="151"/>
      <c r="P26" s="25"/>
      <c r="Q26" s="26"/>
    </row>
    <row r="27" spans="1:17">
      <c r="B27" s="5" t="s">
        <v>27</v>
      </c>
      <c r="C27" s="5">
        <v>70</v>
      </c>
      <c r="D27" s="5">
        <v>19</v>
      </c>
      <c r="E27" s="4">
        <v>7.81</v>
      </c>
      <c r="F27" s="137">
        <f>+'PriceOut-Benton-TG-230189'!$H$225</f>
        <v>30</v>
      </c>
      <c r="H27" s="4">
        <f t="shared" si="4"/>
        <v>0.13667500000000002</v>
      </c>
      <c r="I27" s="4"/>
      <c r="J27" s="4">
        <f t="shared" si="5"/>
        <v>0.16400999999999999</v>
      </c>
      <c r="K27" s="4">
        <f t="shared" si="0"/>
        <v>2.733499999999997E-2</v>
      </c>
      <c r="L27" s="4">
        <f t="shared" si="1"/>
        <v>7.8373349999999995</v>
      </c>
      <c r="M27" s="148">
        <f t="shared" si="2"/>
        <v>234.29999999999998</v>
      </c>
      <c r="N27" s="149">
        <f t="shared" si="3"/>
        <v>235.12004999999999</v>
      </c>
      <c r="P27" s="25"/>
      <c r="Q27" s="26"/>
    </row>
    <row r="28" spans="1:17">
      <c r="B28" s="5" t="s">
        <v>28</v>
      </c>
      <c r="C28" s="5">
        <v>70</v>
      </c>
      <c r="D28" s="5">
        <v>19</v>
      </c>
      <c r="E28" s="4">
        <v>10.4</v>
      </c>
      <c r="F28" s="137">
        <f>+'PriceOut-Benton-TG-230189'!$H$223</f>
        <v>1</v>
      </c>
      <c r="H28" s="4">
        <f t="shared" si="4"/>
        <v>0.18200000000000002</v>
      </c>
      <c r="I28" s="4"/>
      <c r="J28" s="4">
        <f t="shared" si="5"/>
        <v>0.21840000000000001</v>
      </c>
      <c r="K28" s="4">
        <f t="shared" si="0"/>
        <v>3.6399999999999988E-2</v>
      </c>
      <c r="L28" s="4">
        <f t="shared" si="1"/>
        <v>10.436400000000001</v>
      </c>
      <c r="M28" s="148">
        <f t="shared" si="2"/>
        <v>10.4</v>
      </c>
      <c r="N28" s="149">
        <f t="shared" si="3"/>
        <v>10.436400000000001</v>
      </c>
      <c r="P28" s="25"/>
      <c r="Q28" s="26"/>
    </row>
    <row r="29" spans="1:17">
      <c r="B29" s="5" t="s">
        <v>29</v>
      </c>
      <c r="C29" s="5">
        <v>70</v>
      </c>
      <c r="D29" s="5">
        <v>19</v>
      </c>
      <c r="E29" s="4">
        <v>52.4</v>
      </c>
      <c r="F29" s="137">
        <f>+'PriceOut-Benton-TG-230189'!$H$224</f>
        <v>5</v>
      </c>
      <c r="H29" s="4">
        <f t="shared" si="4"/>
        <v>0.91700000000000004</v>
      </c>
      <c r="I29" s="4"/>
      <c r="J29" s="4">
        <f t="shared" si="5"/>
        <v>1.1004</v>
      </c>
      <c r="K29" s="4">
        <f t="shared" si="0"/>
        <v>0.18340000000000001</v>
      </c>
      <c r="L29" s="4">
        <f t="shared" si="1"/>
        <v>52.583399999999997</v>
      </c>
      <c r="M29" s="148">
        <f t="shared" si="2"/>
        <v>262</v>
      </c>
      <c r="N29" s="149">
        <f t="shared" si="3"/>
        <v>262.91699999999997</v>
      </c>
      <c r="P29" s="25"/>
      <c r="Q29" s="26"/>
    </row>
    <row r="30" spans="1:17">
      <c r="E30" s="4"/>
      <c r="F30" s="137"/>
      <c r="H30" s="4"/>
      <c r="I30" s="4"/>
      <c r="J30" s="4"/>
      <c r="K30" s="4"/>
      <c r="L30" s="4"/>
      <c r="M30" s="148"/>
      <c r="N30" s="149"/>
      <c r="P30" s="25"/>
      <c r="Q30" s="26"/>
    </row>
    <row r="31" spans="1:17">
      <c r="A31" s="93" t="s">
        <v>454</v>
      </c>
      <c r="B31" s="94"/>
      <c r="C31" s="94"/>
      <c r="D31" s="94"/>
      <c r="E31" s="95"/>
      <c r="F31" s="138"/>
      <c r="G31" s="96"/>
      <c r="H31" s="97"/>
      <c r="I31" s="96"/>
      <c r="J31" s="98"/>
      <c r="K31" s="96"/>
      <c r="L31" s="95"/>
      <c r="M31" s="150"/>
      <c r="N31" s="151"/>
      <c r="P31" s="25"/>
      <c r="Q31" s="26"/>
    </row>
    <row r="32" spans="1:17">
      <c r="B32" s="5" t="s">
        <v>30</v>
      </c>
      <c r="C32" s="5">
        <v>80</v>
      </c>
      <c r="D32" s="5">
        <v>21</v>
      </c>
      <c r="E32" s="4">
        <v>0.31</v>
      </c>
      <c r="F32" s="137"/>
      <c r="H32" s="4">
        <f t="shared" si="4"/>
        <v>5.4250000000000001E-3</v>
      </c>
      <c r="I32" s="4"/>
      <c r="J32" s="4">
        <f t="shared" si="5"/>
        <v>6.5100000000000002E-3</v>
      </c>
      <c r="K32" s="4">
        <f t="shared" si="0"/>
        <v>1.085E-3</v>
      </c>
      <c r="L32" s="4">
        <f t="shared" si="1"/>
        <v>0.311085</v>
      </c>
      <c r="M32" s="148">
        <f t="shared" si="2"/>
        <v>0</v>
      </c>
      <c r="N32" s="149">
        <f t="shared" si="3"/>
        <v>0</v>
      </c>
      <c r="P32" s="25"/>
      <c r="Q32" s="26"/>
    </row>
    <row r="33" spans="1:17">
      <c r="B33" s="5" t="s">
        <v>31</v>
      </c>
      <c r="C33" s="5">
        <v>80</v>
      </c>
      <c r="D33" s="5">
        <v>21</v>
      </c>
      <c r="E33" s="4">
        <v>1.34</v>
      </c>
      <c r="F33" s="139">
        <f>+'PriceOut-Benton-TG-230189'!$H$228*4.33</f>
        <v>5822.7708171603681</v>
      </c>
      <c r="H33" s="4">
        <f t="shared" si="4"/>
        <v>2.3450000000000002E-2</v>
      </c>
      <c r="I33" s="4"/>
      <c r="J33" s="4">
        <f t="shared" si="5"/>
        <v>2.8140000000000002E-2</v>
      </c>
      <c r="K33" s="4">
        <f t="shared" si="0"/>
        <v>4.6899999999999997E-3</v>
      </c>
      <c r="L33" s="4">
        <f t="shared" si="1"/>
        <v>1.3446900000000002</v>
      </c>
      <c r="M33" s="148">
        <f t="shared" si="2"/>
        <v>7802.5128949948939</v>
      </c>
      <c r="N33" s="149">
        <f t="shared" si="3"/>
        <v>7829.8216901273763</v>
      </c>
      <c r="P33" s="25"/>
      <c r="Q33" s="26"/>
    </row>
    <row r="34" spans="1:17">
      <c r="B34" s="5" t="s">
        <v>32</v>
      </c>
      <c r="C34" s="5">
        <v>80</v>
      </c>
      <c r="D34" s="5">
        <v>21</v>
      </c>
      <c r="E34" s="4">
        <v>1.34</v>
      </c>
      <c r="F34" s="139">
        <f>+'PriceOut-Benton-TG-230189'!$H$226*4.33</f>
        <v>129.24983656792648</v>
      </c>
      <c r="H34" s="4">
        <f t="shared" si="4"/>
        <v>2.3450000000000002E-2</v>
      </c>
      <c r="I34" s="4"/>
      <c r="J34" s="4">
        <f t="shared" si="5"/>
        <v>2.8140000000000002E-2</v>
      </c>
      <c r="K34" s="4">
        <f t="shared" si="0"/>
        <v>4.6899999999999997E-3</v>
      </c>
      <c r="L34" s="4">
        <f t="shared" si="1"/>
        <v>1.3446900000000002</v>
      </c>
      <c r="M34" s="148">
        <f t="shared" si="2"/>
        <v>173.19478100102148</v>
      </c>
      <c r="N34" s="149">
        <f t="shared" si="3"/>
        <v>173.80096273452509</v>
      </c>
      <c r="P34" s="25"/>
      <c r="Q34" s="26"/>
    </row>
    <row r="35" spans="1:17">
      <c r="E35" s="4"/>
      <c r="F35" s="137"/>
      <c r="H35" s="4"/>
      <c r="I35" s="4"/>
      <c r="J35" s="4"/>
      <c r="K35" s="4"/>
      <c r="L35" s="4"/>
      <c r="M35" s="148"/>
      <c r="N35" s="149"/>
      <c r="P35" s="25"/>
      <c r="Q35" s="26"/>
    </row>
    <row r="36" spans="1:17">
      <c r="A36" s="93" t="s">
        <v>455</v>
      </c>
      <c r="B36" s="94"/>
      <c r="C36" s="94"/>
      <c r="D36" s="94"/>
      <c r="E36" s="95"/>
      <c r="F36" s="138"/>
      <c r="G36" s="96"/>
      <c r="H36" s="97"/>
      <c r="I36" s="96"/>
      <c r="J36" s="98"/>
      <c r="K36" s="96"/>
      <c r="L36" s="95"/>
      <c r="M36" s="150"/>
      <c r="N36" s="151"/>
      <c r="P36" s="25"/>
      <c r="Q36" s="26"/>
    </row>
    <row r="37" spans="1:17">
      <c r="B37" s="5" t="s">
        <v>80</v>
      </c>
      <c r="C37" s="5">
        <v>90</v>
      </c>
      <c r="D37" s="22">
        <v>22</v>
      </c>
      <c r="E37" s="4">
        <v>0.31</v>
      </c>
      <c r="F37" s="137"/>
      <c r="H37" s="4">
        <f t="shared" ref="H37" si="6">+$H$7*E37</f>
        <v>5.4250000000000001E-3</v>
      </c>
      <c r="I37" s="4"/>
      <c r="J37" s="4">
        <f t="shared" ref="J37" si="7">+$J$7*E37</f>
        <v>6.5100000000000002E-3</v>
      </c>
      <c r="K37" s="4">
        <f t="shared" ref="K37" si="8">+J37-H37</f>
        <v>1.085E-3</v>
      </c>
      <c r="L37" s="4">
        <f t="shared" ref="L37" si="9">+E37+K37</f>
        <v>0.311085</v>
      </c>
      <c r="M37" s="148">
        <f t="shared" ref="M37" si="10">+E37*F37</f>
        <v>0</v>
      </c>
      <c r="N37" s="149">
        <f t="shared" ref="N37" si="11">+L37*F37</f>
        <v>0</v>
      </c>
      <c r="P37" s="25"/>
      <c r="Q37" s="26"/>
    </row>
    <row r="38" spans="1:17">
      <c r="D38" s="22"/>
      <c r="E38" s="4"/>
      <c r="F38" s="137"/>
      <c r="H38" s="4"/>
      <c r="I38" s="4"/>
      <c r="J38" s="4"/>
      <c r="K38" s="4"/>
      <c r="L38" s="4"/>
      <c r="M38" s="148"/>
      <c r="N38" s="149"/>
      <c r="P38" s="25"/>
      <c r="Q38" s="26"/>
    </row>
    <row r="39" spans="1:17">
      <c r="A39" s="93" t="s">
        <v>456</v>
      </c>
      <c r="B39" s="94"/>
      <c r="C39" s="94"/>
      <c r="D39" s="94"/>
      <c r="E39" s="95"/>
      <c r="F39" s="138"/>
      <c r="G39" s="96"/>
      <c r="H39" s="97"/>
      <c r="I39" s="96"/>
      <c r="J39" s="98"/>
      <c r="K39" s="96"/>
      <c r="L39" s="95"/>
      <c r="M39" s="150"/>
      <c r="N39" s="151"/>
      <c r="P39" s="25"/>
      <c r="Q39" s="26"/>
    </row>
    <row r="40" spans="1:17">
      <c r="A40" s="23"/>
      <c r="B40" s="5" t="s">
        <v>3</v>
      </c>
      <c r="C40" s="5">
        <v>100</v>
      </c>
      <c r="D40" s="5">
        <v>23</v>
      </c>
      <c r="E40" s="4">
        <v>9.17</v>
      </c>
      <c r="F40" s="140">
        <f>+'PriceOut-Benton-TG-230189'!$H$229</f>
        <v>79</v>
      </c>
      <c r="G40" s="13"/>
      <c r="H40" s="4">
        <f t="shared" ref="H40:H49" si="12">+$H$7*E40</f>
        <v>0.16047500000000001</v>
      </c>
      <c r="I40" s="4"/>
      <c r="J40" s="4">
        <f t="shared" ref="J40:J49" si="13">+$J$7*E40</f>
        <v>0.19257000000000002</v>
      </c>
      <c r="K40" s="4">
        <f t="shared" ref="K40:K49" si="14">+J40-H40</f>
        <v>3.2095000000000012E-2</v>
      </c>
      <c r="L40" s="4">
        <f t="shared" ref="L40:L49" si="15">+E40+K40</f>
        <v>9.2020949999999999</v>
      </c>
      <c r="M40" s="148">
        <f t="shared" ref="M40:M49" si="16">+E40*F40</f>
        <v>724.43</v>
      </c>
      <c r="N40" s="149">
        <f t="shared" ref="N40:N49" si="17">+L40*F40</f>
        <v>726.96550500000001</v>
      </c>
      <c r="O40" s="4"/>
      <c r="P40" s="25"/>
      <c r="Q40" s="26"/>
    </row>
    <row r="41" spans="1:17">
      <c r="A41" s="23"/>
      <c r="B41" s="5" t="s">
        <v>4</v>
      </c>
      <c r="C41" s="5">
        <v>100</v>
      </c>
      <c r="D41" s="5">
        <v>23</v>
      </c>
      <c r="E41" s="4">
        <v>19.64</v>
      </c>
      <c r="F41" s="140"/>
      <c r="G41" s="13"/>
      <c r="H41" s="4">
        <f t="shared" si="12"/>
        <v>0.34370000000000006</v>
      </c>
      <c r="I41" s="4"/>
      <c r="J41" s="4">
        <f t="shared" si="13"/>
        <v>0.41244000000000003</v>
      </c>
      <c r="K41" s="4">
        <f t="shared" si="14"/>
        <v>6.8739999999999968E-2</v>
      </c>
      <c r="L41" s="4">
        <f t="shared" si="15"/>
        <v>19.708739999999999</v>
      </c>
      <c r="M41" s="148">
        <f t="shared" si="16"/>
        <v>0</v>
      </c>
      <c r="N41" s="149">
        <f t="shared" si="17"/>
        <v>0</v>
      </c>
      <c r="O41" s="4"/>
      <c r="P41" s="25"/>
      <c r="Q41" s="26"/>
    </row>
    <row r="42" spans="1:17">
      <c r="A42" s="23"/>
      <c r="B42" s="5" t="s">
        <v>81</v>
      </c>
      <c r="C42" s="5">
        <v>100</v>
      </c>
      <c r="D42" s="5">
        <v>23</v>
      </c>
      <c r="E42" s="4">
        <v>23.99</v>
      </c>
      <c r="F42" s="140"/>
      <c r="G42" s="13"/>
      <c r="H42" s="4">
        <f t="shared" si="12"/>
        <v>0.419825</v>
      </c>
      <c r="I42" s="4"/>
      <c r="J42" s="4">
        <f t="shared" si="13"/>
        <v>0.50378999999999996</v>
      </c>
      <c r="K42" s="4">
        <f t="shared" si="14"/>
        <v>8.3964999999999956E-2</v>
      </c>
      <c r="L42" s="4">
        <f t="shared" si="15"/>
        <v>24.073964999999998</v>
      </c>
      <c r="M42" s="148">
        <f t="shared" si="16"/>
        <v>0</v>
      </c>
      <c r="N42" s="149">
        <f t="shared" si="17"/>
        <v>0</v>
      </c>
      <c r="O42" s="4"/>
      <c r="P42" s="25"/>
      <c r="Q42" s="26"/>
    </row>
    <row r="43" spans="1:17">
      <c r="A43" s="23"/>
      <c r="B43" s="5" t="s">
        <v>82</v>
      </c>
      <c r="C43" s="5">
        <v>100</v>
      </c>
      <c r="D43" s="5">
        <v>23</v>
      </c>
      <c r="E43" s="4">
        <v>29.25</v>
      </c>
      <c r="F43" s="140"/>
      <c r="G43" s="13"/>
      <c r="H43" s="4">
        <f t="shared" si="12"/>
        <v>0.51187500000000008</v>
      </c>
      <c r="I43" s="4"/>
      <c r="J43" s="4">
        <f t="shared" si="13"/>
        <v>0.61425000000000007</v>
      </c>
      <c r="K43" s="4">
        <f t="shared" si="14"/>
        <v>0.10237499999999999</v>
      </c>
      <c r="L43" s="4">
        <f t="shared" si="15"/>
        <v>29.352374999999999</v>
      </c>
      <c r="M43" s="148">
        <f t="shared" si="16"/>
        <v>0</v>
      </c>
      <c r="N43" s="149">
        <f t="shared" si="17"/>
        <v>0</v>
      </c>
      <c r="O43" s="4"/>
      <c r="P43" s="25"/>
      <c r="Q43" s="26"/>
    </row>
    <row r="44" spans="1:17">
      <c r="A44" s="23"/>
      <c r="B44" s="5" t="s">
        <v>83</v>
      </c>
      <c r="C44" s="5">
        <v>100</v>
      </c>
      <c r="D44" s="5">
        <v>23</v>
      </c>
      <c r="E44" s="4">
        <v>34.72</v>
      </c>
      <c r="F44" s="140"/>
      <c r="G44" s="13"/>
      <c r="H44" s="4">
        <f t="shared" si="12"/>
        <v>0.60760000000000003</v>
      </c>
      <c r="I44" s="4"/>
      <c r="J44" s="4">
        <f t="shared" si="13"/>
        <v>0.72911999999999999</v>
      </c>
      <c r="K44" s="4">
        <f t="shared" si="14"/>
        <v>0.12151999999999996</v>
      </c>
      <c r="L44" s="4">
        <f t="shared" si="15"/>
        <v>34.841519999999996</v>
      </c>
      <c r="M44" s="148">
        <f t="shared" si="16"/>
        <v>0</v>
      </c>
      <c r="N44" s="149">
        <f t="shared" si="17"/>
        <v>0</v>
      </c>
      <c r="O44" s="4"/>
      <c r="P44" s="25"/>
      <c r="Q44" s="26"/>
    </row>
    <row r="45" spans="1:17">
      <c r="A45" s="23"/>
      <c r="B45" s="5" t="s">
        <v>84</v>
      </c>
      <c r="C45" s="5">
        <v>100</v>
      </c>
      <c r="D45" s="5">
        <v>23</v>
      </c>
      <c r="E45" s="4">
        <v>44.7</v>
      </c>
      <c r="F45" s="140"/>
      <c r="G45" s="13"/>
      <c r="H45" s="4">
        <f t="shared" si="12"/>
        <v>0.78225000000000011</v>
      </c>
      <c r="I45" s="4"/>
      <c r="J45" s="4">
        <f t="shared" si="13"/>
        <v>0.93870000000000009</v>
      </c>
      <c r="K45" s="4">
        <f t="shared" si="14"/>
        <v>0.15644999999999998</v>
      </c>
      <c r="L45" s="4">
        <f t="shared" si="15"/>
        <v>44.856450000000002</v>
      </c>
      <c r="M45" s="148">
        <f t="shared" si="16"/>
        <v>0</v>
      </c>
      <c r="N45" s="149">
        <f t="shared" si="17"/>
        <v>0</v>
      </c>
      <c r="O45" s="4"/>
      <c r="P45" s="25"/>
      <c r="Q45" s="26"/>
    </row>
    <row r="46" spans="1:17">
      <c r="A46" s="23"/>
      <c r="B46" s="5" t="s">
        <v>85</v>
      </c>
      <c r="C46" s="5">
        <v>100</v>
      </c>
      <c r="D46" s="5">
        <v>23</v>
      </c>
      <c r="E46" s="4">
        <v>51.36</v>
      </c>
      <c r="F46" s="140"/>
      <c r="G46" s="13"/>
      <c r="H46" s="4">
        <f t="shared" si="12"/>
        <v>0.89880000000000004</v>
      </c>
      <c r="I46" s="4"/>
      <c r="J46" s="4">
        <f t="shared" si="13"/>
        <v>1.07856</v>
      </c>
      <c r="K46" s="4">
        <f t="shared" si="14"/>
        <v>0.17975999999999992</v>
      </c>
      <c r="L46" s="4">
        <f t="shared" si="15"/>
        <v>51.539760000000001</v>
      </c>
      <c r="M46" s="148">
        <f t="shared" si="16"/>
        <v>0</v>
      </c>
      <c r="N46" s="149">
        <f t="shared" si="17"/>
        <v>0</v>
      </c>
      <c r="O46" s="4"/>
      <c r="P46" s="25"/>
      <c r="Q46" s="26"/>
    </row>
    <row r="47" spans="1:17">
      <c r="A47" s="23"/>
      <c r="B47" s="5" t="s">
        <v>5</v>
      </c>
      <c r="C47" s="5">
        <v>100</v>
      </c>
      <c r="D47" s="5">
        <v>23</v>
      </c>
      <c r="E47" s="4">
        <v>19.170000000000002</v>
      </c>
      <c r="F47" s="140">
        <f>+'PriceOut-Benton-TG-230189'!$H$237</f>
        <v>3169.8510134346543</v>
      </c>
      <c r="G47" s="13"/>
      <c r="H47" s="4">
        <f t="shared" si="12"/>
        <v>0.33547500000000008</v>
      </c>
      <c r="I47" s="4"/>
      <c r="J47" s="4">
        <f t="shared" si="13"/>
        <v>0.40257000000000004</v>
      </c>
      <c r="K47" s="4">
        <f t="shared" si="14"/>
        <v>6.709499999999996E-2</v>
      </c>
      <c r="L47" s="4">
        <f t="shared" si="15"/>
        <v>19.237095</v>
      </c>
      <c r="M47" s="148">
        <f t="shared" si="16"/>
        <v>60766.043927542327</v>
      </c>
      <c r="N47" s="149">
        <f t="shared" si="17"/>
        <v>60978.725081288721</v>
      </c>
      <c r="O47" s="4"/>
      <c r="P47" s="25"/>
      <c r="Q47" s="26"/>
    </row>
    <row r="48" spans="1:17">
      <c r="A48" s="23"/>
      <c r="B48" s="5" t="s">
        <v>6</v>
      </c>
      <c r="C48" s="5">
        <v>100</v>
      </c>
      <c r="D48" s="5">
        <v>23</v>
      </c>
      <c r="E48" s="4">
        <v>24.31</v>
      </c>
      <c r="F48" s="140">
        <f>+'PriceOut-Benton-TG-230189'!$H$240</f>
        <v>52288</v>
      </c>
      <c r="G48" s="13"/>
      <c r="H48" s="4">
        <f t="shared" si="12"/>
        <v>0.425425</v>
      </c>
      <c r="I48" s="4"/>
      <c r="J48" s="4">
        <f t="shared" si="13"/>
        <v>0.51051000000000002</v>
      </c>
      <c r="K48" s="4">
        <f t="shared" si="14"/>
        <v>8.5085000000000022E-2</v>
      </c>
      <c r="L48" s="4">
        <f t="shared" si="15"/>
        <v>24.395084999999998</v>
      </c>
      <c r="M48" s="148">
        <f t="shared" si="16"/>
        <v>1271121.28</v>
      </c>
      <c r="N48" s="149">
        <f t="shared" si="17"/>
        <v>1275570.2044799998</v>
      </c>
      <c r="O48" s="4"/>
      <c r="P48" s="25"/>
      <c r="Q48" s="26"/>
    </row>
    <row r="49" spans="1:17">
      <c r="A49" s="23"/>
      <c r="B49" s="5" t="s">
        <v>7</v>
      </c>
      <c r="C49" s="5">
        <v>100</v>
      </c>
      <c r="D49" s="5">
        <v>23</v>
      </c>
      <c r="E49" s="4">
        <v>88.78</v>
      </c>
      <c r="F49" s="140"/>
      <c r="G49" s="13"/>
      <c r="H49" s="4">
        <f t="shared" si="12"/>
        <v>1.5536500000000002</v>
      </c>
      <c r="I49" s="4"/>
      <c r="J49" s="4">
        <f t="shared" si="13"/>
        <v>1.8643800000000001</v>
      </c>
      <c r="K49" s="4">
        <f t="shared" si="14"/>
        <v>0.31072999999999995</v>
      </c>
      <c r="L49" s="4">
        <f t="shared" si="15"/>
        <v>89.090730000000008</v>
      </c>
      <c r="M49" s="148">
        <f t="shared" si="16"/>
        <v>0</v>
      </c>
      <c r="N49" s="149">
        <f t="shared" si="17"/>
        <v>0</v>
      </c>
      <c r="O49" s="4"/>
      <c r="P49" s="25"/>
      <c r="Q49" s="26"/>
    </row>
    <row r="50" spans="1:17">
      <c r="A50" s="23"/>
      <c r="E50" s="12"/>
      <c r="F50" s="140"/>
      <c r="G50" s="13"/>
      <c r="H50" s="14"/>
      <c r="I50" s="13"/>
      <c r="J50" s="15"/>
      <c r="K50" s="13"/>
      <c r="L50" s="12"/>
      <c r="M50" s="144"/>
      <c r="N50" s="145"/>
      <c r="P50" s="25"/>
      <c r="Q50" s="26"/>
    </row>
    <row r="51" spans="1:17">
      <c r="A51" s="93" t="s">
        <v>463</v>
      </c>
      <c r="B51" s="94"/>
      <c r="C51" s="94"/>
      <c r="D51" s="94"/>
      <c r="E51" s="95"/>
      <c r="F51" s="138"/>
      <c r="G51" s="96"/>
      <c r="H51" s="97"/>
      <c r="I51" s="96"/>
      <c r="J51" s="98"/>
      <c r="K51" s="96"/>
      <c r="L51" s="95"/>
      <c r="M51" s="150"/>
      <c r="N51" s="151"/>
      <c r="P51" s="25"/>
      <c r="Q51" s="26"/>
    </row>
    <row r="52" spans="1:17">
      <c r="A52" s="23"/>
      <c r="B52" s="5" t="s">
        <v>86</v>
      </c>
      <c r="C52" s="5">
        <v>100</v>
      </c>
      <c r="D52" s="5">
        <v>24</v>
      </c>
      <c r="E52" s="4">
        <v>2.77</v>
      </c>
      <c r="F52" s="140">
        <f>+'PriceOut-Benton-TG-230189'!$H$245</f>
        <v>12</v>
      </c>
      <c r="G52" s="13"/>
      <c r="H52" s="4">
        <f t="shared" ref="H52:H54" si="18">+$H$7*E52</f>
        <v>4.8475000000000004E-2</v>
      </c>
      <c r="I52" s="4"/>
      <c r="J52" s="4">
        <f t="shared" ref="J52:J54" si="19">+$J$7*E52</f>
        <v>5.8170000000000006E-2</v>
      </c>
      <c r="K52" s="4">
        <f t="shared" ref="K52:K54" si="20">+J52-H52</f>
        <v>9.6950000000000022E-3</v>
      </c>
      <c r="L52" s="4">
        <f t="shared" ref="L52:L54" si="21">+E52+K52</f>
        <v>2.7796949999999998</v>
      </c>
      <c r="M52" s="148">
        <f t="shared" ref="M52:M54" si="22">+E52*F52</f>
        <v>33.24</v>
      </c>
      <c r="N52" s="149">
        <f t="shared" ref="N52:N54" si="23">+L52*F52</f>
        <v>33.356339999999996</v>
      </c>
      <c r="P52" s="25"/>
      <c r="Q52" s="26"/>
    </row>
    <row r="53" spans="1:17">
      <c r="A53" s="23"/>
      <c r="B53" s="24" t="s">
        <v>8</v>
      </c>
      <c r="C53" s="5">
        <v>100</v>
      </c>
      <c r="D53" s="5">
        <v>24</v>
      </c>
      <c r="E53" s="4">
        <v>3.42</v>
      </c>
      <c r="F53" s="140">
        <f>+'PriceOut-Benton-TG-230189'!$H$243</f>
        <v>2049</v>
      </c>
      <c r="G53" s="13"/>
      <c r="H53" s="4">
        <f t="shared" si="18"/>
        <v>5.9850000000000007E-2</v>
      </c>
      <c r="I53" s="4"/>
      <c r="J53" s="4">
        <f t="shared" si="19"/>
        <v>7.1820000000000009E-2</v>
      </c>
      <c r="K53" s="4">
        <f t="shared" si="20"/>
        <v>1.1970000000000001E-2</v>
      </c>
      <c r="L53" s="4">
        <f t="shared" si="21"/>
        <v>3.4319699999999997</v>
      </c>
      <c r="M53" s="148">
        <f t="shared" si="22"/>
        <v>7007.58</v>
      </c>
      <c r="N53" s="149">
        <f t="shared" si="23"/>
        <v>7032.1065299999991</v>
      </c>
      <c r="P53" s="25"/>
      <c r="Q53" s="26"/>
    </row>
    <row r="54" spans="1:17">
      <c r="A54" s="23"/>
      <c r="B54" s="5" t="s">
        <v>87</v>
      </c>
      <c r="C54" s="5">
        <v>100</v>
      </c>
      <c r="D54" s="5">
        <v>24</v>
      </c>
      <c r="E54" s="4">
        <v>14.44</v>
      </c>
      <c r="F54" s="140">
        <f>+'PriceOut-Benton-TG-230189'!$H$244</f>
        <v>5</v>
      </c>
      <c r="G54" s="13"/>
      <c r="H54" s="4">
        <f t="shared" si="18"/>
        <v>0.25270000000000004</v>
      </c>
      <c r="I54" s="4"/>
      <c r="J54" s="4">
        <f t="shared" si="19"/>
        <v>0.30324000000000001</v>
      </c>
      <c r="K54" s="4">
        <f t="shared" si="20"/>
        <v>5.0539999999999974E-2</v>
      </c>
      <c r="L54" s="4">
        <f t="shared" si="21"/>
        <v>14.490539999999999</v>
      </c>
      <c r="M54" s="148">
        <f t="shared" si="22"/>
        <v>72.2</v>
      </c>
      <c r="N54" s="149">
        <f t="shared" si="23"/>
        <v>72.452699999999993</v>
      </c>
      <c r="P54" s="25"/>
      <c r="Q54" s="26"/>
    </row>
    <row r="55" spans="1:17">
      <c r="B55" s="5" t="s">
        <v>33</v>
      </c>
      <c r="C55" s="5">
        <v>100</v>
      </c>
      <c r="D55" s="5">
        <v>24</v>
      </c>
      <c r="E55" s="4">
        <v>3.26</v>
      </c>
      <c r="F55" s="137">
        <f>+'PriceOut-Benton-TG-230189'!$H$238+'PriceOut-Benton-TG-230189'!$H$241</f>
        <v>577.90797546012277</v>
      </c>
      <c r="H55" s="4">
        <f>+$H$7*E55</f>
        <v>5.7050000000000003E-2</v>
      </c>
      <c r="I55" s="4"/>
      <c r="J55" s="4">
        <f>+$J$7*E55</f>
        <v>6.8459999999999993E-2</v>
      </c>
      <c r="K55" s="4">
        <f>+J55-H55</f>
        <v>1.140999999999999E-2</v>
      </c>
      <c r="L55" s="4">
        <f>+E55+K55</f>
        <v>3.2714099999999999</v>
      </c>
      <c r="M55" s="148">
        <f>+E55*F55</f>
        <v>1883.98</v>
      </c>
      <c r="N55" s="149">
        <f>+L55*F55</f>
        <v>1890.5739300000002</v>
      </c>
      <c r="P55" s="25"/>
      <c r="Q55" s="26"/>
    </row>
    <row r="56" spans="1:17">
      <c r="A56" s="23"/>
      <c r="E56" s="12"/>
      <c r="F56" s="140"/>
      <c r="G56" s="13"/>
      <c r="H56" s="14"/>
      <c r="I56" s="13"/>
      <c r="J56" s="15"/>
      <c r="K56" s="13"/>
      <c r="L56" s="12"/>
      <c r="M56" s="144"/>
      <c r="N56" s="145"/>
      <c r="P56" s="25"/>
      <c r="Q56" s="26"/>
    </row>
    <row r="57" spans="1:17">
      <c r="A57" s="93" t="s">
        <v>457</v>
      </c>
      <c r="B57" s="94"/>
      <c r="C57" s="94"/>
      <c r="D57" s="94"/>
      <c r="E57" s="95"/>
      <c r="F57" s="138"/>
      <c r="G57" s="96"/>
      <c r="H57" s="97"/>
      <c r="I57" s="96"/>
      <c r="J57" s="98"/>
      <c r="K57" s="96"/>
      <c r="L57" s="95"/>
      <c r="M57" s="150"/>
      <c r="N57" s="151"/>
      <c r="P57" s="25"/>
      <c r="Q57" s="26"/>
    </row>
    <row r="58" spans="1:17">
      <c r="A58" s="23"/>
      <c r="B58" s="5" t="s">
        <v>88</v>
      </c>
      <c r="C58" s="5">
        <v>150</v>
      </c>
      <c r="D58" s="5">
        <v>25</v>
      </c>
      <c r="E58" s="4">
        <v>16.079999999999998</v>
      </c>
      <c r="F58" s="140">
        <f>+'PriceOut-Benton-TG-230189'!$H$246</f>
        <v>52</v>
      </c>
      <c r="G58" s="13"/>
      <c r="H58" s="4">
        <f>+$H$7*E58</f>
        <v>0.28139999999999998</v>
      </c>
      <c r="I58" s="4"/>
      <c r="J58" s="4">
        <f>+$J$7*E58</f>
        <v>0.33767999999999998</v>
      </c>
      <c r="K58" s="4">
        <f>+J58-H58</f>
        <v>5.6279999999999997E-2</v>
      </c>
      <c r="L58" s="4">
        <f>+E58+K58</f>
        <v>16.136279999999999</v>
      </c>
      <c r="M58" s="148">
        <f>+E58*F58</f>
        <v>836.15999999999985</v>
      </c>
      <c r="N58" s="149">
        <f>+L58*F58</f>
        <v>839.08655999999996</v>
      </c>
      <c r="P58" s="25"/>
      <c r="Q58" s="26"/>
    </row>
    <row r="59" spans="1:17">
      <c r="B59" s="5" t="s">
        <v>34</v>
      </c>
      <c r="C59" s="5">
        <v>150</v>
      </c>
      <c r="D59" s="5">
        <v>25</v>
      </c>
      <c r="E59" s="4">
        <v>3.37</v>
      </c>
      <c r="F59" s="137"/>
      <c r="H59" s="4">
        <f>+$H$7*E59</f>
        <v>5.8975000000000007E-2</v>
      </c>
      <c r="I59" s="4"/>
      <c r="J59" s="4">
        <f>+$J$7*E59</f>
        <v>7.0770000000000013E-2</v>
      </c>
      <c r="K59" s="4">
        <f>+J59-H59</f>
        <v>1.1795000000000007E-2</v>
      </c>
      <c r="L59" s="4">
        <f>+E59+K59</f>
        <v>3.3817950000000003</v>
      </c>
      <c r="M59" s="148">
        <f>+E59*F59</f>
        <v>0</v>
      </c>
      <c r="N59" s="149">
        <f>+L59*F59</f>
        <v>0</v>
      </c>
      <c r="P59" s="25"/>
      <c r="Q59" s="26"/>
    </row>
    <row r="60" spans="1:17">
      <c r="A60" s="23"/>
      <c r="E60" s="12"/>
      <c r="F60" s="140"/>
      <c r="G60" s="13"/>
      <c r="H60" s="14"/>
      <c r="I60" s="13"/>
      <c r="J60" s="15"/>
      <c r="K60" s="13"/>
      <c r="L60" s="12"/>
      <c r="M60" s="144"/>
      <c r="N60" s="145"/>
      <c r="P60" s="25"/>
      <c r="Q60" s="26"/>
    </row>
    <row r="61" spans="1:17">
      <c r="A61" s="93" t="s">
        <v>458</v>
      </c>
      <c r="B61" s="94"/>
      <c r="C61" s="94"/>
      <c r="D61" s="94"/>
      <c r="E61" s="95"/>
      <c r="F61" s="138"/>
      <c r="G61" s="96"/>
      <c r="H61" s="97"/>
      <c r="I61" s="96"/>
      <c r="J61" s="98"/>
      <c r="K61" s="96"/>
      <c r="L61" s="95"/>
      <c r="M61" s="150"/>
      <c r="N61" s="151"/>
      <c r="P61" s="25"/>
      <c r="Q61" s="26"/>
    </row>
    <row r="62" spans="1:17">
      <c r="B62" s="5" t="s">
        <v>89</v>
      </c>
      <c r="C62" s="5">
        <v>160</v>
      </c>
      <c r="D62" s="5">
        <v>26</v>
      </c>
      <c r="E62" s="4">
        <v>84.74</v>
      </c>
      <c r="F62" s="137"/>
      <c r="H62" s="4">
        <f t="shared" si="4"/>
        <v>1.48295</v>
      </c>
      <c r="I62" s="4"/>
      <c r="J62" s="4">
        <f t="shared" si="5"/>
        <v>1.7795399999999999</v>
      </c>
      <c r="K62" s="4">
        <f t="shared" si="0"/>
        <v>0.29658999999999991</v>
      </c>
      <c r="L62" s="4">
        <f t="shared" si="1"/>
        <v>85.03658999999999</v>
      </c>
      <c r="M62" s="148">
        <f t="shared" si="2"/>
        <v>0</v>
      </c>
      <c r="N62" s="149">
        <f t="shared" si="3"/>
        <v>0</v>
      </c>
      <c r="P62" s="25"/>
      <c r="Q62" s="26"/>
    </row>
    <row r="63" spans="1:17">
      <c r="B63" s="5" t="s">
        <v>94</v>
      </c>
      <c r="C63" s="5">
        <v>160</v>
      </c>
      <c r="D63" s="5">
        <v>26</v>
      </c>
      <c r="E63" s="4">
        <v>46.26</v>
      </c>
      <c r="F63" s="137"/>
      <c r="H63" s="4">
        <f t="shared" si="4"/>
        <v>0.80954999999999999</v>
      </c>
      <c r="I63" s="4"/>
      <c r="J63" s="4">
        <f t="shared" si="5"/>
        <v>0.97145999999999999</v>
      </c>
      <c r="K63" s="4">
        <f t="shared" si="0"/>
        <v>0.16191</v>
      </c>
      <c r="L63" s="4">
        <f t="shared" si="1"/>
        <v>46.421909999999997</v>
      </c>
      <c r="M63" s="148">
        <f t="shared" si="2"/>
        <v>0</v>
      </c>
      <c r="N63" s="149">
        <f t="shared" si="3"/>
        <v>0</v>
      </c>
      <c r="P63" s="25"/>
      <c r="Q63" s="26"/>
    </row>
    <row r="64" spans="1:17">
      <c r="B64" s="5" t="s">
        <v>93</v>
      </c>
      <c r="C64" s="5">
        <v>160</v>
      </c>
      <c r="D64" s="5">
        <v>26</v>
      </c>
      <c r="E64" s="4">
        <v>42.37</v>
      </c>
      <c r="F64" s="137"/>
      <c r="H64" s="4">
        <f t="shared" si="4"/>
        <v>0.741475</v>
      </c>
      <c r="I64" s="4"/>
      <c r="J64" s="4">
        <f t="shared" si="5"/>
        <v>0.88976999999999995</v>
      </c>
      <c r="K64" s="4">
        <f t="shared" si="0"/>
        <v>0.14829499999999995</v>
      </c>
      <c r="L64" s="4">
        <f t="shared" si="1"/>
        <v>42.518294999999995</v>
      </c>
      <c r="M64" s="148">
        <f t="shared" si="2"/>
        <v>0</v>
      </c>
      <c r="N64" s="149">
        <f t="shared" si="3"/>
        <v>0</v>
      </c>
      <c r="P64" s="25"/>
      <c r="Q64" s="26"/>
    </row>
    <row r="65" spans="1:17">
      <c r="B65" s="5" t="s">
        <v>35</v>
      </c>
      <c r="C65" s="5">
        <v>160</v>
      </c>
      <c r="D65" s="5">
        <v>26</v>
      </c>
      <c r="E65" s="4">
        <v>117.29</v>
      </c>
      <c r="F65" s="137"/>
      <c r="H65" s="4">
        <f t="shared" si="4"/>
        <v>2.0525750000000005</v>
      </c>
      <c r="I65" s="4"/>
      <c r="J65" s="4">
        <f t="shared" si="5"/>
        <v>2.4630900000000002</v>
      </c>
      <c r="K65" s="4">
        <f t="shared" si="0"/>
        <v>0.41051499999999974</v>
      </c>
      <c r="L65" s="4">
        <f t="shared" si="1"/>
        <v>117.70051500000001</v>
      </c>
      <c r="M65" s="148">
        <f t="shared" si="2"/>
        <v>0</v>
      </c>
      <c r="N65" s="149">
        <f t="shared" si="3"/>
        <v>0</v>
      </c>
      <c r="P65" s="25"/>
      <c r="Q65" s="26"/>
    </row>
    <row r="66" spans="1:17">
      <c r="B66" s="5" t="s">
        <v>36</v>
      </c>
      <c r="C66" s="5">
        <v>160</v>
      </c>
      <c r="D66" s="5">
        <v>26</v>
      </c>
      <c r="E66" s="4">
        <v>117.29</v>
      </c>
      <c r="F66" s="137"/>
      <c r="H66" s="4">
        <f t="shared" si="4"/>
        <v>2.0525750000000005</v>
      </c>
      <c r="I66" s="4"/>
      <c r="J66" s="4">
        <f t="shared" si="5"/>
        <v>2.4630900000000002</v>
      </c>
      <c r="K66" s="4">
        <f t="shared" si="0"/>
        <v>0.41051499999999974</v>
      </c>
      <c r="L66" s="4">
        <f t="shared" si="1"/>
        <v>117.70051500000001</v>
      </c>
      <c r="M66" s="148">
        <f t="shared" si="2"/>
        <v>0</v>
      </c>
      <c r="N66" s="149">
        <f t="shared" si="3"/>
        <v>0</v>
      </c>
      <c r="P66" s="25"/>
      <c r="Q66" s="26"/>
    </row>
    <row r="67" spans="1:17">
      <c r="B67" s="5" t="s">
        <v>90</v>
      </c>
      <c r="C67" s="5">
        <v>160</v>
      </c>
      <c r="D67" s="5">
        <v>26</v>
      </c>
      <c r="E67" s="4">
        <v>117.29</v>
      </c>
      <c r="F67" s="137">
        <f>+'PriceOut-Benton-TG-230189'!$H$251</f>
        <v>5</v>
      </c>
      <c r="H67" s="4">
        <f t="shared" ref="H67" si="24">+$H$7*E67</f>
        <v>2.0525750000000005</v>
      </c>
      <c r="I67" s="4"/>
      <c r="J67" s="4">
        <f t="shared" ref="J67" si="25">+$J$7*E67</f>
        <v>2.4630900000000002</v>
      </c>
      <c r="K67" s="4">
        <f t="shared" ref="K67" si="26">+J67-H67</f>
        <v>0.41051499999999974</v>
      </c>
      <c r="L67" s="4">
        <f t="shared" ref="L67" si="27">+E67+K67</f>
        <v>117.70051500000001</v>
      </c>
      <c r="M67" s="148">
        <f t="shared" ref="M67" si="28">+E67*F67</f>
        <v>586.45000000000005</v>
      </c>
      <c r="N67" s="149">
        <f t="shared" ref="N67" si="29">+L67*F67</f>
        <v>588.50257500000009</v>
      </c>
      <c r="P67" s="25"/>
      <c r="Q67" s="26"/>
    </row>
    <row r="68" spans="1:17">
      <c r="B68" s="5" t="s">
        <v>92</v>
      </c>
      <c r="C68" s="5">
        <v>160</v>
      </c>
      <c r="D68" s="5">
        <v>26</v>
      </c>
      <c r="E68" s="4">
        <v>46.26</v>
      </c>
      <c r="F68" s="137"/>
      <c r="H68" s="4">
        <f t="shared" si="4"/>
        <v>0.80954999999999999</v>
      </c>
      <c r="I68" s="4"/>
      <c r="J68" s="4">
        <f t="shared" si="5"/>
        <v>0.97145999999999999</v>
      </c>
      <c r="K68" s="4">
        <f t="shared" si="0"/>
        <v>0.16191</v>
      </c>
      <c r="L68" s="4">
        <f t="shared" si="1"/>
        <v>46.421909999999997</v>
      </c>
      <c r="M68" s="148">
        <f t="shared" si="2"/>
        <v>0</v>
      </c>
      <c r="N68" s="149">
        <f t="shared" si="3"/>
        <v>0</v>
      </c>
      <c r="P68" s="25"/>
      <c r="Q68" s="26"/>
    </row>
    <row r="69" spans="1:17">
      <c r="B69" s="5" t="s">
        <v>91</v>
      </c>
      <c r="C69" s="5">
        <v>160</v>
      </c>
      <c r="D69" s="5">
        <v>26</v>
      </c>
      <c r="E69" s="4">
        <v>58.65</v>
      </c>
      <c r="F69" s="137"/>
      <c r="H69" s="4">
        <f t="shared" si="4"/>
        <v>1.026375</v>
      </c>
      <c r="I69" s="4"/>
      <c r="J69" s="4">
        <f t="shared" si="5"/>
        <v>1.2316500000000001</v>
      </c>
      <c r="K69" s="4">
        <f t="shared" si="0"/>
        <v>0.2052750000000001</v>
      </c>
      <c r="L69" s="132">
        <f>L67*0.5</f>
        <v>58.850257500000005</v>
      </c>
      <c r="M69" s="148">
        <f t="shared" si="2"/>
        <v>0</v>
      </c>
      <c r="N69" s="149">
        <f t="shared" si="3"/>
        <v>0</v>
      </c>
      <c r="P69" s="25"/>
      <c r="Q69" s="26"/>
    </row>
    <row r="70" spans="1:17">
      <c r="B70" s="5" t="s">
        <v>95</v>
      </c>
      <c r="C70" s="5">
        <v>160</v>
      </c>
      <c r="D70" s="5">
        <v>26</v>
      </c>
      <c r="E70" s="4">
        <v>150</v>
      </c>
      <c r="F70" s="137"/>
      <c r="H70" s="4">
        <f t="shared" si="4"/>
        <v>2.6250000000000004</v>
      </c>
      <c r="I70" s="4"/>
      <c r="J70" s="4">
        <f t="shared" si="5"/>
        <v>3.1500000000000004</v>
      </c>
      <c r="K70" s="4">
        <f t="shared" si="0"/>
        <v>0.52499999999999991</v>
      </c>
      <c r="L70" s="4">
        <f t="shared" si="1"/>
        <v>150.52500000000001</v>
      </c>
      <c r="M70" s="148">
        <f t="shared" si="2"/>
        <v>0</v>
      </c>
      <c r="N70" s="149">
        <f t="shared" si="3"/>
        <v>0</v>
      </c>
      <c r="P70" s="25"/>
      <c r="Q70" s="26"/>
    </row>
    <row r="71" spans="1:17">
      <c r="B71" s="5" t="s">
        <v>96</v>
      </c>
      <c r="C71" s="5">
        <v>160</v>
      </c>
      <c r="D71" s="5">
        <v>26</v>
      </c>
      <c r="E71" s="4">
        <v>46.26</v>
      </c>
      <c r="F71" s="137"/>
      <c r="H71" s="4">
        <f t="shared" si="4"/>
        <v>0.80954999999999999</v>
      </c>
      <c r="I71" s="4"/>
      <c r="J71" s="4">
        <f t="shared" si="5"/>
        <v>0.97145999999999999</v>
      </c>
      <c r="K71" s="4">
        <f t="shared" si="0"/>
        <v>0.16191</v>
      </c>
      <c r="L71" s="4">
        <f t="shared" si="1"/>
        <v>46.421909999999997</v>
      </c>
      <c r="M71" s="148">
        <f t="shared" si="2"/>
        <v>0</v>
      </c>
      <c r="N71" s="149">
        <f t="shared" si="3"/>
        <v>0</v>
      </c>
      <c r="P71" s="25"/>
      <c r="Q71" s="26"/>
    </row>
    <row r="72" spans="1:17">
      <c r="B72" s="5" t="s">
        <v>97</v>
      </c>
      <c r="C72" s="5">
        <v>160</v>
      </c>
      <c r="D72" s="5">
        <v>26</v>
      </c>
      <c r="E72" s="4">
        <v>75</v>
      </c>
      <c r="F72" s="137"/>
      <c r="H72" s="4">
        <f t="shared" si="4"/>
        <v>1.3125000000000002</v>
      </c>
      <c r="I72" s="4"/>
      <c r="J72" s="4">
        <f t="shared" si="5"/>
        <v>1.5750000000000002</v>
      </c>
      <c r="K72" s="4">
        <f t="shared" si="0"/>
        <v>0.26249999999999996</v>
      </c>
      <c r="L72" s="4">
        <f t="shared" si="1"/>
        <v>75.262500000000003</v>
      </c>
      <c r="M72" s="148">
        <f t="shared" si="2"/>
        <v>0</v>
      </c>
      <c r="N72" s="149">
        <f t="shared" si="3"/>
        <v>0</v>
      </c>
      <c r="P72" s="25"/>
      <c r="Q72" s="26"/>
    </row>
    <row r="73" spans="1:17">
      <c r="E73" s="4"/>
      <c r="F73" s="137"/>
      <c r="H73" s="4"/>
      <c r="I73" s="4"/>
      <c r="J73" s="4"/>
      <c r="K73" s="4"/>
      <c r="L73" s="4"/>
      <c r="M73" s="148"/>
      <c r="N73" s="149"/>
      <c r="P73" s="25"/>
      <c r="Q73" s="26"/>
    </row>
    <row r="74" spans="1:17">
      <c r="A74" s="93" t="s">
        <v>464</v>
      </c>
      <c r="B74" s="94"/>
      <c r="C74" s="94"/>
      <c r="D74" s="94"/>
      <c r="E74" s="95"/>
      <c r="F74" s="138"/>
      <c r="G74" s="96"/>
      <c r="H74" s="97"/>
      <c r="I74" s="96"/>
      <c r="J74" s="98"/>
      <c r="K74" s="96"/>
      <c r="L74" s="95"/>
      <c r="M74" s="150"/>
      <c r="N74" s="151"/>
      <c r="P74" s="25"/>
      <c r="Q74" s="26"/>
    </row>
    <row r="75" spans="1:17">
      <c r="B75" s="5" t="s">
        <v>37</v>
      </c>
      <c r="C75" s="5">
        <v>205</v>
      </c>
      <c r="D75" s="5">
        <v>28</v>
      </c>
      <c r="E75" s="4">
        <v>3.46</v>
      </c>
      <c r="F75" s="137"/>
      <c r="H75" s="4">
        <f t="shared" si="4"/>
        <v>6.0550000000000007E-2</v>
      </c>
      <c r="I75" s="4"/>
      <c r="J75" s="4">
        <f t="shared" si="5"/>
        <v>7.2660000000000002E-2</v>
      </c>
      <c r="K75" s="4">
        <f t="shared" si="0"/>
        <v>1.2109999999999996E-2</v>
      </c>
      <c r="L75" s="4">
        <f t="shared" si="1"/>
        <v>3.4721099999999998</v>
      </c>
      <c r="M75" s="148">
        <f t="shared" si="2"/>
        <v>0</v>
      </c>
      <c r="N75" s="149">
        <f t="shared" si="3"/>
        <v>0</v>
      </c>
      <c r="P75" s="25"/>
      <c r="Q75" s="26"/>
    </row>
    <row r="76" spans="1:17">
      <c r="B76" s="5" t="s">
        <v>38</v>
      </c>
      <c r="C76" s="5">
        <v>205</v>
      </c>
      <c r="D76" s="5">
        <v>28</v>
      </c>
      <c r="E76" s="4">
        <v>2.77</v>
      </c>
      <c r="F76" s="137"/>
      <c r="H76" s="4">
        <f t="shared" si="4"/>
        <v>4.8475000000000004E-2</v>
      </c>
      <c r="I76" s="4"/>
      <c r="J76" s="4">
        <f t="shared" si="5"/>
        <v>5.8170000000000006E-2</v>
      </c>
      <c r="K76" s="4">
        <f t="shared" si="0"/>
        <v>9.6950000000000022E-3</v>
      </c>
      <c r="L76" s="4">
        <f t="shared" si="1"/>
        <v>2.7796949999999998</v>
      </c>
      <c r="M76" s="148">
        <f t="shared" si="2"/>
        <v>0</v>
      </c>
      <c r="N76" s="149">
        <f t="shared" si="3"/>
        <v>0</v>
      </c>
      <c r="P76" s="25"/>
      <c r="Q76" s="26"/>
    </row>
    <row r="77" spans="1:17">
      <c r="E77" s="4"/>
      <c r="F77" s="137"/>
      <c r="H77" s="4"/>
      <c r="I77" s="4"/>
      <c r="J77" s="4"/>
      <c r="K77" s="4"/>
      <c r="L77" s="4"/>
      <c r="M77" s="148"/>
      <c r="N77" s="149"/>
      <c r="P77" s="25"/>
      <c r="Q77" s="26"/>
    </row>
    <row r="78" spans="1:17">
      <c r="A78" s="93" t="s">
        <v>465</v>
      </c>
      <c r="B78" s="94"/>
      <c r="C78" s="94"/>
      <c r="D78" s="94"/>
      <c r="E78" s="95"/>
      <c r="F78" s="138"/>
      <c r="G78" s="96"/>
      <c r="H78" s="97"/>
      <c r="I78" s="96"/>
      <c r="J78" s="98"/>
      <c r="K78" s="96"/>
      <c r="L78" s="95"/>
      <c r="M78" s="150"/>
      <c r="N78" s="151"/>
      <c r="P78" s="25"/>
      <c r="Q78" s="26"/>
    </row>
    <row r="79" spans="1:17">
      <c r="B79" s="5" t="s">
        <v>39</v>
      </c>
      <c r="C79" s="5">
        <v>207</v>
      </c>
      <c r="D79" s="5">
        <v>29</v>
      </c>
      <c r="E79" s="4">
        <v>3.42</v>
      </c>
      <c r="F79" s="137"/>
      <c r="H79" s="4">
        <f t="shared" ref="H79:H80" si="30">+$H$7*E79</f>
        <v>5.9850000000000007E-2</v>
      </c>
      <c r="I79" s="4"/>
      <c r="J79" s="4">
        <f t="shared" ref="J79:J80" si="31">+$J$7*E79</f>
        <v>7.1820000000000009E-2</v>
      </c>
      <c r="K79" s="4">
        <f t="shared" ref="K79:K80" si="32">+J79-H79</f>
        <v>1.1970000000000001E-2</v>
      </c>
      <c r="L79" s="4">
        <f t="shared" ref="L79:L80" si="33">+E79+K79</f>
        <v>3.4319699999999997</v>
      </c>
      <c r="M79" s="148">
        <f t="shared" ref="M79:M80" si="34">+E79*F79</f>
        <v>0</v>
      </c>
      <c r="N79" s="149">
        <f t="shared" ref="N79:N80" si="35">+L79*F79</f>
        <v>0</v>
      </c>
      <c r="P79" s="25"/>
      <c r="Q79" s="26"/>
    </row>
    <row r="80" spans="1:17">
      <c r="B80" s="5" t="s">
        <v>40</v>
      </c>
      <c r="C80" s="5">
        <v>207</v>
      </c>
      <c r="D80" s="5">
        <v>29</v>
      </c>
      <c r="E80" s="4">
        <v>16.079999999999998</v>
      </c>
      <c r="F80" s="137"/>
      <c r="H80" s="4">
        <f t="shared" si="30"/>
        <v>0.28139999999999998</v>
      </c>
      <c r="I80" s="4"/>
      <c r="J80" s="4">
        <f t="shared" si="31"/>
        <v>0.33767999999999998</v>
      </c>
      <c r="K80" s="4">
        <f t="shared" si="32"/>
        <v>5.6279999999999997E-2</v>
      </c>
      <c r="L80" s="4">
        <f t="shared" si="33"/>
        <v>16.136279999999999</v>
      </c>
      <c r="M80" s="148">
        <f t="shared" si="34"/>
        <v>0</v>
      </c>
      <c r="N80" s="149">
        <f t="shared" si="35"/>
        <v>0</v>
      </c>
      <c r="P80" s="25"/>
      <c r="Q80" s="26"/>
    </row>
    <row r="81" spans="1:17">
      <c r="B81" s="5" t="s">
        <v>41</v>
      </c>
      <c r="C81" s="5">
        <v>207</v>
      </c>
      <c r="D81" s="5">
        <v>29</v>
      </c>
      <c r="E81" s="4">
        <v>27.12</v>
      </c>
      <c r="F81" s="137"/>
      <c r="H81" s="4">
        <f t="shared" ref="H81" si="36">+$H$7*E81</f>
        <v>0.47460000000000008</v>
      </c>
      <c r="I81" s="4"/>
      <c r="J81" s="4">
        <f t="shared" ref="J81" si="37">+$J$7*E81</f>
        <v>0.56952000000000003</v>
      </c>
      <c r="K81" s="4">
        <f t="shared" ref="K81" si="38">+J81-H81</f>
        <v>9.4919999999999949E-2</v>
      </c>
      <c r="L81" s="4">
        <f t="shared" ref="L81" si="39">+E81+K81</f>
        <v>27.214919999999999</v>
      </c>
      <c r="M81" s="148">
        <f t="shared" ref="M81" si="40">+E81*F81</f>
        <v>0</v>
      </c>
      <c r="N81" s="149">
        <f t="shared" ref="N81" si="41">+L81*F81</f>
        <v>0</v>
      </c>
      <c r="P81" s="25"/>
      <c r="Q81" s="26"/>
    </row>
    <row r="82" spans="1:17">
      <c r="E82" s="4"/>
      <c r="F82" s="137"/>
      <c r="H82" s="4"/>
      <c r="I82" s="4"/>
      <c r="J82" s="4"/>
      <c r="K82" s="4"/>
      <c r="L82" s="4"/>
      <c r="M82" s="148"/>
      <c r="N82" s="149"/>
      <c r="P82" s="25"/>
      <c r="Q82" s="26"/>
    </row>
    <row r="83" spans="1:17">
      <c r="A83" s="93" t="s">
        <v>466</v>
      </c>
      <c r="B83" s="94"/>
      <c r="C83" s="94"/>
      <c r="D83" s="94"/>
      <c r="E83" s="95"/>
      <c r="F83" s="138"/>
      <c r="G83" s="96"/>
      <c r="H83" s="97"/>
      <c r="I83" s="96"/>
      <c r="J83" s="98"/>
      <c r="K83" s="96"/>
      <c r="L83" s="95"/>
      <c r="M83" s="150"/>
      <c r="N83" s="151"/>
      <c r="P83" s="25"/>
      <c r="Q83" s="26"/>
    </row>
    <row r="84" spans="1:17">
      <c r="A84" s="23"/>
      <c r="B84" s="5" t="s">
        <v>98</v>
      </c>
      <c r="C84" s="5">
        <v>210</v>
      </c>
      <c r="D84" s="5">
        <v>30</v>
      </c>
      <c r="E84" s="4">
        <v>6</v>
      </c>
      <c r="F84" s="137"/>
      <c r="H84" s="4">
        <f t="shared" ref="H84" si="42">+$H$7*E84</f>
        <v>0.10500000000000001</v>
      </c>
      <c r="I84" s="4"/>
      <c r="J84" s="4">
        <f t="shared" ref="J84" si="43">+$J$7*E84</f>
        <v>0.126</v>
      </c>
      <c r="K84" s="4">
        <f t="shared" ref="K84" si="44">+J84-H84</f>
        <v>2.0999999999999991E-2</v>
      </c>
      <c r="L84" s="4">
        <f t="shared" ref="L84" si="45">+E84+K84</f>
        <v>6.0209999999999999</v>
      </c>
      <c r="M84" s="148">
        <f t="shared" ref="M84" si="46">+E84*F84</f>
        <v>0</v>
      </c>
      <c r="N84" s="149">
        <f t="shared" ref="N84" si="47">+L84*F84</f>
        <v>0</v>
      </c>
      <c r="P84" s="25"/>
      <c r="Q84" s="26"/>
    </row>
    <row r="85" spans="1:17">
      <c r="A85" s="23"/>
      <c r="B85" s="5" t="s">
        <v>99</v>
      </c>
      <c r="C85" s="5">
        <v>210</v>
      </c>
      <c r="D85" s="5">
        <v>30</v>
      </c>
      <c r="E85" s="4">
        <v>36</v>
      </c>
      <c r="F85" s="137"/>
      <c r="H85" s="4">
        <f t="shared" ref="H85" si="48">+$H$7*E85</f>
        <v>0.63000000000000012</v>
      </c>
      <c r="I85" s="4"/>
      <c r="J85" s="4">
        <f t="shared" ref="J85" si="49">+$J$7*E85</f>
        <v>0.75600000000000001</v>
      </c>
      <c r="K85" s="4">
        <f t="shared" ref="K85" si="50">+J85-H85</f>
        <v>0.12599999999999989</v>
      </c>
      <c r="L85" s="4">
        <f t="shared" ref="L85" si="51">+E85+K85</f>
        <v>36.125999999999998</v>
      </c>
      <c r="M85" s="148">
        <f t="shared" ref="M85" si="52">+E85*F85</f>
        <v>0</v>
      </c>
      <c r="N85" s="149">
        <f t="shared" ref="N85" si="53">+L85*F85</f>
        <v>0</v>
      </c>
      <c r="P85" s="25"/>
      <c r="Q85" s="26"/>
    </row>
    <row r="86" spans="1:17">
      <c r="B86" s="5" t="s">
        <v>42</v>
      </c>
      <c r="C86" s="5">
        <v>210</v>
      </c>
      <c r="D86" s="5">
        <v>30</v>
      </c>
      <c r="E86" s="4">
        <v>30</v>
      </c>
      <c r="F86" s="137"/>
      <c r="H86" s="4">
        <f t="shared" ref="H86:H87" si="54">+$H$7*E86</f>
        <v>0.52500000000000002</v>
      </c>
      <c r="I86" s="4"/>
      <c r="J86" s="4">
        <f t="shared" ref="J86:J87" si="55">+$J$7*E86</f>
        <v>0.63</v>
      </c>
      <c r="K86" s="4">
        <f t="shared" ref="K86:K87" si="56">+J86-H86</f>
        <v>0.10499999999999998</v>
      </c>
      <c r="L86" s="4">
        <f t="shared" ref="L86:L87" si="57">+E86+K86</f>
        <v>30.105</v>
      </c>
      <c r="M86" s="148">
        <f t="shared" ref="M86:M87" si="58">+E86*F86</f>
        <v>0</v>
      </c>
      <c r="N86" s="149">
        <f t="shared" ref="N86:N87" si="59">+L86*F86</f>
        <v>0</v>
      </c>
      <c r="P86" s="25"/>
      <c r="Q86" s="26"/>
    </row>
    <row r="87" spans="1:17">
      <c r="B87" s="5" t="s">
        <v>43</v>
      </c>
      <c r="C87" s="5">
        <v>210</v>
      </c>
      <c r="D87" s="5">
        <v>30</v>
      </c>
      <c r="E87" s="4">
        <v>52.4</v>
      </c>
      <c r="F87" s="137"/>
      <c r="H87" s="4">
        <f t="shared" si="54"/>
        <v>0.91700000000000004</v>
      </c>
      <c r="I87" s="4"/>
      <c r="J87" s="4">
        <f t="shared" si="55"/>
        <v>1.1004</v>
      </c>
      <c r="K87" s="4">
        <f t="shared" si="56"/>
        <v>0.18340000000000001</v>
      </c>
      <c r="L87" s="4">
        <f t="shared" si="57"/>
        <v>52.583399999999997</v>
      </c>
      <c r="M87" s="148">
        <f t="shared" si="58"/>
        <v>0</v>
      </c>
      <c r="N87" s="149">
        <f t="shared" si="59"/>
        <v>0</v>
      </c>
      <c r="P87" s="25"/>
      <c r="Q87" s="26"/>
    </row>
    <row r="88" spans="1:17">
      <c r="E88" s="4"/>
      <c r="F88" s="137"/>
      <c r="H88" s="4"/>
      <c r="I88" s="4"/>
      <c r="J88" s="4"/>
      <c r="K88" s="4"/>
      <c r="L88" s="4"/>
      <c r="M88" s="148"/>
      <c r="N88" s="149"/>
      <c r="P88" s="25"/>
      <c r="Q88" s="26"/>
    </row>
    <row r="89" spans="1:17">
      <c r="A89" s="93" t="s">
        <v>467</v>
      </c>
      <c r="B89" s="94"/>
      <c r="C89" s="94"/>
      <c r="D89" s="94"/>
      <c r="E89" s="95"/>
      <c r="F89" s="138"/>
      <c r="G89" s="96"/>
      <c r="H89" s="97"/>
      <c r="I89" s="96"/>
      <c r="J89" s="98"/>
      <c r="K89" s="96"/>
      <c r="L89" s="95"/>
      <c r="M89" s="150"/>
      <c r="N89" s="151"/>
      <c r="P89" s="25"/>
      <c r="Q89" s="26"/>
    </row>
    <row r="90" spans="1:17">
      <c r="B90" s="5" t="s">
        <v>100</v>
      </c>
      <c r="C90" s="5">
        <v>240</v>
      </c>
      <c r="D90" s="22">
        <v>32</v>
      </c>
      <c r="E90" s="4">
        <v>4.46</v>
      </c>
      <c r="F90" s="141"/>
      <c r="H90" s="4">
        <f t="shared" ref="H90:H97" si="60">+$H$7*E90</f>
        <v>7.8050000000000008E-2</v>
      </c>
      <c r="I90" s="4"/>
      <c r="J90" s="4">
        <f t="shared" ref="J90:J97" si="61">+$J$7*E90</f>
        <v>9.3660000000000007E-2</v>
      </c>
      <c r="K90" s="4">
        <f t="shared" ref="K90:K97" si="62">+J90-H90</f>
        <v>1.5609999999999999E-2</v>
      </c>
      <c r="L90" s="4">
        <f t="shared" ref="L90:L97" si="63">+E90+K90</f>
        <v>4.4756099999999996</v>
      </c>
      <c r="M90" s="148">
        <f t="shared" ref="M90:M97" si="64">+E90*F90</f>
        <v>0</v>
      </c>
      <c r="N90" s="149">
        <f t="shared" ref="N90:N97" si="65">+L90*F90</f>
        <v>0</v>
      </c>
      <c r="P90" s="25"/>
      <c r="Q90" s="26"/>
    </row>
    <row r="91" spans="1:17">
      <c r="B91" s="5" t="s">
        <v>445</v>
      </c>
      <c r="C91" s="5">
        <v>240</v>
      </c>
      <c r="D91" s="22">
        <v>32</v>
      </c>
      <c r="E91" s="4">
        <v>12.27</v>
      </c>
      <c r="F91" s="141"/>
      <c r="H91" s="4">
        <f t="shared" si="60"/>
        <v>0.214725</v>
      </c>
      <c r="I91" s="4"/>
      <c r="J91" s="4">
        <f t="shared" si="61"/>
        <v>0.25767000000000001</v>
      </c>
      <c r="K91" s="4">
        <f t="shared" si="62"/>
        <v>4.2945000000000011E-2</v>
      </c>
      <c r="L91" s="4">
        <f t="shared" si="63"/>
        <v>12.312944999999999</v>
      </c>
      <c r="M91" s="148">
        <f t="shared" si="64"/>
        <v>0</v>
      </c>
      <c r="N91" s="149">
        <f t="shared" si="65"/>
        <v>0</v>
      </c>
      <c r="P91" s="25"/>
      <c r="Q91" s="26"/>
    </row>
    <row r="92" spans="1:17">
      <c r="D92" s="22"/>
      <c r="E92" s="4"/>
      <c r="F92" s="141"/>
      <c r="H92" s="4"/>
      <c r="I92" s="4"/>
      <c r="J92" s="4"/>
      <c r="K92" s="4"/>
      <c r="L92" s="4"/>
      <c r="M92" s="148"/>
      <c r="N92" s="149"/>
      <c r="P92" s="25"/>
      <c r="Q92" s="26"/>
    </row>
    <row r="93" spans="1:17">
      <c r="B93" s="5" t="s">
        <v>101</v>
      </c>
      <c r="C93" s="5">
        <v>240</v>
      </c>
      <c r="D93" s="22">
        <v>32</v>
      </c>
      <c r="E93" s="4">
        <v>6.43</v>
      </c>
      <c r="F93" s="141">
        <f>+'PriceOut-Benton-TG-230189'!$J$316</f>
        <v>2186.0648036931957</v>
      </c>
      <c r="H93" s="4">
        <f t="shared" si="60"/>
        <v>0.112525</v>
      </c>
      <c r="I93" s="4"/>
      <c r="J93" s="4">
        <f t="shared" si="61"/>
        <v>0.13503000000000001</v>
      </c>
      <c r="K93" s="4">
        <f t="shared" si="62"/>
        <v>2.2505000000000011E-2</v>
      </c>
      <c r="L93" s="4">
        <f t="shared" si="63"/>
        <v>6.4525049999999995</v>
      </c>
      <c r="M93" s="148">
        <f t="shared" si="64"/>
        <v>14056.396687747249</v>
      </c>
      <c r="N93" s="149">
        <f t="shared" si="65"/>
        <v>14105.594076154362</v>
      </c>
      <c r="P93" s="25"/>
      <c r="Q93" s="26"/>
    </row>
    <row r="94" spans="1:17">
      <c r="B94" s="5" t="s">
        <v>446</v>
      </c>
      <c r="C94" s="5">
        <v>240</v>
      </c>
      <c r="D94" s="22">
        <v>32</v>
      </c>
      <c r="E94" s="4">
        <v>14.24</v>
      </c>
      <c r="F94" s="141"/>
      <c r="H94" s="4">
        <f t="shared" si="60"/>
        <v>0.24920000000000003</v>
      </c>
      <c r="I94" s="4"/>
      <c r="J94" s="4">
        <f t="shared" si="61"/>
        <v>0.29904000000000003</v>
      </c>
      <c r="K94" s="4">
        <f t="shared" si="62"/>
        <v>4.9839999999999995E-2</v>
      </c>
      <c r="L94" s="4">
        <f t="shared" si="63"/>
        <v>14.28984</v>
      </c>
      <c r="M94" s="148">
        <f t="shared" si="64"/>
        <v>0</v>
      </c>
      <c r="N94" s="149">
        <f t="shared" si="65"/>
        <v>0</v>
      </c>
      <c r="P94" s="25"/>
      <c r="Q94" s="26"/>
    </row>
    <row r="95" spans="1:17">
      <c r="D95" s="22"/>
      <c r="E95" s="4"/>
      <c r="F95" s="141"/>
      <c r="H95" s="4"/>
      <c r="I95" s="4"/>
      <c r="J95" s="4"/>
      <c r="K95" s="4"/>
      <c r="L95" s="4"/>
      <c r="M95" s="148"/>
      <c r="N95" s="149"/>
      <c r="P95" s="25"/>
      <c r="Q95" s="26"/>
    </row>
    <row r="96" spans="1:17">
      <c r="B96" s="5" t="s">
        <v>102</v>
      </c>
      <c r="C96" s="5">
        <v>240</v>
      </c>
      <c r="D96" s="22">
        <v>32</v>
      </c>
      <c r="E96" s="4">
        <v>17.3</v>
      </c>
      <c r="F96" s="141">
        <f>+'PriceOut-Benton-TG-230189'!$J$292+'PriceOut-Benton-TG-230189'!$J$293+'PriceOut-Benton-TG-230189'!$J$294</f>
        <v>1913.5580235174957</v>
      </c>
      <c r="H96" s="4">
        <f t="shared" si="60"/>
        <v>0.30275000000000002</v>
      </c>
      <c r="I96" s="4"/>
      <c r="J96" s="4">
        <f t="shared" si="61"/>
        <v>0.36330000000000001</v>
      </c>
      <c r="K96" s="4">
        <f t="shared" si="62"/>
        <v>6.0549999999999993E-2</v>
      </c>
      <c r="L96" s="4">
        <f t="shared" si="63"/>
        <v>17.36055</v>
      </c>
      <c r="M96" s="148">
        <f t="shared" si="64"/>
        <v>33104.55380685268</v>
      </c>
      <c r="N96" s="149">
        <f t="shared" si="65"/>
        <v>33220.419745176659</v>
      </c>
      <c r="P96" s="25"/>
      <c r="Q96" s="26"/>
    </row>
    <row r="97" spans="1:17">
      <c r="B97" s="5" t="s">
        <v>447</v>
      </c>
      <c r="C97" s="5">
        <v>240</v>
      </c>
      <c r="D97" s="22">
        <v>32</v>
      </c>
      <c r="E97" s="4">
        <v>27.7</v>
      </c>
      <c r="F97" s="141"/>
      <c r="H97" s="4">
        <f t="shared" si="60"/>
        <v>0.48475000000000001</v>
      </c>
      <c r="I97" s="4"/>
      <c r="J97" s="4">
        <f t="shared" si="61"/>
        <v>0.58169999999999999</v>
      </c>
      <c r="K97" s="4">
        <f t="shared" si="62"/>
        <v>9.6949999999999981E-2</v>
      </c>
      <c r="L97" s="4">
        <f t="shared" si="63"/>
        <v>27.796949999999999</v>
      </c>
      <c r="M97" s="148">
        <f t="shared" si="64"/>
        <v>0</v>
      </c>
      <c r="N97" s="149">
        <f t="shared" si="65"/>
        <v>0</v>
      </c>
      <c r="P97" s="25"/>
      <c r="Q97" s="26"/>
    </row>
    <row r="98" spans="1:17">
      <c r="D98" s="22"/>
      <c r="E98" s="4"/>
      <c r="F98" s="141"/>
      <c r="H98" s="4"/>
      <c r="I98" s="4"/>
      <c r="J98" s="4"/>
      <c r="K98" s="4"/>
      <c r="L98" s="4"/>
      <c r="M98" s="148"/>
      <c r="N98" s="149"/>
      <c r="P98" s="25"/>
      <c r="Q98" s="26"/>
    </row>
    <row r="99" spans="1:17">
      <c r="B99" s="5" t="s">
        <v>103</v>
      </c>
      <c r="C99" s="5">
        <v>240</v>
      </c>
      <c r="D99" s="22">
        <v>32</v>
      </c>
      <c r="E99" s="4">
        <v>3.26</v>
      </c>
      <c r="F99" s="141"/>
      <c r="H99" s="4">
        <f t="shared" ref="H99:H101" si="66">+$H$7*E99</f>
        <v>5.7050000000000003E-2</v>
      </c>
      <c r="I99" s="4"/>
      <c r="J99" s="4">
        <f t="shared" ref="J99:J101" si="67">+$J$7*E99</f>
        <v>6.8459999999999993E-2</v>
      </c>
      <c r="K99" s="4">
        <f t="shared" ref="K99:K101" si="68">+J99-H99</f>
        <v>1.140999999999999E-2</v>
      </c>
      <c r="L99" s="4">
        <f t="shared" ref="L99:L101" si="69">+E99+K99</f>
        <v>3.2714099999999999</v>
      </c>
      <c r="M99" s="148">
        <f t="shared" ref="M99:M101" si="70">+E99*F99</f>
        <v>0</v>
      </c>
      <c r="N99" s="149">
        <f t="shared" ref="N99:N101" si="71">+L99*F99</f>
        <v>0</v>
      </c>
      <c r="P99" s="25"/>
      <c r="Q99" s="26"/>
    </row>
    <row r="100" spans="1:17">
      <c r="B100" s="5" t="s">
        <v>104</v>
      </c>
      <c r="C100" s="5">
        <v>240</v>
      </c>
      <c r="D100" s="22">
        <v>32</v>
      </c>
      <c r="E100" s="4">
        <v>6.43</v>
      </c>
      <c r="F100" s="141"/>
      <c r="H100" s="4">
        <f t="shared" si="66"/>
        <v>0.112525</v>
      </c>
      <c r="I100" s="4"/>
      <c r="J100" s="4">
        <f t="shared" si="67"/>
        <v>0.13503000000000001</v>
      </c>
      <c r="K100" s="4">
        <f t="shared" si="68"/>
        <v>2.2505000000000011E-2</v>
      </c>
      <c r="L100" s="4">
        <f t="shared" si="69"/>
        <v>6.4525049999999995</v>
      </c>
      <c r="M100" s="148">
        <f t="shared" si="70"/>
        <v>0</v>
      </c>
      <c r="N100" s="149">
        <f t="shared" si="71"/>
        <v>0</v>
      </c>
      <c r="P100" s="25"/>
      <c r="Q100" s="26"/>
    </row>
    <row r="101" spans="1:17">
      <c r="B101" s="5" t="s">
        <v>105</v>
      </c>
      <c r="C101" s="5">
        <v>240</v>
      </c>
      <c r="D101" s="22">
        <v>32</v>
      </c>
      <c r="E101" s="4">
        <v>0.64</v>
      </c>
      <c r="F101" s="141"/>
      <c r="H101" s="4">
        <f t="shared" si="66"/>
        <v>1.1200000000000002E-2</v>
      </c>
      <c r="I101" s="4"/>
      <c r="J101" s="4">
        <f t="shared" si="67"/>
        <v>1.3440000000000001E-2</v>
      </c>
      <c r="K101" s="4">
        <f t="shared" si="68"/>
        <v>2.2399999999999989E-3</v>
      </c>
      <c r="L101" s="4">
        <f t="shared" si="69"/>
        <v>0.64224000000000003</v>
      </c>
      <c r="M101" s="148">
        <f t="shared" si="70"/>
        <v>0</v>
      </c>
      <c r="N101" s="149">
        <f t="shared" si="71"/>
        <v>0</v>
      </c>
      <c r="P101" s="25"/>
      <c r="Q101" s="26"/>
    </row>
    <row r="102" spans="1:17">
      <c r="D102" s="22"/>
      <c r="E102" s="4"/>
      <c r="F102" s="141"/>
      <c r="H102" s="4"/>
      <c r="I102" s="4"/>
      <c r="J102" s="4"/>
      <c r="K102" s="4"/>
      <c r="L102" s="4"/>
      <c r="M102" s="148"/>
      <c r="N102" s="149"/>
      <c r="P102" s="25"/>
      <c r="Q102" s="26"/>
    </row>
    <row r="103" spans="1:17">
      <c r="B103" s="5" t="s">
        <v>44</v>
      </c>
      <c r="C103" s="5">
        <v>240</v>
      </c>
      <c r="D103" s="5">
        <v>32</v>
      </c>
      <c r="E103" s="4">
        <v>3.96</v>
      </c>
      <c r="F103" s="141"/>
      <c r="H103" s="4">
        <f>+$H$7*E103</f>
        <v>6.93E-2</v>
      </c>
      <c r="I103" s="4"/>
      <c r="J103" s="4">
        <f>+$J$7*E103</f>
        <v>8.3159999999999998E-2</v>
      </c>
      <c r="K103" s="4">
        <f>+J103-H103</f>
        <v>1.3859999999999997E-2</v>
      </c>
      <c r="L103" s="4">
        <f>+E103+K103</f>
        <v>3.9738600000000002</v>
      </c>
      <c r="M103" s="148">
        <f>+E103*F103</f>
        <v>0</v>
      </c>
      <c r="N103" s="149">
        <f>+L103*F103</f>
        <v>0</v>
      </c>
      <c r="P103" s="25"/>
      <c r="Q103" s="26"/>
    </row>
    <row r="104" spans="1:17">
      <c r="B104" s="5" t="s">
        <v>106</v>
      </c>
      <c r="C104" s="5">
        <v>240</v>
      </c>
      <c r="D104" s="5">
        <v>32</v>
      </c>
      <c r="E104" s="4">
        <v>3.42</v>
      </c>
      <c r="F104" s="137"/>
      <c r="H104" s="4">
        <f>+$H$7*E104</f>
        <v>5.9850000000000007E-2</v>
      </c>
      <c r="I104" s="4"/>
      <c r="J104" s="4">
        <f>+$J$7*E104</f>
        <v>7.1820000000000009E-2</v>
      </c>
      <c r="K104" s="4">
        <f>+J104-H104</f>
        <v>1.1970000000000001E-2</v>
      </c>
      <c r="L104" s="4">
        <f>+E104+K104</f>
        <v>3.4319699999999997</v>
      </c>
      <c r="M104" s="148">
        <f>+E104*F104</f>
        <v>0</v>
      </c>
      <c r="N104" s="149">
        <f>+L104*F104</f>
        <v>0</v>
      </c>
      <c r="P104" s="25"/>
      <c r="Q104" s="26"/>
    </row>
    <row r="105" spans="1:17">
      <c r="E105" s="4"/>
      <c r="F105" s="137"/>
      <c r="H105" s="4"/>
      <c r="I105" s="4"/>
      <c r="J105" s="4"/>
      <c r="K105" s="4"/>
      <c r="L105" s="4"/>
      <c r="M105" s="148"/>
      <c r="N105" s="149"/>
      <c r="P105" s="25"/>
      <c r="Q105" s="26"/>
    </row>
    <row r="106" spans="1:17">
      <c r="A106" s="93" t="s">
        <v>469</v>
      </c>
      <c r="B106" s="94"/>
      <c r="C106" s="94"/>
      <c r="D106" s="94"/>
      <c r="E106" s="95"/>
      <c r="F106" s="138"/>
      <c r="G106" s="96"/>
      <c r="H106" s="97"/>
      <c r="I106" s="96"/>
      <c r="J106" s="98"/>
      <c r="K106" s="96"/>
      <c r="L106" s="95"/>
      <c r="M106" s="150"/>
      <c r="N106" s="151"/>
      <c r="P106" s="25"/>
      <c r="Q106" s="26"/>
    </row>
    <row r="107" spans="1:17">
      <c r="B107" s="5" t="s">
        <v>470</v>
      </c>
      <c r="C107" s="5">
        <v>240</v>
      </c>
      <c r="D107" s="22" t="s">
        <v>468</v>
      </c>
      <c r="E107" s="4">
        <v>13.34</v>
      </c>
      <c r="F107" s="141">
        <f>+'PriceOut-Benton-TG-230189'!$J$271</f>
        <v>119.07528408345362</v>
      </c>
      <c r="H107" s="4">
        <f t="shared" ref="H107:H109" si="72">+$H$7*E107</f>
        <v>0.23345000000000002</v>
      </c>
      <c r="I107" s="4"/>
      <c r="J107" s="4">
        <f t="shared" ref="J107:J109" si="73">+$J$7*E107</f>
        <v>0.28014</v>
      </c>
      <c r="K107" s="4">
        <f t="shared" ref="K107:K109" si="74">+J107-H107</f>
        <v>4.6689999999999982E-2</v>
      </c>
      <c r="L107" s="4">
        <f t="shared" ref="L107:L109" si="75">+E107+K107</f>
        <v>13.38669</v>
      </c>
      <c r="M107" s="148">
        <f t="shared" ref="M107:M109" si="76">+E107*F107</f>
        <v>1588.4642896732714</v>
      </c>
      <c r="N107" s="149">
        <f t="shared" ref="N107:N109" si="77">+L107*F107</f>
        <v>1594.0239146871277</v>
      </c>
      <c r="P107" s="25"/>
      <c r="Q107" s="26"/>
    </row>
    <row r="108" spans="1:17">
      <c r="B108" s="5" t="s">
        <v>471</v>
      </c>
      <c r="C108" s="5">
        <v>240</v>
      </c>
      <c r="D108" s="22" t="s">
        <v>468</v>
      </c>
      <c r="E108" s="4">
        <f>E107</f>
        <v>13.34</v>
      </c>
      <c r="F108" s="141"/>
      <c r="H108" s="4">
        <f t="shared" ref="H108" si="78">+$H$7*E108</f>
        <v>0.23345000000000002</v>
      </c>
      <c r="I108" s="4"/>
      <c r="J108" s="4">
        <f t="shared" ref="J108" si="79">+$J$7*E108</f>
        <v>0.28014</v>
      </c>
      <c r="K108" s="4">
        <f t="shared" ref="K108" si="80">+J108-H108</f>
        <v>4.6689999999999982E-2</v>
      </c>
      <c r="L108" s="4">
        <f t="shared" ref="L108" si="81">+E108+K108</f>
        <v>13.38669</v>
      </c>
      <c r="M108" s="148">
        <f t="shared" ref="M108" si="82">+E108*F108</f>
        <v>0</v>
      </c>
      <c r="N108" s="149">
        <f t="shared" ref="N108" si="83">+L108*F108</f>
        <v>0</v>
      </c>
      <c r="P108" s="25"/>
      <c r="Q108" s="26"/>
    </row>
    <row r="109" spans="1:17">
      <c r="B109" s="5" t="s">
        <v>133</v>
      </c>
      <c r="C109" s="5">
        <v>240</v>
      </c>
      <c r="D109" s="22" t="s">
        <v>468</v>
      </c>
      <c r="E109" s="4">
        <v>23.6</v>
      </c>
      <c r="F109" s="141"/>
      <c r="H109" s="4">
        <f t="shared" si="72"/>
        <v>0.41300000000000009</v>
      </c>
      <c r="I109" s="4"/>
      <c r="J109" s="4">
        <f t="shared" si="73"/>
        <v>0.49560000000000004</v>
      </c>
      <c r="K109" s="4">
        <f t="shared" si="74"/>
        <v>8.2599999999999951E-2</v>
      </c>
      <c r="L109" s="4">
        <f t="shared" si="75"/>
        <v>23.682600000000001</v>
      </c>
      <c r="M109" s="148">
        <f t="shared" si="76"/>
        <v>0</v>
      </c>
      <c r="N109" s="149">
        <f t="shared" si="77"/>
        <v>0</v>
      </c>
      <c r="P109" s="25"/>
      <c r="Q109" s="26"/>
    </row>
    <row r="110" spans="1:17">
      <c r="D110" s="22"/>
      <c r="E110" s="4"/>
      <c r="F110" s="141"/>
      <c r="H110" s="4"/>
      <c r="I110" s="4"/>
      <c r="J110" s="4"/>
      <c r="K110" s="4"/>
      <c r="L110" s="4"/>
      <c r="M110" s="148"/>
      <c r="N110" s="149"/>
      <c r="P110" s="25"/>
      <c r="Q110" s="26"/>
    </row>
    <row r="111" spans="1:17">
      <c r="B111" s="5" t="s">
        <v>107</v>
      </c>
      <c r="C111" s="5">
        <v>240</v>
      </c>
      <c r="D111" s="22" t="s">
        <v>468</v>
      </c>
      <c r="E111" s="4">
        <v>17.350000000000001</v>
      </c>
      <c r="F111" s="141">
        <f>+'PriceOut-Benton-TG-230189'!$J$276+'PriceOut-Benton-TG-230189'!$J$277</f>
        <v>3255.1718548422323</v>
      </c>
      <c r="H111" s="4">
        <f t="shared" ref="H111:H112" si="84">+$H$7*E111</f>
        <v>0.30362500000000003</v>
      </c>
      <c r="I111" s="4"/>
      <c r="J111" s="4">
        <f t="shared" ref="J111:J112" si="85">+$J$7*E111</f>
        <v>0.36435000000000006</v>
      </c>
      <c r="K111" s="4">
        <f t="shared" ref="K111:K112" si="86">+J111-H111</f>
        <v>6.0725000000000029E-2</v>
      </c>
      <c r="L111" s="4">
        <f t="shared" ref="L111:L112" si="87">+E111+K111</f>
        <v>17.410725000000003</v>
      </c>
      <c r="M111" s="148">
        <f t="shared" ref="M111:M112" si="88">+E111*F111</f>
        <v>56477.231681512734</v>
      </c>
      <c r="N111" s="149">
        <f t="shared" ref="N111:N112" si="89">+L111*F111</f>
        <v>56674.90199239803</v>
      </c>
      <c r="P111" s="25"/>
      <c r="Q111" s="26"/>
    </row>
    <row r="112" spans="1:17">
      <c r="B112" s="5" t="s">
        <v>132</v>
      </c>
      <c r="C112" s="5">
        <v>240</v>
      </c>
      <c r="D112" s="22" t="s">
        <v>468</v>
      </c>
      <c r="E112" s="4">
        <v>27.75</v>
      </c>
      <c r="F112" s="141">
        <f>+'PriceOut-Benton-TG-230189'!$J$278</f>
        <v>3</v>
      </c>
      <c r="H112" s="4">
        <f t="shared" si="84"/>
        <v>0.48562500000000003</v>
      </c>
      <c r="I112" s="4"/>
      <c r="J112" s="4">
        <f t="shared" si="85"/>
        <v>0.58274999999999999</v>
      </c>
      <c r="K112" s="4">
        <f t="shared" si="86"/>
        <v>9.7124999999999961E-2</v>
      </c>
      <c r="L112" s="4">
        <f t="shared" si="87"/>
        <v>27.847124999999998</v>
      </c>
      <c r="M112" s="148">
        <f t="shared" si="88"/>
        <v>83.25</v>
      </c>
      <c r="N112" s="149">
        <f t="shared" si="89"/>
        <v>83.541374999999988</v>
      </c>
      <c r="P112" s="25"/>
      <c r="Q112" s="26"/>
    </row>
    <row r="113" spans="2:17">
      <c r="D113" s="22"/>
      <c r="E113" s="4"/>
      <c r="F113" s="141"/>
      <c r="H113" s="4"/>
      <c r="I113" s="4"/>
      <c r="J113" s="4"/>
      <c r="K113" s="4"/>
      <c r="L113" s="4"/>
      <c r="M113" s="148"/>
      <c r="N113" s="149"/>
      <c r="P113" s="25"/>
      <c r="Q113" s="26"/>
    </row>
    <row r="114" spans="2:17">
      <c r="B114" s="5" t="s">
        <v>108</v>
      </c>
      <c r="C114" s="5">
        <v>240</v>
      </c>
      <c r="D114" s="22" t="s">
        <v>468</v>
      </c>
      <c r="E114" s="4">
        <v>19.829999999999998</v>
      </c>
      <c r="F114" s="141">
        <f>+'PriceOut-Benton-TG-230189'!$J$281+'PriceOut-Benton-TG-230189'!$J$282+'PriceOut-Benton-TG-230189'!$J$283</f>
        <v>1321.2768252471194</v>
      </c>
      <c r="H114" s="4">
        <f t="shared" ref="H114:H115" si="90">+$H$7*E114</f>
        <v>0.34702500000000003</v>
      </c>
      <c r="I114" s="4"/>
      <c r="J114" s="4">
        <f t="shared" ref="J114:J115" si="91">+$J$7*E114</f>
        <v>0.41642999999999997</v>
      </c>
      <c r="K114" s="4">
        <f t="shared" ref="K114:K115" si="92">+J114-H114</f>
        <v>6.9404999999999939E-2</v>
      </c>
      <c r="L114" s="4">
        <f t="shared" ref="L114:L115" si="93">+E114+K114</f>
        <v>19.899404999999998</v>
      </c>
      <c r="M114" s="148">
        <f t="shared" ref="M114:M115" si="94">+E114*F114</f>
        <v>26200.919444650375</v>
      </c>
      <c r="N114" s="149">
        <f t="shared" ref="N114:N115" si="95">+L114*F114</f>
        <v>26292.62266270665</v>
      </c>
      <c r="P114" s="25"/>
      <c r="Q114" s="26"/>
    </row>
    <row r="115" spans="2:17">
      <c r="B115" s="5" t="s">
        <v>131</v>
      </c>
      <c r="C115" s="5">
        <v>240</v>
      </c>
      <c r="D115" s="22" t="s">
        <v>468</v>
      </c>
      <c r="E115" s="4">
        <v>30.23</v>
      </c>
      <c r="F115" s="141">
        <f>+'PriceOut-Benton-TG-230189'!$J$284</f>
        <v>1</v>
      </c>
      <c r="H115" s="4">
        <f t="shared" si="90"/>
        <v>0.52902500000000008</v>
      </c>
      <c r="I115" s="4"/>
      <c r="J115" s="4">
        <f t="shared" si="91"/>
        <v>0.63483000000000001</v>
      </c>
      <c r="K115" s="4">
        <f t="shared" si="92"/>
        <v>0.10580499999999993</v>
      </c>
      <c r="L115" s="4">
        <f t="shared" si="93"/>
        <v>30.335805000000001</v>
      </c>
      <c r="M115" s="148">
        <f t="shared" si="94"/>
        <v>30.23</v>
      </c>
      <c r="N115" s="149">
        <f t="shared" si="95"/>
        <v>30.335805000000001</v>
      </c>
      <c r="P115" s="25"/>
      <c r="Q115" s="26"/>
    </row>
    <row r="116" spans="2:17">
      <c r="D116" s="22"/>
      <c r="E116" s="4"/>
      <c r="F116" s="141"/>
      <c r="H116" s="4"/>
      <c r="I116" s="4"/>
      <c r="J116" s="4"/>
      <c r="K116" s="4"/>
      <c r="L116" s="4"/>
      <c r="M116" s="148"/>
      <c r="N116" s="149"/>
      <c r="P116" s="25"/>
      <c r="Q116" s="26"/>
    </row>
    <row r="117" spans="2:17">
      <c r="B117" s="5" t="s">
        <v>109</v>
      </c>
      <c r="C117" s="5">
        <v>240</v>
      </c>
      <c r="D117" s="22" t="s">
        <v>468</v>
      </c>
      <c r="E117" s="4">
        <v>25.56</v>
      </c>
      <c r="F117" s="141">
        <f>+'PriceOut-Benton-TG-230189'!$J$287+'PriceOut-Benton-TG-230189'!$J$288</f>
        <v>2748.2236902992258</v>
      </c>
      <c r="H117" s="4">
        <f t="shared" ref="H117:H118" si="96">+$H$7*E117</f>
        <v>0.44730000000000003</v>
      </c>
      <c r="I117" s="4"/>
      <c r="J117" s="4">
        <f t="shared" ref="J117:J118" si="97">+$J$7*E117</f>
        <v>0.53676000000000001</v>
      </c>
      <c r="K117" s="4">
        <f t="shared" ref="K117:K118" si="98">+J117-H117</f>
        <v>8.9459999999999984E-2</v>
      </c>
      <c r="L117" s="4">
        <f t="shared" ref="L117:L118" si="99">+E117+K117</f>
        <v>25.649459999999998</v>
      </c>
      <c r="M117" s="148">
        <f t="shared" ref="M117:M118" si="100">+E117*F117</f>
        <v>70244.597524048208</v>
      </c>
      <c r="N117" s="149">
        <f t="shared" ref="N117:N118" si="101">+L117*F117</f>
        <v>70490.453615382372</v>
      </c>
      <c r="P117" s="25"/>
      <c r="Q117" s="26"/>
    </row>
    <row r="118" spans="2:17">
      <c r="B118" s="5" t="s">
        <v>130</v>
      </c>
      <c r="C118" s="5">
        <v>240</v>
      </c>
      <c r="D118" s="22" t="s">
        <v>468</v>
      </c>
      <c r="E118" s="4">
        <v>35.96</v>
      </c>
      <c r="F118" s="141">
        <f>+'PriceOut-Benton-TG-230189'!$J$289</f>
        <v>5</v>
      </c>
      <c r="H118" s="4">
        <f t="shared" si="96"/>
        <v>0.62930000000000008</v>
      </c>
      <c r="I118" s="4"/>
      <c r="J118" s="4">
        <f t="shared" si="97"/>
        <v>0.75516000000000005</v>
      </c>
      <c r="K118" s="4">
        <f t="shared" si="98"/>
        <v>0.12585999999999997</v>
      </c>
      <c r="L118" s="4">
        <f t="shared" si="99"/>
        <v>36.085860000000004</v>
      </c>
      <c r="M118" s="148">
        <f t="shared" si="100"/>
        <v>179.8</v>
      </c>
      <c r="N118" s="149">
        <f t="shared" si="101"/>
        <v>180.42930000000001</v>
      </c>
      <c r="P118" s="25"/>
      <c r="Q118" s="26"/>
    </row>
    <row r="119" spans="2:17">
      <c r="D119" s="22"/>
      <c r="E119" s="4"/>
      <c r="F119" s="141"/>
      <c r="H119" s="4"/>
      <c r="I119" s="4"/>
      <c r="J119" s="4"/>
      <c r="K119" s="4"/>
      <c r="L119" s="4"/>
      <c r="M119" s="148"/>
      <c r="N119" s="149"/>
      <c r="P119" s="25"/>
      <c r="Q119" s="26"/>
    </row>
    <row r="120" spans="2:17">
      <c r="B120" s="5" t="s">
        <v>110</v>
      </c>
      <c r="C120" s="5">
        <v>240</v>
      </c>
      <c r="D120" s="22" t="s">
        <v>468</v>
      </c>
      <c r="E120" s="4">
        <v>28.09</v>
      </c>
      <c r="F120" s="141">
        <f>+'PriceOut-Benton-TG-230189'!$J$296+'PriceOut-Benton-TG-230189'!$J$297</f>
        <v>1624.7582819217259</v>
      </c>
      <c r="H120" s="4">
        <f t="shared" ref="H120:H121" si="102">+$H$7*E120</f>
        <v>0.49157500000000004</v>
      </c>
      <c r="I120" s="4"/>
      <c r="J120" s="4">
        <f t="shared" ref="J120:J121" si="103">+$J$7*E120</f>
        <v>0.58989000000000003</v>
      </c>
      <c r="K120" s="4">
        <f t="shared" ref="K120:K121" si="104">+J120-H120</f>
        <v>9.8314999999999986E-2</v>
      </c>
      <c r="L120" s="4">
        <f t="shared" ref="L120:L121" si="105">+E120+K120</f>
        <v>28.188314999999999</v>
      </c>
      <c r="M120" s="148">
        <f t="shared" ref="M120:M121" si="106">+E120*F120</f>
        <v>45639.460139181283</v>
      </c>
      <c r="N120" s="149">
        <f t="shared" ref="N120:N121" si="107">+L120*F120</f>
        <v>45799.198249668414</v>
      </c>
      <c r="P120" s="25"/>
      <c r="Q120" s="26"/>
    </row>
    <row r="121" spans="2:17">
      <c r="B121" s="5" t="s">
        <v>129</v>
      </c>
      <c r="C121" s="5">
        <v>240</v>
      </c>
      <c r="D121" s="22" t="s">
        <v>468</v>
      </c>
      <c r="E121" s="4">
        <v>38.49</v>
      </c>
      <c r="F121" s="141">
        <f>+'PriceOut-Benton-TG-230189'!$J$298</f>
        <v>3</v>
      </c>
      <c r="H121" s="4">
        <f t="shared" si="102"/>
        <v>0.67357500000000015</v>
      </c>
      <c r="I121" s="4"/>
      <c r="J121" s="4">
        <f t="shared" si="103"/>
        <v>0.80829000000000006</v>
      </c>
      <c r="K121" s="4">
        <f t="shared" si="104"/>
        <v>0.13471499999999992</v>
      </c>
      <c r="L121" s="4">
        <f t="shared" si="105"/>
        <v>38.624715000000002</v>
      </c>
      <c r="M121" s="148">
        <f t="shared" si="106"/>
        <v>115.47</v>
      </c>
      <c r="N121" s="149">
        <f t="shared" si="107"/>
        <v>115.874145</v>
      </c>
      <c r="P121" s="25"/>
      <c r="Q121" s="26"/>
    </row>
    <row r="122" spans="2:17">
      <c r="D122" s="22"/>
      <c r="E122" s="4"/>
      <c r="F122" s="141"/>
      <c r="H122" s="4"/>
      <c r="I122" s="4"/>
      <c r="J122" s="4"/>
      <c r="K122" s="4"/>
      <c r="L122" s="4"/>
      <c r="M122" s="148"/>
      <c r="N122" s="149"/>
      <c r="P122" s="25"/>
      <c r="Q122" s="26"/>
    </row>
    <row r="123" spans="2:17">
      <c r="B123" s="5" t="s">
        <v>111</v>
      </c>
      <c r="C123" s="5">
        <v>240</v>
      </c>
      <c r="D123" s="22" t="s">
        <v>468</v>
      </c>
      <c r="E123" s="4">
        <v>35.08</v>
      </c>
      <c r="F123" s="141">
        <f>+'PriceOut-Benton-TG-230189'!$J$301+'PriceOut-Benton-TG-230189'!$J$302</f>
        <v>1161.9794042578767</v>
      </c>
      <c r="H123" s="4">
        <f t="shared" ref="H123:H124" si="108">+$H$7*E123</f>
        <v>0.6139</v>
      </c>
      <c r="I123" s="4"/>
      <c r="J123" s="4">
        <f t="shared" ref="J123:J124" si="109">+$J$7*E123</f>
        <v>0.73668</v>
      </c>
      <c r="K123" s="4">
        <f t="shared" ref="K123:K124" si="110">+J123-H123</f>
        <v>0.12278</v>
      </c>
      <c r="L123" s="4">
        <f t="shared" ref="L123:L124" si="111">+E123+K123</f>
        <v>35.202779999999997</v>
      </c>
      <c r="M123" s="148">
        <f t="shared" ref="M123:M124" si="112">+E123*F123</f>
        <v>40762.237501366311</v>
      </c>
      <c r="N123" s="149">
        <f t="shared" ref="N123:N124" si="113">+L123*F123</f>
        <v>40904.905332621092</v>
      </c>
      <c r="P123" s="25"/>
      <c r="Q123" s="26"/>
    </row>
    <row r="124" spans="2:17">
      <c r="B124" s="5" t="s">
        <v>128</v>
      </c>
      <c r="C124" s="5">
        <v>240</v>
      </c>
      <c r="D124" s="22" t="s">
        <v>468</v>
      </c>
      <c r="E124" s="4">
        <v>45.48</v>
      </c>
      <c r="F124" s="141">
        <f>+'PriceOut-Benton-TG-230189'!$J$303</f>
        <v>3</v>
      </c>
      <c r="H124" s="4">
        <f t="shared" si="108"/>
        <v>0.79590000000000005</v>
      </c>
      <c r="I124" s="4"/>
      <c r="J124" s="4">
        <f t="shared" si="109"/>
        <v>0.95508000000000004</v>
      </c>
      <c r="K124" s="4">
        <f t="shared" si="110"/>
        <v>0.15917999999999999</v>
      </c>
      <c r="L124" s="4">
        <f t="shared" si="111"/>
        <v>45.639179999999996</v>
      </c>
      <c r="M124" s="148">
        <f t="shared" si="112"/>
        <v>136.44</v>
      </c>
      <c r="N124" s="149">
        <f t="shared" si="113"/>
        <v>136.91753999999997</v>
      </c>
      <c r="P124" s="25"/>
      <c r="Q124" s="26"/>
    </row>
    <row r="125" spans="2:17">
      <c r="D125" s="22"/>
      <c r="E125" s="4"/>
      <c r="F125" s="141"/>
      <c r="H125" s="4"/>
      <c r="I125" s="4"/>
      <c r="J125" s="4"/>
      <c r="K125" s="4"/>
      <c r="L125" s="4"/>
      <c r="M125" s="148"/>
      <c r="N125" s="149"/>
      <c r="P125" s="25"/>
      <c r="Q125" s="26"/>
    </row>
    <row r="126" spans="2:17">
      <c r="B126" s="5" t="s">
        <v>112</v>
      </c>
      <c r="C126" s="5">
        <v>240</v>
      </c>
      <c r="D126" s="22" t="s">
        <v>468</v>
      </c>
      <c r="E126" s="4">
        <v>43.44</v>
      </c>
      <c r="F126" s="141">
        <f>+'PriceOut-Benton-TG-230189'!$J$309+'PriceOut-Benton-TG-230189'!$J$310</f>
        <v>725.87635387278328</v>
      </c>
      <c r="H126" s="4">
        <f t="shared" ref="H126:H127" si="114">+$H$7*E126</f>
        <v>0.76019999999999999</v>
      </c>
      <c r="I126" s="4"/>
      <c r="J126" s="4">
        <f t="shared" ref="J126:J127" si="115">+$J$7*E126</f>
        <v>0.91224000000000005</v>
      </c>
      <c r="K126" s="4">
        <f t="shared" ref="K126:K127" si="116">+J126-H126</f>
        <v>0.15204000000000006</v>
      </c>
      <c r="L126" s="4">
        <f t="shared" ref="L126:L127" si="117">+E126+K126</f>
        <v>43.592039999999997</v>
      </c>
      <c r="M126" s="148">
        <f t="shared" ref="M126:M127" si="118">+E126*F126</f>
        <v>31532.068812233705</v>
      </c>
      <c r="N126" s="149">
        <f t="shared" ref="N126:N127" si="119">+L126*F126</f>
        <v>31642.431053076521</v>
      </c>
      <c r="P126" s="25"/>
      <c r="Q126" s="26"/>
    </row>
    <row r="127" spans="2:17">
      <c r="B127" s="5" t="s">
        <v>127</v>
      </c>
      <c r="C127" s="5">
        <v>240</v>
      </c>
      <c r="D127" s="22" t="s">
        <v>468</v>
      </c>
      <c r="E127" s="4">
        <v>53.84</v>
      </c>
      <c r="F127" s="137">
        <f>+'PriceOut-Benton-TG-230189'!$J$312</f>
        <v>2</v>
      </c>
      <c r="H127" s="4">
        <f t="shared" si="114"/>
        <v>0.94220000000000015</v>
      </c>
      <c r="I127" s="4"/>
      <c r="J127" s="4">
        <f t="shared" si="115"/>
        <v>1.1306400000000001</v>
      </c>
      <c r="K127" s="4">
        <f t="shared" si="116"/>
        <v>0.18843999999999994</v>
      </c>
      <c r="L127" s="4">
        <f t="shared" si="117"/>
        <v>54.028440000000003</v>
      </c>
      <c r="M127" s="148">
        <f t="shared" si="118"/>
        <v>107.68</v>
      </c>
      <c r="N127" s="149">
        <f t="shared" si="119"/>
        <v>108.05688000000001</v>
      </c>
      <c r="P127" s="25"/>
      <c r="Q127" s="26"/>
    </row>
    <row r="128" spans="2:17">
      <c r="D128" s="22"/>
      <c r="E128" s="4"/>
      <c r="F128" s="137"/>
      <c r="H128" s="4"/>
      <c r="I128" s="4"/>
      <c r="J128" s="4"/>
      <c r="K128" s="4"/>
      <c r="L128" s="4"/>
      <c r="M128" s="148"/>
      <c r="N128" s="149"/>
      <c r="P128" s="25"/>
      <c r="Q128" s="26"/>
    </row>
    <row r="129" spans="2:17">
      <c r="B129" s="5" t="s">
        <v>134</v>
      </c>
      <c r="C129" s="5">
        <v>240</v>
      </c>
      <c r="D129" s="22" t="s">
        <v>468</v>
      </c>
      <c r="E129" s="4">
        <v>21.56</v>
      </c>
      <c r="F129" s="137">
        <f>+'PriceOut-Benton-TG-230189'!$H$319</f>
        <v>33</v>
      </c>
      <c r="H129" s="4">
        <f t="shared" ref="H129" si="120">+$H$7*E129</f>
        <v>0.37730000000000002</v>
      </c>
      <c r="I129" s="4"/>
      <c r="J129" s="4">
        <f t="shared" ref="J129" si="121">+$J$7*E129</f>
        <v>0.45276</v>
      </c>
      <c r="K129" s="4">
        <f t="shared" ref="K129" si="122">+J129-H129</f>
        <v>7.5459999999999972E-2</v>
      </c>
      <c r="L129" s="4">
        <f t="shared" ref="L129" si="123">+E129+K129</f>
        <v>21.635459999999998</v>
      </c>
      <c r="M129" s="148">
        <f t="shared" ref="M129" si="124">+E129*F129</f>
        <v>711.4799999999999</v>
      </c>
      <c r="N129" s="149">
        <f t="shared" ref="N129" si="125">+L129*F129</f>
        <v>713.97017999999991</v>
      </c>
      <c r="P129" s="25"/>
      <c r="Q129" s="26"/>
    </row>
    <row r="130" spans="2:17">
      <c r="D130" s="22"/>
      <c r="E130" s="4"/>
      <c r="F130" s="137"/>
      <c r="H130" s="4"/>
      <c r="I130" s="4"/>
      <c r="J130" s="4"/>
      <c r="K130" s="4"/>
      <c r="L130" s="4"/>
      <c r="M130" s="148"/>
      <c r="N130" s="149"/>
      <c r="P130" s="25"/>
      <c r="Q130" s="26"/>
    </row>
    <row r="131" spans="2:17">
      <c r="B131" s="5" t="s">
        <v>113</v>
      </c>
      <c r="C131" s="5">
        <v>240</v>
      </c>
      <c r="D131" s="22" t="s">
        <v>468</v>
      </c>
      <c r="E131" s="4">
        <v>23.6</v>
      </c>
      <c r="F131" s="137"/>
      <c r="H131" s="4">
        <f t="shared" ref="H131:H132" si="126">+$H$7*E131</f>
        <v>0.41300000000000009</v>
      </c>
      <c r="I131" s="4"/>
      <c r="J131" s="4">
        <f t="shared" ref="J131:J132" si="127">+$J$7*E131</f>
        <v>0.49560000000000004</v>
      </c>
      <c r="K131" s="4">
        <f t="shared" ref="K131:K132" si="128">+J131-H131</f>
        <v>8.2599999999999951E-2</v>
      </c>
      <c r="L131" s="4">
        <f t="shared" ref="L131:L132" si="129">+E131+K131</f>
        <v>23.682600000000001</v>
      </c>
      <c r="M131" s="148">
        <f t="shared" ref="M131:M132" si="130">+E131*F131</f>
        <v>0</v>
      </c>
      <c r="N131" s="149">
        <f t="shared" ref="N131:N132" si="131">+L131*F131</f>
        <v>0</v>
      </c>
      <c r="P131" s="25"/>
      <c r="Q131" s="26"/>
    </row>
    <row r="132" spans="2:17">
      <c r="B132" s="5" t="s">
        <v>120</v>
      </c>
      <c r="C132" s="5">
        <v>240</v>
      </c>
      <c r="D132" s="22" t="s">
        <v>468</v>
      </c>
      <c r="E132" s="4">
        <v>0.83</v>
      </c>
      <c r="F132" s="137"/>
      <c r="H132" s="4">
        <f t="shared" si="126"/>
        <v>1.4525000000000001E-2</v>
      </c>
      <c r="I132" s="4"/>
      <c r="J132" s="4">
        <f t="shared" si="127"/>
        <v>1.7430000000000001E-2</v>
      </c>
      <c r="K132" s="4">
        <f t="shared" si="128"/>
        <v>2.9049999999999996E-3</v>
      </c>
      <c r="L132" s="4">
        <f t="shared" si="129"/>
        <v>0.83290500000000001</v>
      </c>
      <c r="M132" s="148">
        <f t="shared" si="130"/>
        <v>0</v>
      </c>
      <c r="N132" s="149">
        <f t="shared" si="131"/>
        <v>0</v>
      </c>
      <c r="P132" s="25"/>
      <c r="Q132" s="26"/>
    </row>
    <row r="133" spans="2:17">
      <c r="D133" s="22"/>
      <c r="E133" s="4"/>
      <c r="F133" s="137"/>
      <c r="H133" s="4"/>
      <c r="I133" s="4"/>
      <c r="J133" s="4"/>
      <c r="K133" s="4"/>
      <c r="L133" s="4"/>
      <c r="M133" s="148"/>
      <c r="N133" s="149"/>
      <c r="P133" s="25"/>
      <c r="Q133" s="26"/>
    </row>
    <row r="134" spans="2:17">
      <c r="B134" s="5" t="s">
        <v>114</v>
      </c>
      <c r="C134" s="5">
        <v>240</v>
      </c>
      <c r="D134" s="22" t="s">
        <v>468</v>
      </c>
      <c r="E134" s="4">
        <v>27.75</v>
      </c>
      <c r="F134" s="137">
        <f>+'PriceOut-Benton-TG-230189'!$H$280</f>
        <v>1.5161612795734754</v>
      </c>
      <c r="H134" s="4">
        <f t="shared" ref="H134:H135" si="132">+$H$7*E134</f>
        <v>0.48562500000000003</v>
      </c>
      <c r="I134" s="4"/>
      <c r="J134" s="4">
        <f t="shared" ref="J134:J135" si="133">+$J$7*E134</f>
        <v>0.58274999999999999</v>
      </c>
      <c r="K134" s="4">
        <f t="shared" ref="K134:K135" si="134">+J134-H134</f>
        <v>9.7124999999999961E-2</v>
      </c>
      <c r="L134" s="4">
        <f t="shared" ref="L134:L135" si="135">+E134+K134</f>
        <v>27.847124999999998</v>
      </c>
      <c r="M134" s="148">
        <f t="shared" ref="M134:M135" si="136">+E134*F134</f>
        <v>42.073475508163938</v>
      </c>
      <c r="N134" s="149">
        <f t="shared" ref="N134:N135" si="137">+L134*F134</f>
        <v>42.220732672442516</v>
      </c>
      <c r="P134" s="25"/>
      <c r="Q134" s="26"/>
    </row>
    <row r="135" spans="2:17">
      <c r="B135" s="5" t="s">
        <v>121</v>
      </c>
      <c r="C135" s="5">
        <v>240</v>
      </c>
      <c r="D135" s="22" t="s">
        <v>468</v>
      </c>
      <c r="E135" s="4">
        <v>1.1000000000000001</v>
      </c>
      <c r="F135" s="137">
        <f>+'PriceOut-Benton-TG-230189'!$H$279</f>
        <v>16</v>
      </c>
      <c r="H135" s="4">
        <f t="shared" si="132"/>
        <v>1.9250000000000003E-2</v>
      </c>
      <c r="I135" s="4"/>
      <c r="J135" s="4">
        <f t="shared" si="133"/>
        <v>2.3100000000000002E-2</v>
      </c>
      <c r="K135" s="4">
        <f t="shared" si="134"/>
        <v>3.8499999999999993E-3</v>
      </c>
      <c r="L135" s="4">
        <f t="shared" si="135"/>
        <v>1.10385</v>
      </c>
      <c r="M135" s="148">
        <f t="shared" si="136"/>
        <v>17.600000000000001</v>
      </c>
      <c r="N135" s="149">
        <f t="shared" si="137"/>
        <v>17.6616</v>
      </c>
      <c r="P135" s="25"/>
      <c r="Q135" s="26"/>
    </row>
    <row r="136" spans="2:17">
      <c r="D136" s="22"/>
      <c r="E136" s="4"/>
      <c r="F136" s="137"/>
      <c r="H136" s="4"/>
      <c r="I136" s="4"/>
      <c r="J136" s="4"/>
      <c r="K136" s="4"/>
      <c r="L136" s="4"/>
      <c r="M136" s="148"/>
      <c r="N136" s="149"/>
      <c r="P136" s="25"/>
      <c r="Q136" s="26"/>
    </row>
    <row r="137" spans="2:17">
      <c r="B137" s="5" t="s">
        <v>115</v>
      </c>
      <c r="C137" s="5">
        <v>240</v>
      </c>
      <c r="D137" s="22" t="s">
        <v>468</v>
      </c>
      <c r="E137" s="4">
        <v>30.23</v>
      </c>
      <c r="F137" s="137">
        <f>+'PriceOut-Benton-TG-230189'!$J$286</f>
        <v>3</v>
      </c>
      <c r="H137" s="4">
        <f t="shared" ref="H137:H138" si="138">+$H$7*E137</f>
        <v>0.52902500000000008</v>
      </c>
      <c r="I137" s="4"/>
      <c r="J137" s="4">
        <f t="shared" ref="J137:J138" si="139">+$J$7*E137</f>
        <v>0.63483000000000001</v>
      </c>
      <c r="K137" s="4">
        <f t="shared" ref="K137:K138" si="140">+J137-H137</f>
        <v>0.10580499999999993</v>
      </c>
      <c r="L137" s="4">
        <f t="shared" ref="L137:L138" si="141">+E137+K137</f>
        <v>30.335805000000001</v>
      </c>
      <c r="M137" s="148">
        <f t="shared" ref="M137:M138" si="142">+E137*F137</f>
        <v>90.69</v>
      </c>
      <c r="N137" s="149">
        <f t="shared" ref="N137:N138" si="143">+L137*F137</f>
        <v>91.007415000000009</v>
      </c>
      <c r="P137" s="25"/>
      <c r="Q137" s="26"/>
    </row>
    <row r="138" spans="2:17">
      <c r="B138" s="5" t="s">
        <v>122</v>
      </c>
      <c r="C138" s="5">
        <v>240</v>
      </c>
      <c r="D138" s="22" t="s">
        <v>468</v>
      </c>
      <c r="E138" s="4">
        <v>1.21</v>
      </c>
      <c r="F138" s="137">
        <f>+'PriceOut-Benton-TG-230189'!$H$285</f>
        <v>52</v>
      </c>
      <c r="H138" s="4">
        <f t="shared" si="138"/>
        <v>2.1175000000000003E-2</v>
      </c>
      <c r="I138" s="4"/>
      <c r="J138" s="4">
        <f t="shared" si="139"/>
        <v>2.5410000000000002E-2</v>
      </c>
      <c r="K138" s="4">
        <f t="shared" si="140"/>
        <v>4.2349999999999992E-3</v>
      </c>
      <c r="L138" s="4">
        <f t="shared" si="141"/>
        <v>1.214235</v>
      </c>
      <c r="M138" s="148">
        <f t="shared" si="142"/>
        <v>62.92</v>
      </c>
      <c r="N138" s="149">
        <f t="shared" si="143"/>
        <v>63.140219999999999</v>
      </c>
      <c r="P138" s="25"/>
      <c r="Q138" s="26"/>
    </row>
    <row r="139" spans="2:17">
      <c r="D139" s="22"/>
      <c r="E139" s="4"/>
      <c r="F139" s="137"/>
      <c r="H139" s="4"/>
      <c r="I139" s="4"/>
      <c r="J139" s="4"/>
      <c r="K139" s="4"/>
      <c r="L139" s="4"/>
      <c r="M139" s="148"/>
      <c r="N139" s="149"/>
      <c r="P139" s="25"/>
      <c r="Q139" s="26"/>
    </row>
    <row r="140" spans="2:17">
      <c r="B140" s="5" t="s">
        <v>116</v>
      </c>
      <c r="C140" s="5">
        <v>240</v>
      </c>
      <c r="D140" s="22" t="s">
        <v>468</v>
      </c>
      <c r="E140" s="4">
        <v>35.96</v>
      </c>
      <c r="F140" s="137">
        <f>+'PriceOut-Benton-TG-230189'!$J$291</f>
        <v>10</v>
      </c>
      <c r="H140" s="4">
        <f t="shared" ref="H140:H141" si="144">+$H$7*E140</f>
        <v>0.62930000000000008</v>
      </c>
      <c r="I140" s="4"/>
      <c r="J140" s="4">
        <f t="shared" ref="J140:J141" si="145">+$J$7*E140</f>
        <v>0.75516000000000005</v>
      </c>
      <c r="K140" s="4">
        <f t="shared" ref="K140:K141" si="146">+J140-H140</f>
        <v>0.12585999999999997</v>
      </c>
      <c r="L140" s="4">
        <f t="shared" ref="L140:L141" si="147">+E140+K140</f>
        <v>36.085860000000004</v>
      </c>
      <c r="M140" s="148">
        <f t="shared" ref="M140:M141" si="148">+E140*F140</f>
        <v>359.6</v>
      </c>
      <c r="N140" s="149">
        <f t="shared" ref="N140:N141" si="149">+L140*F140</f>
        <v>360.85860000000002</v>
      </c>
      <c r="P140" s="25"/>
      <c r="Q140" s="26"/>
    </row>
    <row r="141" spans="2:17">
      <c r="B141" s="5" t="s">
        <v>123</v>
      </c>
      <c r="C141" s="5">
        <v>240</v>
      </c>
      <c r="D141" s="22" t="s">
        <v>468</v>
      </c>
      <c r="E141" s="4">
        <v>1.65</v>
      </c>
      <c r="F141" s="137">
        <f>+'PriceOut-Benton-TG-230189'!$H$290</f>
        <v>340</v>
      </c>
      <c r="H141" s="4">
        <f t="shared" si="144"/>
        <v>2.8875000000000001E-2</v>
      </c>
      <c r="I141" s="4"/>
      <c r="J141" s="4">
        <f t="shared" si="145"/>
        <v>3.465E-2</v>
      </c>
      <c r="K141" s="4">
        <f t="shared" si="146"/>
        <v>5.7749999999999989E-3</v>
      </c>
      <c r="L141" s="4">
        <f t="shared" si="147"/>
        <v>1.655775</v>
      </c>
      <c r="M141" s="148">
        <f t="shared" si="148"/>
        <v>561</v>
      </c>
      <c r="N141" s="149">
        <f t="shared" si="149"/>
        <v>562.96349999999995</v>
      </c>
      <c r="P141" s="25"/>
      <c r="Q141" s="26"/>
    </row>
    <row r="142" spans="2:17">
      <c r="D142" s="22"/>
      <c r="E142" s="4"/>
      <c r="F142" s="137"/>
      <c r="H142" s="4"/>
      <c r="I142" s="4"/>
      <c r="J142" s="4"/>
      <c r="K142" s="4"/>
      <c r="L142" s="4"/>
      <c r="M142" s="148"/>
      <c r="N142" s="149"/>
      <c r="P142" s="25"/>
      <c r="Q142" s="26"/>
    </row>
    <row r="143" spans="2:17">
      <c r="B143" s="5" t="s">
        <v>117</v>
      </c>
      <c r="C143" s="5">
        <v>240</v>
      </c>
      <c r="D143" s="22" t="s">
        <v>468</v>
      </c>
      <c r="E143" s="4">
        <v>38.49</v>
      </c>
      <c r="F143" s="137">
        <f>+'PriceOut-Benton-TG-230189'!$J$300</f>
        <v>2</v>
      </c>
      <c r="H143" s="4">
        <f t="shared" ref="H143:H144" si="150">+$H$7*E143</f>
        <v>0.67357500000000015</v>
      </c>
      <c r="I143" s="4"/>
      <c r="J143" s="4">
        <f t="shared" ref="J143:J144" si="151">+$J$7*E143</f>
        <v>0.80829000000000006</v>
      </c>
      <c r="K143" s="4">
        <f t="shared" ref="K143:K144" si="152">+J143-H143</f>
        <v>0.13471499999999992</v>
      </c>
      <c r="L143" s="4">
        <f t="shared" ref="L143:L144" si="153">+E143+K143</f>
        <v>38.624715000000002</v>
      </c>
      <c r="M143" s="148">
        <f t="shared" ref="M143:M144" si="154">+E143*F143</f>
        <v>76.98</v>
      </c>
      <c r="N143" s="149">
        <f t="shared" ref="N143:N144" si="155">+L143*F143</f>
        <v>77.249430000000004</v>
      </c>
      <c r="P143" s="25"/>
      <c r="Q143" s="26"/>
    </row>
    <row r="144" spans="2:17">
      <c r="B144" s="5" t="s">
        <v>124</v>
      </c>
      <c r="C144" s="5">
        <v>240</v>
      </c>
      <c r="D144" s="22" t="s">
        <v>468</v>
      </c>
      <c r="E144" s="4">
        <v>1.93</v>
      </c>
      <c r="F144" s="137">
        <f>+'PriceOut-Benton-TG-230189'!$H$299</f>
        <v>87</v>
      </c>
      <c r="H144" s="4">
        <f t="shared" si="150"/>
        <v>3.3774999999999999E-2</v>
      </c>
      <c r="I144" s="4"/>
      <c r="J144" s="4">
        <f t="shared" si="151"/>
        <v>4.0530000000000004E-2</v>
      </c>
      <c r="K144" s="4">
        <f t="shared" si="152"/>
        <v>6.7550000000000041E-3</v>
      </c>
      <c r="L144" s="4">
        <f t="shared" si="153"/>
        <v>1.936755</v>
      </c>
      <c r="M144" s="148">
        <f t="shared" si="154"/>
        <v>167.91</v>
      </c>
      <c r="N144" s="149">
        <f t="shared" si="155"/>
        <v>168.49768499999999</v>
      </c>
      <c r="P144" s="25"/>
      <c r="Q144" s="26"/>
    </row>
    <row r="145" spans="1:17">
      <c r="D145" s="22"/>
      <c r="E145" s="4"/>
      <c r="F145" s="137"/>
      <c r="H145" s="4"/>
      <c r="I145" s="4"/>
      <c r="J145" s="4"/>
      <c r="K145" s="4"/>
      <c r="L145" s="4"/>
      <c r="M145" s="148"/>
      <c r="N145" s="149"/>
      <c r="P145" s="25"/>
      <c r="Q145" s="26"/>
    </row>
    <row r="146" spans="1:17">
      <c r="B146" s="5" t="s">
        <v>118</v>
      </c>
      <c r="C146" s="5">
        <v>240</v>
      </c>
      <c r="D146" s="22" t="s">
        <v>468</v>
      </c>
      <c r="E146" s="4">
        <v>45.48</v>
      </c>
      <c r="F146" s="137">
        <f>+'PriceOut-Benton-TG-230189'!$H$305</f>
        <v>12</v>
      </c>
      <c r="H146" s="4">
        <f t="shared" ref="H146:H147" si="156">+$H$7*E146</f>
        <v>0.79590000000000005</v>
      </c>
      <c r="I146" s="4"/>
      <c r="J146" s="4">
        <f t="shared" ref="J146:J147" si="157">+$J$7*E146</f>
        <v>0.95508000000000004</v>
      </c>
      <c r="K146" s="4">
        <f t="shared" ref="K146:K147" si="158">+J146-H146</f>
        <v>0.15917999999999999</v>
      </c>
      <c r="L146" s="4">
        <f t="shared" ref="L146:L147" si="159">+E146+K146</f>
        <v>45.639179999999996</v>
      </c>
      <c r="M146" s="148">
        <f t="shared" ref="M146:M147" si="160">+E146*F146</f>
        <v>545.76</v>
      </c>
      <c r="N146" s="149">
        <f t="shared" ref="N146:N147" si="161">+L146*F146</f>
        <v>547.6701599999999</v>
      </c>
      <c r="P146" s="25"/>
      <c r="Q146" s="26"/>
    </row>
    <row r="147" spans="1:17">
      <c r="B147" s="5" t="s">
        <v>125</v>
      </c>
      <c r="C147" s="5">
        <v>240</v>
      </c>
      <c r="D147" s="22" t="s">
        <v>468</v>
      </c>
      <c r="E147" s="4">
        <v>2.09</v>
      </c>
      <c r="F147" s="137">
        <f>+'PriceOut-Benton-TG-230189'!$H$304</f>
        <v>144</v>
      </c>
      <c r="H147" s="4">
        <f t="shared" si="156"/>
        <v>3.6575000000000003E-2</v>
      </c>
      <c r="I147" s="4"/>
      <c r="J147" s="4">
        <f t="shared" si="157"/>
        <v>4.3889999999999998E-2</v>
      </c>
      <c r="K147" s="4">
        <f t="shared" si="158"/>
        <v>7.3149999999999951E-3</v>
      </c>
      <c r="L147" s="4">
        <f t="shared" si="159"/>
        <v>2.097315</v>
      </c>
      <c r="M147" s="148">
        <f t="shared" si="160"/>
        <v>300.95999999999998</v>
      </c>
      <c r="N147" s="149">
        <f t="shared" si="161"/>
        <v>302.01336000000003</v>
      </c>
      <c r="P147" s="25"/>
      <c r="Q147" s="26"/>
    </row>
    <row r="148" spans="1:17">
      <c r="D148" s="22"/>
      <c r="E148" s="4"/>
      <c r="F148" s="137"/>
      <c r="H148" s="4"/>
      <c r="I148" s="4"/>
      <c r="J148" s="4"/>
      <c r="K148" s="4"/>
      <c r="L148" s="4"/>
      <c r="M148" s="148"/>
      <c r="N148" s="149"/>
      <c r="P148" s="25"/>
      <c r="Q148" s="26"/>
    </row>
    <row r="149" spans="1:17">
      <c r="B149" s="5" t="s">
        <v>119</v>
      </c>
      <c r="C149" s="5">
        <v>240</v>
      </c>
      <c r="D149" s="22" t="s">
        <v>468</v>
      </c>
      <c r="E149" s="4">
        <v>53.84</v>
      </c>
      <c r="F149" s="137">
        <f>+'PriceOut-Benton-TG-230189'!$H$314</f>
        <v>22.59990985576923</v>
      </c>
      <c r="H149" s="4">
        <f t="shared" ref="H149:H150" si="162">+$H$7*E149</f>
        <v>0.94220000000000015</v>
      </c>
      <c r="I149" s="4"/>
      <c r="J149" s="4">
        <f t="shared" ref="J149:J150" si="163">+$J$7*E149</f>
        <v>1.1306400000000001</v>
      </c>
      <c r="K149" s="4">
        <f t="shared" ref="K149:K150" si="164">+J149-H149</f>
        <v>0.18843999999999994</v>
      </c>
      <c r="L149" s="4">
        <f t="shared" ref="L149:L150" si="165">+E149+K149</f>
        <v>54.028440000000003</v>
      </c>
      <c r="M149" s="148">
        <f t="shared" ref="M149:M150" si="166">+E149*F149</f>
        <v>1216.7791466346155</v>
      </c>
      <c r="N149" s="149">
        <f t="shared" ref="N149:N150" si="167">+L149*F149</f>
        <v>1221.0378736478365</v>
      </c>
      <c r="P149" s="25"/>
      <c r="Q149" s="26"/>
    </row>
    <row r="150" spans="1:17">
      <c r="B150" s="5" t="s">
        <v>126</v>
      </c>
      <c r="C150" s="5">
        <v>240</v>
      </c>
      <c r="D150" s="22" t="s">
        <v>468</v>
      </c>
      <c r="E150" s="4">
        <v>2.48</v>
      </c>
      <c r="F150" s="137">
        <f>+'PriceOut-Benton-TG-230189'!$H$313</f>
        <v>533</v>
      </c>
      <c r="H150" s="4">
        <f t="shared" si="162"/>
        <v>4.3400000000000001E-2</v>
      </c>
      <c r="I150" s="4"/>
      <c r="J150" s="4">
        <f t="shared" si="163"/>
        <v>5.2080000000000001E-2</v>
      </c>
      <c r="K150" s="4">
        <f t="shared" si="164"/>
        <v>8.6800000000000002E-3</v>
      </c>
      <c r="L150" s="4">
        <f t="shared" si="165"/>
        <v>2.48868</v>
      </c>
      <c r="M150" s="148">
        <f t="shared" si="166"/>
        <v>1321.84</v>
      </c>
      <c r="N150" s="149">
        <f t="shared" si="167"/>
        <v>1326.4664399999999</v>
      </c>
      <c r="P150" s="25"/>
      <c r="Q150" s="26"/>
    </row>
    <row r="151" spans="1:17">
      <c r="D151" s="22"/>
      <c r="E151" s="4"/>
      <c r="F151" s="137"/>
      <c r="H151" s="4"/>
      <c r="I151" s="4"/>
      <c r="J151" s="4"/>
      <c r="K151" s="4"/>
      <c r="L151" s="4"/>
      <c r="M151" s="148"/>
      <c r="N151" s="149"/>
      <c r="P151" s="25"/>
      <c r="Q151" s="26"/>
    </row>
    <row r="152" spans="1:17">
      <c r="B152" s="5" t="s">
        <v>44</v>
      </c>
      <c r="C152" s="5">
        <v>240</v>
      </c>
      <c r="D152" s="22" t="s">
        <v>468</v>
      </c>
      <c r="E152" s="4">
        <v>3.96</v>
      </c>
      <c r="F152" s="137"/>
      <c r="H152" s="4">
        <f>+$H$7*E152</f>
        <v>6.93E-2</v>
      </c>
      <c r="I152" s="4"/>
      <c r="J152" s="4">
        <f>+$J$7*E152</f>
        <v>8.3159999999999998E-2</v>
      </c>
      <c r="K152" s="4">
        <f>+J152-H152</f>
        <v>1.3859999999999997E-2</v>
      </c>
      <c r="L152" s="4">
        <f>+E152+K152</f>
        <v>3.9738600000000002</v>
      </c>
      <c r="M152" s="148">
        <f>+E152*F152</f>
        <v>0</v>
      </c>
      <c r="N152" s="149">
        <f>+L152*F152</f>
        <v>0</v>
      </c>
      <c r="P152" s="25"/>
      <c r="Q152" s="26"/>
    </row>
    <row r="153" spans="1:17">
      <c r="B153" s="5" t="s">
        <v>106</v>
      </c>
      <c r="C153" s="5">
        <v>240</v>
      </c>
      <c r="D153" s="22" t="s">
        <v>468</v>
      </c>
      <c r="E153" s="4">
        <v>3.42</v>
      </c>
      <c r="F153" s="137"/>
      <c r="H153" s="4">
        <f>+$H$7*E153</f>
        <v>5.9850000000000007E-2</v>
      </c>
      <c r="I153" s="4"/>
      <c r="J153" s="4">
        <f>+$J$7*E153</f>
        <v>7.1820000000000009E-2</v>
      </c>
      <c r="K153" s="4">
        <f>+J153-H153</f>
        <v>1.1970000000000001E-2</v>
      </c>
      <c r="L153" s="4">
        <f>+E153+K153</f>
        <v>3.4319699999999997</v>
      </c>
      <c r="M153" s="148">
        <f>+E153*F153</f>
        <v>0</v>
      </c>
      <c r="N153" s="149">
        <f>+L153*F153</f>
        <v>0</v>
      </c>
      <c r="P153" s="25"/>
      <c r="Q153" s="26"/>
    </row>
    <row r="154" spans="1:17">
      <c r="E154" s="4"/>
      <c r="F154" s="137"/>
      <c r="H154" s="4"/>
      <c r="I154" s="4"/>
      <c r="J154" s="4"/>
      <c r="K154" s="4"/>
      <c r="L154" s="4"/>
      <c r="M154" s="148"/>
      <c r="N154" s="149"/>
      <c r="P154" s="25"/>
      <c r="Q154" s="26"/>
    </row>
    <row r="155" spans="1:17">
      <c r="A155" s="93" t="s">
        <v>472</v>
      </c>
      <c r="B155" s="94"/>
      <c r="C155" s="94"/>
      <c r="D155" s="94"/>
      <c r="E155" s="95"/>
      <c r="F155" s="138"/>
      <c r="G155" s="96"/>
      <c r="H155" s="97"/>
      <c r="I155" s="96"/>
      <c r="J155" s="98"/>
      <c r="K155" s="96"/>
      <c r="L155" s="95"/>
      <c r="M155" s="150"/>
      <c r="N155" s="151"/>
      <c r="P155" s="25"/>
      <c r="Q155" s="26"/>
    </row>
    <row r="156" spans="1:17">
      <c r="B156" s="5" t="s">
        <v>135</v>
      </c>
      <c r="C156" s="5">
        <v>245</v>
      </c>
      <c r="D156" s="22">
        <v>33</v>
      </c>
      <c r="E156" s="4">
        <v>3.76</v>
      </c>
      <c r="F156" s="137"/>
      <c r="H156" s="4">
        <f t="shared" ref="H156:H157" si="168">+$H$7*E156</f>
        <v>6.5799999999999997E-2</v>
      </c>
      <c r="I156" s="4"/>
      <c r="J156" s="4">
        <f t="shared" ref="J156:J157" si="169">+$J$7*E156</f>
        <v>7.8960000000000002E-2</v>
      </c>
      <c r="K156" s="4">
        <f t="shared" ref="K156:K157" si="170">+J156-H156</f>
        <v>1.3160000000000005E-2</v>
      </c>
      <c r="L156" s="4">
        <f t="shared" ref="L156:L157" si="171">+E156+K156</f>
        <v>3.7731599999999998</v>
      </c>
      <c r="M156" s="148">
        <f t="shared" ref="M156:M157" si="172">+E156*F156</f>
        <v>0</v>
      </c>
      <c r="N156" s="149">
        <f t="shared" ref="N156:N157" si="173">+L156*F156</f>
        <v>0</v>
      </c>
      <c r="P156" s="25"/>
      <c r="Q156" s="26"/>
    </row>
    <row r="157" spans="1:17">
      <c r="B157" s="5" t="s">
        <v>136</v>
      </c>
      <c r="C157" s="5">
        <v>245</v>
      </c>
      <c r="D157" s="22">
        <v>33</v>
      </c>
      <c r="E157" s="4">
        <v>11.57</v>
      </c>
      <c r="F157" s="137"/>
      <c r="H157" s="4">
        <f t="shared" si="168"/>
        <v>0.20247500000000002</v>
      </c>
      <c r="I157" s="4"/>
      <c r="J157" s="4">
        <f t="shared" si="169"/>
        <v>0.24297000000000002</v>
      </c>
      <c r="K157" s="4">
        <f t="shared" si="170"/>
        <v>4.0495000000000003E-2</v>
      </c>
      <c r="L157" s="4">
        <f t="shared" si="171"/>
        <v>11.610495</v>
      </c>
      <c r="M157" s="148">
        <f t="shared" si="172"/>
        <v>0</v>
      </c>
      <c r="N157" s="149">
        <f t="shared" si="173"/>
        <v>0</v>
      </c>
      <c r="P157" s="25"/>
      <c r="Q157" s="26"/>
    </row>
    <row r="158" spans="1:17">
      <c r="B158" s="5" t="s">
        <v>137</v>
      </c>
      <c r="C158" s="5">
        <v>245</v>
      </c>
      <c r="D158" s="22">
        <v>33</v>
      </c>
      <c r="E158" s="4">
        <v>16.28</v>
      </c>
      <c r="F158" s="137"/>
      <c r="H158" s="4">
        <f t="shared" ref="H158:H159" si="174">+$H$7*E158</f>
        <v>0.28490000000000004</v>
      </c>
      <c r="I158" s="4"/>
      <c r="J158" s="4">
        <f t="shared" ref="J158:J159" si="175">+$J$7*E158</f>
        <v>0.34188000000000007</v>
      </c>
      <c r="K158" s="4">
        <f t="shared" ref="K158:K159" si="176">+J158-H158</f>
        <v>5.6980000000000031E-2</v>
      </c>
      <c r="L158" s="4">
        <f t="shared" ref="L158:L159" si="177">+E158+K158</f>
        <v>16.336980000000001</v>
      </c>
      <c r="M158" s="148">
        <f t="shared" ref="M158:M159" si="178">+E158*F158</f>
        <v>0</v>
      </c>
      <c r="N158" s="149">
        <f t="shared" ref="N158:N159" si="179">+L158*F158</f>
        <v>0</v>
      </c>
      <c r="P158" s="25"/>
      <c r="Q158" s="26"/>
    </row>
    <row r="159" spans="1:17">
      <c r="B159" s="5" t="s">
        <v>44</v>
      </c>
      <c r="C159" s="5">
        <v>245</v>
      </c>
      <c r="D159" s="5">
        <v>33</v>
      </c>
      <c r="E159" s="4">
        <v>3.96</v>
      </c>
      <c r="F159" s="137"/>
      <c r="H159" s="4">
        <f t="shared" si="174"/>
        <v>6.93E-2</v>
      </c>
      <c r="I159" s="4"/>
      <c r="J159" s="4">
        <f t="shared" si="175"/>
        <v>8.3159999999999998E-2</v>
      </c>
      <c r="K159" s="4">
        <f t="shared" si="176"/>
        <v>1.3859999999999997E-2</v>
      </c>
      <c r="L159" s="4">
        <f t="shared" si="177"/>
        <v>3.9738600000000002</v>
      </c>
      <c r="M159" s="148">
        <f t="shared" si="178"/>
        <v>0</v>
      </c>
      <c r="N159" s="149">
        <f t="shared" si="179"/>
        <v>0</v>
      </c>
      <c r="P159" s="25"/>
      <c r="Q159" s="26"/>
    </row>
    <row r="160" spans="1:17">
      <c r="B160" s="5" t="s">
        <v>106</v>
      </c>
      <c r="C160" s="5">
        <v>245</v>
      </c>
      <c r="D160" s="22">
        <v>33</v>
      </c>
      <c r="E160" s="4">
        <v>3.42</v>
      </c>
      <c r="F160" s="137"/>
      <c r="H160" s="4">
        <f>+$H$7*E160</f>
        <v>5.9850000000000007E-2</v>
      </c>
      <c r="I160" s="4"/>
      <c r="J160" s="4">
        <f>+$J$7*E160</f>
        <v>7.1820000000000009E-2</v>
      </c>
      <c r="K160" s="4">
        <f>+J160-H160</f>
        <v>1.1970000000000001E-2</v>
      </c>
      <c r="L160" s="4">
        <f>+E160+K160</f>
        <v>3.4319699999999997</v>
      </c>
      <c r="M160" s="148">
        <f>+E160*F160</f>
        <v>0</v>
      </c>
      <c r="N160" s="149">
        <f>+L160*F160</f>
        <v>0</v>
      </c>
      <c r="P160" s="25"/>
      <c r="Q160" s="26"/>
    </row>
    <row r="161" spans="1:17">
      <c r="E161" s="4"/>
      <c r="F161" s="137"/>
      <c r="H161" s="4"/>
      <c r="I161" s="4"/>
      <c r="J161" s="4"/>
      <c r="K161" s="4"/>
      <c r="L161" s="4"/>
      <c r="M161" s="148"/>
      <c r="N161" s="149"/>
      <c r="P161" s="25"/>
      <c r="Q161" s="26"/>
    </row>
    <row r="162" spans="1:17">
      <c r="A162" s="93" t="s">
        <v>473</v>
      </c>
      <c r="B162" s="94"/>
      <c r="C162" s="94"/>
      <c r="D162" s="94"/>
      <c r="E162" s="95"/>
      <c r="F162" s="138"/>
      <c r="G162" s="96"/>
      <c r="H162" s="97"/>
      <c r="I162" s="96"/>
      <c r="J162" s="98"/>
      <c r="K162" s="96"/>
      <c r="L162" s="95"/>
      <c r="M162" s="150"/>
      <c r="N162" s="151"/>
      <c r="P162" s="25"/>
      <c r="Q162" s="26"/>
    </row>
    <row r="163" spans="1:17">
      <c r="B163" s="5" t="s">
        <v>474</v>
      </c>
      <c r="C163" s="5">
        <v>255</v>
      </c>
      <c r="D163" s="22">
        <v>34</v>
      </c>
      <c r="E163" s="4">
        <v>41.23</v>
      </c>
      <c r="F163" s="137"/>
      <c r="H163" s="4">
        <f t="shared" ref="H163:H164" si="180">+$H$7*E163</f>
        <v>0.72152499999999997</v>
      </c>
      <c r="I163" s="4"/>
      <c r="J163" s="4">
        <f t="shared" ref="J163:J164" si="181">+$J$7*E163</f>
        <v>0.86582999999999999</v>
      </c>
      <c r="K163" s="4">
        <f t="shared" ref="K163:K164" si="182">+J163-H163</f>
        <v>0.14430500000000002</v>
      </c>
      <c r="L163" s="4">
        <f t="shared" ref="L163:L164" si="183">+E163+K163</f>
        <v>41.374305</v>
      </c>
      <c r="M163" s="148">
        <f t="shared" ref="M163:M164" si="184">+E163*F163</f>
        <v>0</v>
      </c>
      <c r="N163" s="149">
        <f t="shared" ref="N163:N164" si="185">+L163*F163</f>
        <v>0</v>
      </c>
      <c r="P163" s="25"/>
      <c r="Q163" s="26"/>
    </row>
    <row r="164" spans="1:17">
      <c r="B164" s="5" t="s">
        <v>475</v>
      </c>
      <c r="C164" s="5">
        <v>255</v>
      </c>
      <c r="D164" s="22">
        <v>34</v>
      </c>
      <c r="E164" s="4">
        <v>51.63</v>
      </c>
      <c r="F164" s="137"/>
      <c r="H164" s="4">
        <f t="shared" si="180"/>
        <v>0.90352500000000013</v>
      </c>
      <c r="I164" s="4"/>
      <c r="J164" s="4">
        <f t="shared" si="181"/>
        <v>1.08423</v>
      </c>
      <c r="K164" s="4">
        <f t="shared" si="182"/>
        <v>0.18070499999999989</v>
      </c>
      <c r="L164" s="4">
        <f t="shared" si="183"/>
        <v>51.810705000000006</v>
      </c>
      <c r="M164" s="148">
        <f t="shared" si="184"/>
        <v>0</v>
      </c>
      <c r="N164" s="149">
        <f t="shared" si="185"/>
        <v>0</v>
      </c>
      <c r="P164" s="25"/>
      <c r="Q164" s="26"/>
    </row>
    <row r="165" spans="1:17">
      <c r="D165" s="22"/>
      <c r="E165" s="4"/>
      <c r="F165" s="137"/>
      <c r="H165" s="4"/>
      <c r="I165" s="4"/>
      <c r="J165" s="4"/>
      <c r="K165" s="4"/>
      <c r="L165" s="4"/>
      <c r="M165" s="148"/>
      <c r="N165" s="149"/>
      <c r="P165" s="25"/>
      <c r="Q165" s="26"/>
    </row>
    <row r="166" spans="1:17">
      <c r="B166" s="5" t="s">
        <v>476</v>
      </c>
      <c r="C166" s="5">
        <v>255</v>
      </c>
      <c r="D166" s="22">
        <v>34</v>
      </c>
      <c r="E166" s="4">
        <v>60.13</v>
      </c>
      <c r="F166" s="137"/>
      <c r="H166" s="4">
        <f t="shared" ref="H166:H167" si="186">+$H$7*E166</f>
        <v>1.0522750000000001</v>
      </c>
      <c r="I166" s="4"/>
      <c r="J166" s="4">
        <f t="shared" ref="J166:J167" si="187">+$J$7*E166</f>
        <v>1.2627300000000001</v>
      </c>
      <c r="K166" s="4">
        <f t="shared" ref="K166:K167" si="188">+J166-H166</f>
        <v>0.21045500000000006</v>
      </c>
      <c r="L166" s="4">
        <f t="shared" ref="L166:L167" si="189">+E166+K166</f>
        <v>60.340455000000006</v>
      </c>
      <c r="M166" s="148">
        <f t="shared" ref="M166:M167" si="190">+E166*F166</f>
        <v>0</v>
      </c>
      <c r="N166" s="149">
        <f t="shared" ref="N166:N167" si="191">+L166*F166</f>
        <v>0</v>
      </c>
      <c r="P166" s="25"/>
      <c r="Q166" s="26"/>
    </row>
    <row r="167" spans="1:17">
      <c r="B167" s="5" t="s">
        <v>477</v>
      </c>
      <c r="C167" s="5">
        <v>255</v>
      </c>
      <c r="D167" s="22">
        <v>34</v>
      </c>
      <c r="E167" s="4">
        <v>70.53</v>
      </c>
      <c r="F167" s="137"/>
      <c r="H167" s="4">
        <f t="shared" si="186"/>
        <v>1.2342750000000002</v>
      </c>
      <c r="I167" s="4"/>
      <c r="J167" s="4">
        <f t="shared" si="187"/>
        <v>1.4811300000000001</v>
      </c>
      <c r="K167" s="4">
        <f t="shared" si="188"/>
        <v>0.24685499999999982</v>
      </c>
      <c r="L167" s="4">
        <f t="shared" si="189"/>
        <v>70.776854999999998</v>
      </c>
      <c r="M167" s="148">
        <f t="shared" si="190"/>
        <v>0</v>
      </c>
      <c r="N167" s="149">
        <f t="shared" si="191"/>
        <v>0</v>
      </c>
      <c r="P167" s="25"/>
      <c r="Q167" s="26"/>
    </row>
    <row r="168" spans="1:17">
      <c r="D168" s="22"/>
      <c r="E168" s="4"/>
      <c r="F168" s="137"/>
      <c r="H168" s="4"/>
      <c r="I168" s="4"/>
      <c r="J168" s="4"/>
      <c r="K168" s="4"/>
      <c r="L168" s="4"/>
      <c r="M168" s="148"/>
      <c r="N168" s="149"/>
      <c r="P168" s="25"/>
      <c r="Q168" s="26"/>
    </row>
    <row r="169" spans="1:17">
      <c r="B169" s="5" t="s">
        <v>478</v>
      </c>
      <c r="C169" s="5">
        <v>255</v>
      </c>
      <c r="D169" s="22">
        <v>34</v>
      </c>
      <c r="E169" s="4">
        <v>77.930000000000007</v>
      </c>
      <c r="F169" s="137"/>
      <c r="H169" s="4">
        <f t="shared" ref="H169:H170" si="192">+$H$7*E169</f>
        <v>1.3637750000000002</v>
      </c>
      <c r="I169" s="4"/>
      <c r="J169" s="4">
        <f t="shared" ref="J169:J170" si="193">+$J$7*E169</f>
        <v>1.6365300000000003</v>
      </c>
      <c r="K169" s="4">
        <f t="shared" ref="K169:K170" si="194">+J169-H169</f>
        <v>0.27275500000000008</v>
      </c>
      <c r="L169" s="4">
        <f t="shared" ref="L169:L170" si="195">+E169+K169</f>
        <v>78.20275500000001</v>
      </c>
      <c r="M169" s="148">
        <f t="shared" ref="M169:M170" si="196">+E169*F169</f>
        <v>0</v>
      </c>
      <c r="N169" s="149">
        <f t="shared" ref="N169:N170" si="197">+L169*F169</f>
        <v>0</v>
      </c>
      <c r="P169" s="25"/>
      <c r="Q169" s="26"/>
    </row>
    <row r="170" spans="1:17">
      <c r="B170" s="5" t="s">
        <v>479</v>
      </c>
      <c r="C170" s="5">
        <v>255</v>
      </c>
      <c r="D170" s="22">
        <v>34</v>
      </c>
      <c r="E170" s="4">
        <v>88.33</v>
      </c>
      <c r="F170" s="137"/>
      <c r="H170" s="4">
        <f t="shared" si="192"/>
        <v>1.5457750000000001</v>
      </c>
      <c r="I170" s="4"/>
      <c r="J170" s="4">
        <f t="shared" si="193"/>
        <v>1.8549300000000002</v>
      </c>
      <c r="K170" s="4">
        <f t="shared" si="194"/>
        <v>0.30915500000000007</v>
      </c>
      <c r="L170" s="4">
        <f t="shared" si="195"/>
        <v>88.639155000000002</v>
      </c>
      <c r="M170" s="148">
        <f t="shared" si="196"/>
        <v>0</v>
      </c>
      <c r="N170" s="149">
        <f t="shared" si="197"/>
        <v>0</v>
      </c>
      <c r="P170" s="25"/>
      <c r="Q170" s="26"/>
    </row>
    <row r="171" spans="1:17">
      <c r="D171" s="22"/>
      <c r="E171" s="4"/>
      <c r="F171" s="137"/>
      <c r="H171" s="4"/>
      <c r="I171" s="4"/>
      <c r="J171" s="4"/>
      <c r="K171" s="4"/>
      <c r="L171" s="4"/>
      <c r="M171" s="148"/>
      <c r="N171" s="149"/>
      <c r="P171" s="25"/>
      <c r="Q171" s="26"/>
    </row>
    <row r="172" spans="1:17">
      <c r="B172" s="5" t="s">
        <v>480</v>
      </c>
      <c r="C172" s="5">
        <v>255</v>
      </c>
      <c r="D172" s="22">
        <v>34</v>
      </c>
      <c r="E172" s="4">
        <v>106.42</v>
      </c>
      <c r="F172" s="137"/>
      <c r="H172" s="4">
        <f t="shared" ref="H172:H173" si="198">+$H$7*E172</f>
        <v>1.8623500000000002</v>
      </c>
      <c r="I172" s="4"/>
      <c r="J172" s="4">
        <f t="shared" ref="J172:J173" si="199">+$J$7*E172</f>
        <v>2.23482</v>
      </c>
      <c r="K172" s="4">
        <f t="shared" ref="K172:K173" si="200">+J172-H172</f>
        <v>0.37246999999999986</v>
      </c>
      <c r="L172" s="4">
        <f t="shared" ref="L172:L173" si="201">+E172+K172</f>
        <v>106.79247000000001</v>
      </c>
      <c r="M172" s="148">
        <f t="shared" ref="M172:M173" si="202">+E172*F172</f>
        <v>0</v>
      </c>
      <c r="N172" s="149">
        <f t="shared" ref="N172:N173" si="203">+L172*F172</f>
        <v>0</v>
      </c>
      <c r="P172" s="25"/>
      <c r="Q172" s="26"/>
    </row>
    <row r="173" spans="1:17">
      <c r="B173" s="5" t="s">
        <v>481</v>
      </c>
      <c r="C173" s="5">
        <v>255</v>
      </c>
      <c r="D173" s="22">
        <v>34</v>
      </c>
      <c r="E173" s="4">
        <v>116.82</v>
      </c>
      <c r="F173" s="137"/>
      <c r="H173" s="4">
        <f t="shared" si="198"/>
        <v>2.0443500000000001</v>
      </c>
      <c r="I173" s="4"/>
      <c r="J173" s="4">
        <f t="shared" si="199"/>
        <v>2.45322</v>
      </c>
      <c r="K173" s="4">
        <f t="shared" si="200"/>
        <v>0.40886999999999984</v>
      </c>
      <c r="L173" s="4">
        <f t="shared" si="201"/>
        <v>117.22886999999999</v>
      </c>
      <c r="M173" s="148">
        <f t="shared" si="202"/>
        <v>0</v>
      </c>
      <c r="N173" s="149">
        <f t="shared" si="203"/>
        <v>0</v>
      </c>
      <c r="P173" s="25"/>
      <c r="Q173" s="26"/>
    </row>
    <row r="174" spans="1:17">
      <c r="E174" s="4"/>
      <c r="F174" s="137"/>
      <c r="H174" s="4"/>
      <c r="I174" s="4"/>
      <c r="J174" s="4"/>
      <c r="K174" s="4"/>
      <c r="L174" s="4"/>
      <c r="M174" s="148"/>
      <c r="N174" s="149"/>
      <c r="P174" s="25"/>
      <c r="Q174" s="26"/>
    </row>
    <row r="175" spans="1:17">
      <c r="B175" s="5" t="s">
        <v>45</v>
      </c>
      <c r="C175" s="5">
        <v>255</v>
      </c>
      <c r="D175" s="22">
        <v>34</v>
      </c>
      <c r="E175" s="4">
        <v>3.96</v>
      </c>
      <c r="F175" s="137"/>
      <c r="H175" s="4">
        <f t="shared" si="4"/>
        <v>6.93E-2</v>
      </c>
      <c r="I175" s="4"/>
      <c r="J175" s="4">
        <f t="shared" si="5"/>
        <v>8.3159999999999998E-2</v>
      </c>
      <c r="K175" s="4">
        <f t="shared" si="0"/>
        <v>1.3859999999999997E-2</v>
      </c>
      <c r="L175" s="4">
        <f t="shared" si="1"/>
        <v>3.9738600000000002</v>
      </c>
      <c r="M175" s="148">
        <f t="shared" si="2"/>
        <v>0</v>
      </c>
      <c r="N175" s="149">
        <f t="shared" si="3"/>
        <v>0</v>
      </c>
      <c r="P175" s="25"/>
      <c r="Q175" s="26"/>
    </row>
    <row r="176" spans="1:17">
      <c r="B176" s="5" t="s">
        <v>46</v>
      </c>
      <c r="C176" s="5">
        <v>255</v>
      </c>
      <c r="D176" s="22">
        <v>34</v>
      </c>
      <c r="E176" s="4">
        <v>33.130000000000003</v>
      </c>
      <c r="F176" s="137"/>
      <c r="H176" s="4">
        <f t="shared" si="4"/>
        <v>0.57977500000000015</v>
      </c>
      <c r="I176" s="4"/>
      <c r="J176" s="4">
        <f t="shared" si="5"/>
        <v>0.69573000000000007</v>
      </c>
      <c r="K176" s="4">
        <f t="shared" si="0"/>
        <v>0.11595499999999992</v>
      </c>
      <c r="L176" s="4">
        <f t="shared" si="1"/>
        <v>33.245955000000002</v>
      </c>
      <c r="M176" s="148">
        <f t="shared" si="2"/>
        <v>0</v>
      </c>
      <c r="N176" s="149">
        <f t="shared" si="3"/>
        <v>0</v>
      </c>
      <c r="P176" s="25"/>
      <c r="Q176" s="26"/>
    </row>
    <row r="177" spans="1:17">
      <c r="B177" s="5" t="s">
        <v>138</v>
      </c>
      <c r="C177" s="5">
        <v>255</v>
      </c>
      <c r="D177" s="22">
        <v>34</v>
      </c>
      <c r="E177" s="4">
        <v>3.42</v>
      </c>
      <c r="F177" s="137"/>
      <c r="H177" s="4">
        <f t="shared" si="4"/>
        <v>5.9850000000000007E-2</v>
      </c>
      <c r="I177" s="4"/>
      <c r="J177" s="4">
        <f t="shared" si="5"/>
        <v>7.1820000000000009E-2</v>
      </c>
      <c r="K177" s="4">
        <f t="shared" si="0"/>
        <v>1.1970000000000001E-2</v>
      </c>
      <c r="L177" s="4">
        <f t="shared" si="1"/>
        <v>3.4319699999999997</v>
      </c>
      <c r="M177" s="148">
        <f t="shared" si="2"/>
        <v>0</v>
      </c>
      <c r="N177" s="149">
        <f t="shared" si="3"/>
        <v>0</v>
      </c>
      <c r="P177" s="25"/>
      <c r="Q177" s="26"/>
    </row>
    <row r="178" spans="1:17">
      <c r="E178" s="4"/>
      <c r="F178" s="137"/>
      <c r="H178" s="4"/>
      <c r="I178" s="4"/>
      <c r="J178" s="4"/>
      <c r="K178" s="4"/>
      <c r="L178" s="4"/>
      <c r="M178" s="148"/>
      <c r="N178" s="149"/>
      <c r="P178" s="25"/>
      <c r="Q178" s="26"/>
    </row>
    <row r="179" spans="1:17">
      <c r="A179" s="93" t="s">
        <v>459</v>
      </c>
      <c r="B179" s="94"/>
      <c r="C179" s="94"/>
      <c r="D179" s="94"/>
      <c r="E179" s="95"/>
      <c r="F179" s="138"/>
      <c r="G179" s="96"/>
      <c r="H179" s="97"/>
      <c r="I179" s="96"/>
      <c r="J179" s="98"/>
      <c r="K179" s="96"/>
      <c r="L179" s="95"/>
      <c r="M179" s="150"/>
      <c r="N179" s="151"/>
      <c r="P179" s="25"/>
      <c r="Q179" s="26"/>
    </row>
    <row r="180" spans="1:17">
      <c r="B180" s="5" t="s">
        <v>141</v>
      </c>
      <c r="C180" s="5">
        <v>260</v>
      </c>
      <c r="D180" s="5">
        <v>35</v>
      </c>
      <c r="E180" s="4">
        <v>42.51</v>
      </c>
      <c r="F180" s="137"/>
      <c r="H180" s="4">
        <f t="shared" si="4"/>
        <v>0.74392500000000006</v>
      </c>
      <c r="I180" s="4"/>
      <c r="J180" s="4">
        <f t="shared" si="5"/>
        <v>0.89271</v>
      </c>
      <c r="K180" s="4">
        <f t="shared" si="0"/>
        <v>0.14878499999999995</v>
      </c>
      <c r="L180" s="4">
        <f t="shared" si="1"/>
        <v>42.658784999999995</v>
      </c>
      <c r="M180" s="148">
        <f t="shared" si="2"/>
        <v>0</v>
      </c>
      <c r="N180" s="149">
        <f t="shared" si="3"/>
        <v>0</v>
      </c>
      <c r="P180" s="25"/>
      <c r="Q180" s="26"/>
    </row>
    <row r="181" spans="1:17">
      <c r="B181" s="5" t="s">
        <v>142</v>
      </c>
      <c r="C181" s="5">
        <v>260</v>
      </c>
      <c r="D181" s="5">
        <v>35</v>
      </c>
      <c r="E181" s="4">
        <v>113.27</v>
      </c>
      <c r="F181" s="137">
        <f>+'PriceOut-Benton-TG-230189'!$H$345</f>
        <v>22</v>
      </c>
      <c r="H181" s="4">
        <f t="shared" si="4"/>
        <v>1.9822250000000001</v>
      </c>
      <c r="I181" s="4"/>
      <c r="J181" s="4">
        <f t="shared" si="5"/>
        <v>2.3786700000000001</v>
      </c>
      <c r="K181" s="4">
        <f t="shared" si="0"/>
        <v>0.39644499999999994</v>
      </c>
      <c r="L181" s="4">
        <f t="shared" si="1"/>
        <v>113.666445</v>
      </c>
      <c r="M181" s="148">
        <f t="shared" si="2"/>
        <v>2491.94</v>
      </c>
      <c r="N181" s="149">
        <f t="shared" si="3"/>
        <v>2500.6617900000001</v>
      </c>
      <c r="P181" s="25"/>
      <c r="Q181" s="26"/>
    </row>
    <row r="182" spans="1:17">
      <c r="B182" s="5" t="s">
        <v>143</v>
      </c>
      <c r="C182" s="5">
        <v>260</v>
      </c>
      <c r="D182" s="5">
        <v>35</v>
      </c>
      <c r="E182" s="4">
        <v>113.27</v>
      </c>
      <c r="F182" s="137"/>
      <c r="H182" s="4">
        <f t="shared" si="4"/>
        <v>1.9822250000000001</v>
      </c>
      <c r="I182" s="4"/>
      <c r="J182" s="4">
        <f t="shared" si="5"/>
        <v>2.3786700000000001</v>
      </c>
      <c r="K182" s="4">
        <f t="shared" si="0"/>
        <v>0.39644499999999994</v>
      </c>
      <c r="L182" s="4">
        <f t="shared" si="1"/>
        <v>113.666445</v>
      </c>
      <c r="M182" s="148">
        <f t="shared" si="2"/>
        <v>0</v>
      </c>
      <c r="N182" s="149">
        <f t="shared" si="3"/>
        <v>0</v>
      </c>
      <c r="P182" s="25"/>
      <c r="Q182" s="26"/>
    </row>
    <row r="183" spans="1:17">
      <c r="B183" s="5" t="s">
        <v>144</v>
      </c>
      <c r="C183" s="5">
        <v>260</v>
      </c>
      <c r="D183" s="5">
        <v>35</v>
      </c>
      <c r="E183" s="4">
        <v>52.4</v>
      </c>
      <c r="F183" s="142">
        <f>+'PriceOut-Benton-TG-230189'!$H$357</f>
        <v>9</v>
      </c>
      <c r="H183" s="4">
        <f t="shared" si="4"/>
        <v>0.91700000000000004</v>
      </c>
      <c r="I183" s="4"/>
      <c r="J183" s="4">
        <f t="shared" si="5"/>
        <v>1.1004</v>
      </c>
      <c r="K183" s="4">
        <f t="shared" si="0"/>
        <v>0.18340000000000001</v>
      </c>
      <c r="L183" s="4">
        <f t="shared" si="1"/>
        <v>52.583399999999997</v>
      </c>
      <c r="M183" s="148">
        <f t="shared" si="2"/>
        <v>471.59999999999997</v>
      </c>
      <c r="N183" s="149">
        <f t="shared" si="3"/>
        <v>473.25059999999996</v>
      </c>
      <c r="P183" s="25"/>
      <c r="Q183" s="26"/>
    </row>
    <row r="184" spans="1:17">
      <c r="B184" s="5" t="s">
        <v>145</v>
      </c>
      <c r="C184" s="5">
        <v>260</v>
      </c>
      <c r="D184" s="5">
        <v>35</v>
      </c>
      <c r="E184" s="4">
        <v>133.03</v>
      </c>
      <c r="F184" s="142">
        <f>+'PriceOut-Benton-TG-230189'!$H$358</f>
        <v>8</v>
      </c>
      <c r="H184" s="4">
        <f>+$H$7*E184</f>
        <v>2.3280250000000002</v>
      </c>
      <c r="I184" s="4"/>
      <c r="J184" s="4">
        <f>+$J$7*E184</f>
        <v>2.7936300000000003</v>
      </c>
      <c r="K184" s="4">
        <f>+J184-H184</f>
        <v>0.46560500000000005</v>
      </c>
      <c r="L184" s="4">
        <f>+E184+K184</f>
        <v>133.49560500000001</v>
      </c>
      <c r="M184" s="148">
        <f>+E184*F184</f>
        <v>1064.24</v>
      </c>
      <c r="N184" s="149">
        <f>+L184*F184</f>
        <v>1067.9648400000001</v>
      </c>
      <c r="P184" s="25"/>
      <c r="Q184" s="26"/>
    </row>
    <row r="185" spans="1:17">
      <c r="B185" s="5" t="s">
        <v>140</v>
      </c>
      <c r="C185" s="5">
        <v>260</v>
      </c>
      <c r="D185" s="5">
        <v>35</v>
      </c>
      <c r="E185" s="4">
        <v>4.29</v>
      </c>
      <c r="F185" s="142">
        <f>+'PriceOut-Benton-TG-230189'!$H$344</f>
        <v>172</v>
      </c>
      <c r="H185" s="4">
        <f t="shared" si="4"/>
        <v>7.5075000000000003E-2</v>
      </c>
      <c r="I185" s="4"/>
      <c r="J185" s="4">
        <f t="shared" si="5"/>
        <v>9.0090000000000003E-2</v>
      </c>
      <c r="K185" s="4">
        <f t="shared" si="0"/>
        <v>1.5015000000000001E-2</v>
      </c>
      <c r="L185" s="4">
        <f t="shared" si="1"/>
        <v>4.305015</v>
      </c>
      <c r="M185" s="148">
        <f t="shared" si="2"/>
        <v>737.88</v>
      </c>
      <c r="N185" s="149">
        <f t="shared" si="3"/>
        <v>740.46258</v>
      </c>
      <c r="P185" s="25"/>
      <c r="Q185" s="26"/>
    </row>
    <row r="186" spans="1:17">
      <c r="E186" s="4"/>
      <c r="F186" s="137"/>
      <c r="H186" s="4"/>
      <c r="I186" s="4"/>
      <c r="J186" s="4"/>
      <c r="K186" s="4"/>
      <c r="L186" s="4"/>
      <c r="M186" s="148"/>
      <c r="N186" s="149"/>
      <c r="P186" s="25"/>
      <c r="Q186" s="26"/>
    </row>
    <row r="187" spans="1:17">
      <c r="B187" s="5" t="s">
        <v>146</v>
      </c>
      <c r="C187" s="5">
        <v>260</v>
      </c>
      <c r="D187" s="5">
        <v>35</v>
      </c>
      <c r="E187" s="4">
        <v>53.09</v>
      </c>
      <c r="F187" s="137">
        <f>+'PriceOut-Benton-TG-230189'!$H$348</f>
        <v>8</v>
      </c>
      <c r="H187" s="4">
        <f t="shared" ref="H187:H190" si="204">+$H$7*E187</f>
        <v>0.9290750000000001</v>
      </c>
      <c r="I187" s="4"/>
      <c r="J187" s="4">
        <f t="shared" ref="J187:J190" si="205">+$J$7*E187</f>
        <v>1.1148900000000002</v>
      </c>
      <c r="K187" s="4">
        <f t="shared" ref="K187:K190" si="206">+J187-H187</f>
        <v>0.18581500000000006</v>
      </c>
      <c r="L187" s="4">
        <f t="shared" ref="L187:L190" si="207">+E187+K187</f>
        <v>53.275815000000001</v>
      </c>
      <c r="M187" s="148">
        <f t="shared" ref="M187:M190" si="208">+E187*F187</f>
        <v>424.72</v>
      </c>
      <c r="N187" s="149">
        <f t="shared" ref="N187:N190" si="209">+L187*F187</f>
        <v>426.20652000000001</v>
      </c>
      <c r="P187" s="25"/>
      <c r="Q187" s="26"/>
    </row>
    <row r="188" spans="1:17">
      <c r="B188" s="5" t="s">
        <v>147</v>
      </c>
      <c r="C188" s="5">
        <v>260</v>
      </c>
      <c r="D188" s="5">
        <v>35</v>
      </c>
      <c r="E188" s="4">
        <v>113.27</v>
      </c>
      <c r="F188" s="137"/>
      <c r="H188" s="4">
        <f t="shared" si="204"/>
        <v>1.9822250000000001</v>
      </c>
      <c r="I188" s="4"/>
      <c r="J188" s="4">
        <f t="shared" si="205"/>
        <v>2.3786700000000001</v>
      </c>
      <c r="K188" s="4">
        <f t="shared" si="206"/>
        <v>0.39644499999999994</v>
      </c>
      <c r="L188" s="4">
        <f t="shared" si="207"/>
        <v>113.666445</v>
      </c>
      <c r="M188" s="148">
        <f t="shared" si="208"/>
        <v>0</v>
      </c>
      <c r="N188" s="149">
        <f t="shared" si="209"/>
        <v>0</v>
      </c>
      <c r="P188" s="25"/>
      <c r="Q188" s="26"/>
    </row>
    <row r="189" spans="1:17">
      <c r="B189" s="5" t="s">
        <v>148</v>
      </c>
      <c r="C189" s="5">
        <v>260</v>
      </c>
      <c r="D189" s="5">
        <v>35</v>
      </c>
      <c r="E189" s="4">
        <v>113.27</v>
      </c>
      <c r="F189" s="137"/>
      <c r="H189" s="4">
        <f t="shared" si="204"/>
        <v>1.9822250000000001</v>
      </c>
      <c r="I189" s="4"/>
      <c r="J189" s="4">
        <f t="shared" si="205"/>
        <v>2.3786700000000001</v>
      </c>
      <c r="K189" s="4">
        <f t="shared" si="206"/>
        <v>0.39644499999999994</v>
      </c>
      <c r="L189" s="4">
        <f t="shared" si="207"/>
        <v>113.666445</v>
      </c>
      <c r="M189" s="148">
        <f t="shared" si="208"/>
        <v>0</v>
      </c>
      <c r="N189" s="149">
        <f t="shared" si="209"/>
        <v>0</v>
      </c>
      <c r="P189" s="25"/>
      <c r="Q189" s="26"/>
    </row>
    <row r="190" spans="1:17">
      <c r="B190" s="5" t="s">
        <v>149</v>
      </c>
      <c r="C190" s="5">
        <v>260</v>
      </c>
      <c r="D190" s="5">
        <v>35</v>
      </c>
      <c r="E190" s="4">
        <v>52.4</v>
      </c>
      <c r="F190" s="142"/>
      <c r="H190" s="4">
        <f t="shared" si="204"/>
        <v>0.91700000000000004</v>
      </c>
      <c r="I190" s="4"/>
      <c r="J190" s="4">
        <f t="shared" si="205"/>
        <v>1.1004</v>
      </c>
      <c r="K190" s="4">
        <f t="shared" si="206"/>
        <v>0.18340000000000001</v>
      </c>
      <c r="L190" s="4">
        <f t="shared" si="207"/>
        <v>52.583399999999997</v>
      </c>
      <c r="M190" s="148">
        <f t="shared" si="208"/>
        <v>0</v>
      </c>
      <c r="N190" s="149">
        <f t="shared" si="209"/>
        <v>0</v>
      </c>
      <c r="P190" s="25"/>
      <c r="Q190" s="26"/>
    </row>
    <row r="191" spans="1:17">
      <c r="B191" s="5" t="s">
        <v>150</v>
      </c>
      <c r="C191" s="5">
        <v>260</v>
      </c>
      <c r="D191" s="5">
        <v>35</v>
      </c>
      <c r="E191" s="4">
        <v>133.03</v>
      </c>
      <c r="F191" s="142"/>
      <c r="H191" s="4">
        <f>+$H$7*E191</f>
        <v>2.3280250000000002</v>
      </c>
      <c r="I191" s="4"/>
      <c r="J191" s="4">
        <f>+$J$7*E191</f>
        <v>2.7936300000000003</v>
      </c>
      <c r="K191" s="4">
        <f>+J191-H191</f>
        <v>0.46560500000000005</v>
      </c>
      <c r="L191" s="4">
        <f>+E191+K191</f>
        <v>133.49560500000001</v>
      </c>
      <c r="M191" s="148">
        <f>+E191*F191</f>
        <v>0</v>
      </c>
      <c r="N191" s="149">
        <f>+L191*F191</f>
        <v>0</v>
      </c>
      <c r="P191" s="25"/>
      <c r="Q191" s="26"/>
    </row>
    <row r="192" spans="1:17">
      <c r="B192" s="5" t="s">
        <v>151</v>
      </c>
      <c r="C192" s="5">
        <v>260</v>
      </c>
      <c r="D192" s="5">
        <v>35</v>
      </c>
      <c r="E192" s="4">
        <v>4.29</v>
      </c>
      <c r="F192" s="142"/>
      <c r="H192" s="4">
        <f t="shared" ref="H192" si="210">+$H$7*E192</f>
        <v>7.5075000000000003E-2</v>
      </c>
      <c r="I192" s="4"/>
      <c r="J192" s="4">
        <f t="shared" ref="J192" si="211">+$J$7*E192</f>
        <v>9.0090000000000003E-2</v>
      </c>
      <c r="K192" s="4">
        <f t="shared" ref="K192" si="212">+J192-H192</f>
        <v>1.5015000000000001E-2</v>
      </c>
      <c r="L192" s="4">
        <f t="shared" ref="L192" si="213">+E192+K192</f>
        <v>4.305015</v>
      </c>
      <c r="M192" s="148">
        <f t="shared" ref="M192" si="214">+E192*F192</f>
        <v>0</v>
      </c>
      <c r="N192" s="149">
        <f t="shared" ref="N192" si="215">+L192*F192</f>
        <v>0</v>
      </c>
      <c r="P192" s="25"/>
      <c r="Q192" s="26"/>
    </row>
    <row r="193" spans="2:17">
      <c r="E193" s="4"/>
      <c r="F193" s="137"/>
      <c r="H193" s="4"/>
      <c r="I193" s="4"/>
      <c r="J193" s="4"/>
      <c r="K193" s="4"/>
      <c r="L193" s="4"/>
      <c r="M193" s="148"/>
      <c r="N193" s="149"/>
      <c r="P193" s="25"/>
      <c r="Q193" s="26"/>
    </row>
    <row r="194" spans="2:17">
      <c r="B194" s="5" t="s">
        <v>48</v>
      </c>
      <c r="C194" s="5">
        <v>260</v>
      </c>
      <c r="D194" s="5">
        <v>35</v>
      </c>
      <c r="E194" s="4">
        <v>63.67</v>
      </c>
      <c r="F194" s="137">
        <f>+'PriceOut-Benton-TG-230189'!$H$350</f>
        <v>43</v>
      </c>
      <c r="H194" s="4">
        <f t="shared" si="4"/>
        <v>1.1142250000000002</v>
      </c>
      <c r="I194" s="4"/>
      <c r="J194" s="4">
        <f t="shared" si="5"/>
        <v>1.3370700000000002</v>
      </c>
      <c r="K194" s="4">
        <f t="shared" si="0"/>
        <v>0.22284499999999996</v>
      </c>
      <c r="L194" s="4">
        <f t="shared" si="1"/>
        <v>63.892845000000001</v>
      </c>
      <c r="M194" s="148">
        <f t="shared" si="2"/>
        <v>2737.81</v>
      </c>
      <c r="N194" s="149">
        <f t="shared" si="3"/>
        <v>2747.392335</v>
      </c>
      <c r="P194" s="25"/>
      <c r="Q194" s="26"/>
    </row>
    <row r="195" spans="2:17">
      <c r="B195" s="5" t="s">
        <v>49</v>
      </c>
      <c r="C195" s="5">
        <v>260</v>
      </c>
      <c r="D195" s="5">
        <v>35</v>
      </c>
      <c r="E195" s="4">
        <v>113.27</v>
      </c>
      <c r="F195" s="137">
        <f>+'PriceOut-Benton-TG-230189'!$H$349</f>
        <v>75</v>
      </c>
      <c r="H195" s="4">
        <f t="shared" si="4"/>
        <v>1.9822250000000001</v>
      </c>
      <c r="I195" s="4"/>
      <c r="J195" s="4">
        <f t="shared" si="5"/>
        <v>2.3786700000000001</v>
      </c>
      <c r="K195" s="4">
        <f t="shared" si="0"/>
        <v>0.39644499999999994</v>
      </c>
      <c r="L195" s="4">
        <f t="shared" si="1"/>
        <v>113.666445</v>
      </c>
      <c r="M195" s="148">
        <f t="shared" si="2"/>
        <v>8495.25</v>
      </c>
      <c r="N195" s="149">
        <f t="shared" si="3"/>
        <v>8524.9833749999998</v>
      </c>
      <c r="P195" s="25"/>
      <c r="Q195" s="26"/>
    </row>
    <row r="196" spans="2:17">
      <c r="B196" s="5" t="s">
        <v>50</v>
      </c>
      <c r="C196" s="5">
        <v>260</v>
      </c>
      <c r="D196" s="5">
        <v>35</v>
      </c>
      <c r="E196" s="4">
        <v>113.27</v>
      </c>
      <c r="F196" s="137"/>
      <c r="H196" s="4">
        <f t="shared" si="4"/>
        <v>1.9822250000000001</v>
      </c>
      <c r="I196" s="4"/>
      <c r="J196" s="4">
        <f t="shared" si="5"/>
        <v>2.3786700000000001</v>
      </c>
      <c r="K196" s="4">
        <f t="shared" si="0"/>
        <v>0.39644499999999994</v>
      </c>
      <c r="L196" s="4">
        <f t="shared" si="1"/>
        <v>113.666445</v>
      </c>
      <c r="M196" s="148">
        <f t="shared" si="2"/>
        <v>0</v>
      </c>
      <c r="N196" s="149">
        <f t="shared" si="3"/>
        <v>0</v>
      </c>
      <c r="P196" s="25"/>
      <c r="Q196" s="26"/>
    </row>
    <row r="197" spans="2:17">
      <c r="B197" s="5" t="s">
        <v>52</v>
      </c>
      <c r="C197" s="5">
        <v>260</v>
      </c>
      <c r="D197" s="5">
        <v>35</v>
      </c>
      <c r="E197" s="4">
        <v>52.4</v>
      </c>
      <c r="F197" s="142">
        <f>+'PriceOut-Benton-TG-230189'!$H$363</f>
        <v>38</v>
      </c>
      <c r="H197" s="4">
        <f t="shared" si="4"/>
        <v>0.91700000000000004</v>
      </c>
      <c r="I197" s="4"/>
      <c r="J197" s="4">
        <f t="shared" si="5"/>
        <v>1.1004</v>
      </c>
      <c r="K197" s="4">
        <f t="shared" si="0"/>
        <v>0.18340000000000001</v>
      </c>
      <c r="L197" s="4">
        <f t="shared" si="1"/>
        <v>52.583399999999997</v>
      </c>
      <c r="M197" s="148">
        <f t="shared" si="2"/>
        <v>1991.2</v>
      </c>
      <c r="N197" s="149">
        <f t="shared" si="3"/>
        <v>1998.1691999999998</v>
      </c>
      <c r="P197" s="25"/>
      <c r="Q197" s="26"/>
    </row>
    <row r="198" spans="2:17">
      <c r="B198" s="5" t="s">
        <v>51</v>
      </c>
      <c r="C198" s="5">
        <v>260</v>
      </c>
      <c r="D198" s="5">
        <v>35</v>
      </c>
      <c r="E198" s="4">
        <v>133.03</v>
      </c>
      <c r="F198" s="142">
        <f>+'PriceOut-Benton-TG-230189'!$H$364</f>
        <v>72</v>
      </c>
      <c r="H198" s="4">
        <f>+$H$7*E198</f>
        <v>2.3280250000000002</v>
      </c>
      <c r="I198" s="4"/>
      <c r="J198" s="4">
        <f>+$J$7*E198</f>
        <v>2.7936300000000003</v>
      </c>
      <c r="K198" s="4">
        <f>+J198-H198</f>
        <v>0.46560500000000005</v>
      </c>
      <c r="L198" s="4">
        <f>+E198+K198</f>
        <v>133.49560500000001</v>
      </c>
      <c r="M198" s="148">
        <f>+E198*F198</f>
        <v>9578.16</v>
      </c>
      <c r="N198" s="149">
        <f>+L198*F198</f>
        <v>9611.6835600000013</v>
      </c>
      <c r="P198" s="25"/>
      <c r="Q198" s="26"/>
    </row>
    <row r="199" spans="2:17">
      <c r="B199" s="5" t="s">
        <v>139</v>
      </c>
      <c r="C199" s="5">
        <v>260</v>
      </c>
      <c r="D199" s="5">
        <v>35</v>
      </c>
      <c r="E199" s="4">
        <v>4.79</v>
      </c>
      <c r="F199" s="142">
        <f>+'PriceOut-Benton-TG-230189'!$H$362</f>
        <v>863</v>
      </c>
      <c r="H199" s="4">
        <f t="shared" si="4"/>
        <v>8.3825000000000011E-2</v>
      </c>
      <c r="I199" s="4"/>
      <c r="J199" s="4">
        <f t="shared" si="5"/>
        <v>0.10059000000000001</v>
      </c>
      <c r="K199" s="4">
        <f t="shared" si="0"/>
        <v>1.6765000000000002E-2</v>
      </c>
      <c r="L199" s="4">
        <f t="shared" si="1"/>
        <v>4.8067650000000004</v>
      </c>
      <c r="M199" s="148">
        <f t="shared" si="2"/>
        <v>4133.7700000000004</v>
      </c>
      <c r="N199" s="149">
        <f t="shared" si="3"/>
        <v>4148.2381949999999</v>
      </c>
      <c r="P199" s="25"/>
      <c r="Q199" s="26"/>
    </row>
    <row r="200" spans="2:17">
      <c r="E200" s="4"/>
      <c r="F200" s="137"/>
      <c r="H200" s="4"/>
      <c r="I200" s="4"/>
      <c r="J200" s="4"/>
      <c r="K200" s="4"/>
      <c r="L200" s="4"/>
      <c r="M200" s="148"/>
      <c r="N200" s="149"/>
      <c r="P200" s="25"/>
      <c r="Q200" s="26"/>
    </row>
    <row r="201" spans="2:17">
      <c r="B201" s="5" t="s">
        <v>53</v>
      </c>
      <c r="C201" s="5">
        <v>260</v>
      </c>
      <c r="D201" s="5">
        <v>35</v>
      </c>
      <c r="E201" s="4">
        <v>84.93</v>
      </c>
      <c r="F201" s="137">
        <f>+'PriceOut-Benton-TG-230189'!$H$352</f>
        <v>110</v>
      </c>
      <c r="H201" s="4">
        <f t="shared" si="4"/>
        <v>1.4862750000000002</v>
      </c>
      <c r="I201" s="4"/>
      <c r="J201" s="4">
        <f t="shared" si="5"/>
        <v>1.7835300000000003</v>
      </c>
      <c r="K201" s="4">
        <f t="shared" ref="K201:K232" si="216">+J201-H201</f>
        <v>0.29725500000000005</v>
      </c>
      <c r="L201" s="4">
        <f t="shared" ref="L201:L232" si="217">+E201+K201</f>
        <v>85.227255000000014</v>
      </c>
      <c r="M201" s="148">
        <f t="shared" ref="M201:M232" si="218">+E201*F201</f>
        <v>9342.3000000000011</v>
      </c>
      <c r="N201" s="149">
        <f t="shared" ref="N201:N232" si="219">+L201*F201</f>
        <v>9374.998050000002</v>
      </c>
      <c r="P201" s="25"/>
      <c r="Q201" s="26"/>
    </row>
    <row r="202" spans="2:17">
      <c r="B202" s="5" t="s">
        <v>54</v>
      </c>
      <c r="C202" s="5">
        <v>260</v>
      </c>
      <c r="D202" s="5">
        <v>35</v>
      </c>
      <c r="E202" s="4">
        <v>113.27</v>
      </c>
      <c r="F202" s="137">
        <f>+'PriceOut-Benton-TG-230189'!$H$351</f>
        <v>364</v>
      </c>
      <c r="H202" s="4">
        <f t="shared" si="4"/>
        <v>1.9822250000000001</v>
      </c>
      <c r="I202" s="4"/>
      <c r="J202" s="4">
        <f t="shared" si="5"/>
        <v>2.3786700000000001</v>
      </c>
      <c r="K202" s="4">
        <f t="shared" si="216"/>
        <v>0.39644499999999994</v>
      </c>
      <c r="L202" s="4">
        <f t="shared" si="217"/>
        <v>113.666445</v>
      </c>
      <c r="M202" s="148">
        <f t="shared" si="218"/>
        <v>41230.28</v>
      </c>
      <c r="N202" s="149">
        <f t="shared" si="219"/>
        <v>41374.585979999996</v>
      </c>
      <c r="P202" s="25"/>
      <c r="Q202" s="26"/>
    </row>
    <row r="203" spans="2:17">
      <c r="B203" s="5" t="s">
        <v>55</v>
      </c>
      <c r="C203" s="5">
        <v>260</v>
      </c>
      <c r="D203" s="5">
        <v>35</v>
      </c>
      <c r="E203" s="4">
        <v>113.27</v>
      </c>
      <c r="F203" s="137"/>
      <c r="H203" s="4">
        <f t="shared" ref="H203:H232" si="220">+$H$7*E203</f>
        <v>1.9822250000000001</v>
      </c>
      <c r="I203" s="4"/>
      <c r="J203" s="4">
        <f t="shared" ref="J203:J232" si="221">+$J$7*E203</f>
        <v>2.3786700000000001</v>
      </c>
      <c r="K203" s="4">
        <f t="shared" si="216"/>
        <v>0.39644499999999994</v>
      </c>
      <c r="L203" s="4">
        <f t="shared" si="217"/>
        <v>113.666445</v>
      </c>
      <c r="M203" s="148">
        <f t="shared" si="218"/>
        <v>0</v>
      </c>
      <c r="N203" s="149">
        <f t="shared" si="219"/>
        <v>0</v>
      </c>
      <c r="P203" s="25"/>
      <c r="Q203" s="26"/>
    </row>
    <row r="204" spans="2:17">
      <c r="B204" s="5" t="s">
        <v>57</v>
      </c>
      <c r="C204" s="5">
        <v>260</v>
      </c>
      <c r="D204" s="5">
        <v>35</v>
      </c>
      <c r="E204" s="4">
        <v>52.4</v>
      </c>
      <c r="F204" s="142">
        <f>+'PriceOut-Benton-TG-230189'!$H$366</f>
        <v>36</v>
      </c>
      <c r="H204" s="4">
        <f t="shared" si="220"/>
        <v>0.91700000000000004</v>
      </c>
      <c r="I204" s="4"/>
      <c r="J204" s="4">
        <f t="shared" si="221"/>
        <v>1.1004</v>
      </c>
      <c r="K204" s="4">
        <f t="shared" si="216"/>
        <v>0.18340000000000001</v>
      </c>
      <c r="L204" s="4">
        <f t="shared" si="217"/>
        <v>52.583399999999997</v>
      </c>
      <c r="M204" s="148">
        <f t="shared" si="218"/>
        <v>1886.3999999999999</v>
      </c>
      <c r="N204" s="149">
        <f t="shared" si="219"/>
        <v>1893.0023999999999</v>
      </c>
      <c r="P204" s="25"/>
      <c r="Q204" s="26"/>
    </row>
    <row r="205" spans="2:17">
      <c r="B205" s="5" t="s">
        <v>56</v>
      </c>
      <c r="C205" s="5">
        <v>260</v>
      </c>
      <c r="D205" s="5">
        <v>35</v>
      </c>
      <c r="E205" s="4">
        <v>133.03</v>
      </c>
      <c r="F205" s="142">
        <f>+'PriceOut-Benton-TG-230189'!$H$367</f>
        <v>91</v>
      </c>
      <c r="H205" s="4">
        <f>+$H$7*E205</f>
        <v>2.3280250000000002</v>
      </c>
      <c r="I205" s="4"/>
      <c r="J205" s="4">
        <f>+$J$7*E205</f>
        <v>2.7936300000000003</v>
      </c>
      <c r="K205" s="4">
        <f>+J205-H205</f>
        <v>0.46560500000000005</v>
      </c>
      <c r="L205" s="4">
        <f>+E205+K205</f>
        <v>133.49560500000001</v>
      </c>
      <c r="M205" s="148">
        <f>+E205*F205</f>
        <v>12105.73</v>
      </c>
      <c r="N205" s="149">
        <f>+L205*F205</f>
        <v>12148.100055000001</v>
      </c>
      <c r="P205" s="25"/>
      <c r="Q205" s="26"/>
    </row>
    <row r="206" spans="2:17">
      <c r="B206" s="5" t="s">
        <v>47</v>
      </c>
      <c r="C206" s="5">
        <v>260</v>
      </c>
      <c r="D206" s="5">
        <v>35</v>
      </c>
      <c r="E206" s="4">
        <v>5.79</v>
      </c>
      <c r="F206" s="142">
        <f>+'PriceOut-Benton-TG-230189'!$H$365</f>
        <v>823</v>
      </c>
      <c r="H206" s="4">
        <f t="shared" si="220"/>
        <v>0.10132500000000001</v>
      </c>
      <c r="I206" s="4"/>
      <c r="J206" s="4">
        <f t="shared" si="221"/>
        <v>0.12159</v>
      </c>
      <c r="K206" s="4">
        <f t="shared" si="216"/>
        <v>2.0264999999999991E-2</v>
      </c>
      <c r="L206" s="4">
        <f t="shared" si="217"/>
        <v>5.8102650000000002</v>
      </c>
      <c r="M206" s="148">
        <f t="shared" si="218"/>
        <v>4765.17</v>
      </c>
      <c r="N206" s="149">
        <f t="shared" si="219"/>
        <v>4781.8480950000003</v>
      </c>
      <c r="P206" s="25"/>
      <c r="Q206" s="26"/>
    </row>
    <row r="207" spans="2:17">
      <c r="E207" s="4"/>
      <c r="F207" s="137"/>
      <c r="H207" s="4"/>
      <c r="I207" s="4"/>
      <c r="J207" s="4"/>
      <c r="K207" s="4"/>
      <c r="L207" s="4"/>
      <c r="M207" s="148"/>
      <c r="N207" s="149"/>
      <c r="P207" s="25"/>
      <c r="Q207" s="26"/>
    </row>
    <row r="208" spans="2:17">
      <c r="B208" s="5" t="s">
        <v>58</v>
      </c>
      <c r="C208" s="5">
        <v>260</v>
      </c>
      <c r="D208" s="5">
        <v>35</v>
      </c>
      <c r="E208" s="4">
        <v>95</v>
      </c>
      <c r="F208" s="137">
        <f>+'PriceOut-Benton-TG-230189'!$H$354</f>
        <v>40</v>
      </c>
      <c r="H208" s="4">
        <f t="shared" si="220"/>
        <v>1.6625000000000001</v>
      </c>
      <c r="I208" s="4"/>
      <c r="J208" s="4">
        <f t="shared" si="221"/>
        <v>1.9950000000000001</v>
      </c>
      <c r="K208" s="4">
        <f t="shared" si="216"/>
        <v>0.33250000000000002</v>
      </c>
      <c r="L208" s="4">
        <f t="shared" si="217"/>
        <v>95.332499999999996</v>
      </c>
      <c r="M208" s="148">
        <f t="shared" si="218"/>
        <v>3800</v>
      </c>
      <c r="N208" s="149">
        <f t="shared" si="219"/>
        <v>3813.2999999999997</v>
      </c>
      <c r="P208" s="25"/>
      <c r="Q208" s="26"/>
    </row>
    <row r="209" spans="1:17">
      <c r="B209" s="5" t="s">
        <v>59</v>
      </c>
      <c r="C209" s="5">
        <v>260</v>
      </c>
      <c r="D209" s="5">
        <v>35</v>
      </c>
      <c r="E209" s="4">
        <v>130.33000000000001</v>
      </c>
      <c r="F209" s="137">
        <f>+'PriceOut-Benton-TG-230189'!$H$353</f>
        <v>66</v>
      </c>
      <c r="H209" s="4">
        <f t="shared" si="220"/>
        <v>2.2807750000000002</v>
      </c>
      <c r="I209" s="4"/>
      <c r="J209" s="4">
        <f t="shared" si="221"/>
        <v>2.7369300000000005</v>
      </c>
      <c r="K209" s="4">
        <f t="shared" si="216"/>
        <v>0.45615500000000031</v>
      </c>
      <c r="L209" s="4">
        <f t="shared" si="217"/>
        <v>130.78615500000001</v>
      </c>
      <c r="M209" s="148">
        <f t="shared" si="218"/>
        <v>8601.7800000000007</v>
      </c>
      <c r="N209" s="149">
        <f t="shared" si="219"/>
        <v>8631.8862300000001</v>
      </c>
      <c r="P209" s="25"/>
      <c r="Q209" s="26"/>
    </row>
    <row r="210" spans="1:17">
      <c r="B210" s="5" t="s">
        <v>60</v>
      </c>
      <c r="C210" s="5">
        <v>260</v>
      </c>
      <c r="D210" s="5">
        <v>35</v>
      </c>
      <c r="E210" s="4">
        <v>130.33000000000001</v>
      </c>
      <c r="F210" s="137"/>
      <c r="H210" s="4">
        <f t="shared" si="220"/>
        <v>2.2807750000000002</v>
      </c>
      <c r="I210" s="4"/>
      <c r="J210" s="4">
        <f t="shared" si="221"/>
        <v>2.7369300000000005</v>
      </c>
      <c r="K210" s="4">
        <f t="shared" si="216"/>
        <v>0.45615500000000031</v>
      </c>
      <c r="L210" s="4">
        <f t="shared" si="217"/>
        <v>130.78615500000001</v>
      </c>
      <c r="M210" s="148">
        <f t="shared" si="218"/>
        <v>0</v>
      </c>
      <c r="N210" s="149">
        <f t="shared" si="219"/>
        <v>0</v>
      </c>
      <c r="P210" s="25"/>
      <c r="Q210" s="26"/>
    </row>
    <row r="211" spans="1:17">
      <c r="B211" s="5" t="s">
        <v>62</v>
      </c>
      <c r="C211" s="5">
        <v>260</v>
      </c>
      <c r="D211" s="5">
        <v>35</v>
      </c>
      <c r="E211" s="4">
        <v>52.4</v>
      </c>
      <c r="F211" s="137">
        <f>+'PriceOut-Benton-TG-230189'!$H$369</f>
        <v>2</v>
      </c>
      <c r="H211" s="4">
        <f t="shared" si="220"/>
        <v>0.91700000000000004</v>
      </c>
      <c r="I211" s="4"/>
      <c r="J211" s="4">
        <f t="shared" si="221"/>
        <v>1.1004</v>
      </c>
      <c r="K211" s="4">
        <f t="shared" si="216"/>
        <v>0.18340000000000001</v>
      </c>
      <c r="L211" s="4">
        <f t="shared" si="217"/>
        <v>52.583399999999997</v>
      </c>
      <c r="M211" s="148">
        <f t="shared" si="218"/>
        <v>104.8</v>
      </c>
      <c r="N211" s="149">
        <f t="shared" si="219"/>
        <v>105.16679999999999</v>
      </c>
      <c r="P211" s="25"/>
      <c r="Q211" s="26"/>
    </row>
    <row r="212" spans="1:17">
      <c r="B212" s="5" t="s">
        <v>61</v>
      </c>
      <c r="C212" s="5">
        <v>260</v>
      </c>
      <c r="D212" s="5">
        <v>35</v>
      </c>
      <c r="E212" s="4">
        <v>160.4</v>
      </c>
      <c r="F212" s="137">
        <f>+'PriceOut-Benton-TG-230189'!$H$370</f>
        <v>11</v>
      </c>
      <c r="H212" s="4">
        <f>+$H$7*E212</f>
        <v>2.8070000000000004</v>
      </c>
      <c r="I212" s="4"/>
      <c r="J212" s="4">
        <f>+$J$7*E212</f>
        <v>3.3684000000000003</v>
      </c>
      <c r="K212" s="4">
        <f>+J212-H212</f>
        <v>0.5613999999999999</v>
      </c>
      <c r="L212" s="4">
        <f>+E212+K212</f>
        <v>160.9614</v>
      </c>
      <c r="M212" s="148">
        <f>+E212*F212</f>
        <v>1764.4</v>
      </c>
      <c r="N212" s="149">
        <f>+L212*F212</f>
        <v>1770.5753999999999</v>
      </c>
      <c r="P212" s="25"/>
      <c r="Q212" s="26"/>
    </row>
    <row r="213" spans="1:17">
      <c r="B213" s="5" t="s">
        <v>47</v>
      </c>
      <c r="C213" s="5">
        <v>260</v>
      </c>
      <c r="D213" s="5">
        <v>35</v>
      </c>
      <c r="E213" s="4">
        <v>6</v>
      </c>
      <c r="F213" s="137">
        <f>+'PriceOut-Benton-TG-230189'!$H$368</f>
        <v>97</v>
      </c>
      <c r="H213" s="4">
        <f t="shared" si="220"/>
        <v>0.10500000000000001</v>
      </c>
      <c r="I213" s="4"/>
      <c r="J213" s="4">
        <f t="shared" si="221"/>
        <v>0.126</v>
      </c>
      <c r="K213" s="4">
        <f t="shared" si="216"/>
        <v>2.0999999999999991E-2</v>
      </c>
      <c r="L213" s="4">
        <f t="shared" si="217"/>
        <v>6.0209999999999999</v>
      </c>
      <c r="M213" s="148">
        <f t="shared" si="218"/>
        <v>582</v>
      </c>
      <c r="N213" s="149">
        <f t="shared" si="219"/>
        <v>584.03700000000003</v>
      </c>
      <c r="P213" s="25"/>
      <c r="Q213" s="26"/>
    </row>
    <row r="214" spans="1:17">
      <c r="E214" s="4"/>
      <c r="F214" s="137"/>
      <c r="H214" s="4"/>
      <c r="I214" s="4"/>
      <c r="J214" s="4"/>
      <c r="K214" s="4"/>
      <c r="L214" s="4"/>
      <c r="M214" s="148"/>
      <c r="N214" s="149"/>
      <c r="P214" s="25"/>
      <c r="Q214" s="26"/>
    </row>
    <row r="215" spans="1:17">
      <c r="B215" s="5" t="s">
        <v>64</v>
      </c>
      <c r="C215" s="5">
        <v>260</v>
      </c>
      <c r="D215" s="5">
        <v>35</v>
      </c>
      <c r="E215" s="4">
        <v>3.49</v>
      </c>
      <c r="F215" s="137">
        <f>+'PriceOut-Benton-TG-230189'!$H$342</f>
        <v>15950</v>
      </c>
      <c r="H215" s="4">
        <f>+$H$7*E215</f>
        <v>6.1075000000000011E-2</v>
      </c>
      <c r="I215" s="4"/>
      <c r="J215" s="4">
        <f>+$J$7*E215</f>
        <v>7.3290000000000008E-2</v>
      </c>
      <c r="K215" s="4">
        <f>+J215-H215</f>
        <v>1.2214999999999997E-2</v>
      </c>
      <c r="L215" s="4">
        <f>+E215+K215</f>
        <v>3.5022150000000001</v>
      </c>
      <c r="M215" s="148">
        <f>+E215*F215</f>
        <v>55665.5</v>
      </c>
      <c r="N215" s="149">
        <f>+L215*F215</f>
        <v>55860.329250000003</v>
      </c>
      <c r="P215" s="25"/>
      <c r="Q215" s="26"/>
    </row>
    <row r="216" spans="1:17">
      <c r="B216" s="5" t="s">
        <v>63</v>
      </c>
      <c r="C216" s="5">
        <v>260</v>
      </c>
      <c r="D216" s="5">
        <v>35</v>
      </c>
      <c r="E216" s="4">
        <v>3.96</v>
      </c>
      <c r="F216" s="137"/>
      <c r="H216" s="4">
        <f>+$H$7*E216</f>
        <v>6.93E-2</v>
      </c>
      <c r="I216" s="4"/>
      <c r="J216" s="4">
        <f>+$J$7*E216</f>
        <v>8.3159999999999998E-2</v>
      </c>
      <c r="K216" s="4">
        <f>+J216-H216</f>
        <v>1.3859999999999997E-2</v>
      </c>
      <c r="L216" s="4">
        <f>+E216+K216</f>
        <v>3.9738600000000002</v>
      </c>
      <c r="M216" s="148">
        <f>+E216*F216</f>
        <v>0</v>
      </c>
      <c r="N216" s="149">
        <f>+L216*F216</f>
        <v>0</v>
      </c>
      <c r="P216" s="25"/>
      <c r="Q216" s="26"/>
    </row>
    <row r="217" spans="1:17">
      <c r="F217" s="137"/>
      <c r="M217" s="152"/>
      <c r="N217" s="153"/>
      <c r="P217" s="25"/>
      <c r="Q217" s="26"/>
    </row>
    <row r="218" spans="1:17">
      <c r="A218" s="93" t="s">
        <v>460</v>
      </c>
      <c r="B218" s="94"/>
      <c r="C218" s="94"/>
      <c r="D218" s="94"/>
      <c r="E218" s="95"/>
      <c r="F218" s="138"/>
      <c r="G218" s="96"/>
      <c r="H218" s="97"/>
      <c r="I218" s="96"/>
      <c r="J218" s="98"/>
      <c r="K218" s="96"/>
      <c r="L218" s="95"/>
      <c r="M218" s="150"/>
      <c r="N218" s="151"/>
      <c r="P218" s="25"/>
      <c r="Q218" s="26"/>
    </row>
    <row r="219" spans="1:17">
      <c r="B219" s="5" t="s">
        <v>153</v>
      </c>
      <c r="C219" s="5">
        <v>270</v>
      </c>
      <c r="D219" s="5">
        <v>36</v>
      </c>
      <c r="E219" s="4">
        <v>95</v>
      </c>
      <c r="F219" s="137"/>
      <c r="H219" s="4">
        <f t="shared" ref="H219:H221" si="222">+$H$7*E219</f>
        <v>1.6625000000000001</v>
      </c>
      <c r="I219" s="4"/>
      <c r="J219" s="4">
        <f t="shared" ref="J219:J221" si="223">+$J$7*E219</f>
        <v>1.9950000000000001</v>
      </c>
      <c r="K219" s="4">
        <f t="shared" ref="K219:K221" si="224">+J219-H219</f>
        <v>0.33250000000000002</v>
      </c>
      <c r="L219" s="4">
        <f t="shared" ref="L219:L221" si="225">+E219+K219</f>
        <v>95.332499999999996</v>
      </c>
      <c r="M219" s="148">
        <f t="shared" ref="M219:M221" si="226">+E219*F219</f>
        <v>0</v>
      </c>
      <c r="N219" s="149">
        <f t="shared" ref="N219:N221" si="227">+L219*F219</f>
        <v>0</v>
      </c>
      <c r="P219" s="25"/>
      <c r="Q219" s="26"/>
    </row>
    <row r="220" spans="1:17">
      <c r="B220" s="5" t="s">
        <v>154</v>
      </c>
      <c r="C220" s="5">
        <v>270</v>
      </c>
      <c r="D220" s="5">
        <v>36</v>
      </c>
      <c r="E220" s="4">
        <v>137.32</v>
      </c>
      <c r="F220" s="137"/>
      <c r="H220" s="4">
        <f t="shared" si="222"/>
        <v>2.4031000000000002</v>
      </c>
      <c r="I220" s="4"/>
      <c r="J220" s="4">
        <f t="shared" si="223"/>
        <v>2.8837199999999998</v>
      </c>
      <c r="K220" s="4">
        <f t="shared" si="224"/>
        <v>0.4806199999999996</v>
      </c>
      <c r="L220" s="4">
        <f t="shared" si="225"/>
        <v>137.80061999999998</v>
      </c>
      <c r="M220" s="148">
        <f t="shared" si="226"/>
        <v>0</v>
      </c>
      <c r="N220" s="149">
        <f t="shared" si="227"/>
        <v>0</v>
      </c>
      <c r="P220" s="25"/>
      <c r="Q220" s="26"/>
    </row>
    <row r="221" spans="1:17">
      <c r="B221" s="5" t="s">
        <v>155</v>
      </c>
      <c r="C221" s="5">
        <v>270</v>
      </c>
      <c r="D221" s="5">
        <v>36</v>
      </c>
      <c r="E221" s="4">
        <v>137.32</v>
      </c>
      <c r="F221" s="137"/>
      <c r="H221" s="4">
        <f t="shared" si="222"/>
        <v>2.4031000000000002</v>
      </c>
      <c r="I221" s="4"/>
      <c r="J221" s="4">
        <f t="shared" si="223"/>
        <v>2.8837199999999998</v>
      </c>
      <c r="K221" s="4">
        <f t="shared" si="224"/>
        <v>0.4806199999999996</v>
      </c>
      <c r="L221" s="4">
        <f t="shared" si="225"/>
        <v>137.80061999999998</v>
      </c>
      <c r="M221" s="148">
        <f t="shared" si="226"/>
        <v>0</v>
      </c>
      <c r="N221" s="149">
        <f t="shared" si="227"/>
        <v>0</v>
      </c>
      <c r="P221" s="25"/>
      <c r="Q221" s="26"/>
    </row>
    <row r="222" spans="1:17">
      <c r="E222" s="4"/>
      <c r="F222" s="137"/>
      <c r="H222" s="4"/>
      <c r="I222" s="4"/>
      <c r="J222" s="4"/>
      <c r="K222" s="4"/>
      <c r="L222" s="4"/>
      <c r="M222" s="148"/>
      <c r="N222" s="149"/>
      <c r="P222" s="25"/>
      <c r="Q222" s="26"/>
    </row>
    <row r="223" spans="1:17">
      <c r="B223" s="5" t="s">
        <v>64</v>
      </c>
      <c r="C223" s="5">
        <v>270</v>
      </c>
      <c r="D223" s="5">
        <v>36</v>
      </c>
      <c r="E223" s="4">
        <v>3.49</v>
      </c>
      <c r="F223" s="137"/>
      <c r="H223" s="4">
        <f>+$H$7*E223</f>
        <v>6.1075000000000011E-2</v>
      </c>
      <c r="I223" s="4"/>
      <c r="J223" s="4">
        <f>+$J$7*E223</f>
        <v>7.3290000000000008E-2</v>
      </c>
      <c r="K223" s="4">
        <f>+J223-H223</f>
        <v>1.2214999999999997E-2</v>
      </c>
      <c r="L223" s="4">
        <f>+E223+K223</f>
        <v>3.5022150000000001</v>
      </c>
      <c r="M223" s="148">
        <f>+E223*F223</f>
        <v>0</v>
      </c>
      <c r="N223" s="149">
        <f>+L223*F223</f>
        <v>0</v>
      </c>
      <c r="P223" s="25"/>
      <c r="Q223" s="26"/>
    </row>
    <row r="224" spans="1:17">
      <c r="B224" s="5" t="s">
        <v>63</v>
      </c>
      <c r="C224" s="5">
        <v>270</v>
      </c>
      <c r="D224" s="5">
        <v>36</v>
      </c>
      <c r="E224" s="4">
        <v>3.96</v>
      </c>
      <c r="F224" s="137"/>
      <c r="H224" s="4">
        <f>+$H$7*E224</f>
        <v>6.93E-2</v>
      </c>
      <c r="I224" s="4"/>
      <c r="J224" s="4">
        <f>+$J$7*E224</f>
        <v>8.3159999999999998E-2</v>
      </c>
      <c r="K224" s="4">
        <f>+J224-H224</f>
        <v>1.3859999999999997E-2</v>
      </c>
      <c r="L224" s="4">
        <f>+E224+K224</f>
        <v>3.9738600000000002</v>
      </c>
      <c r="M224" s="148">
        <f>+E224*F224</f>
        <v>0</v>
      </c>
      <c r="N224" s="149">
        <f>+L224*F224</f>
        <v>0</v>
      </c>
      <c r="P224" s="25"/>
      <c r="Q224" s="26"/>
    </row>
    <row r="225" spans="1:17">
      <c r="B225" s="5" t="s">
        <v>152</v>
      </c>
      <c r="C225" s="5">
        <v>270</v>
      </c>
      <c r="D225" s="5">
        <v>36</v>
      </c>
      <c r="E225" s="4">
        <v>33.130000000000003</v>
      </c>
      <c r="F225" s="137"/>
      <c r="H225" s="4">
        <f>+$H$7*E225</f>
        <v>0.57977500000000015</v>
      </c>
      <c r="I225" s="4"/>
      <c r="J225" s="4">
        <f>+$J$7*E225</f>
        <v>0.69573000000000007</v>
      </c>
      <c r="K225" s="4">
        <f>+J225-H225</f>
        <v>0.11595499999999992</v>
      </c>
      <c r="L225" s="4">
        <f>+E225+K225</f>
        <v>33.245955000000002</v>
      </c>
      <c r="M225" s="148">
        <f>+E225*F225</f>
        <v>0</v>
      </c>
      <c r="N225" s="149">
        <f>+L225*F225</f>
        <v>0</v>
      </c>
      <c r="P225" s="25"/>
      <c r="Q225" s="26"/>
    </row>
    <row r="226" spans="1:17">
      <c r="E226" s="4"/>
      <c r="F226" s="137"/>
      <c r="H226" s="4"/>
      <c r="I226" s="4"/>
      <c r="J226" s="4"/>
      <c r="K226" s="4"/>
      <c r="L226" s="4"/>
      <c r="M226" s="148"/>
      <c r="N226" s="149"/>
      <c r="P226" s="25"/>
      <c r="Q226" s="26"/>
    </row>
    <row r="227" spans="1:17">
      <c r="A227" s="93" t="s">
        <v>461</v>
      </c>
      <c r="B227" s="94"/>
      <c r="C227" s="94"/>
      <c r="D227" s="94"/>
      <c r="E227" s="95"/>
      <c r="F227" s="138"/>
      <c r="G227" s="96"/>
      <c r="H227" s="97"/>
      <c r="I227" s="96"/>
      <c r="J227" s="98"/>
      <c r="K227" s="96"/>
      <c r="L227" s="95"/>
      <c r="M227" s="150"/>
      <c r="N227" s="151"/>
      <c r="P227" s="25"/>
      <c r="Q227" s="26"/>
    </row>
    <row r="228" spans="1:17">
      <c r="B228" s="5" t="s">
        <v>156</v>
      </c>
      <c r="C228" s="5">
        <v>275</v>
      </c>
      <c r="D228" s="5">
        <v>37</v>
      </c>
      <c r="E228" s="4">
        <v>137.32</v>
      </c>
      <c r="F228" s="137"/>
      <c r="H228" s="4">
        <f t="shared" si="220"/>
        <v>2.4031000000000002</v>
      </c>
      <c r="I228" s="4"/>
      <c r="J228" s="4">
        <f t="shared" si="221"/>
        <v>2.8837199999999998</v>
      </c>
      <c r="K228" s="4">
        <f t="shared" si="216"/>
        <v>0.4806199999999996</v>
      </c>
      <c r="L228" s="4">
        <f t="shared" si="217"/>
        <v>137.80061999999998</v>
      </c>
      <c r="M228" s="148">
        <f t="shared" si="218"/>
        <v>0</v>
      </c>
      <c r="N228" s="149">
        <f t="shared" si="219"/>
        <v>0</v>
      </c>
      <c r="P228" s="25"/>
      <c r="Q228" s="26"/>
    </row>
    <row r="229" spans="1:17">
      <c r="E229" s="4"/>
      <c r="F229" s="137"/>
      <c r="H229" s="4"/>
      <c r="I229" s="4"/>
      <c r="J229" s="4"/>
      <c r="K229" s="4"/>
      <c r="L229" s="4"/>
      <c r="M229" s="148"/>
      <c r="N229" s="149"/>
      <c r="P229" s="25"/>
      <c r="Q229" s="26"/>
    </row>
    <row r="230" spans="1:17">
      <c r="B230" s="5" t="s">
        <v>66</v>
      </c>
      <c r="C230" s="5">
        <v>275</v>
      </c>
      <c r="D230" s="5">
        <v>37</v>
      </c>
      <c r="E230" s="4">
        <v>3.49</v>
      </c>
      <c r="F230" s="137"/>
      <c r="H230" s="4">
        <f>+$H$7*E230</f>
        <v>6.1075000000000011E-2</v>
      </c>
      <c r="I230" s="4"/>
      <c r="J230" s="4">
        <f>+$J$7*E230</f>
        <v>7.3290000000000008E-2</v>
      </c>
      <c r="K230" s="4">
        <f>+J230-H230</f>
        <v>1.2214999999999997E-2</v>
      </c>
      <c r="L230" s="4">
        <f>+E230+K230</f>
        <v>3.5022150000000001</v>
      </c>
      <c r="M230" s="148">
        <f>+E230*F230</f>
        <v>0</v>
      </c>
      <c r="N230" s="149">
        <f>+L230*F230</f>
        <v>0</v>
      </c>
      <c r="P230" s="25"/>
      <c r="Q230" s="26"/>
    </row>
    <row r="231" spans="1:17">
      <c r="B231" s="5" t="s">
        <v>63</v>
      </c>
      <c r="C231" s="5">
        <v>275</v>
      </c>
      <c r="D231" s="5">
        <v>37</v>
      </c>
      <c r="E231" s="4">
        <v>3.96</v>
      </c>
      <c r="F231" s="137"/>
      <c r="H231" s="4">
        <f t="shared" si="220"/>
        <v>6.93E-2</v>
      </c>
      <c r="I231" s="4"/>
      <c r="J231" s="4">
        <f t="shared" si="221"/>
        <v>8.3159999999999998E-2</v>
      </c>
      <c r="K231" s="4">
        <f t="shared" si="216"/>
        <v>1.3859999999999997E-2</v>
      </c>
      <c r="L231" s="4">
        <f t="shared" si="217"/>
        <v>3.9738600000000002</v>
      </c>
      <c r="M231" s="148">
        <f t="shared" si="218"/>
        <v>0</v>
      </c>
      <c r="N231" s="149">
        <f t="shared" si="219"/>
        <v>0</v>
      </c>
      <c r="P231" s="25"/>
      <c r="Q231" s="26"/>
    </row>
    <row r="232" spans="1:17">
      <c r="B232" s="5" t="s">
        <v>65</v>
      </c>
      <c r="C232" s="5">
        <v>275</v>
      </c>
      <c r="D232" s="5">
        <v>37</v>
      </c>
      <c r="E232" s="4">
        <v>33.130000000000003</v>
      </c>
      <c r="F232" s="137"/>
      <c r="H232" s="4">
        <f t="shared" si="220"/>
        <v>0.57977500000000015</v>
      </c>
      <c r="I232" s="4"/>
      <c r="J232" s="4">
        <f t="shared" si="221"/>
        <v>0.69573000000000007</v>
      </c>
      <c r="K232" s="4">
        <f t="shared" si="216"/>
        <v>0.11595499999999992</v>
      </c>
      <c r="L232" s="4">
        <f t="shared" si="217"/>
        <v>33.245955000000002</v>
      </c>
      <c r="M232" s="148">
        <f t="shared" si="218"/>
        <v>0</v>
      </c>
      <c r="N232" s="149">
        <f t="shared" si="219"/>
        <v>0</v>
      </c>
      <c r="P232" s="25"/>
      <c r="Q232" s="26"/>
    </row>
    <row r="233" spans="1:17">
      <c r="E233" s="4"/>
      <c r="F233" s="137"/>
      <c r="H233" s="4"/>
      <c r="I233" s="4"/>
      <c r="J233" s="4"/>
      <c r="K233" s="4"/>
      <c r="L233" s="4"/>
      <c r="M233" s="148"/>
      <c r="N233" s="149"/>
      <c r="P233" s="25"/>
      <c r="Q233" s="26"/>
    </row>
    <row r="234" spans="1:17" ht="15.75" thickBot="1">
      <c r="E234" s="4"/>
      <c r="F234" s="143"/>
      <c r="H234" s="4"/>
      <c r="I234" s="4"/>
      <c r="J234" s="4"/>
      <c r="K234" s="4"/>
      <c r="L234" s="4"/>
      <c r="M234" s="148"/>
      <c r="N234" s="149"/>
      <c r="P234" s="27"/>
      <c r="Q234" s="26"/>
    </row>
    <row r="235" spans="1:17" ht="15.75" thickTop="1">
      <c r="E235" s="4"/>
      <c r="F235" s="133"/>
      <c r="H235" s="4"/>
      <c r="I235" s="4"/>
      <c r="J235" s="4"/>
      <c r="K235" s="4"/>
      <c r="L235" s="4"/>
      <c r="M235" s="154">
        <f>SUM(M9:M233)</f>
        <v>1854230.9941129463</v>
      </c>
      <c r="N235" s="155">
        <f>SUM(N9:N233)</f>
        <v>1860720.8025923423</v>
      </c>
      <c r="O235" s="92">
        <f>(N235-M235)/N235</f>
        <v>3.4877927254612167E-3</v>
      </c>
      <c r="P235" s="27"/>
      <c r="Q235" s="27"/>
    </row>
    <row r="236" spans="1:17">
      <c r="E236" s="4"/>
      <c r="H236" s="4"/>
      <c r="I236" s="4"/>
      <c r="J236" s="4"/>
      <c r="K236" s="4"/>
      <c r="L236" s="4"/>
      <c r="M236" s="148"/>
      <c r="N236" s="149"/>
      <c r="P236" s="25"/>
      <c r="Q236" s="26"/>
    </row>
    <row r="237" spans="1:17">
      <c r="E237" s="4"/>
      <c r="H237" s="4"/>
      <c r="I237" s="4"/>
      <c r="J237" s="4"/>
      <c r="K237" s="4"/>
      <c r="L237" s="4" t="s">
        <v>2</v>
      </c>
      <c r="M237" s="148">
        <f>+SUM(M9:M15,M27,M33,M40:M56)+M62</f>
        <v>1354563.4668225371</v>
      </c>
      <c r="N237" s="149">
        <f>+SUM(N9:N15,N27,N33,N40:N56)+N62</f>
        <v>1359304.4389564157</v>
      </c>
      <c r="O237" s="4">
        <f>+N237-M237</f>
        <v>4740.9721338786185</v>
      </c>
      <c r="P237" s="99">
        <f>+O237/M237</f>
        <v>3.4999999999998071E-3</v>
      </c>
      <c r="Q237" s="26"/>
    </row>
    <row r="238" spans="1:17">
      <c r="E238" s="4"/>
      <c r="H238" s="4"/>
      <c r="I238" s="4"/>
      <c r="J238" s="4"/>
      <c r="K238" s="4"/>
      <c r="L238" s="4" t="s">
        <v>10</v>
      </c>
      <c r="M238" s="148">
        <f>+SUM(M90:M178)+M86+M80+M75+M66+M58+M16+M28+M34</f>
        <v>326844.14729040948</v>
      </c>
      <c r="N238" s="149">
        <f>+SUM(N90:N178)+N86+N80+N75+N66+N58+N16+N28+N34</f>
        <v>327988.10180592595</v>
      </c>
      <c r="O238" s="4">
        <f t="shared" ref="O238:O239" si="228">+N238-M238</f>
        <v>1143.9545155164669</v>
      </c>
      <c r="P238" s="99">
        <f t="shared" ref="P238:P239" si="229">+O238/M238</f>
        <v>3.5000000000001033E-3</v>
      </c>
      <c r="Q238" s="26"/>
    </row>
    <row r="239" spans="1:17">
      <c r="E239" s="4"/>
      <c r="H239" s="4"/>
      <c r="I239" s="4"/>
      <c r="J239" s="4"/>
      <c r="K239" s="4"/>
      <c r="L239" s="4" t="s">
        <v>448</v>
      </c>
      <c r="M239" s="148">
        <f>+SUM(M180:M233)+M67+M29</f>
        <v>172823.38</v>
      </c>
      <c r="N239" s="149">
        <f>+SUM(N180:N233)+N67+N29</f>
        <v>173428.26182999997</v>
      </c>
      <c r="O239" s="4">
        <f t="shared" si="228"/>
        <v>604.88182999996934</v>
      </c>
      <c r="P239" s="99">
        <f t="shared" si="229"/>
        <v>3.4999999999998227E-3</v>
      </c>
      <c r="Q239" s="26"/>
    </row>
    <row r="240" spans="1:17">
      <c r="E240" s="4"/>
      <c r="H240" s="4"/>
      <c r="I240" s="4"/>
      <c r="J240" s="4"/>
      <c r="K240" s="4"/>
      <c r="L240" s="4" t="s">
        <v>9</v>
      </c>
      <c r="M240" s="154">
        <f>+SUM(M237:M239)</f>
        <v>1854230.9941129466</v>
      </c>
      <c r="N240" s="155">
        <f>+SUM(N237:N239)</f>
        <v>1860720.8025923416</v>
      </c>
      <c r="O240" s="91">
        <f>+SUM(O237:O239)</f>
        <v>6489.8084793950547</v>
      </c>
      <c r="P240" s="25"/>
      <c r="Q240" s="26"/>
    </row>
    <row r="241" spans="5:17" ht="15.75" thickBot="1">
      <c r="E241" s="4"/>
      <c r="H241" s="4"/>
      <c r="I241" s="4"/>
      <c r="J241" s="4"/>
      <c r="K241" s="4"/>
      <c r="L241" s="4"/>
      <c r="M241" s="156">
        <f>+M235-M240</f>
        <v>0</v>
      </c>
      <c r="N241" s="157">
        <f>+N235-N240</f>
        <v>0</v>
      </c>
      <c r="P241" s="25"/>
      <c r="Q241" s="26"/>
    </row>
    <row r="242" spans="5:17" ht="15.75" thickTop="1">
      <c r="E242" s="4"/>
      <c r="H242" s="4"/>
      <c r="I242" s="4"/>
      <c r="J242" s="4"/>
      <c r="K242" s="4"/>
      <c r="L242" s="4"/>
      <c r="M242" s="4"/>
      <c r="N242" s="4"/>
      <c r="P242" s="25"/>
      <c r="Q242" s="26"/>
    </row>
  </sheetData>
  <mergeCells count="2">
    <mergeCell ref="M6:N6"/>
    <mergeCell ref="B1:N1"/>
  </mergeCells>
  <phoneticPr fontId="8" type="noConversion"/>
  <pageMargins left="0.7" right="0.7" top="0.75" bottom="0.75" header="0.3" footer="0.3"/>
  <pageSetup scale="42" orientation="portrait" horizontalDpi="200" verticalDpi="200" r:id="rId1"/>
  <headerFooter>
    <oddHeader>&amp;C&amp;KFF0000INFORMATION RED OUTLINED AND/OR IN REDACTED AREA IS CONFIDENTIAL PER WAC 480-07-160</oddHead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623E5-3BD1-4FF4-975C-DC260741B3FD}">
  <sheetPr filterMode="1">
    <tabColor rgb="FF00FFCC"/>
    <pageSetUpPr fitToPage="1"/>
  </sheetPr>
  <dimension ref="A1:AD393"/>
  <sheetViews>
    <sheetView tabSelected="1" view="pageLayout" zoomScale="85" zoomScaleNormal="55" zoomScalePageLayoutView="85" workbookViewId="0">
      <selection activeCell="I19" sqref="I19"/>
    </sheetView>
  </sheetViews>
  <sheetFormatPr defaultColWidth="9.140625" defaultRowHeight="15.75" outlineLevelRow="1"/>
  <cols>
    <col min="1" max="1" width="7.85546875" style="29" customWidth="1"/>
    <col min="2" max="2" width="8.140625" style="29" customWidth="1"/>
    <col min="3" max="3" width="11.28515625" style="29" customWidth="1"/>
    <col min="4" max="4" width="12.140625" style="29" bestFit="1" customWidth="1"/>
    <col min="5" max="5" width="20.42578125" style="29" hidden="1" customWidth="1"/>
    <col min="6" max="6" width="68.85546875" style="29" customWidth="1"/>
    <col min="7" max="7" width="13.28515625" style="29" customWidth="1"/>
    <col min="8" max="8" width="9.5703125" style="29" customWidth="1"/>
    <col min="9" max="9" width="12.42578125" style="101" customWidth="1"/>
    <col min="10" max="10" width="12.42578125" style="100" customWidth="1"/>
    <col min="11" max="11" width="13.85546875" style="29" customWidth="1"/>
    <col min="12" max="13" width="20.140625" style="29" customWidth="1"/>
    <col min="14" max="14" width="14" style="29" customWidth="1"/>
    <col min="15" max="15" width="18.85546875" style="29" customWidth="1"/>
    <col min="16" max="16" width="18.5703125" style="29" customWidth="1"/>
    <col min="17" max="17" width="15.7109375" style="29" customWidth="1"/>
    <col min="18" max="18" width="15.42578125" style="29" bestFit="1" customWidth="1"/>
    <col min="19" max="19" width="15.42578125" style="29" customWidth="1"/>
    <col min="20" max="20" width="16.7109375" style="29" bestFit="1" customWidth="1"/>
    <col min="21" max="21" width="10.42578125" style="29" customWidth="1"/>
    <col min="22" max="22" width="29.85546875" style="29" customWidth="1"/>
    <col min="23" max="23" width="16.42578125" style="29" bestFit="1" customWidth="1"/>
    <col min="24" max="24" width="15.28515625" style="29" customWidth="1"/>
    <col min="25" max="25" width="15.140625" style="29" bestFit="1" customWidth="1"/>
    <col min="26" max="26" width="12" style="29" customWidth="1"/>
    <col min="27" max="27" width="13.7109375" style="29" customWidth="1"/>
    <col min="28" max="16384" width="9.140625" style="29"/>
  </cols>
  <sheetData>
    <row r="1" spans="1:27" ht="16.5" thickTop="1">
      <c r="A1" s="66" t="s">
        <v>444</v>
      </c>
      <c r="B1" s="64"/>
      <c r="C1" s="64"/>
      <c r="D1" s="64"/>
      <c r="E1" s="64"/>
      <c r="F1" s="64"/>
      <c r="G1" s="64"/>
      <c r="H1" s="64"/>
      <c r="I1" s="121"/>
      <c r="J1" s="120"/>
      <c r="K1" s="64"/>
      <c r="L1" s="64"/>
      <c r="M1" s="64"/>
      <c r="N1" s="65" t="e">
        <f>W13</f>
        <v>#REF!</v>
      </c>
      <c r="O1" s="63"/>
      <c r="P1" s="64"/>
      <c r="Q1" s="64"/>
      <c r="R1" s="90" t="s">
        <v>443</v>
      </c>
      <c r="S1" s="90"/>
      <c r="T1" s="89">
        <f>W8</f>
        <v>-3.512062356531305E-2</v>
      </c>
      <c r="U1" s="64"/>
      <c r="V1" s="64" t="s">
        <v>371</v>
      </c>
      <c r="W1" s="88">
        <f>'[23]LG-Benton'!K35</f>
        <v>0.91105673536356946</v>
      </c>
      <c r="X1" s="64"/>
      <c r="Y1" s="65">
        <f>'[23]LG-Benton'!M14</f>
        <v>159018.17557420436</v>
      </c>
      <c r="Z1" s="64"/>
      <c r="AA1" s="87" t="e">
        <f>S389</f>
        <v>#REF!</v>
      </c>
    </row>
    <row r="2" spans="1:27" ht="46.5" customHeight="1">
      <c r="A2" s="62" t="s">
        <v>0</v>
      </c>
      <c r="B2" s="61" t="s">
        <v>386</v>
      </c>
      <c r="C2" s="61" t="s">
        <v>385</v>
      </c>
      <c r="D2" s="61" t="s">
        <v>384</v>
      </c>
      <c r="E2" s="61" t="s">
        <v>383</v>
      </c>
      <c r="F2" s="61" t="s">
        <v>77</v>
      </c>
      <c r="G2" s="61" t="s">
        <v>382</v>
      </c>
      <c r="H2" s="61" t="s">
        <v>381</v>
      </c>
      <c r="I2" s="119" t="s">
        <v>442</v>
      </c>
      <c r="J2" s="118" t="s">
        <v>441</v>
      </c>
      <c r="K2" s="61" t="s">
        <v>18</v>
      </c>
      <c r="L2" s="61" t="s">
        <v>380</v>
      </c>
      <c r="M2" s="61" t="s">
        <v>379</v>
      </c>
      <c r="N2" s="61" t="s">
        <v>378</v>
      </c>
      <c r="O2" s="61" t="s">
        <v>377</v>
      </c>
      <c r="P2" s="61" t="s">
        <v>376</v>
      </c>
      <c r="Q2" s="61" t="s">
        <v>375</v>
      </c>
      <c r="R2" s="61" t="s">
        <v>374</v>
      </c>
      <c r="S2" s="61" t="s">
        <v>373</v>
      </c>
      <c r="T2" s="61" t="s">
        <v>372</v>
      </c>
      <c r="V2" s="29" t="s">
        <v>369</v>
      </c>
      <c r="W2" s="59" t="e">
        <f>(1-W1)*Q389-Z2</f>
        <v>#REF!</v>
      </c>
      <c r="X2" s="59" t="e">
        <f>Q389</f>
        <v>#REF!</v>
      </c>
      <c r="Z2" s="39">
        <f>'[23]LG-Benton'!M11+'[23]LG-Benton'!M12</f>
        <v>71901.360774304791</v>
      </c>
      <c r="AA2" s="35"/>
    </row>
    <row r="3" spans="1:27" hidden="1" outlineLevel="1">
      <c r="A3" s="36">
        <v>150</v>
      </c>
      <c r="B3" s="29">
        <v>2</v>
      </c>
      <c r="C3" s="29" t="s">
        <v>75</v>
      </c>
      <c r="D3" s="31">
        <v>50</v>
      </c>
      <c r="E3" s="31" t="s">
        <v>388</v>
      </c>
      <c r="F3" s="32" t="s">
        <v>368</v>
      </c>
      <c r="G3" s="31" t="s">
        <v>160</v>
      </c>
      <c r="H3" s="30">
        <v>0</v>
      </c>
      <c r="I3" s="103"/>
      <c r="J3" s="102"/>
      <c r="K3" s="45">
        <v>28.07</v>
      </c>
      <c r="L3" s="45">
        <v>15</v>
      </c>
      <c r="M3" s="41">
        <v>15</v>
      </c>
      <c r="N3" s="44">
        <f t="shared" ref="N3:N66" si="0">IF(K3="N/A","-",IFERROR(L3-K3,"New"))</f>
        <v>-13.07</v>
      </c>
      <c r="O3" s="43">
        <f t="shared" ref="O3:O66" si="1">IFERROR(H3*K3,0)</f>
        <v>0</v>
      </c>
      <c r="P3" s="40">
        <f t="shared" ref="P3:P66" si="2">L3*H3</f>
        <v>0</v>
      </c>
      <c r="Q3" s="40">
        <f t="shared" ref="Q3:Q66" si="3">M3*H3</f>
        <v>0</v>
      </c>
      <c r="R3" s="40">
        <f t="shared" ref="R3:R66" si="4">P3-O3</f>
        <v>0</v>
      </c>
      <c r="S3" s="40">
        <f t="shared" ref="S3:S66" si="5">Q3-O3</f>
        <v>0</v>
      </c>
      <c r="T3" s="42">
        <f t="shared" ref="T3:T66" si="6">IFERROR(M3/K3-1,0)</f>
        <v>-0.46562166013537587</v>
      </c>
      <c r="V3" s="29" t="s">
        <v>367</v>
      </c>
      <c r="W3" s="39">
        <f>'[23]LG-Benton'!C7</f>
        <v>1098267.4864482414</v>
      </c>
      <c r="X3" s="38" t="e">
        <f>$W$2/W3</f>
        <v>#REF!</v>
      </c>
      <c r="Y3" s="60">
        <f>'[23]LG-Benton'!K33</f>
        <v>0.17176952282547522</v>
      </c>
      <c r="AA3" s="35"/>
    </row>
    <row r="4" spans="1:27" hidden="1" outlineLevel="1">
      <c r="A4" s="36">
        <v>19</v>
      </c>
      <c r="B4" s="29">
        <v>1</v>
      </c>
      <c r="C4" s="29" t="s">
        <v>75</v>
      </c>
      <c r="D4" s="31">
        <v>50</v>
      </c>
      <c r="E4" s="31" t="s">
        <v>388</v>
      </c>
      <c r="F4" s="32" t="s">
        <v>370</v>
      </c>
      <c r="G4" s="31" t="s">
        <v>160</v>
      </c>
      <c r="H4" s="30">
        <v>5</v>
      </c>
      <c r="I4" s="103"/>
      <c r="J4" s="102"/>
      <c r="K4" s="45">
        <v>28.07</v>
      </c>
      <c r="L4" s="45">
        <v>15</v>
      </c>
      <c r="M4" s="41">
        <v>15</v>
      </c>
      <c r="N4" s="44">
        <f t="shared" si="0"/>
        <v>-13.07</v>
      </c>
      <c r="O4" s="43">
        <f t="shared" si="1"/>
        <v>140.35</v>
      </c>
      <c r="P4" s="40">
        <f t="shared" si="2"/>
        <v>75</v>
      </c>
      <c r="Q4" s="40">
        <f t="shared" si="3"/>
        <v>75</v>
      </c>
      <c r="R4" s="40">
        <f t="shared" si="4"/>
        <v>-65.349999999999994</v>
      </c>
      <c r="S4" s="40">
        <f t="shared" si="5"/>
        <v>-65.349999999999994</v>
      </c>
      <c r="T4" s="42">
        <f t="shared" si="6"/>
        <v>-0.46562166013537587</v>
      </c>
      <c r="V4" s="29" t="s">
        <v>364</v>
      </c>
      <c r="W4" s="53">
        <f>W3*0.6</f>
        <v>658960.49186894484</v>
      </c>
      <c r="X4" s="38" t="e">
        <f>$W$2/W4</f>
        <v>#REF!</v>
      </c>
      <c r="Y4" s="60">
        <f>'[23]LG-Benton'!K34</f>
        <v>0.23601647389098479</v>
      </c>
      <c r="AA4" s="35"/>
    </row>
    <row r="5" spans="1:27" hidden="1" outlineLevel="1">
      <c r="A5" s="36">
        <v>138</v>
      </c>
      <c r="B5" s="29">
        <v>2</v>
      </c>
      <c r="C5" s="29" t="s">
        <v>75</v>
      </c>
      <c r="D5" s="31">
        <v>51</v>
      </c>
      <c r="E5" s="31" t="s">
        <v>388</v>
      </c>
      <c r="F5" s="32" t="s">
        <v>363</v>
      </c>
      <c r="G5" s="31" t="s">
        <v>160</v>
      </c>
      <c r="H5" s="30">
        <v>2</v>
      </c>
      <c r="I5" s="103"/>
      <c r="J5" s="102"/>
      <c r="K5" s="45">
        <v>22.56</v>
      </c>
      <c r="L5" s="45">
        <v>22.56</v>
      </c>
      <c r="M5" s="41">
        <v>22.56</v>
      </c>
      <c r="N5" s="44">
        <f t="shared" si="0"/>
        <v>0</v>
      </c>
      <c r="O5" s="43">
        <f t="shared" si="1"/>
        <v>45.12</v>
      </c>
      <c r="P5" s="40">
        <f t="shared" si="2"/>
        <v>45.12</v>
      </c>
      <c r="Q5" s="40">
        <f t="shared" si="3"/>
        <v>45.12</v>
      </c>
      <c r="R5" s="40">
        <f t="shared" si="4"/>
        <v>0</v>
      </c>
      <c r="S5" s="40">
        <f t="shared" si="5"/>
        <v>0</v>
      </c>
      <c r="T5" s="42">
        <f t="shared" si="6"/>
        <v>0</v>
      </c>
      <c r="AA5" s="35"/>
    </row>
    <row r="6" spans="1:27" hidden="1" outlineLevel="1">
      <c r="A6" s="36">
        <v>11</v>
      </c>
      <c r="B6" s="29">
        <v>1</v>
      </c>
      <c r="C6" s="29" t="s">
        <v>75</v>
      </c>
      <c r="D6" s="31">
        <v>51</v>
      </c>
      <c r="E6" s="31" t="s">
        <v>388</v>
      </c>
      <c r="F6" s="32" t="s">
        <v>366</v>
      </c>
      <c r="G6" s="31" t="s">
        <v>160</v>
      </c>
      <c r="H6" s="30">
        <v>66</v>
      </c>
      <c r="I6" s="103"/>
      <c r="J6" s="102"/>
      <c r="K6" s="45">
        <v>22.56</v>
      </c>
      <c r="L6" s="45">
        <v>22.56</v>
      </c>
      <c r="M6" s="41">
        <v>22.56</v>
      </c>
      <c r="N6" s="44">
        <f t="shared" si="0"/>
        <v>0</v>
      </c>
      <c r="O6" s="43">
        <f t="shared" si="1"/>
        <v>1488.9599999999998</v>
      </c>
      <c r="P6" s="40">
        <f t="shared" si="2"/>
        <v>1488.9599999999998</v>
      </c>
      <c r="Q6" s="40">
        <f t="shared" si="3"/>
        <v>1488.9599999999998</v>
      </c>
      <c r="R6" s="40">
        <f t="shared" si="4"/>
        <v>0</v>
      </c>
      <c r="S6" s="40">
        <f t="shared" si="5"/>
        <v>0</v>
      </c>
      <c r="T6" s="42">
        <f t="shared" si="6"/>
        <v>0</v>
      </c>
      <c r="V6" s="57" t="s">
        <v>365</v>
      </c>
      <c r="W6" s="58">
        <f>'[23]LG-Benton'!K22</f>
        <v>-3.2164567802252853E-2</v>
      </c>
      <c r="AA6" s="35"/>
    </row>
    <row r="7" spans="1:27" hidden="1" outlineLevel="1">
      <c r="A7" s="36">
        <v>151</v>
      </c>
      <c r="B7" s="29">
        <v>2</v>
      </c>
      <c r="C7" s="29" t="s">
        <v>75</v>
      </c>
      <c r="D7" s="31">
        <v>52</v>
      </c>
      <c r="E7" s="31" t="s">
        <v>388</v>
      </c>
      <c r="F7" s="32" t="s">
        <v>356</v>
      </c>
      <c r="G7" s="31" t="s">
        <v>160</v>
      </c>
      <c r="H7" s="30">
        <v>0</v>
      </c>
      <c r="I7" s="103"/>
      <c r="J7" s="102"/>
      <c r="K7" s="45">
        <v>10.029999999999999</v>
      </c>
      <c r="L7" s="45">
        <v>17</v>
      </c>
      <c r="M7" s="41">
        <v>17</v>
      </c>
      <c r="N7" s="44">
        <f t="shared" si="0"/>
        <v>6.9700000000000006</v>
      </c>
      <c r="O7" s="43">
        <f t="shared" si="1"/>
        <v>0</v>
      </c>
      <c r="P7" s="40">
        <f t="shared" si="2"/>
        <v>0</v>
      </c>
      <c r="Q7" s="40">
        <f t="shared" si="3"/>
        <v>0</v>
      </c>
      <c r="R7" s="40">
        <f t="shared" si="4"/>
        <v>0</v>
      </c>
      <c r="S7" s="40">
        <f t="shared" si="5"/>
        <v>0</v>
      </c>
      <c r="T7" s="42">
        <f t="shared" si="6"/>
        <v>0.69491525423728828</v>
      </c>
      <c r="V7" s="57" t="s">
        <v>349</v>
      </c>
      <c r="W7" s="56">
        <f>IFERROR(Y9,0)</f>
        <v>-2.956055763060194E-3</v>
      </c>
      <c r="Y7" s="59">
        <f>SUMIF(D:D,"230",P:P)</f>
        <v>221072.22291925532</v>
      </c>
      <c r="AA7" s="35"/>
    </row>
    <row r="8" spans="1:27" hidden="1" outlineLevel="1">
      <c r="A8" s="36">
        <v>152</v>
      </c>
      <c r="B8" s="29">
        <v>2</v>
      </c>
      <c r="C8" s="29" t="s">
        <v>75</v>
      </c>
      <c r="D8" s="31">
        <v>52</v>
      </c>
      <c r="E8" s="31" t="s">
        <v>388</v>
      </c>
      <c r="F8" s="32" t="s">
        <v>354</v>
      </c>
      <c r="G8" s="31" t="s">
        <v>160</v>
      </c>
      <c r="H8" s="30">
        <v>0</v>
      </c>
      <c r="I8" s="103"/>
      <c r="J8" s="102"/>
      <c r="K8" s="45">
        <v>22.56</v>
      </c>
      <c r="L8" s="45">
        <v>30</v>
      </c>
      <c r="M8" s="41">
        <v>30</v>
      </c>
      <c r="N8" s="44">
        <f t="shared" si="0"/>
        <v>7.4400000000000013</v>
      </c>
      <c r="O8" s="43">
        <f t="shared" si="1"/>
        <v>0</v>
      </c>
      <c r="P8" s="40">
        <f t="shared" si="2"/>
        <v>0</v>
      </c>
      <c r="Q8" s="40">
        <f t="shared" si="3"/>
        <v>0</v>
      </c>
      <c r="R8" s="40">
        <f t="shared" si="4"/>
        <v>0</v>
      </c>
      <c r="S8" s="40">
        <f t="shared" si="5"/>
        <v>0</v>
      </c>
      <c r="T8" s="42">
        <f t="shared" si="6"/>
        <v>0.32978723404255317</v>
      </c>
      <c r="V8" s="55" t="s">
        <v>361</v>
      </c>
      <c r="W8" s="54">
        <f>W6+W7</f>
        <v>-3.512062356531305E-2</v>
      </c>
      <c r="Y8" s="117">
        <f>Y7*W6</f>
        <v>-7110.692503281145</v>
      </c>
      <c r="AA8" s="35"/>
    </row>
    <row r="9" spans="1:27" hidden="1" outlineLevel="1">
      <c r="A9" s="36">
        <v>153</v>
      </c>
      <c r="B9" s="29">
        <v>2</v>
      </c>
      <c r="C9" s="29" t="s">
        <v>75</v>
      </c>
      <c r="D9" s="31">
        <v>52</v>
      </c>
      <c r="E9" s="31" t="s">
        <v>388</v>
      </c>
      <c r="F9" s="32" t="s">
        <v>352</v>
      </c>
      <c r="G9" s="31" t="s">
        <v>160</v>
      </c>
      <c r="H9" s="30">
        <v>0</v>
      </c>
      <c r="I9" s="103"/>
      <c r="J9" s="102"/>
      <c r="K9" s="45">
        <v>22.56</v>
      </c>
      <c r="L9" s="45">
        <v>30</v>
      </c>
      <c r="M9" s="41">
        <v>30</v>
      </c>
      <c r="N9" s="44">
        <f t="shared" si="0"/>
        <v>7.4400000000000013</v>
      </c>
      <c r="O9" s="43">
        <f t="shared" si="1"/>
        <v>0</v>
      </c>
      <c r="P9" s="40">
        <f t="shared" si="2"/>
        <v>0</v>
      </c>
      <c r="Q9" s="40">
        <f t="shared" si="3"/>
        <v>0</v>
      </c>
      <c r="R9" s="40">
        <f t="shared" si="4"/>
        <v>0</v>
      </c>
      <c r="S9" s="40">
        <f t="shared" si="5"/>
        <v>0</v>
      </c>
      <c r="T9" s="42">
        <f t="shared" si="6"/>
        <v>0.32978723404255317</v>
      </c>
      <c r="Y9" s="38">
        <f>Y8/(O389-Y7)</f>
        <v>-2.956055763060194E-3</v>
      </c>
      <c r="AA9" s="35"/>
    </row>
    <row r="10" spans="1:27" hidden="1" outlineLevel="1">
      <c r="A10" s="36">
        <v>154</v>
      </c>
      <c r="B10" s="29">
        <v>2</v>
      </c>
      <c r="C10" s="29" t="s">
        <v>75</v>
      </c>
      <c r="D10" s="31">
        <v>52</v>
      </c>
      <c r="E10" s="31" t="s">
        <v>388</v>
      </c>
      <c r="F10" s="32" t="s">
        <v>351</v>
      </c>
      <c r="G10" s="31" t="s">
        <v>160</v>
      </c>
      <c r="H10" s="30">
        <v>0</v>
      </c>
      <c r="I10" s="103"/>
      <c r="J10" s="102"/>
      <c r="K10" s="45">
        <v>22.56</v>
      </c>
      <c r="L10" s="45">
        <v>30</v>
      </c>
      <c r="M10" s="41">
        <v>30</v>
      </c>
      <c r="N10" s="44">
        <f t="shared" si="0"/>
        <v>7.4400000000000013</v>
      </c>
      <c r="O10" s="43">
        <f t="shared" si="1"/>
        <v>0</v>
      </c>
      <c r="P10" s="40">
        <f t="shared" si="2"/>
        <v>0</v>
      </c>
      <c r="Q10" s="40">
        <f t="shared" si="3"/>
        <v>0</v>
      </c>
      <c r="R10" s="40">
        <f t="shared" si="4"/>
        <v>0</v>
      </c>
      <c r="S10" s="40">
        <f t="shared" si="5"/>
        <v>0</v>
      </c>
      <c r="T10" s="42">
        <f t="shared" si="6"/>
        <v>0.32978723404255317</v>
      </c>
      <c r="AA10" s="35"/>
    </row>
    <row r="11" spans="1:27" hidden="1" outlineLevel="1">
      <c r="A11" s="36">
        <v>155</v>
      </c>
      <c r="B11" s="29">
        <v>2</v>
      </c>
      <c r="C11" s="29" t="s">
        <v>75</v>
      </c>
      <c r="D11" s="31">
        <v>52</v>
      </c>
      <c r="E11" s="31" t="s">
        <v>388</v>
      </c>
      <c r="F11" s="32" t="s">
        <v>350</v>
      </c>
      <c r="G11" s="31" t="s">
        <v>160</v>
      </c>
      <c r="H11" s="30">
        <v>0</v>
      </c>
      <c r="I11" s="103"/>
      <c r="J11" s="102"/>
      <c r="K11" s="45">
        <v>22.56</v>
      </c>
      <c r="L11" s="45">
        <v>30</v>
      </c>
      <c r="M11" s="41">
        <v>30</v>
      </c>
      <c r="N11" s="44">
        <f t="shared" si="0"/>
        <v>7.4400000000000013</v>
      </c>
      <c r="O11" s="43">
        <f t="shared" si="1"/>
        <v>0</v>
      </c>
      <c r="P11" s="40">
        <f t="shared" si="2"/>
        <v>0</v>
      </c>
      <c r="Q11" s="40">
        <f t="shared" si="3"/>
        <v>0</v>
      </c>
      <c r="R11" s="40">
        <f t="shared" si="4"/>
        <v>0</v>
      </c>
      <c r="S11" s="40">
        <f t="shared" si="5"/>
        <v>0</v>
      </c>
      <c r="T11" s="42">
        <f t="shared" si="6"/>
        <v>0.32978723404255317</v>
      </c>
      <c r="V11" s="52" t="s">
        <v>357</v>
      </c>
      <c r="W11" s="49">
        <f>'[23]LG-Benton'!J21</f>
        <v>2596256.5832548295</v>
      </c>
      <c r="Y11" s="59">
        <f>O389-Y8</f>
        <v>2633649.2101178542</v>
      </c>
      <c r="AA11" s="35"/>
    </row>
    <row r="12" spans="1:27" hidden="1" outlineLevel="1">
      <c r="A12" s="36">
        <v>156</v>
      </c>
      <c r="B12" s="29">
        <v>2</v>
      </c>
      <c r="C12" s="29" t="s">
        <v>75</v>
      </c>
      <c r="D12" s="31">
        <v>52</v>
      </c>
      <c r="E12" s="31" t="s">
        <v>388</v>
      </c>
      <c r="F12" s="32" t="s">
        <v>348</v>
      </c>
      <c r="G12" s="31" t="s">
        <v>160</v>
      </c>
      <c r="H12" s="30">
        <v>0</v>
      </c>
      <c r="I12" s="103"/>
      <c r="J12" s="102"/>
      <c r="K12" s="45">
        <v>22.56</v>
      </c>
      <c r="L12" s="45">
        <v>30</v>
      </c>
      <c r="M12" s="41">
        <v>30</v>
      </c>
      <c r="N12" s="44">
        <f t="shared" si="0"/>
        <v>7.4400000000000013</v>
      </c>
      <c r="O12" s="43">
        <f t="shared" si="1"/>
        <v>0</v>
      </c>
      <c r="P12" s="40">
        <f t="shared" si="2"/>
        <v>0</v>
      </c>
      <c r="Q12" s="40">
        <f t="shared" si="3"/>
        <v>0</v>
      </c>
      <c r="R12" s="40">
        <f t="shared" si="4"/>
        <v>0</v>
      </c>
      <c r="S12" s="40">
        <f t="shared" si="5"/>
        <v>0</v>
      </c>
      <c r="T12" s="42">
        <f t="shared" si="6"/>
        <v>0.32978723404255317</v>
      </c>
      <c r="V12" s="52" t="s">
        <v>355</v>
      </c>
      <c r="W12" s="51" t="e">
        <f>'PriceOut-Benton-TG-230189'!Q389</f>
        <v>#REF!</v>
      </c>
      <c r="AA12" s="35"/>
    </row>
    <row r="13" spans="1:27" hidden="1" outlineLevel="1">
      <c r="A13" s="36">
        <v>157</v>
      </c>
      <c r="B13" s="29">
        <v>2</v>
      </c>
      <c r="C13" s="29" t="s">
        <v>75</v>
      </c>
      <c r="D13" s="31">
        <v>52</v>
      </c>
      <c r="E13" s="31" t="s">
        <v>388</v>
      </c>
      <c r="F13" s="32" t="s">
        <v>347</v>
      </c>
      <c r="G13" s="31" t="s">
        <v>160</v>
      </c>
      <c r="H13" s="30">
        <v>0</v>
      </c>
      <c r="I13" s="103"/>
      <c r="J13" s="102"/>
      <c r="K13" s="45">
        <v>10.029999999999999</v>
      </c>
      <c r="L13" s="45">
        <v>17</v>
      </c>
      <c r="M13" s="41">
        <v>17</v>
      </c>
      <c r="N13" s="44">
        <f t="shared" si="0"/>
        <v>6.9700000000000006</v>
      </c>
      <c r="O13" s="43">
        <f t="shared" si="1"/>
        <v>0</v>
      </c>
      <c r="P13" s="40">
        <f t="shared" si="2"/>
        <v>0</v>
      </c>
      <c r="Q13" s="40">
        <f t="shared" si="3"/>
        <v>0</v>
      </c>
      <c r="R13" s="40">
        <f t="shared" si="4"/>
        <v>0</v>
      </c>
      <c r="S13" s="40">
        <f t="shared" si="5"/>
        <v>0</v>
      </c>
      <c r="T13" s="42">
        <f t="shared" si="6"/>
        <v>0.69491525423728828</v>
      </c>
      <c r="V13" s="50" t="s">
        <v>353</v>
      </c>
      <c r="W13" s="49" t="e">
        <f>W12-W11</f>
        <v>#REF!</v>
      </c>
      <c r="AA13" s="35"/>
    </row>
    <row r="14" spans="1:27" hidden="1" outlineLevel="1">
      <c r="A14" s="36">
        <v>158</v>
      </c>
      <c r="B14" s="29">
        <v>2</v>
      </c>
      <c r="C14" s="29" t="s">
        <v>75</v>
      </c>
      <c r="D14" s="31">
        <v>52</v>
      </c>
      <c r="E14" s="31" t="s">
        <v>388</v>
      </c>
      <c r="F14" s="32" t="s">
        <v>346</v>
      </c>
      <c r="G14" s="31" t="s">
        <v>160</v>
      </c>
      <c r="H14" s="30">
        <v>0</v>
      </c>
      <c r="I14" s="103"/>
      <c r="J14" s="102"/>
      <c r="K14" s="45">
        <v>22.56</v>
      </c>
      <c r="L14" s="45">
        <v>30</v>
      </c>
      <c r="M14" s="41">
        <v>30</v>
      </c>
      <c r="N14" s="44">
        <f t="shared" si="0"/>
        <v>7.4400000000000013</v>
      </c>
      <c r="O14" s="43">
        <f t="shared" si="1"/>
        <v>0</v>
      </c>
      <c r="P14" s="40">
        <f t="shared" si="2"/>
        <v>0</v>
      </c>
      <c r="Q14" s="40">
        <f t="shared" si="3"/>
        <v>0</v>
      </c>
      <c r="R14" s="40">
        <f t="shared" si="4"/>
        <v>0</v>
      </c>
      <c r="S14" s="40">
        <f t="shared" si="5"/>
        <v>0</v>
      </c>
      <c r="T14" s="42">
        <f t="shared" si="6"/>
        <v>0.32978723404255317</v>
      </c>
      <c r="AA14" s="35"/>
    </row>
    <row r="15" spans="1:27" hidden="1" outlineLevel="1">
      <c r="A15" s="36">
        <v>159</v>
      </c>
      <c r="B15" s="29">
        <v>2</v>
      </c>
      <c r="C15" s="29" t="s">
        <v>75</v>
      </c>
      <c r="D15" s="31">
        <v>52</v>
      </c>
      <c r="E15" s="31" t="s">
        <v>388</v>
      </c>
      <c r="F15" s="32" t="s">
        <v>345</v>
      </c>
      <c r="G15" s="31" t="s">
        <v>160</v>
      </c>
      <c r="H15" s="30">
        <v>0</v>
      </c>
      <c r="I15" s="103"/>
      <c r="J15" s="102"/>
      <c r="K15" s="45">
        <v>22.56</v>
      </c>
      <c r="L15" s="45">
        <v>30</v>
      </c>
      <c r="M15" s="41">
        <v>30</v>
      </c>
      <c r="N15" s="44">
        <f t="shared" si="0"/>
        <v>7.4400000000000013</v>
      </c>
      <c r="O15" s="43">
        <f t="shared" si="1"/>
        <v>0</v>
      </c>
      <c r="P15" s="40">
        <f t="shared" si="2"/>
        <v>0</v>
      </c>
      <c r="Q15" s="40">
        <f t="shared" si="3"/>
        <v>0</v>
      </c>
      <c r="R15" s="40">
        <f t="shared" si="4"/>
        <v>0</v>
      </c>
      <c r="S15" s="40">
        <f t="shared" si="5"/>
        <v>0</v>
      </c>
      <c r="T15" s="42">
        <f t="shared" si="6"/>
        <v>0.32978723404255317</v>
      </c>
      <c r="AA15" s="35"/>
    </row>
    <row r="16" spans="1:27" hidden="1" outlineLevel="1">
      <c r="A16" s="36">
        <v>160</v>
      </c>
      <c r="B16" s="29">
        <v>2</v>
      </c>
      <c r="C16" s="29" t="s">
        <v>75</v>
      </c>
      <c r="D16" s="31">
        <v>52</v>
      </c>
      <c r="E16" s="31" t="s">
        <v>388</v>
      </c>
      <c r="F16" s="32" t="s">
        <v>344</v>
      </c>
      <c r="G16" s="31" t="s">
        <v>160</v>
      </c>
      <c r="H16" s="30">
        <v>0</v>
      </c>
      <c r="I16" s="103"/>
      <c r="J16" s="102"/>
      <c r="K16" s="45">
        <v>10.029999999999999</v>
      </c>
      <c r="L16" s="45">
        <v>17</v>
      </c>
      <c r="M16" s="41">
        <v>17</v>
      </c>
      <c r="N16" s="44">
        <f t="shared" si="0"/>
        <v>6.9700000000000006</v>
      </c>
      <c r="O16" s="43">
        <f t="shared" si="1"/>
        <v>0</v>
      </c>
      <c r="P16" s="40">
        <f t="shared" si="2"/>
        <v>0</v>
      </c>
      <c r="Q16" s="40">
        <f t="shared" si="3"/>
        <v>0</v>
      </c>
      <c r="R16" s="40">
        <f t="shared" si="4"/>
        <v>0</v>
      </c>
      <c r="S16" s="40">
        <f t="shared" si="5"/>
        <v>0</v>
      </c>
      <c r="T16" s="42">
        <f t="shared" si="6"/>
        <v>0.69491525423728828</v>
      </c>
      <c r="V16" s="48" t="s">
        <v>349</v>
      </c>
      <c r="W16" s="47">
        <v>0</v>
      </c>
      <c r="AA16" s="35"/>
    </row>
    <row r="17" spans="1:27" hidden="1" outlineLevel="1">
      <c r="A17" s="36">
        <v>161</v>
      </c>
      <c r="B17" s="29">
        <v>2</v>
      </c>
      <c r="C17" s="29" t="s">
        <v>75</v>
      </c>
      <c r="D17" s="31">
        <v>52</v>
      </c>
      <c r="E17" s="31" t="s">
        <v>388</v>
      </c>
      <c r="F17" s="32" t="s">
        <v>343</v>
      </c>
      <c r="G17" s="31" t="s">
        <v>160</v>
      </c>
      <c r="H17" s="30">
        <v>0</v>
      </c>
      <c r="I17" s="103"/>
      <c r="J17" s="102"/>
      <c r="K17" s="45">
        <v>22.56</v>
      </c>
      <c r="L17" s="45">
        <v>30</v>
      </c>
      <c r="M17" s="41">
        <v>30</v>
      </c>
      <c r="N17" s="44">
        <f t="shared" si="0"/>
        <v>7.4400000000000013</v>
      </c>
      <c r="O17" s="43">
        <f t="shared" si="1"/>
        <v>0</v>
      </c>
      <c r="P17" s="40">
        <f t="shared" si="2"/>
        <v>0</v>
      </c>
      <c r="Q17" s="40">
        <f t="shared" si="3"/>
        <v>0</v>
      </c>
      <c r="R17" s="40">
        <f t="shared" si="4"/>
        <v>0</v>
      </c>
      <c r="S17" s="40">
        <f t="shared" si="5"/>
        <v>0</v>
      </c>
      <c r="T17" s="42">
        <f t="shared" si="6"/>
        <v>0.32978723404255317</v>
      </c>
      <c r="AA17" s="35"/>
    </row>
    <row r="18" spans="1:27" hidden="1" outlineLevel="1">
      <c r="A18" s="36">
        <v>32</v>
      </c>
      <c r="B18" s="29">
        <v>1</v>
      </c>
      <c r="C18" s="29" t="s">
        <v>75</v>
      </c>
      <c r="D18" s="31">
        <v>52</v>
      </c>
      <c r="E18" s="31" t="s">
        <v>388</v>
      </c>
      <c r="F18" s="32" t="s">
        <v>362</v>
      </c>
      <c r="G18" s="31" t="s">
        <v>160</v>
      </c>
      <c r="H18" s="30">
        <v>0</v>
      </c>
      <c r="I18" s="103"/>
      <c r="J18" s="102"/>
      <c r="K18" s="45">
        <v>10.029999999999999</v>
      </c>
      <c r="L18" s="45">
        <v>17</v>
      </c>
      <c r="M18" s="41">
        <v>17</v>
      </c>
      <c r="N18" s="44">
        <f t="shared" si="0"/>
        <v>6.9700000000000006</v>
      </c>
      <c r="O18" s="43">
        <f t="shared" si="1"/>
        <v>0</v>
      </c>
      <c r="P18" s="40">
        <f t="shared" si="2"/>
        <v>0</v>
      </c>
      <c r="Q18" s="40">
        <f t="shared" si="3"/>
        <v>0</v>
      </c>
      <c r="R18" s="40">
        <f t="shared" si="4"/>
        <v>0</v>
      </c>
      <c r="S18" s="40">
        <f t="shared" si="5"/>
        <v>0</v>
      </c>
      <c r="T18" s="42">
        <f t="shared" si="6"/>
        <v>0.69491525423728828</v>
      </c>
      <c r="AA18" s="35"/>
    </row>
    <row r="19" spans="1:27" hidden="1" outlineLevel="1">
      <c r="A19" s="36">
        <v>33</v>
      </c>
      <c r="B19" s="29">
        <v>1</v>
      </c>
      <c r="C19" s="29" t="s">
        <v>75</v>
      </c>
      <c r="D19" s="31">
        <v>52</v>
      </c>
      <c r="E19" s="31" t="s">
        <v>388</v>
      </c>
      <c r="F19" s="32" t="s">
        <v>360</v>
      </c>
      <c r="G19" s="31" t="s">
        <v>160</v>
      </c>
      <c r="H19" s="30">
        <v>0</v>
      </c>
      <c r="I19" s="103"/>
      <c r="J19" s="102"/>
      <c r="K19" s="45">
        <v>24.68</v>
      </c>
      <c r="L19" s="45">
        <v>30</v>
      </c>
      <c r="M19" s="41">
        <v>30</v>
      </c>
      <c r="N19" s="44">
        <f t="shared" si="0"/>
        <v>5.32</v>
      </c>
      <c r="O19" s="43">
        <f t="shared" si="1"/>
        <v>0</v>
      </c>
      <c r="P19" s="40">
        <f t="shared" si="2"/>
        <v>0</v>
      </c>
      <c r="Q19" s="40">
        <f t="shared" si="3"/>
        <v>0</v>
      </c>
      <c r="R19" s="40">
        <f t="shared" si="4"/>
        <v>0</v>
      </c>
      <c r="S19" s="40">
        <f t="shared" si="5"/>
        <v>0</v>
      </c>
      <c r="T19" s="42">
        <f t="shared" si="6"/>
        <v>0.21555915721231766</v>
      </c>
      <c r="AA19" s="35"/>
    </row>
    <row r="20" spans="1:27" hidden="1" outlineLevel="1">
      <c r="A20" s="36">
        <v>34</v>
      </c>
      <c r="B20" s="29">
        <v>1</v>
      </c>
      <c r="C20" s="29" t="s">
        <v>75</v>
      </c>
      <c r="D20" s="31">
        <v>52</v>
      </c>
      <c r="E20" s="31" t="s">
        <v>388</v>
      </c>
      <c r="F20" s="32" t="s">
        <v>359</v>
      </c>
      <c r="G20" s="31" t="s">
        <v>160</v>
      </c>
      <c r="H20" s="30">
        <v>0</v>
      </c>
      <c r="I20" s="103"/>
      <c r="J20" s="102"/>
      <c r="K20" s="45">
        <v>10.029999999999999</v>
      </c>
      <c r="L20" s="45">
        <v>17</v>
      </c>
      <c r="M20" s="41">
        <v>17</v>
      </c>
      <c r="N20" s="44">
        <f t="shared" si="0"/>
        <v>6.9700000000000006</v>
      </c>
      <c r="O20" s="43">
        <f t="shared" si="1"/>
        <v>0</v>
      </c>
      <c r="P20" s="40">
        <f t="shared" si="2"/>
        <v>0</v>
      </c>
      <c r="Q20" s="40">
        <f t="shared" si="3"/>
        <v>0</v>
      </c>
      <c r="R20" s="40">
        <f t="shared" si="4"/>
        <v>0</v>
      </c>
      <c r="S20" s="40">
        <f t="shared" si="5"/>
        <v>0</v>
      </c>
      <c r="T20" s="42">
        <f t="shared" si="6"/>
        <v>0.69491525423728828</v>
      </c>
      <c r="AA20" s="35"/>
    </row>
    <row r="21" spans="1:27" hidden="1" outlineLevel="1">
      <c r="A21" s="36">
        <v>25</v>
      </c>
      <c r="B21" s="29">
        <v>1</v>
      </c>
      <c r="C21" s="29" t="s">
        <v>75</v>
      </c>
      <c r="D21" s="31">
        <v>52</v>
      </c>
      <c r="E21" s="31" t="s">
        <v>388</v>
      </c>
      <c r="F21" s="32" t="s">
        <v>358</v>
      </c>
      <c r="G21" s="31" t="s">
        <v>160</v>
      </c>
      <c r="H21" s="30">
        <v>6</v>
      </c>
      <c r="I21" s="103"/>
      <c r="J21" s="102"/>
      <c r="K21" s="45">
        <v>10.029999999999999</v>
      </c>
      <c r="L21" s="45">
        <v>17</v>
      </c>
      <c r="M21" s="41">
        <v>17</v>
      </c>
      <c r="N21" s="44">
        <f t="shared" si="0"/>
        <v>6.9700000000000006</v>
      </c>
      <c r="O21" s="43">
        <f t="shared" si="1"/>
        <v>60.179999999999993</v>
      </c>
      <c r="P21" s="40">
        <f t="shared" si="2"/>
        <v>102</v>
      </c>
      <c r="Q21" s="40">
        <f t="shared" si="3"/>
        <v>102</v>
      </c>
      <c r="R21" s="40">
        <f t="shared" si="4"/>
        <v>41.820000000000007</v>
      </c>
      <c r="S21" s="40">
        <f t="shared" si="5"/>
        <v>41.820000000000007</v>
      </c>
      <c r="T21" s="42">
        <f t="shared" si="6"/>
        <v>0.69491525423728828</v>
      </c>
      <c r="AA21" s="35"/>
    </row>
    <row r="22" spans="1:27" hidden="1" outlineLevel="1">
      <c r="A22" s="36">
        <v>333</v>
      </c>
      <c r="B22" s="29">
        <v>3</v>
      </c>
      <c r="C22" s="29" t="s">
        <v>75</v>
      </c>
      <c r="D22" s="31">
        <v>60</v>
      </c>
      <c r="E22" s="31" t="s">
        <v>388</v>
      </c>
      <c r="F22" s="32" t="s">
        <v>342</v>
      </c>
      <c r="G22" s="31" t="s">
        <v>287</v>
      </c>
      <c r="H22" s="30">
        <v>0</v>
      </c>
      <c r="I22" s="103"/>
      <c r="J22" s="102"/>
      <c r="K22" s="45">
        <v>95.06</v>
      </c>
      <c r="L22" s="45">
        <v>71</v>
      </c>
      <c r="M22" s="45">
        <f t="shared" ref="M22:M46" si="7">L22*(1+$W$16)</f>
        <v>71</v>
      </c>
      <c r="N22" s="44">
        <f t="shared" si="0"/>
        <v>-24.060000000000002</v>
      </c>
      <c r="O22" s="43">
        <f t="shared" si="1"/>
        <v>0</v>
      </c>
      <c r="P22" s="40">
        <f t="shared" si="2"/>
        <v>0</v>
      </c>
      <c r="Q22" s="40">
        <f t="shared" si="3"/>
        <v>0</v>
      </c>
      <c r="R22" s="40">
        <f t="shared" si="4"/>
        <v>0</v>
      </c>
      <c r="S22" s="40">
        <f t="shared" si="5"/>
        <v>0</v>
      </c>
      <c r="T22" s="42">
        <f t="shared" si="6"/>
        <v>-0.25310330317694085</v>
      </c>
      <c r="AA22" s="35"/>
    </row>
    <row r="23" spans="1:27" hidden="1" outlineLevel="1">
      <c r="A23" s="36">
        <v>162</v>
      </c>
      <c r="B23" s="29">
        <v>2</v>
      </c>
      <c r="C23" s="29" t="s">
        <v>75</v>
      </c>
      <c r="D23" s="31">
        <v>70</v>
      </c>
      <c r="E23" s="31" t="s">
        <v>388</v>
      </c>
      <c r="F23" s="32" t="s">
        <v>337</v>
      </c>
      <c r="G23" s="31" t="s">
        <v>160</v>
      </c>
      <c r="H23" s="30">
        <v>0</v>
      </c>
      <c r="I23" s="103"/>
      <c r="J23" s="102"/>
      <c r="K23" s="45">
        <v>22.56</v>
      </c>
      <c r="L23" s="45">
        <v>10.4</v>
      </c>
      <c r="M23" s="45">
        <f t="shared" si="7"/>
        <v>10.4</v>
      </c>
      <c r="N23" s="44">
        <f t="shared" si="0"/>
        <v>-12.159999999999998</v>
      </c>
      <c r="O23" s="43">
        <f t="shared" si="1"/>
        <v>0</v>
      </c>
      <c r="P23" s="40">
        <f t="shared" si="2"/>
        <v>0</v>
      </c>
      <c r="Q23" s="40">
        <f t="shared" si="3"/>
        <v>0</v>
      </c>
      <c r="R23" s="40">
        <f t="shared" si="4"/>
        <v>0</v>
      </c>
      <c r="S23" s="40">
        <f t="shared" si="5"/>
        <v>0</v>
      </c>
      <c r="T23" s="42">
        <f t="shared" si="6"/>
        <v>-0.53900709219858145</v>
      </c>
      <c r="AA23" s="35"/>
    </row>
    <row r="24" spans="1:27" hidden="1" outlineLevel="1">
      <c r="A24" s="36">
        <v>163</v>
      </c>
      <c r="B24" s="29">
        <v>2</v>
      </c>
      <c r="C24" s="29" t="s">
        <v>75</v>
      </c>
      <c r="D24" s="31">
        <v>70</v>
      </c>
      <c r="E24" s="31" t="s">
        <v>388</v>
      </c>
      <c r="F24" s="32" t="s">
        <v>336</v>
      </c>
      <c r="G24" s="31" t="s">
        <v>160</v>
      </c>
      <c r="H24" s="30">
        <v>0</v>
      </c>
      <c r="I24" s="103"/>
      <c r="J24" s="102"/>
      <c r="K24" s="45">
        <v>22.56</v>
      </c>
      <c r="L24" s="45">
        <v>10.4</v>
      </c>
      <c r="M24" s="45">
        <f t="shared" si="7"/>
        <v>10.4</v>
      </c>
      <c r="N24" s="44">
        <f t="shared" si="0"/>
        <v>-12.159999999999998</v>
      </c>
      <c r="O24" s="43">
        <f t="shared" si="1"/>
        <v>0</v>
      </c>
      <c r="P24" s="40">
        <f t="shared" si="2"/>
        <v>0</v>
      </c>
      <c r="Q24" s="40">
        <f t="shared" si="3"/>
        <v>0</v>
      </c>
      <c r="R24" s="40">
        <f t="shared" si="4"/>
        <v>0</v>
      </c>
      <c r="S24" s="40">
        <f t="shared" si="5"/>
        <v>0</v>
      </c>
      <c r="T24" s="42">
        <f t="shared" si="6"/>
        <v>-0.53900709219858145</v>
      </c>
      <c r="AA24" s="35"/>
    </row>
    <row r="25" spans="1:27" hidden="1" outlineLevel="1">
      <c r="A25" s="36">
        <v>164</v>
      </c>
      <c r="B25" s="29">
        <v>2</v>
      </c>
      <c r="C25" s="29" t="s">
        <v>75</v>
      </c>
      <c r="D25" s="31">
        <v>70</v>
      </c>
      <c r="E25" s="31" t="s">
        <v>388</v>
      </c>
      <c r="F25" s="32" t="s">
        <v>335</v>
      </c>
      <c r="G25" s="31" t="s">
        <v>160</v>
      </c>
      <c r="H25" s="30">
        <v>0</v>
      </c>
      <c r="I25" s="103"/>
      <c r="J25" s="102"/>
      <c r="K25" s="45">
        <v>22.56</v>
      </c>
      <c r="L25" s="45">
        <v>10.4</v>
      </c>
      <c r="M25" s="45">
        <f t="shared" si="7"/>
        <v>10.4</v>
      </c>
      <c r="N25" s="44">
        <f t="shared" si="0"/>
        <v>-12.159999999999998</v>
      </c>
      <c r="O25" s="43">
        <f t="shared" si="1"/>
        <v>0</v>
      </c>
      <c r="P25" s="40">
        <f t="shared" si="2"/>
        <v>0</v>
      </c>
      <c r="Q25" s="40">
        <f t="shared" si="3"/>
        <v>0</v>
      </c>
      <c r="R25" s="40">
        <f t="shared" si="4"/>
        <v>0</v>
      </c>
      <c r="S25" s="40">
        <f t="shared" si="5"/>
        <v>0</v>
      </c>
      <c r="T25" s="42">
        <f t="shared" si="6"/>
        <v>-0.53900709219858145</v>
      </c>
      <c r="AA25" s="35"/>
    </row>
    <row r="26" spans="1:27" hidden="1" outlineLevel="1">
      <c r="A26" s="36">
        <v>143</v>
      </c>
      <c r="B26" s="29">
        <v>2</v>
      </c>
      <c r="C26" s="29" t="s">
        <v>75</v>
      </c>
      <c r="D26" s="31">
        <v>70</v>
      </c>
      <c r="E26" s="31" t="s">
        <v>388</v>
      </c>
      <c r="F26" s="32" t="s">
        <v>334</v>
      </c>
      <c r="G26" s="31" t="s">
        <v>160</v>
      </c>
      <c r="H26" s="30">
        <v>1</v>
      </c>
      <c r="I26" s="103"/>
      <c r="J26" s="102"/>
      <c r="K26" s="45">
        <v>22.56</v>
      </c>
      <c r="L26" s="45">
        <v>10.4</v>
      </c>
      <c r="M26" s="45">
        <f t="shared" si="7"/>
        <v>10.4</v>
      </c>
      <c r="N26" s="44">
        <f t="shared" si="0"/>
        <v>-12.159999999999998</v>
      </c>
      <c r="O26" s="43">
        <f t="shared" si="1"/>
        <v>22.56</v>
      </c>
      <c r="P26" s="40">
        <f t="shared" si="2"/>
        <v>10.4</v>
      </c>
      <c r="Q26" s="40">
        <f t="shared" si="3"/>
        <v>10.4</v>
      </c>
      <c r="R26" s="40">
        <f t="shared" si="4"/>
        <v>-12.159999999999998</v>
      </c>
      <c r="S26" s="40">
        <f t="shared" si="5"/>
        <v>-12.159999999999998</v>
      </c>
      <c r="T26" s="42">
        <f t="shared" si="6"/>
        <v>-0.53900709219858145</v>
      </c>
      <c r="AA26" s="35"/>
    </row>
    <row r="27" spans="1:27" hidden="1" outlineLevel="1">
      <c r="A27" s="36">
        <v>165</v>
      </c>
      <c r="B27" s="29">
        <v>2</v>
      </c>
      <c r="C27" s="29" t="s">
        <v>75</v>
      </c>
      <c r="D27" s="31">
        <v>70</v>
      </c>
      <c r="E27" s="31" t="s">
        <v>388</v>
      </c>
      <c r="F27" s="32" t="s">
        <v>333</v>
      </c>
      <c r="G27" s="31" t="s">
        <v>160</v>
      </c>
      <c r="H27" s="30">
        <v>0</v>
      </c>
      <c r="I27" s="103"/>
      <c r="J27" s="102"/>
      <c r="K27" s="45">
        <v>22.56</v>
      </c>
      <c r="L27" s="45">
        <v>10.4</v>
      </c>
      <c r="M27" s="45">
        <f t="shared" si="7"/>
        <v>10.4</v>
      </c>
      <c r="N27" s="44">
        <f t="shared" si="0"/>
        <v>-12.159999999999998</v>
      </c>
      <c r="O27" s="43">
        <f t="shared" si="1"/>
        <v>0</v>
      </c>
      <c r="P27" s="40">
        <f t="shared" si="2"/>
        <v>0</v>
      </c>
      <c r="Q27" s="40">
        <f t="shared" si="3"/>
        <v>0</v>
      </c>
      <c r="R27" s="40">
        <f t="shared" si="4"/>
        <v>0</v>
      </c>
      <c r="S27" s="40">
        <f t="shared" si="5"/>
        <v>0</v>
      </c>
      <c r="T27" s="42">
        <f t="shared" si="6"/>
        <v>-0.53900709219858145</v>
      </c>
      <c r="AA27" s="35"/>
    </row>
    <row r="28" spans="1:27" hidden="1" outlineLevel="1">
      <c r="A28" s="36">
        <v>166</v>
      </c>
      <c r="B28" s="29">
        <v>2</v>
      </c>
      <c r="C28" s="29" t="s">
        <v>75</v>
      </c>
      <c r="D28" s="31">
        <v>70</v>
      </c>
      <c r="E28" s="31" t="s">
        <v>388</v>
      </c>
      <c r="F28" s="32" t="s">
        <v>332</v>
      </c>
      <c r="G28" s="31" t="s">
        <v>160</v>
      </c>
      <c r="H28" s="30">
        <v>0</v>
      </c>
      <c r="I28" s="103"/>
      <c r="J28" s="102"/>
      <c r="K28" s="45">
        <v>22.56</v>
      </c>
      <c r="L28" s="45">
        <v>10.4</v>
      </c>
      <c r="M28" s="45">
        <f t="shared" si="7"/>
        <v>10.4</v>
      </c>
      <c r="N28" s="44">
        <f t="shared" si="0"/>
        <v>-12.159999999999998</v>
      </c>
      <c r="O28" s="43">
        <f t="shared" si="1"/>
        <v>0</v>
      </c>
      <c r="P28" s="40">
        <f t="shared" si="2"/>
        <v>0</v>
      </c>
      <c r="Q28" s="40">
        <f t="shared" si="3"/>
        <v>0</v>
      </c>
      <c r="R28" s="40">
        <f t="shared" si="4"/>
        <v>0</v>
      </c>
      <c r="S28" s="40">
        <f t="shared" si="5"/>
        <v>0</v>
      </c>
      <c r="T28" s="42">
        <f t="shared" si="6"/>
        <v>-0.53900709219858145</v>
      </c>
      <c r="AA28" s="35"/>
    </row>
    <row r="29" spans="1:27" hidden="1" outlineLevel="1">
      <c r="A29" s="36">
        <v>167</v>
      </c>
      <c r="B29" s="29">
        <v>2</v>
      </c>
      <c r="C29" s="29" t="s">
        <v>75</v>
      </c>
      <c r="D29" s="31">
        <v>70</v>
      </c>
      <c r="E29" s="31" t="s">
        <v>388</v>
      </c>
      <c r="F29" s="32" t="s">
        <v>331</v>
      </c>
      <c r="G29" s="31" t="s">
        <v>160</v>
      </c>
      <c r="H29" s="30">
        <v>0</v>
      </c>
      <c r="I29" s="103"/>
      <c r="J29" s="102"/>
      <c r="K29" s="45">
        <v>22.56</v>
      </c>
      <c r="L29" s="45">
        <v>10.4</v>
      </c>
      <c r="M29" s="45">
        <f t="shared" si="7"/>
        <v>10.4</v>
      </c>
      <c r="N29" s="44">
        <f t="shared" si="0"/>
        <v>-12.159999999999998</v>
      </c>
      <c r="O29" s="43">
        <f t="shared" si="1"/>
        <v>0</v>
      </c>
      <c r="P29" s="40">
        <f t="shared" si="2"/>
        <v>0</v>
      </c>
      <c r="Q29" s="40">
        <f t="shared" si="3"/>
        <v>0</v>
      </c>
      <c r="R29" s="40">
        <f t="shared" si="4"/>
        <v>0</v>
      </c>
      <c r="S29" s="40">
        <f t="shared" si="5"/>
        <v>0</v>
      </c>
      <c r="T29" s="42">
        <f t="shared" si="6"/>
        <v>-0.53900709219858145</v>
      </c>
      <c r="AA29" s="35"/>
    </row>
    <row r="30" spans="1:27" hidden="1" outlineLevel="1">
      <c r="A30" s="36">
        <v>168</v>
      </c>
      <c r="B30" s="29">
        <v>2</v>
      </c>
      <c r="C30" s="29" t="s">
        <v>75</v>
      </c>
      <c r="D30" s="31">
        <v>70</v>
      </c>
      <c r="E30" s="31" t="s">
        <v>388</v>
      </c>
      <c r="F30" s="32" t="s">
        <v>330</v>
      </c>
      <c r="G30" s="31" t="s">
        <v>160</v>
      </c>
      <c r="H30" s="30">
        <v>0</v>
      </c>
      <c r="I30" s="103"/>
      <c r="J30" s="102"/>
      <c r="K30" s="45">
        <v>22.56</v>
      </c>
      <c r="L30" s="45">
        <v>10.4</v>
      </c>
      <c r="M30" s="45">
        <f t="shared" si="7"/>
        <v>10.4</v>
      </c>
      <c r="N30" s="44">
        <f t="shared" si="0"/>
        <v>-12.159999999999998</v>
      </c>
      <c r="O30" s="43">
        <f t="shared" si="1"/>
        <v>0</v>
      </c>
      <c r="P30" s="40">
        <f t="shared" si="2"/>
        <v>0</v>
      </c>
      <c r="Q30" s="40">
        <f t="shared" si="3"/>
        <v>0</v>
      </c>
      <c r="R30" s="40">
        <f t="shared" si="4"/>
        <v>0</v>
      </c>
      <c r="S30" s="40">
        <f t="shared" si="5"/>
        <v>0</v>
      </c>
      <c r="T30" s="42">
        <f t="shared" si="6"/>
        <v>-0.53900709219858145</v>
      </c>
      <c r="AA30" s="35"/>
    </row>
    <row r="31" spans="1:27" hidden="1" outlineLevel="1">
      <c r="A31" s="36">
        <v>169</v>
      </c>
      <c r="B31" s="29">
        <v>2</v>
      </c>
      <c r="C31" s="29" t="s">
        <v>75</v>
      </c>
      <c r="D31" s="31">
        <v>70</v>
      </c>
      <c r="E31" s="31" t="s">
        <v>388</v>
      </c>
      <c r="F31" s="32" t="s">
        <v>329</v>
      </c>
      <c r="G31" s="31" t="s">
        <v>160</v>
      </c>
      <c r="H31" s="30">
        <v>0</v>
      </c>
      <c r="I31" s="103"/>
      <c r="J31" s="102"/>
      <c r="K31" s="45">
        <v>22.56</v>
      </c>
      <c r="L31" s="45">
        <v>10.4</v>
      </c>
      <c r="M31" s="45">
        <f t="shared" si="7"/>
        <v>10.4</v>
      </c>
      <c r="N31" s="44">
        <f t="shared" si="0"/>
        <v>-12.159999999999998</v>
      </c>
      <c r="O31" s="43">
        <f t="shared" si="1"/>
        <v>0</v>
      </c>
      <c r="P31" s="40">
        <f t="shared" si="2"/>
        <v>0</v>
      </c>
      <c r="Q31" s="40">
        <f t="shared" si="3"/>
        <v>0</v>
      </c>
      <c r="R31" s="40">
        <f t="shared" si="4"/>
        <v>0</v>
      </c>
      <c r="S31" s="40">
        <f t="shared" si="5"/>
        <v>0</v>
      </c>
      <c r="T31" s="42">
        <f t="shared" si="6"/>
        <v>-0.53900709219858145</v>
      </c>
      <c r="AA31" s="35"/>
    </row>
    <row r="32" spans="1:27" hidden="1" outlineLevel="1">
      <c r="A32" s="36">
        <v>170</v>
      </c>
      <c r="B32" s="29">
        <v>2</v>
      </c>
      <c r="C32" s="29" t="s">
        <v>75</v>
      </c>
      <c r="D32" s="31">
        <v>70</v>
      </c>
      <c r="E32" s="31" t="s">
        <v>388</v>
      </c>
      <c r="F32" s="32" t="s">
        <v>328</v>
      </c>
      <c r="G32" s="31" t="s">
        <v>160</v>
      </c>
      <c r="H32" s="30">
        <v>0</v>
      </c>
      <c r="I32" s="103"/>
      <c r="J32" s="102"/>
      <c r="K32" s="45">
        <v>22.56</v>
      </c>
      <c r="L32" s="45">
        <v>10.4</v>
      </c>
      <c r="M32" s="45">
        <f t="shared" si="7"/>
        <v>10.4</v>
      </c>
      <c r="N32" s="44">
        <f t="shared" si="0"/>
        <v>-12.159999999999998</v>
      </c>
      <c r="O32" s="43">
        <f t="shared" si="1"/>
        <v>0</v>
      </c>
      <c r="P32" s="40">
        <f t="shared" si="2"/>
        <v>0</v>
      </c>
      <c r="Q32" s="40">
        <f t="shared" si="3"/>
        <v>0</v>
      </c>
      <c r="R32" s="40">
        <f t="shared" si="4"/>
        <v>0</v>
      </c>
      <c r="S32" s="40">
        <f t="shared" si="5"/>
        <v>0</v>
      </c>
      <c r="T32" s="42">
        <f t="shared" si="6"/>
        <v>-0.53900709219858145</v>
      </c>
      <c r="AA32" s="35"/>
    </row>
    <row r="33" spans="1:27" hidden="1" outlineLevel="1">
      <c r="A33" s="36">
        <v>171</v>
      </c>
      <c r="B33" s="29">
        <v>2</v>
      </c>
      <c r="C33" s="29" t="s">
        <v>75</v>
      </c>
      <c r="D33" s="31">
        <v>70</v>
      </c>
      <c r="E33" s="31" t="s">
        <v>388</v>
      </c>
      <c r="F33" s="32" t="s">
        <v>327</v>
      </c>
      <c r="G33" s="31" t="s">
        <v>160</v>
      </c>
      <c r="H33" s="30">
        <v>0</v>
      </c>
      <c r="I33" s="103"/>
      <c r="J33" s="102"/>
      <c r="K33" s="45">
        <v>22.56</v>
      </c>
      <c r="L33" s="45">
        <v>10.4</v>
      </c>
      <c r="M33" s="45">
        <f t="shared" si="7"/>
        <v>10.4</v>
      </c>
      <c r="N33" s="44">
        <f t="shared" si="0"/>
        <v>-12.159999999999998</v>
      </c>
      <c r="O33" s="43">
        <f t="shared" si="1"/>
        <v>0</v>
      </c>
      <c r="P33" s="40">
        <f t="shared" si="2"/>
        <v>0</v>
      </c>
      <c r="Q33" s="40">
        <f t="shared" si="3"/>
        <v>0</v>
      </c>
      <c r="R33" s="40">
        <f t="shared" si="4"/>
        <v>0</v>
      </c>
      <c r="S33" s="40">
        <f t="shared" si="5"/>
        <v>0</v>
      </c>
      <c r="T33" s="42">
        <f t="shared" si="6"/>
        <v>-0.53900709219858145</v>
      </c>
      <c r="AA33" s="35"/>
    </row>
    <row r="34" spans="1:27" hidden="1" outlineLevel="1">
      <c r="A34" s="36">
        <v>172</v>
      </c>
      <c r="B34" s="29">
        <v>2</v>
      </c>
      <c r="C34" s="29" t="s">
        <v>75</v>
      </c>
      <c r="D34" s="31">
        <v>70</v>
      </c>
      <c r="E34" s="31" t="s">
        <v>388</v>
      </c>
      <c r="F34" s="32" t="s">
        <v>326</v>
      </c>
      <c r="G34" s="31" t="s">
        <v>160</v>
      </c>
      <c r="H34" s="30">
        <v>0</v>
      </c>
      <c r="I34" s="103"/>
      <c r="J34" s="102"/>
      <c r="K34" s="45">
        <v>22.56</v>
      </c>
      <c r="L34" s="45">
        <v>10.4</v>
      </c>
      <c r="M34" s="45">
        <f t="shared" si="7"/>
        <v>10.4</v>
      </c>
      <c r="N34" s="44">
        <f t="shared" si="0"/>
        <v>-12.159999999999998</v>
      </c>
      <c r="O34" s="43">
        <f t="shared" si="1"/>
        <v>0</v>
      </c>
      <c r="P34" s="40">
        <f t="shared" si="2"/>
        <v>0</v>
      </c>
      <c r="Q34" s="40">
        <f t="shared" si="3"/>
        <v>0</v>
      </c>
      <c r="R34" s="40">
        <f t="shared" si="4"/>
        <v>0</v>
      </c>
      <c r="S34" s="40">
        <f t="shared" si="5"/>
        <v>0</v>
      </c>
      <c r="T34" s="42">
        <f t="shared" si="6"/>
        <v>-0.53900709219858145</v>
      </c>
      <c r="AA34" s="35"/>
    </row>
    <row r="35" spans="1:27" hidden="1" outlineLevel="1">
      <c r="A35" s="36">
        <v>173</v>
      </c>
      <c r="B35" s="29">
        <v>2</v>
      </c>
      <c r="C35" s="29" t="s">
        <v>75</v>
      </c>
      <c r="D35" s="31">
        <v>70</v>
      </c>
      <c r="E35" s="31" t="s">
        <v>388</v>
      </c>
      <c r="F35" s="32" t="s">
        <v>325</v>
      </c>
      <c r="G35" s="31" t="s">
        <v>160</v>
      </c>
      <c r="H35" s="30">
        <v>0</v>
      </c>
      <c r="I35" s="103"/>
      <c r="J35" s="102"/>
      <c r="K35" s="45">
        <v>10.029999999999999</v>
      </c>
      <c r="L35" s="45">
        <v>7.8100000000000005</v>
      </c>
      <c r="M35" s="45">
        <f t="shared" si="7"/>
        <v>7.8100000000000005</v>
      </c>
      <c r="N35" s="44">
        <f t="shared" si="0"/>
        <v>-2.2199999999999989</v>
      </c>
      <c r="O35" s="43">
        <f t="shared" si="1"/>
        <v>0</v>
      </c>
      <c r="P35" s="40">
        <f t="shared" si="2"/>
        <v>0</v>
      </c>
      <c r="Q35" s="40">
        <f t="shared" si="3"/>
        <v>0</v>
      </c>
      <c r="R35" s="40">
        <f t="shared" si="4"/>
        <v>0</v>
      </c>
      <c r="S35" s="40">
        <f t="shared" si="5"/>
        <v>0</v>
      </c>
      <c r="T35" s="42">
        <f t="shared" si="6"/>
        <v>-0.22133599202392806</v>
      </c>
      <c r="AA35" s="35"/>
    </row>
    <row r="36" spans="1:27" hidden="1" outlineLevel="1">
      <c r="A36" s="36">
        <v>174</v>
      </c>
      <c r="B36" s="29">
        <v>2</v>
      </c>
      <c r="C36" s="29" t="s">
        <v>75</v>
      </c>
      <c r="D36" s="31">
        <v>70</v>
      </c>
      <c r="E36" s="31" t="s">
        <v>388</v>
      </c>
      <c r="F36" s="32" t="s">
        <v>324</v>
      </c>
      <c r="G36" s="31" t="s">
        <v>160</v>
      </c>
      <c r="H36" s="30">
        <v>0</v>
      </c>
      <c r="I36" s="103"/>
      <c r="J36" s="102"/>
      <c r="K36" s="45">
        <v>22.56</v>
      </c>
      <c r="L36" s="45">
        <v>10.395</v>
      </c>
      <c r="M36" s="45">
        <f t="shared" si="7"/>
        <v>10.395</v>
      </c>
      <c r="N36" s="44">
        <f t="shared" si="0"/>
        <v>-12.164999999999999</v>
      </c>
      <c r="O36" s="43">
        <f t="shared" si="1"/>
        <v>0</v>
      </c>
      <c r="P36" s="40">
        <f t="shared" si="2"/>
        <v>0</v>
      </c>
      <c r="Q36" s="40">
        <f t="shared" si="3"/>
        <v>0</v>
      </c>
      <c r="R36" s="40">
        <f t="shared" si="4"/>
        <v>0</v>
      </c>
      <c r="S36" s="40">
        <f t="shared" si="5"/>
        <v>0</v>
      </c>
      <c r="T36" s="42">
        <f t="shared" si="6"/>
        <v>-0.53922872340425532</v>
      </c>
      <c r="AA36" s="35"/>
    </row>
    <row r="37" spans="1:27" hidden="1" outlineLevel="1">
      <c r="A37" s="36">
        <v>175</v>
      </c>
      <c r="B37" s="29">
        <v>2</v>
      </c>
      <c r="C37" s="29" t="s">
        <v>75</v>
      </c>
      <c r="D37" s="31">
        <v>70</v>
      </c>
      <c r="E37" s="31" t="s">
        <v>388</v>
      </c>
      <c r="F37" s="32" t="s">
        <v>323</v>
      </c>
      <c r="G37" s="31" t="s">
        <v>160</v>
      </c>
      <c r="H37" s="30">
        <v>0</v>
      </c>
      <c r="I37" s="103"/>
      <c r="J37" s="102"/>
      <c r="K37" s="45">
        <v>10.029999999999999</v>
      </c>
      <c r="L37" s="45">
        <v>7.8100000000000005</v>
      </c>
      <c r="M37" s="45">
        <f t="shared" si="7"/>
        <v>7.8100000000000005</v>
      </c>
      <c r="N37" s="44">
        <f t="shared" si="0"/>
        <v>-2.2199999999999989</v>
      </c>
      <c r="O37" s="43">
        <f t="shared" si="1"/>
        <v>0</v>
      </c>
      <c r="P37" s="40">
        <f t="shared" si="2"/>
        <v>0</v>
      </c>
      <c r="Q37" s="40">
        <f t="shared" si="3"/>
        <v>0</v>
      </c>
      <c r="R37" s="40">
        <f t="shared" si="4"/>
        <v>0</v>
      </c>
      <c r="S37" s="40">
        <f t="shared" si="5"/>
        <v>0</v>
      </c>
      <c r="T37" s="42">
        <f t="shared" si="6"/>
        <v>-0.22133599202392806</v>
      </c>
      <c r="AA37" s="35"/>
    </row>
    <row r="38" spans="1:27" hidden="1" outlineLevel="1">
      <c r="A38" s="36">
        <v>313</v>
      </c>
      <c r="B38" s="29">
        <v>3</v>
      </c>
      <c r="C38" s="29" t="s">
        <v>75</v>
      </c>
      <c r="D38" s="31">
        <v>70</v>
      </c>
      <c r="E38" s="31" t="s">
        <v>388</v>
      </c>
      <c r="F38" s="32" t="s">
        <v>322</v>
      </c>
      <c r="G38" s="31" t="s">
        <v>160</v>
      </c>
      <c r="H38" s="30">
        <v>4</v>
      </c>
      <c r="I38" s="103"/>
      <c r="J38" s="102"/>
      <c r="K38" s="45">
        <v>56.64</v>
      </c>
      <c r="L38" s="45">
        <v>52.395000000000003</v>
      </c>
      <c r="M38" s="45">
        <f t="shared" si="7"/>
        <v>52.395000000000003</v>
      </c>
      <c r="N38" s="44">
        <f t="shared" si="0"/>
        <v>-4.2449999999999974</v>
      </c>
      <c r="O38" s="43">
        <f t="shared" si="1"/>
        <v>226.56</v>
      </c>
      <c r="P38" s="40">
        <f t="shared" si="2"/>
        <v>209.58</v>
      </c>
      <c r="Q38" s="40">
        <f t="shared" si="3"/>
        <v>209.58</v>
      </c>
      <c r="R38" s="40">
        <f t="shared" si="4"/>
        <v>-16.97999999999999</v>
      </c>
      <c r="S38" s="40">
        <f t="shared" si="5"/>
        <v>-16.97999999999999</v>
      </c>
      <c r="T38" s="42">
        <f t="shared" si="6"/>
        <v>-7.4947033898305038E-2</v>
      </c>
      <c r="AA38" s="35"/>
    </row>
    <row r="39" spans="1:27" hidden="1" outlineLevel="1">
      <c r="A39" s="36">
        <v>35</v>
      </c>
      <c r="B39" s="29">
        <v>1</v>
      </c>
      <c r="C39" s="29" t="s">
        <v>75</v>
      </c>
      <c r="D39" s="31">
        <v>70</v>
      </c>
      <c r="E39" s="31" t="s">
        <v>388</v>
      </c>
      <c r="F39" s="32" t="s">
        <v>341</v>
      </c>
      <c r="G39" s="31" t="s">
        <v>160</v>
      </c>
      <c r="H39" s="30">
        <v>0</v>
      </c>
      <c r="I39" s="103"/>
      <c r="J39" s="102"/>
      <c r="K39" s="45">
        <v>22.56</v>
      </c>
      <c r="L39" s="45">
        <v>10.395</v>
      </c>
      <c r="M39" s="45">
        <f t="shared" si="7"/>
        <v>10.395</v>
      </c>
      <c r="N39" s="44">
        <f t="shared" si="0"/>
        <v>-12.164999999999999</v>
      </c>
      <c r="O39" s="43">
        <f t="shared" si="1"/>
        <v>0</v>
      </c>
      <c r="P39" s="40">
        <f t="shared" si="2"/>
        <v>0</v>
      </c>
      <c r="Q39" s="40">
        <f t="shared" si="3"/>
        <v>0</v>
      </c>
      <c r="R39" s="40">
        <f t="shared" si="4"/>
        <v>0</v>
      </c>
      <c r="S39" s="40">
        <f t="shared" si="5"/>
        <v>0</v>
      </c>
      <c r="T39" s="42">
        <f t="shared" si="6"/>
        <v>-0.53922872340425532</v>
      </c>
      <c r="AA39" s="35"/>
    </row>
    <row r="40" spans="1:27" hidden="1" outlineLevel="1">
      <c r="A40" s="36">
        <v>36</v>
      </c>
      <c r="B40" s="29">
        <v>1</v>
      </c>
      <c r="C40" s="29" t="s">
        <v>75</v>
      </c>
      <c r="D40" s="31">
        <v>70</v>
      </c>
      <c r="E40" s="31" t="s">
        <v>388</v>
      </c>
      <c r="F40" s="32" t="s">
        <v>340</v>
      </c>
      <c r="G40" s="31" t="s">
        <v>160</v>
      </c>
      <c r="H40" s="30">
        <v>0</v>
      </c>
      <c r="I40" s="103"/>
      <c r="J40" s="102"/>
      <c r="K40" s="45">
        <v>10.029999999999999</v>
      </c>
      <c r="L40" s="45">
        <v>7.8100000000000005</v>
      </c>
      <c r="M40" s="45">
        <f t="shared" si="7"/>
        <v>7.8100000000000005</v>
      </c>
      <c r="N40" s="44">
        <f t="shared" si="0"/>
        <v>-2.2199999999999989</v>
      </c>
      <c r="O40" s="43">
        <f t="shared" si="1"/>
        <v>0</v>
      </c>
      <c r="P40" s="40">
        <f t="shared" si="2"/>
        <v>0</v>
      </c>
      <c r="Q40" s="40">
        <f t="shared" si="3"/>
        <v>0</v>
      </c>
      <c r="R40" s="40">
        <f t="shared" si="4"/>
        <v>0</v>
      </c>
      <c r="S40" s="40">
        <f t="shared" si="5"/>
        <v>0</v>
      </c>
      <c r="T40" s="42">
        <f t="shared" si="6"/>
        <v>-0.22133599202392806</v>
      </c>
      <c r="AA40" s="35"/>
    </row>
    <row r="41" spans="1:27" hidden="1" outlineLevel="1">
      <c r="A41" s="36">
        <v>37</v>
      </c>
      <c r="B41" s="29">
        <v>1</v>
      </c>
      <c r="C41" s="29" t="s">
        <v>75</v>
      </c>
      <c r="D41" s="31">
        <v>70</v>
      </c>
      <c r="E41" s="31" t="s">
        <v>388</v>
      </c>
      <c r="F41" s="32" t="s">
        <v>339</v>
      </c>
      <c r="G41" s="31" t="s">
        <v>160</v>
      </c>
      <c r="H41" s="30">
        <v>0</v>
      </c>
      <c r="I41" s="103"/>
      <c r="J41" s="102"/>
      <c r="K41" s="45">
        <v>10.029999999999999</v>
      </c>
      <c r="L41" s="45">
        <v>7.8100000000000005</v>
      </c>
      <c r="M41" s="45">
        <f t="shared" si="7"/>
        <v>7.8100000000000005</v>
      </c>
      <c r="N41" s="44">
        <f t="shared" si="0"/>
        <v>-2.2199999999999989</v>
      </c>
      <c r="O41" s="43">
        <f t="shared" si="1"/>
        <v>0</v>
      </c>
      <c r="P41" s="40">
        <f t="shared" si="2"/>
        <v>0</v>
      </c>
      <c r="Q41" s="40">
        <f t="shared" si="3"/>
        <v>0</v>
      </c>
      <c r="R41" s="40">
        <f t="shared" si="4"/>
        <v>0</v>
      </c>
      <c r="S41" s="40">
        <f t="shared" si="5"/>
        <v>0</v>
      </c>
      <c r="T41" s="42">
        <f t="shared" si="6"/>
        <v>-0.22133599202392806</v>
      </c>
      <c r="AA41" s="35"/>
    </row>
    <row r="42" spans="1:27" hidden="1" outlineLevel="1">
      <c r="A42" s="36">
        <v>22</v>
      </c>
      <c r="B42" s="29">
        <v>1</v>
      </c>
      <c r="C42" s="29" t="s">
        <v>75</v>
      </c>
      <c r="D42" s="31">
        <v>70</v>
      </c>
      <c r="E42" s="31" t="s">
        <v>388</v>
      </c>
      <c r="F42" s="32" t="s">
        <v>338</v>
      </c>
      <c r="G42" s="31" t="s">
        <v>160</v>
      </c>
      <c r="H42" s="30">
        <v>10</v>
      </c>
      <c r="I42" s="103"/>
      <c r="J42" s="102"/>
      <c r="K42" s="45">
        <v>10.029999999999999</v>
      </c>
      <c r="L42" s="45">
        <v>7.8100000000000005</v>
      </c>
      <c r="M42" s="45">
        <f t="shared" si="7"/>
        <v>7.8100000000000005</v>
      </c>
      <c r="N42" s="44">
        <f t="shared" si="0"/>
        <v>-2.2199999999999989</v>
      </c>
      <c r="O42" s="43">
        <f t="shared" si="1"/>
        <v>100.3</v>
      </c>
      <c r="P42" s="40">
        <f t="shared" si="2"/>
        <v>78.100000000000009</v>
      </c>
      <c r="Q42" s="40">
        <f t="shared" si="3"/>
        <v>78.100000000000009</v>
      </c>
      <c r="R42" s="40">
        <f t="shared" si="4"/>
        <v>-22.199999999999989</v>
      </c>
      <c r="S42" s="40">
        <f t="shared" si="5"/>
        <v>-22.199999999999989</v>
      </c>
      <c r="T42" s="42">
        <f t="shared" si="6"/>
        <v>-0.22133599202392806</v>
      </c>
      <c r="AA42" s="35"/>
    </row>
    <row r="43" spans="1:27" hidden="1" outlineLevel="1">
      <c r="A43" s="36">
        <v>128</v>
      </c>
      <c r="B43" s="29">
        <v>2</v>
      </c>
      <c r="C43" s="29" t="s">
        <v>75</v>
      </c>
      <c r="D43" s="31">
        <v>80</v>
      </c>
      <c r="E43" s="31" t="s">
        <v>388</v>
      </c>
      <c r="F43" s="32" t="s">
        <v>319</v>
      </c>
      <c r="G43" s="31" t="s">
        <v>212</v>
      </c>
      <c r="H43" s="30">
        <v>11</v>
      </c>
      <c r="I43" s="103"/>
      <c r="J43" s="102"/>
      <c r="K43" s="45">
        <v>9.7899999999999991</v>
      </c>
      <c r="L43" s="45">
        <v>5.8108600000000008</v>
      </c>
      <c r="M43" s="45">
        <f t="shared" si="7"/>
        <v>5.8108600000000008</v>
      </c>
      <c r="N43" s="44">
        <f t="shared" si="0"/>
        <v>-3.9791399999999983</v>
      </c>
      <c r="O43" s="43">
        <f t="shared" si="1"/>
        <v>107.69</v>
      </c>
      <c r="P43" s="40">
        <f t="shared" si="2"/>
        <v>63.919460000000008</v>
      </c>
      <c r="Q43" s="40">
        <f t="shared" si="3"/>
        <v>63.919460000000008</v>
      </c>
      <c r="R43" s="40">
        <f t="shared" si="4"/>
        <v>-43.77053999999999</v>
      </c>
      <c r="S43" s="40">
        <f t="shared" si="5"/>
        <v>-43.77053999999999</v>
      </c>
      <c r="T43" s="42">
        <f t="shared" si="6"/>
        <v>-0.4064494382022471</v>
      </c>
      <c r="AA43" s="35"/>
    </row>
    <row r="44" spans="1:27" hidden="1" outlineLevel="1">
      <c r="A44" s="36">
        <v>39</v>
      </c>
      <c r="B44" s="29">
        <v>1</v>
      </c>
      <c r="C44" s="29" t="s">
        <v>75</v>
      </c>
      <c r="D44" s="31">
        <v>80</v>
      </c>
      <c r="E44" s="31" t="s">
        <v>388</v>
      </c>
      <c r="F44" s="32" t="s">
        <v>321</v>
      </c>
      <c r="G44" s="31" t="s">
        <v>160</v>
      </c>
      <c r="H44" s="30">
        <v>0</v>
      </c>
      <c r="I44" s="103"/>
      <c r="J44" s="102"/>
      <c r="K44" s="45">
        <v>9.7899999999999991</v>
      </c>
      <c r="L44" s="45">
        <v>1.3336400000000002</v>
      </c>
      <c r="M44" s="45">
        <f t="shared" si="7"/>
        <v>1.3336400000000002</v>
      </c>
      <c r="N44" s="44">
        <f t="shared" si="0"/>
        <v>-8.4563599999999983</v>
      </c>
      <c r="O44" s="43">
        <f t="shared" si="1"/>
        <v>0</v>
      </c>
      <c r="P44" s="40">
        <f t="shared" si="2"/>
        <v>0</v>
      </c>
      <c r="Q44" s="40">
        <f t="shared" si="3"/>
        <v>0</v>
      </c>
      <c r="R44" s="40">
        <f t="shared" si="4"/>
        <v>0</v>
      </c>
      <c r="S44" s="40">
        <f t="shared" si="5"/>
        <v>0</v>
      </c>
      <c r="T44" s="42">
        <f t="shared" si="6"/>
        <v>-0.86377528089887634</v>
      </c>
      <c r="AA44" s="35"/>
    </row>
    <row r="45" spans="1:27" hidden="1" outlineLevel="1">
      <c r="A45" s="36">
        <v>9</v>
      </c>
      <c r="B45" s="29">
        <v>1</v>
      </c>
      <c r="C45" s="29" t="s">
        <v>75</v>
      </c>
      <c r="D45" s="31">
        <v>80</v>
      </c>
      <c r="E45" s="31" t="s">
        <v>388</v>
      </c>
      <c r="F45" s="32" t="s">
        <v>320</v>
      </c>
      <c r="G45" s="31" t="s">
        <v>212</v>
      </c>
      <c r="H45" s="30">
        <v>359.64964249233913</v>
      </c>
      <c r="I45" s="103"/>
      <c r="J45" s="102"/>
      <c r="K45" s="45">
        <v>9.7899999999999991</v>
      </c>
      <c r="L45" s="45">
        <v>5.8108600000000008</v>
      </c>
      <c r="M45" s="45">
        <f t="shared" si="7"/>
        <v>5.8108600000000008</v>
      </c>
      <c r="N45" s="44">
        <f t="shared" si="0"/>
        <v>-3.9791399999999983</v>
      </c>
      <c r="O45" s="43">
        <f t="shared" si="1"/>
        <v>3520.97</v>
      </c>
      <c r="P45" s="40">
        <f t="shared" si="2"/>
        <v>2089.8737215730339</v>
      </c>
      <c r="Q45" s="40">
        <f t="shared" si="3"/>
        <v>2089.8737215730339</v>
      </c>
      <c r="R45" s="40">
        <f t="shared" si="4"/>
        <v>-1431.0962784269659</v>
      </c>
      <c r="S45" s="40">
        <f t="shared" si="5"/>
        <v>-1431.0962784269659</v>
      </c>
      <c r="T45" s="42">
        <f t="shared" si="6"/>
        <v>-0.4064494382022471</v>
      </c>
      <c r="AA45" s="35"/>
    </row>
    <row r="46" spans="1:27" hidden="1" outlineLevel="1">
      <c r="A46" s="36">
        <v>149</v>
      </c>
      <c r="B46" s="29">
        <v>2</v>
      </c>
      <c r="C46" s="29" t="s">
        <v>75</v>
      </c>
      <c r="D46" s="31">
        <v>100</v>
      </c>
      <c r="E46" s="31" t="s">
        <v>388</v>
      </c>
      <c r="F46" s="32" t="s">
        <v>297</v>
      </c>
      <c r="G46" s="31" t="s">
        <v>160</v>
      </c>
      <c r="H46" s="30">
        <v>3</v>
      </c>
      <c r="I46" s="103"/>
      <c r="J46" s="102"/>
      <c r="K46" s="45">
        <v>3.39</v>
      </c>
      <c r="L46" s="45">
        <v>3.39</v>
      </c>
      <c r="M46" s="45">
        <f t="shared" si="7"/>
        <v>3.39</v>
      </c>
      <c r="N46" s="44">
        <f t="shared" si="0"/>
        <v>0</v>
      </c>
      <c r="O46" s="43">
        <f t="shared" si="1"/>
        <v>10.17</v>
      </c>
      <c r="P46" s="40">
        <f t="shared" si="2"/>
        <v>10.17</v>
      </c>
      <c r="Q46" s="40">
        <f t="shared" si="3"/>
        <v>10.17</v>
      </c>
      <c r="R46" s="40">
        <f t="shared" si="4"/>
        <v>0</v>
      </c>
      <c r="S46" s="40">
        <f t="shared" si="5"/>
        <v>0</v>
      </c>
      <c r="T46" s="42">
        <f t="shared" si="6"/>
        <v>0</v>
      </c>
      <c r="AA46" s="35"/>
    </row>
    <row r="47" spans="1:27" hidden="1" outlineLevel="1">
      <c r="A47" s="36">
        <v>28</v>
      </c>
      <c r="B47" s="29">
        <v>1</v>
      </c>
      <c r="C47" s="29" t="s">
        <v>75</v>
      </c>
      <c r="D47" s="31">
        <v>100</v>
      </c>
      <c r="E47" s="31" t="s">
        <v>388</v>
      </c>
      <c r="F47" s="32" t="s">
        <v>318</v>
      </c>
      <c r="G47" s="31" t="s">
        <v>160</v>
      </c>
      <c r="H47" s="30">
        <v>3</v>
      </c>
      <c r="I47" s="103"/>
      <c r="J47" s="102"/>
      <c r="K47" s="45">
        <v>3.26</v>
      </c>
      <c r="L47" s="45">
        <v>3.26</v>
      </c>
      <c r="M47" s="41">
        <v>3.26</v>
      </c>
      <c r="N47" s="44">
        <f t="shared" si="0"/>
        <v>0</v>
      </c>
      <c r="O47" s="43">
        <f t="shared" si="1"/>
        <v>9.7799999999999994</v>
      </c>
      <c r="P47" s="40">
        <f t="shared" si="2"/>
        <v>9.7799999999999994</v>
      </c>
      <c r="Q47" s="40">
        <f t="shared" si="3"/>
        <v>9.7799999999999994</v>
      </c>
      <c r="R47" s="40">
        <f t="shared" si="4"/>
        <v>0</v>
      </c>
      <c r="S47" s="40">
        <f t="shared" si="5"/>
        <v>0</v>
      </c>
      <c r="T47" s="42">
        <f t="shared" si="6"/>
        <v>0</v>
      </c>
      <c r="AA47" s="35"/>
    </row>
    <row r="48" spans="1:27" hidden="1" outlineLevel="1">
      <c r="A48" s="85">
        <v>31</v>
      </c>
      <c r="B48" s="84">
        <v>1</v>
      </c>
      <c r="C48" s="84" t="s">
        <v>75</v>
      </c>
      <c r="D48" s="82">
        <v>100</v>
      </c>
      <c r="E48" s="82" t="s">
        <v>388</v>
      </c>
      <c r="F48" s="83" t="s">
        <v>316</v>
      </c>
      <c r="G48" s="82" t="s">
        <v>212</v>
      </c>
      <c r="H48" s="81">
        <v>0.19999999999999998</v>
      </c>
      <c r="I48" s="116"/>
      <c r="J48" s="115"/>
      <c r="K48" s="45">
        <v>19.64</v>
      </c>
      <c r="L48" s="45">
        <v>19.53</v>
      </c>
      <c r="M48" s="41">
        <v>19.53</v>
      </c>
      <c r="N48" s="44">
        <f t="shared" si="0"/>
        <v>-0.10999999999999943</v>
      </c>
      <c r="O48" s="43">
        <f t="shared" si="1"/>
        <v>3.9279999999999999</v>
      </c>
      <c r="P48" s="40">
        <f t="shared" si="2"/>
        <v>3.9059999999999997</v>
      </c>
      <c r="Q48" s="40">
        <f t="shared" si="3"/>
        <v>3.9059999999999997</v>
      </c>
      <c r="R48" s="40">
        <f t="shared" si="4"/>
        <v>-2.2000000000000242E-2</v>
      </c>
      <c r="S48" s="40">
        <f t="shared" si="5"/>
        <v>-2.2000000000000242E-2</v>
      </c>
      <c r="T48" s="42">
        <f t="shared" si="6"/>
        <v>-5.6008146639511258E-3</v>
      </c>
      <c r="AA48" s="35"/>
    </row>
    <row r="49" spans="1:27" hidden="1" outlineLevel="1">
      <c r="A49" s="85">
        <v>40</v>
      </c>
      <c r="B49" s="84">
        <v>1</v>
      </c>
      <c r="C49" s="84" t="s">
        <v>75</v>
      </c>
      <c r="D49" s="82">
        <v>100</v>
      </c>
      <c r="E49" s="82" t="s">
        <v>388</v>
      </c>
      <c r="F49" s="83" t="s">
        <v>316</v>
      </c>
      <c r="G49" s="82" t="s">
        <v>317</v>
      </c>
      <c r="H49" s="81">
        <v>0</v>
      </c>
      <c r="I49" s="116"/>
      <c r="J49" s="115"/>
      <c r="K49" s="45">
        <v>9.15</v>
      </c>
      <c r="L49" s="45">
        <v>9.14</v>
      </c>
      <c r="M49" s="41">
        <v>9.14</v>
      </c>
      <c r="N49" s="44">
        <f t="shared" si="0"/>
        <v>-9.9999999999997868E-3</v>
      </c>
      <c r="O49" s="43">
        <f t="shared" si="1"/>
        <v>0</v>
      </c>
      <c r="P49" s="40">
        <f t="shared" si="2"/>
        <v>0</v>
      </c>
      <c r="Q49" s="40">
        <f t="shared" si="3"/>
        <v>0</v>
      </c>
      <c r="R49" s="40">
        <f t="shared" si="4"/>
        <v>0</v>
      </c>
      <c r="S49" s="40">
        <f t="shared" si="5"/>
        <v>0</v>
      </c>
      <c r="T49" s="42">
        <f t="shared" si="6"/>
        <v>-1.0928961748634114E-3</v>
      </c>
      <c r="AA49" s="35"/>
    </row>
    <row r="50" spans="1:27" hidden="1" outlineLevel="1">
      <c r="A50" s="85">
        <v>41</v>
      </c>
      <c r="B50" s="84">
        <v>1</v>
      </c>
      <c r="C50" s="84" t="s">
        <v>75</v>
      </c>
      <c r="D50" s="82">
        <v>100</v>
      </c>
      <c r="E50" s="82" t="s">
        <v>388</v>
      </c>
      <c r="F50" s="83" t="s">
        <v>315</v>
      </c>
      <c r="G50" s="82" t="s">
        <v>212</v>
      </c>
      <c r="H50" s="81">
        <v>0</v>
      </c>
      <c r="I50" s="116"/>
      <c r="J50" s="115"/>
      <c r="K50" s="45">
        <v>23.82</v>
      </c>
      <c r="L50" s="45">
        <v>23.82</v>
      </c>
      <c r="M50" s="41">
        <v>23.82</v>
      </c>
      <c r="N50" s="44">
        <f t="shared" si="0"/>
        <v>0</v>
      </c>
      <c r="O50" s="43">
        <f t="shared" si="1"/>
        <v>0</v>
      </c>
      <c r="P50" s="40">
        <f t="shared" si="2"/>
        <v>0</v>
      </c>
      <c r="Q50" s="40">
        <f t="shared" si="3"/>
        <v>0</v>
      </c>
      <c r="R50" s="40">
        <f t="shared" si="4"/>
        <v>0</v>
      </c>
      <c r="S50" s="40">
        <f t="shared" si="5"/>
        <v>0</v>
      </c>
      <c r="T50" s="42">
        <f t="shared" si="6"/>
        <v>0</v>
      </c>
      <c r="AA50" s="35"/>
    </row>
    <row r="51" spans="1:27" hidden="1" outlineLevel="1">
      <c r="A51" s="85">
        <v>43</v>
      </c>
      <c r="B51" s="84">
        <v>1</v>
      </c>
      <c r="C51" s="84" t="s">
        <v>75</v>
      </c>
      <c r="D51" s="82">
        <v>100</v>
      </c>
      <c r="E51" s="82" t="s">
        <v>388</v>
      </c>
      <c r="F51" s="83" t="s">
        <v>314</v>
      </c>
      <c r="G51" s="82" t="s">
        <v>212</v>
      </c>
      <c r="H51" s="81">
        <v>0</v>
      </c>
      <c r="I51" s="116"/>
      <c r="J51" s="115"/>
      <c r="K51" s="45">
        <v>29.08</v>
      </c>
      <c r="L51" s="45">
        <v>28.99</v>
      </c>
      <c r="M51" s="41">
        <v>28.99</v>
      </c>
      <c r="N51" s="44">
        <f t="shared" si="0"/>
        <v>-8.9999999999999858E-2</v>
      </c>
      <c r="O51" s="43">
        <f t="shared" si="1"/>
        <v>0</v>
      </c>
      <c r="P51" s="40">
        <f t="shared" si="2"/>
        <v>0</v>
      </c>
      <c r="Q51" s="40">
        <f t="shared" si="3"/>
        <v>0</v>
      </c>
      <c r="R51" s="40">
        <f t="shared" si="4"/>
        <v>0</v>
      </c>
      <c r="S51" s="40">
        <f t="shared" si="5"/>
        <v>0</v>
      </c>
      <c r="T51" s="42">
        <f t="shared" si="6"/>
        <v>-3.0949105914718222E-3</v>
      </c>
      <c r="AA51" s="35"/>
    </row>
    <row r="52" spans="1:27" hidden="1" outlineLevel="1">
      <c r="A52" s="85">
        <v>45</v>
      </c>
      <c r="B52" s="84">
        <v>1</v>
      </c>
      <c r="C52" s="84" t="s">
        <v>75</v>
      </c>
      <c r="D52" s="82">
        <v>100</v>
      </c>
      <c r="E52" s="82" t="s">
        <v>388</v>
      </c>
      <c r="F52" s="83" t="s">
        <v>313</v>
      </c>
      <c r="G52" s="82" t="s">
        <v>212</v>
      </c>
      <c r="H52" s="81">
        <v>0</v>
      </c>
      <c r="I52" s="116"/>
      <c r="J52" s="115"/>
      <c r="K52" s="45">
        <v>89.78</v>
      </c>
      <c r="L52" s="45">
        <v>88.64</v>
      </c>
      <c r="M52" s="41">
        <v>88.64</v>
      </c>
      <c r="N52" s="44">
        <f t="shared" si="0"/>
        <v>-1.1400000000000006</v>
      </c>
      <c r="O52" s="43">
        <f t="shared" si="1"/>
        <v>0</v>
      </c>
      <c r="P52" s="40">
        <f t="shared" si="2"/>
        <v>0</v>
      </c>
      <c r="Q52" s="40">
        <f t="shared" si="3"/>
        <v>0</v>
      </c>
      <c r="R52" s="40">
        <f t="shared" si="4"/>
        <v>0</v>
      </c>
      <c r="S52" s="40">
        <f t="shared" si="5"/>
        <v>0</v>
      </c>
      <c r="T52" s="42">
        <f t="shared" si="6"/>
        <v>-1.2697705502339063E-2</v>
      </c>
      <c r="AA52" s="35"/>
    </row>
    <row r="53" spans="1:27" hidden="1" outlineLevel="1">
      <c r="A53" s="85">
        <v>47</v>
      </c>
      <c r="B53" s="84">
        <v>1</v>
      </c>
      <c r="C53" s="84" t="s">
        <v>75</v>
      </c>
      <c r="D53" s="82">
        <v>100</v>
      </c>
      <c r="E53" s="82" t="s">
        <v>388</v>
      </c>
      <c r="F53" s="83" t="s">
        <v>312</v>
      </c>
      <c r="G53" s="82" t="s">
        <v>212</v>
      </c>
      <c r="H53" s="81">
        <v>0</v>
      </c>
      <c r="I53" s="116"/>
      <c r="J53" s="115"/>
      <c r="K53" s="45">
        <v>34.51</v>
      </c>
      <c r="L53" s="45">
        <v>34.39</v>
      </c>
      <c r="M53" s="41">
        <v>34.39</v>
      </c>
      <c r="N53" s="44">
        <f t="shared" si="0"/>
        <v>-0.11999999999999744</v>
      </c>
      <c r="O53" s="43">
        <f t="shared" si="1"/>
        <v>0</v>
      </c>
      <c r="P53" s="40">
        <f t="shared" si="2"/>
        <v>0</v>
      </c>
      <c r="Q53" s="40">
        <f t="shared" si="3"/>
        <v>0</v>
      </c>
      <c r="R53" s="40">
        <f t="shared" si="4"/>
        <v>0</v>
      </c>
      <c r="S53" s="40">
        <f t="shared" si="5"/>
        <v>0</v>
      </c>
      <c r="T53" s="42">
        <f t="shared" si="6"/>
        <v>-3.4772529701535548E-3</v>
      </c>
      <c r="AA53" s="35"/>
    </row>
    <row r="54" spans="1:27" hidden="1" outlineLevel="1">
      <c r="A54" s="85">
        <v>49</v>
      </c>
      <c r="B54" s="84">
        <v>1</v>
      </c>
      <c r="C54" s="84" t="s">
        <v>75</v>
      </c>
      <c r="D54" s="82">
        <v>100</v>
      </c>
      <c r="E54" s="82" t="s">
        <v>388</v>
      </c>
      <c r="F54" s="83" t="s">
        <v>311</v>
      </c>
      <c r="G54" s="82" t="s">
        <v>212</v>
      </c>
      <c r="H54" s="81">
        <v>0</v>
      </c>
      <c r="I54" s="116"/>
      <c r="J54" s="115"/>
      <c r="K54" s="45">
        <v>44.44</v>
      </c>
      <c r="L54" s="45">
        <v>44.31</v>
      </c>
      <c r="M54" s="41">
        <v>44.31</v>
      </c>
      <c r="N54" s="44">
        <f t="shared" si="0"/>
        <v>-0.12999999999999545</v>
      </c>
      <c r="O54" s="43">
        <f t="shared" si="1"/>
        <v>0</v>
      </c>
      <c r="P54" s="40">
        <f t="shared" si="2"/>
        <v>0</v>
      </c>
      <c r="Q54" s="40">
        <f t="shared" si="3"/>
        <v>0</v>
      </c>
      <c r="R54" s="40">
        <f t="shared" si="4"/>
        <v>0</v>
      </c>
      <c r="S54" s="40">
        <f t="shared" si="5"/>
        <v>0</v>
      </c>
      <c r="T54" s="42">
        <f t="shared" si="6"/>
        <v>-2.9252925292527765E-3</v>
      </c>
      <c r="AA54" s="35"/>
    </row>
    <row r="55" spans="1:27" hidden="1" outlineLevel="1">
      <c r="A55" s="85">
        <v>51</v>
      </c>
      <c r="B55" s="84">
        <v>1</v>
      </c>
      <c r="C55" s="84" t="s">
        <v>75</v>
      </c>
      <c r="D55" s="82">
        <v>100</v>
      </c>
      <c r="E55" s="82" t="s">
        <v>388</v>
      </c>
      <c r="F55" s="83" t="s">
        <v>310</v>
      </c>
      <c r="G55" s="82" t="s">
        <v>212</v>
      </c>
      <c r="H55" s="81">
        <v>0</v>
      </c>
      <c r="I55" s="116"/>
      <c r="J55" s="115"/>
      <c r="K55" s="45">
        <v>51</v>
      </c>
      <c r="L55" s="45">
        <v>50.83</v>
      </c>
      <c r="M55" s="41">
        <v>50.83</v>
      </c>
      <c r="N55" s="44">
        <f t="shared" si="0"/>
        <v>-0.17000000000000171</v>
      </c>
      <c r="O55" s="43">
        <f t="shared" si="1"/>
        <v>0</v>
      </c>
      <c r="P55" s="40">
        <f t="shared" si="2"/>
        <v>0</v>
      </c>
      <c r="Q55" s="40">
        <f t="shared" si="3"/>
        <v>0</v>
      </c>
      <c r="R55" s="40">
        <f t="shared" si="4"/>
        <v>0</v>
      </c>
      <c r="S55" s="40">
        <f t="shared" si="5"/>
        <v>0</v>
      </c>
      <c r="T55" s="42">
        <f t="shared" si="6"/>
        <v>-3.3333333333334103E-3</v>
      </c>
      <c r="AA55" s="35"/>
    </row>
    <row r="56" spans="1:27" hidden="1" outlineLevel="1">
      <c r="A56" s="85">
        <v>4</v>
      </c>
      <c r="B56" s="84">
        <v>1</v>
      </c>
      <c r="C56" s="84" t="s">
        <v>75</v>
      </c>
      <c r="D56" s="82">
        <v>100</v>
      </c>
      <c r="E56" s="82" t="s">
        <v>388</v>
      </c>
      <c r="F56" s="83" t="s">
        <v>309</v>
      </c>
      <c r="G56" s="82" t="s">
        <v>212</v>
      </c>
      <c r="H56" s="81">
        <v>1075.6018588738339</v>
      </c>
      <c r="I56" s="116"/>
      <c r="J56" s="115"/>
      <c r="K56" s="45">
        <v>19.100000000000001</v>
      </c>
      <c r="L56" s="45">
        <v>19.010000000000002</v>
      </c>
      <c r="M56" s="41">
        <v>19.010000000000002</v>
      </c>
      <c r="N56" s="44">
        <f t="shared" si="0"/>
        <v>-8.9999999999999858E-2</v>
      </c>
      <c r="O56" s="43">
        <f t="shared" si="1"/>
        <v>20543.995504490227</v>
      </c>
      <c r="P56" s="40">
        <f t="shared" si="2"/>
        <v>20447.191337191583</v>
      </c>
      <c r="Q56" s="40">
        <f t="shared" si="3"/>
        <v>20447.191337191583</v>
      </c>
      <c r="R56" s="40">
        <f t="shared" si="4"/>
        <v>-96.804167298643733</v>
      </c>
      <c r="S56" s="40">
        <f t="shared" si="5"/>
        <v>-96.804167298643733</v>
      </c>
      <c r="T56" s="42">
        <f t="shared" si="6"/>
        <v>-4.7120418848167755E-3</v>
      </c>
      <c r="AA56" s="35"/>
    </row>
    <row r="57" spans="1:27" hidden="1" outlineLevel="1">
      <c r="A57" s="85">
        <v>53</v>
      </c>
      <c r="B57" s="84">
        <v>1</v>
      </c>
      <c r="C57" s="84" t="s">
        <v>75</v>
      </c>
      <c r="D57" s="82">
        <v>100</v>
      </c>
      <c r="E57" s="82" t="s">
        <v>388</v>
      </c>
      <c r="F57" s="83" t="s">
        <v>308</v>
      </c>
      <c r="G57" s="82" t="s">
        <v>160</v>
      </c>
      <c r="H57" s="81">
        <v>0</v>
      </c>
      <c r="I57" s="116"/>
      <c r="J57" s="115"/>
      <c r="K57" s="45">
        <v>18.48</v>
      </c>
      <c r="L57" s="45">
        <v>3.39</v>
      </c>
      <c r="M57" s="41">
        <v>18.440000000000001</v>
      </c>
      <c r="N57" s="44">
        <f t="shared" si="0"/>
        <v>-15.09</v>
      </c>
      <c r="O57" s="43">
        <f t="shared" si="1"/>
        <v>0</v>
      </c>
      <c r="P57" s="40">
        <f t="shared" si="2"/>
        <v>0</v>
      </c>
      <c r="Q57" s="40">
        <f t="shared" si="3"/>
        <v>0</v>
      </c>
      <c r="R57" s="40">
        <f t="shared" si="4"/>
        <v>0</v>
      </c>
      <c r="S57" s="40">
        <f t="shared" si="5"/>
        <v>0</v>
      </c>
      <c r="T57" s="42">
        <f t="shared" si="6"/>
        <v>-2.1645021645021467E-3</v>
      </c>
      <c r="AA57" s="35"/>
    </row>
    <row r="58" spans="1:27" hidden="1" outlineLevel="1">
      <c r="A58" s="85">
        <v>7</v>
      </c>
      <c r="B58" s="84">
        <v>1</v>
      </c>
      <c r="C58" s="84" t="s">
        <v>75</v>
      </c>
      <c r="D58" s="82">
        <v>100</v>
      </c>
      <c r="E58" s="82" t="s">
        <v>388</v>
      </c>
      <c r="F58" s="83" t="s">
        <v>307</v>
      </c>
      <c r="G58" s="82" t="s">
        <v>212</v>
      </c>
      <c r="H58" s="81">
        <v>151.50108506331659</v>
      </c>
      <c r="I58" s="116"/>
      <c r="J58" s="115"/>
      <c r="K58" s="45">
        <v>24.22</v>
      </c>
      <c r="L58" s="45">
        <v>24.08</v>
      </c>
      <c r="M58" s="41">
        <v>24.08</v>
      </c>
      <c r="N58" s="44">
        <f t="shared" si="0"/>
        <v>-0.14000000000000057</v>
      </c>
      <c r="O58" s="43">
        <f t="shared" si="1"/>
        <v>3669.3562802335277</v>
      </c>
      <c r="P58" s="40">
        <f t="shared" si="2"/>
        <v>3648.1461283246636</v>
      </c>
      <c r="Q58" s="40">
        <f t="shared" si="3"/>
        <v>3648.1461283246636</v>
      </c>
      <c r="R58" s="40">
        <f t="shared" si="4"/>
        <v>-21.210151908864191</v>
      </c>
      <c r="S58" s="40">
        <f t="shared" si="5"/>
        <v>-21.210151908864191</v>
      </c>
      <c r="T58" s="42">
        <f t="shared" si="6"/>
        <v>-5.7803468208093012E-3</v>
      </c>
      <c r="AA58" s="35"/>
    </row>
    <row r="59" spans="1:27" hidden="1" outlineLevel="1">
      <c r="A59" s="85">
        <v>2</v>
      </c>
      <c r="B59" s="84">
        <v>1</v>
      </c>
      <c r="C59" s="84" t="s">
        <v>75</v>
      </c>
      <c r="D59" s="82">
        <v>100</v>
      </c>
      <c r="E59" s="82" t="s">
        <v>388</v>
      </c>
      <c r="F59" s="83" t="s">
        <v>306</v>
      </c>
      <c r="G59" s="82" t="s">
        <v>212</v>
      </c>
      <c r="H59" s="81">
        <v>10079.290741872011</v>
      </c>
      <c r="I59" s="116"/>
      <c r="J59" s="115"/>
      <c r="K59" s="45">
        <v>24.22</v>
      </c>
      <c r="L59" s="45">
        <v>24.08</v>
      </c>
      <c r="M59" s="41">
        <v>24.08</v>
      </c>
      <c r="N59" s="44">
        <f t="shared" si="0"/>
        <v>-0.14000000000000057</v>
      </c>
      <c r="O59" s="43">
        <f t="shared" si="1"/>
        <v>244120.42176814011</v>
      </c>
      <c r="P59" s="40">
        <f t="shared" si="2"/>
        <v>242709.32106427802</v>
      </c>
      <c r="Q59" s="40">
        <f t="shared" si="3"/>
        <v>242709.32106427802</v>
      </c>
      <c r="R59" s="40">
        <f t="shared" si="4"/>
        <v>-1411.1007038620883</v>
      </c>
      <c r="S59" s="40">
        <f t="shared" si="5"/>
        <v>-1411.1007038620883</v>
      </c>
      <c r="T59" s="42">
        <f t="shared" si="6"/>
        <v>-5.7803468208093012E-3</v>
      </c>
      <c r="AA59" s="35"/>
    </row>
    <row r="60" spans="1:27" hidden="1" outlineLevel="1">
      <c r="A60" s="36">
        <v>16</v>
      </c>
      <c r="B60" s="29">
        <v>1</v>
      </c>
      <c r="C60" s="29" t="s">
        <v>75</v>
      </c>
      <c r="D60" s="31">
        <v>100</v>
      </c>
      <c r="E60" s="31" t="s">
        <v>388</v>
      </c>
      <c r="F60" s="32" t="s">
        <v>305</v>
      </c>
      <c r="G60" s="31" t="s">
        <v>160</v>
      </c>
      <c r="H60" s="30">
        <v>97</v>
      </c>
      <c r="I60" s="103"/>
      <c r="J60" s="102"/>
      <c r="K60" s="45">
        <v>3.26</v>
      </c>
      <c r="L60" s="45">
        <v>3.26</v>
      </c>
      <c r="M60" s="41">
        <v>3.26</v>
      </c>
      <c r="N60" s="44">
        <f t="shared" si="0"/>
        <v>0</v>
      </c>
      <c r="O60" s="43">
        <f t="shared" si="1"/>
        <v>316.21999999999997</v>
      </c>
      <c r="P60" s="40">
        <f t="shared" si="2"/>
        <v>316.21999999999997</v>
      </c>
      <c r="Q60" s="40">
        <f t="shared" si="3"/>
        <v>316.21999999999997</v>
      </c>
      <c r="R60" s="40">
        <f t="shared" si="4"/>
        <v>0</v>
      </c>
      <c r="S60" s="40">
        <f t="shared" si="5"/>
        <v>0</v>
      </c>
      <c r="T60" s="42">
        <f t="shared" si="6"/>
        <v>0</v>
      </c>
      <c r="AA60" s="35"/>
    </row>
    <row r="61" spans="1:27" hidden="1" outlineLevel="1">
      <c r="A61" s="85">
        <v>55</v>
      </c>
      <c r="B61" s="84">
        <v>1</v>
      </c>
      <c r="C61" s="84" t="s">
        <v>75</v>
      </c>
      <c r="D61" s="82">
        <v>100</v>
      </c>
      <c r="E61" s="82" t="s">
        <v>388</v>
      </c>
      <c r="F61" s="83" t="s">
        <v>304</v>
      </c>
      <c r="G61" s="82" t="s">
        <v>212</v>
      </c>
      <c r="H61" s="81">
        <v>0</v>
      </c>
      <c r="I61" s="116"/>
      <c r="J61" s="115"/>
      <c r="K61" s="45">
        <v>24.22</v>
      </c>
      <c r="L61" s="45">
        <v>24.08</v>
      </c>
      <c r="M61" s="41">
        <v>24.08</v>
      </c>
      <c r="N61" s="44">
        <f t="shared" si="0"/>
        <v>-0.14000000000000057</v>
      </c>
      <c r="O61" s="43">
        <f t="shared" si="1"/>
        <v>0</v>
      </c>
      <c r="P61" s="40">
        <f t="shared" si="2"/>
        <v>0</v>
      </c>
      <c r="Q61" s="40">
        <f t="shared" si="3"/>
        <v>0</v>
      </c>
      <c r="R61" s="40">
        <f t="shared" si="4"/>
        <v>0</v>
      </c>
      <c r="S61" s="40">
        <f t="shared" si="5"/>
        <v>0</v>
      </c>
      <c r="T61" s="42">
        <f t="shared" si="6"/>
        <v>-5.7803468208093012E-3</v>
      </c>
      <c r="AA61" s="35"/>
    </row>
    <row r="62" spans="1:27" hidden="1" outlineLevel="1">
      <c r="A62" s="85">
        <v>56</v>
      </c>
      <c r="B62" s="84">
        <v>1</v>
      </c>
      <c r="C62" s="84" t="s">
        <v>75</v>
      </c>
      <c r="D62" s="82">
        <v>100</v>
      </c>
      <c r="E62" s="82" t="s">
        <v>388</v>
      </c>
      <c r="F62" s="83" t="s">
        <v>303</v>
      </c>
      <c r="G62" s="82" t="s">
        <v>160</v>
      </c>
      <c r="H62" s="81">
        <v>0</v>
      </c>
      <c r="I62" s="116"/>
      <c r="J62" s="115"/>
      <c r="K62" s="45">
        <v>23.33</v>
      </c>
      <c r="L62" s="45">
        <v>3.39</v>
      </c>
      <c r="M62" s="41">
        <v>23.28</v>
      </c>
      <c r="N62" s="44">
        <f t="shared" si="0"/>
        <v>-19.939999999999998</v>
      </c>
      <c r="O62" s="43">
        <f t="shared" si="1"/>
        <v>0</v>
      </c>
      <c r="P62" s="40">
        <f t="shared" si="2"/>
        <v>0</v>
      </c>
      <c r="Q62" s="40">
        <f t="shared" si="3"/>
        <v>0</v>
      </c>
      <c r="R62" s="40">
        <f t="shared" si="4"/>
        <v>0</v>
      </c>
      <c r="S62" s="40">
        <f t="shared" si="5"/>
        <v>0</v>
      </c>
      <c r="T62" s="42">
        <f t="shared" si="6"/>
        <v>-2.1431633090440716E-3</v>
      </c>
      <c r="AA62" s="35"/>
    </row>
    <row r="63" spans="1:27" hidden="1" outlineLevel="1">
      <c r="A63" s="85">
        <v>58</v>
      </c>
      <c r="B63" s="84">
        <v>1</v>
      </c>
      <c r="C63" s="84" t="s">
        <v>75</v>
      </c>
      <c r="D63" s="82">
        <v>100</v>
      </c>
      <c r="E63" s="82" t="s">
        <v>388</v>
      </c>
      <c r="F63" s="83" t="s">
        <v>302</v>
      </c>
      <c r="G63" s="82" t="s">
        <v>212</v>
      </c>
      <c r="H63" s="81">
        <v>0</v>
      </c>
      <c r="I63" s="116"/>
      <c r="J63" s="115"/>
      <c r="K63" s="45">
        <v>24.22</v>
      </c>
      <c r="L63" s="45">
        <v>24.08</v>
      </c>
      <c r="M63" s="45">
        <v>24.08</v>
      </c>
      <c r="N63" s="44">
        <f t="shared" si="0"/>
        <v>-0.14000000000000057</v>
      </c>
      <c r="O63" s="43">
        <f t="shared" si="1"/>
        <v>0</v>
      </c>
      <c r="P63" s="40">
        <f t="shared" si="2"/>
        <v>0</v>
      </c>
      <c r="Q63" s="40">
        <f t="shared" si="3"/>
        <v>0</v>
      </c>
      <c r="R63" s="40">
        <f t="shared" si="4"/>
        <v>0</v>
      </c>
      <c r="S63" s="40">
        <f t="shared" si="5"/>
        <v>0</v>
      </c>
      <c r="T63" s="42">
        <f t="shared" si="6"/>
        <v>-5.7803468208093012E-3</v>
      </c>
      <c r="AA63" s="35"/>
    </row>
    <row r="64" spans="1:27" hidden="1" outlineLevel="1">
      <c r="A64" s="85">
        <v>59</v>
      </c>
      <c r="B64" s="84">
        <v>1</v>
      </c>
      <c r="C64" s="84" t="s">
        <v>75</v>
      </c>
      <c r="D64" s="82">
        <v>100</v>
      </c>
      <c r="E64" s="82" t="s">
        <v>388</v>
      </c>
      <c r="F64" s="83" t="s">
        <v>301</v>
      </c>
      <c r="G64" s="82" t="s">
        <v>160</v>
      </c>
      <c r="H64" s="81">
        <v>0</v>
      </c>
      <c r="I64" s="116"/>
      <c r="J64" s="115"/>
      <c r="K64" s="45">
        <v>3.42</v>
      </c>
      <c r="L64" s="45">
        <v>3.39</v>
      </c>
      <c r="M64" s="45">
        <f>L64*(1+$W$16)</f>
        <v>3.39</v>
      </c>
      <c r="N64" s="44">
        <f t="shared" si="0"/>
        <v>-2.9999999999999805E-2</v>
      </c>
      <c r="O64" s="43">
        <f t="shared" si="1"/>
        <v>0</v>
      </c>
      <c r="P64" s="40">
        <f t="shared" si="2"/>
        <v>0</v>
      </c>
      <c r="Q64" s="40">
        <f t="shared" si="3"/>
        <v>0</v>
      </c>
      <c r="R64" s="40">
        <f t="shared" si="4"/>
        <v>0</v>
      </c>
      <c r="S64" s="40">
        <f t="shared" si="5"/>
        <v>0</v>
      </c>
      <c r="T64" s="42">
        <f t="shared" si="6"/>
        <v>-8.7719298245613198E-3</v>
      </c>
      <c r="AA64" s="35"/>
    </row>
    <row r="65" spans="1:27" hidden="1" outlineLevel="1">
      <c r="A65" s="85">
        <v>23</v>
      </c>
      <c r="B65" s="84">
        <v>1</v>
      </c>
      <c r="C65" s="84" t="s">
        <v>75</v>
      </c>
      <c r="D65" s="82">
        <v>100</v>
      </c>
      <c r="E65" s="82" t="s">
        <v>388</v>
      </c>
      <c r="F65" s="83" t="s">
        <v>300</v>
      </c>
      <c r="G65" s="82" t="s">
        <v>160</v>
      </c>
      <c r="H65" s="81">
        <v>22</v>
      </c>
      <c r="I65" s="116"/>
      <c r="J65" s="115"/>
      <c r="K65" s="45">
        <v>3.39</v>
      </c>
      <c r="L65" s="45">
        <v>3.39</v>
      </c>
      <c r="M65" s="45">
        <f>L65*(1+$W$16)</f>
        <v>3.39</v>
      </c>
      <c r="N65" s="44">
        <f t="shared" si="0"/>
        <v>0</v>
      </c>
      <c r="O65" s="43">
        <f t="shared" si="1"/>
        <v>74.58</v>
      </c>
      <c r="P65" s="40">
        <f t="shared" si="2"/>
        <v>74.58</v>
      </c>
      <c r="Q65" s="40">
        <f t="shared" si="3"/>
        <v>74.58</v>
      </c>
      <c r="R65" s="40">
        <f t="shared" si="4"/>
        <v>0</v>
      </c>
      <c r="S65" s="40">
        <f t="shared" si="5"/>
        <v>0</v>
      </c>
      <c r="T65" s="42">
        <f t="shared" si="6"/>
        <v>0</v>
      </c>
      <c r="AA65" s="35"/>
    </row>
    <row r="66" spans="1:27" hidden="1" outlineLevel="1">
      <c r="A66" s="85">
        <v>13</v>
      </c>
      <c r="B66" s="84">
        <v>1</v>
      </c>
      <c r="C66" s="84" t="s">
        <v>75</v>
      </c>
      <c r="D66" s="82">
        <v>100</v>
      </c>
      <c r="E66" s="82" t="s">
        <v>388</v>
      </c>
      <c r="F66" s="83" t="s">
        <v>299</v>
      </c>
      <c r="G66" s="82" t="s">
        <v>160</v>
      </c>
      <c r="H66" s="81">
        <v>293</v>
      </c>
      <c r="I66" s="116"/>
      <c r="J66" s="115"/>
      <c r="K66" s="45">
        <v>3.39</v>
      </c>
      <c r="L66" s="45">
        <v>3.39</v>
      </c>
      <c r="M66" s="45">
        <f>L66*(1+$W$16)</f>
        <v>3.39</v>
      </c>
      <c r="N66" s="44">
        <f t="shared" si="0"/>
        <v>0</v>
      </c>
      <c r="O66" s="43">
        <f t="shared" si="1"/>
        <v>993.27</v>
      </c>
      <c r="P66" s="40">
        <f t="shared" si="2"/>
        <v>993.27</v>
      </c>
      <c r="Q66" s="40">
        <f t="shared" si="3"/>
        <v>993.27</v>
      </c>
      <c r="R66" s="40">
        <f t="shared" si="4"/>
        <v>0</v>
      </c>
      <c r="S66" s="40">
        <f t="shared" si="5"/>
        <v>0</v>
      </c>
      <c r="T66" s="42">
        <f t="shared" si="6"/>
        <v>0</v>
      </c>
      <c r="AA66" s="35"/>
    </row>
    <row r="67" spans="1:27" hidden="1" outlineLevel="1">
      <c r="A67" s="85">
        <v>27</v>
      </c>
      <c r="B67" s="84">
        <v>1</v>
      </c>
      <c r="C67" s="84" t="s">
        <v>75</v>
      </c>
      <c r="D67" s="82">
        <v>100</v>
      </c>
      <c r="E67" s="82" t="s">
        <v>388</v>
      </c>
      <c r="F67" s="83" t="s">
        <v>298</v>
      </c>
      <c r="G67" s="82" t="s">
        <v>160</v>
      </c>
      <c r="H67" s="81">
        <v>2</v>
      </c>
      <c r="I67" s="116"/>
      <c r="J67" s="115"/>
      <c r="K67" s="45">
        <v>14.41</v>
      </c>
      <c r="L67" s="45">
        <v>14.41</v>
      </c>
      <c r="M67" s="45">
        <f>L67*(1+$W$16)</f>
        <v>14.41</v>
      </c>
      <c r="N67" s="44">
        <f t="shared" ref="N67:N130" si="8">IF(K67="N/A","-",IFERROR(L67-K67,"New"))</f>
        <v>0</v>
      </c>
      <c r="O67" s="43">
        <f t="shared" ref="O67:O130" si="9">IFERROR(H67*K67,0)</f>
        <v>28.82</v>
      </c>
      <c r="P67" s="40">
        <f t="shared" ref="P67:P130" si="10">L67*H67</f>
        <v>28.82</v>
      </c>
      <c r="Q67" s="40">
        <f t="shared" ref="Q67:Q130" si="11">M67*H67</f>
        <v>28.82</v>
      </c>
      <c r="R67" s="40">
        <f t="shared" ref="R67:R130" si="12">P67-O67</f>
        <v>0</v>
      </c>
      <c r="S67" s="40">
        <f t="shared" ref="S67:S130" si="13">Q67-O67</f>
        <v>0</v>
      </c>
      <c r="T67" s="42">
        <f t="shared" ref="T67:T130" si="14">IFERROR(M67/K67-1,0)</f>
        <v>0</v>
      </c>
      <c r="AA67" s="35"/>
    </row>
    <row r="68" spans="1:27" hidden="1" outlineLevel="1">
      <c r="A68" s="80">
        <v>118</v>
      </c>
      <c r="B68" s="79">
        <v>2</v>
      </c>
      <c r="C68" s="79" t="s">
        <v>75</v>
      </c>
      <c r="D68" s="77">
        <v>150</v>
      </c>
      <c r="E68" s="77" t="s">
        <v>388</v>
      </c>
      <c r="F68" s="78" t="s">
        <v>295</v>
      </c>
      <c r="G68" s="77" t="s">
        <v>283</v>
      </c>
      <c r="H68" s="86">
        <v>11.5</v>
      </c>
      <c r="I68" s="113"/>
      <c r="J68" s="112"/>
      <c r="K68" s="45">
        <v>16.02</v>
      </c>
      <c r="L68" s="45">
        <v>15.98</v>
      </c>
      <c r="M68" s="41">
        <v>15.98</v>
      </c>
      <c r="N68" s="44">
        <f t="shared" si="8"/>
        <v>-3.9999999999999147E-2</v>
      </c>
      <c r="O68" s="43">
        <f t="shared" si="9"/>
        <v>184.23</v>
      </c>
      <c r="P68" s="40">
        <f t="shared" si="10"/>
        <v>183.77</v>
      </c>
      <c r="Q68" s="40">
        <f t="shared" si="11"/>
        <v>183.77</v>
      </c>
      <c r="R68" s="40">
        <f t="shared" si="12"/>
        <v>-0.45999999999997954</v>
      </c>
      <c r="S68" s="40">
        <f t="shared" si="13"/>
        <v>-0.45999999999997954</v>
      </c>
      <c r="T68" s="42">
        <f t="shared" si="14"/>
        <v>-2.4968789013731785E-3</v>
      </c>
      <c r="AA68" s="35"/>
    </row>
    <row r="69" spans="1:27" hidden="1" outlineLevel="1">
      <c r="A69" s="85">
        <v>21</v>
      </c>
      <c r="B69" s="84">
        <v>1</v>
      </c>
      <c r="C69" s="84" t="s">
        <v>75</v>
      </c>
      <c r="D69" s="82">
        <v>150</v>
      </c>
      <c r="E69" s="82" t="s">
        <v>388</v>
      </c>
      <c r="F69" s="83" t="s">
        <v>296</v>
      </c>
      <c r="G69" s="82" t="s">
        <v>160</v>
      </c>
      <c r="H69" s="81">
        <v>7</v>
      </c>
      <c r="I69" s="116"/>
      <c r="J69" s="115"/>
      <c r="K69" s="45">
        <v>16.02</v>
      </c>
      <c r="L69" s="45">
        <v>15.98</v>
      </c>
      <c r="M69" s="41">
        <v>15.98</v>
      </c>
      <c r="N69" s="44">
        <f t="shared" si="8"/>
        <v>-3.9999999999999147E-2</v>
      </c>
      <c r="O69" s="43">
        <f t="shared" si="9"/>
        <v>112.14</v>
      </c>
      <c r="P69" s="40">
        <f t="shared" si="10"/>
        <v>111.86</v>
      </c>
      <c r="Q69" s="40">
        <f t="shared" si="11"/>
        <v>111.86</v>
      </c>
      <c r="R69" s="40">
        <f t="shared" si="12"/>
        <v>-0.28000000000000114</v>
      </c>
      <c r="S69" s="40">
        <f t="shared" si="13"/>
        <v>-0.28000000000000114</v>
      </c>
      <c r="T69" s="42">
        <f t="shared" si="14"/>
        <v>-2.4968789013731785E-3</v>
      </c>
      <c r="AA69" s="35"/>
    </row>
    <row r="70" spans="1:27" hidden="1" outlineLevel="1">
      <c r="A70" s="36">
        <v>132</v>
      </c>
      <c r="B70" s="29">
        <v>2</v>
      </c>
      <c r="C70" s="29" t="s">
        <v>75</v>
      </c>
      <c r="D70" s="31">
        <v>160</v>
      </c>
      <c r="E70" s="31" t="s">
        <v>388</v>
      </c>
      <c r="F70" s="32" t="s">
        <v>291</v>
      </c>
      <c r="G70" s="31" t="s">
        <v>287</v>
      </c>
      <c r="H70" s="30">
        <v>1</v>
      </c>
      <c r="I70" s="103"/>
      <c r="J70" s="102"/>
      <c r="K70" s="45">
        <v>84.74</v>
      </c>
      <c r="L70" s="45">
        <v>84.74</v>
      </c>
      <c r="M70" s="41">
        <v>84.74</v>
      </c>
      <c r="N70" s="44">
        <f t="shared" si="8"/>
        <v>0</v>
      </c>
      <c r="O70" s="43">
        <f t="shared" si="9"/>
        <v>84.74</v>
      </c>
      <c r="P70" s="40">
        <f t="shared" si="10"/>
        <v>84.74</v>
      </c>
      <c r="Q70" s="40">
        <f t="shared" si="11"/>
        <v>84.74</v>
      </c>
      <c r="R70" s="40">
        <f t="shared" si="12"/>
        <v>0</v>
      </c>
      <c r="S70" s="40">
        <f t="shared" si="13"/>
        <v>0</v>
      </c>
      <c r="T70" s="42">
        <f t="shared" si="14"/>
        <v>0</v>
      </c>
      <c r="AA70" s="35"/>
    </row>
    <row r="71" spans="1:27" hidden="1" outlineLevel="1">
      <c r="A71" s="36">
        <v>176</v>
      </c>
      <c r="B71" s="29">
        <v>2</v>
      </c>
      <c r="C71" s="29" t="s">
        <v>75</v>
      </c>
      <c r="D71" s="31">
        <v>160</v>
      </c>
      <c r="E71" s="31" t="s">
        <v>388</v>
      </c>
      <c r="F71" s="32" t="s">
        <v>290</v>
      </c>
      <c r="G71" s="31" t="s">
        <v>287</v>
      </c>
      <c r="H71" s="30">
        <v>0</v>
      </c>
      <c r="I71" s="103"/>
      <c r="J71" s="102"/>
      <c r="K71" s="45">
        <v>117.29</v>
      </c>
      <c r="L71" s="45">
        <v>117.29</v>
      </c>
      <c r="M71" s="41">
        <v>117.29</v>
      </c>
      <c r="N71" s="44">
        <f t="shared" si="8"/>
        <v>0</v>
      </c>
      <c r="O71" s="43">
        <f t="shared" si="9"/>
        <v>0</v>
      </c>
      <c r="P71" s="40">
        <f t="shared" si="10"/>
        <v>0</v>
      </c>
      <c r="Q71" s="40">
        <f t="shared" si="11"/>
        <v>0</v>
      </c>
      <c r="R71" s="40">
        <f t="shared" si="12"/>
        <v>0</v>
      </c>
      <c r="S71" s="40">
        <f t="shared" si="13"/>
        <v>0</v>
      </c>
      <c r="T71" s="42">
        <f t="shared" si="14"/>
        <v>0</v>
      </c>
      <c r="AA71" s="35"/>
    </row>
    <row r="72" spans="1:27" hidden="1" outlineLevel="1">
      <c r="A72" s="36">
        <v>324</v>
      </c>
      <c r="B72" s="29">
        <v>3</v>
      </c>
      <c r="C72" s="29" t="s">
        <v>75</v>
      </c>
      <c r="D72" s="31">
        <v>160</v>
      </c>
      <c r="E72" s="31" t="s">
        <v>388</v>
      </c>
      <c r="F72" s="32" t="s">
        <v>289</v>
      </c>
      <c r="G72" s="31" t="s">
        <v>287</v>
      </c>
      <c r="H72" s="30">
        <v>3.0982070849365804</v>
      </c>
      <c r="I72" s="103"/>
      <c r="J72" s="102"/>
      <c r="K72" s="45">
        <v>84.74</v>
      </c>
      <c r="L72" s="45">
        <v>84.74</v>
      </c>
      <c r="M72" s="41">
        <v>84.74</v>
      </c>
      <c r="N72" s="44">
        <f t="shared" si="8"/>
        <v>0</v>
      </c>
      <c r="O72" s="43">
        <f t="shared" si="9"/>
        <v>262.54206837752582</v>
      </c>
      <c r="P72" s="40">
        <f t="shared" si="10"/>
        <v>262.54206837752582</v>
      </c>
      <c r="Q72" s="40">
        <f t="shared" si="11"/>
        <v>262.54206837752582</v>
      </c>
      <c r="R72" s="40">
        <f t="shared" si="12"/>
        <v>0</v>
      </c>
      <c r="S72" s="40">
        <f t="shared" si="13"/>
        <v>0</v>
      </c>
      <c r="T72" s="42">
        <f t="shared" si="14"/>
        <v>0</v>
      </c>
      <c r="AA72" s="35"/>
    </row>
    <row r="73" spans="1:27" hidden="1" outlineLevel="1">
      <c r="A73" s="36">
        <v>273</v>
      </c>
      <c r="B73" s="29">
        <v>3</v>
      </c>
      <c r="C73" s="29" t="s">
        <v>75</v>
      </c>
      <c r="D73" s="31">
        <v>160</v>
      </c>
      <c r="E73" s="31" t="s">
        <v>388</v>
      </c>
      <c r="F73" s="32" t="s">
        <v>288</v>
      </c>
      <c r="G73" s="31" t="s">
        <v>287</v>
      </c>
      <c r="H73" s="30">
        <v>2.8400000000000034</v>
      </c>
      <c r="I73" s="103"/>
      <c r="J73" s="102"/>
      <c r="K73" s="45">
        <v>117.29</v>
      </c>
      <c r="L73" s="45">
        <v>117.29</v>
      </c>
      <c r="M73" s="41">
        <v>117.29</v>
      </c>
      <c r="N73" s="44">
        <f t="shared" si="8"/>
        <v>0</v>
      </c>
      <c r="O73" s="43">
        <f t="shared" si="9"/>
        <v>333.10360000000043</v>
      </c>
      <c r="P73" s="40">
        <f t="shared" si="10"/>
        <v>333.10360000000043</v>
      </c>
      <c r="Q73" s="40">
        <f t="shared" si="11"/>
        <v>333.10360000000043</v>
      </c>
      <c r="R73" s="40">
        <f t="shared" si="12"/>
        <v>0</v>
      </c>
      <c r="S73" s="40">
        <f t="shared" si="13"/>
        <v>0</v>
      </c>
      <c r="T73" s="42">
        <f t="shared" si="14"/>
        <v>0</v>
      </c>
      <c r="AA73" s="35"/>
    </row>
    <row r="74" spans="1:27" hidden="1" outlineLevel="1">
      <c r="A74" s="36">
        <v>60</v>
      </c>
      <c r="B74" s="29">
        <v>1</v>
      </c>
      <c r="C74" s="29" t="s">
        <v>75</v>
      </c>
      <c r="D74" s="31">
        <v>160</v>
      </c>
      <c r="E74" s="31" t="s">
        <v>388</v>
      </c>
      <c r="F74" s="32" t="s">
        <v>294</v>
      </c>
      <c r="G74" s="31" t="s">
        <v>287</v>
      </c>
      <c r="H74" s="30">
        <v>0</v>
      </c>
      <c r="I74" s="103"/>
      <c r="J74" s="102"/>
      <c r="K74" s="45">
        <v>46.26</v>
      </c>
      <c r="L74" s="45">
        <v>46.26</v>
      </c>
      <c r="M74" s="41">
        <v>46.26</v>
      </c>
      <c r="N74" s="44">
        <f t="shared" si="8"/>
        <v>0</v>
      </c>
      <c r="O74" s="43">
        <f t="shared" si="9"/>
        <v>0</v>
      </c>
      <c r="P74" s="40">
        <f t="shared" si="10"/>
        <v>0</v>
      </c>
      <c r="Q74" s="40">
        <f t="shared" si="11"/>
        <v>0</v>
      </c>
      <c r="R74" s="40">
        <f t="shared" si="12"/>
        <v>0</v>
      </c>
      <c r="S74" s="40">
        <f t="shared" si="13"/>
        <v>0</v>
      </c>
      <c r="T74" s="42">
        <f t="shared" si="14"/>
        <v>0</v>
      </c>
      <c r="AA74" s="35"/>
    </row>
    <row r="75" spans="1:27" hidden="1" outlineLevel="1">
      <c r="A75" s="36">
        <v>61</v>
      </c>
      <c r="B75" s="29">
        <v>1</v>
      </c>
      <c r="C75" s="29" t="s">
        <v>75</v>
      </c>
      <c r="D75" s="31">
        <v>160</v>
      </c>
      <c r="E75" s="31" t="s">
        <v>388</v>
      </c>
      <c r="F75" s="32" t="s">
        <v>293</v>
      </c>
      <c r="G75" s="31" t="s">
        <v>287</v>
      </c>
      <c r="H75" s="30">
        <v>0</v>
      </c>
      <c r="I75" s="103"/>
      <c r="J75" s="102"/>
      <c r="K75" s="45">
        <v>84.74</v>
      </c>
      <c r="L75" s="45">
        <v>84.74</v>
      </c>
      <c r="M75" s="41">
        <v>84.74</v>
      </c>
      <c r="N75" s="44">
        <f t="shared" si="8"/>
        <v>0</v>
      </c>
      <c r="O75" s="43">
        <f t="shared" si="9"/>
        <v>0</v>
      </c>
      <c r="P75" s="40">
        <f t="shared" si="10"/>
        <v>0</v>
      </c>
      <c r="Q75" s="40">
        <f t="shared" si="11"/>
        <v>0</v>
      </c>
      <c r="R75" s="40">
        <f t="shared" si="12"/>
        <v>0</v>
      </c>
      <c r="S75" s="40">
        <f t="shared" si="13"/>
        <v>0</v>
      </c>
      <c r="T75" s="42">
        <f t="shared" si="14"/>
        <v>0</v>
      </c>
      <c r="AA75" s="35"/>
    </row>
    <row r="76" spans="1:27" hidden="1" outlineLevel="1">
      <c r="A76" s="36">
        <v>62</v>
      </c>
      <c r="B76" s="29">
        <v>1</v>
      </c>
      <c r="C76" s="29" t="s">
        <v>75</v>
      </c>
      <c r="D76" s="31">
        <v>160</v>
      </c>
      <c r="E76" s="31" t="s">
        <v>388</v>
      </c>
      <c r="F76" s="32" t="s">
        <v>292</v>
      </c>
      <c r="G76" s="31" t="s">
        <v>287</v>
      </c>
      <c r="H76" s="30">
        <v>0</v>
      </c>
      <c r="I76" s="103"/>
      <c r="J76" s="102"/>
      <c r="K76" s="45">
        <v>117.29</v>
      </c>
      <c r="L76" s="45">
        <v>117.29</v>
      </c>
      <c r="M76" s="41">
        <v>117.29</v>
      </c>
      <c r="N76" s="44">
        <f t="shared" si="8"/>
        <v>0</v>
      </c>
      <c r="O76" s="43">
        <f t="shared" si="9"/>
        <v>0</v>
      </c>
      <c r="P76" s="40">
        <f t="shared" si="10"/>
        <v>0</v>
      </c>
      <c r="Q76" s="40">
        <f t="shared" si="11"/>
        <v>0</v>
      </c>
      <c r="R76" s="40">
        <f t="shared" si="12"/>
        <v>0</v>
      </c>
      <c r="S76" s="40">
        <f t="shared" si="13"/>
        <v>0</v>
      </c>
      <c r="T76" s="42">
        <f t="shared" si="14"/>
        <v>0</v>
      </c>
      <c r="AA76" s="35"/>
    </row>
    <row r="77" spans="1:27" hidden="1" outlineLevel="1">
      <c r="A77" s="36">
        <v>177</v>
      </c>
      <c r="B77" s="29">
        <v>2</v>
      </c>
      <c r="C77" s="29" t="s">
        <v>75</v>
      </c>
      <c r="D77" s="31">
        <v>205</v>
      </c>
      <c r="E77" s="31" t="s">
        <v>388</v>
      </c>
      <c r="F77" s="32" t="s">
        <v>286</v>
      </c>
      <c r="G77" s="31" t="s">
        <v>212</v>
      </c>
      <c r="H77" s="30">
        <v>0</v>
      </c>
      <c r="I77" s="103"/>
      <c r="J77" s="102"/>
      <c r="K77" s="45">
        <v>6.97</v>
      </c>
      <c r="L77" s="45">
        <v>12</v>
      </c>
      <c r="M77" s="41">
        <v>12</v>
      </c>
      <c r="N77" s="44">
        <f t="shared" si="8"/>
        <v>5.03</v>
      </c>
      <c r="O77" s="43">
        <f t="shared" si="9"/>
        <v>0</v>
      </c>
      <c r="P77" s="40">
        <f t="shared" si="10"/>
        <v>0</v>
      </c>
      <c r="Q77" s="40">
        <f t="shared" si="11"/>
        <v>0</v>
      </c>
      <c r="R77" s="40">
        <f t="shared" si="12"/>
        <v>0</v>
      </c>
      <c r="S77" s="40">
        <f t="shared" si="13"/>
        <v>0</v>
      </c>
      <c r="T77" s="42">
        <f t="shared" si="14"/>
        <v>0.72166427546628409</v>
      </c>
      <c r="U77" s="29" t="s">
        <v>440</v>
      </c>
      <c r="AA77" s="35"/>
    </row>
    <row r="78" spans="1:27" hidden="1" outlineLevel="1">
      <c r="A78" s="36">
        <v>179</v>
      </c>
      <c r="B78" s="29">
        <v>2</v>
      </c>
      <c r="C78" s="29" t="s">
        <v>75</v>
      </c>
      <c r="D78" s="31">
        <v>205</v>
      </c>
      <c r="E78" s="31" t="s">
        <v>388</v>
      </c>
      <c r="F78" s="32" t="s">
        <v>285</v>
      </c>
      <c r="G78" s="31" t="s">
        <v>212</v>
      </c>
      <c r="H78" s="30">
        <v>0</v>
      </c>
      <c r="I78" s="103"/>
      <c r="J78" s="102"/>
      <c r="K78" s="45">
        <v>8.92</v>
      </c>
      <c r="L78" s="45">
        <v>15</v>
      </c>
      <c r="M78" s="41">
        <v>15</v>
      </c>
      <c r="N78" s="44">
        <f t="shared" si="8"/>
        <v>6.08</v>
      </c>
      <c r="O78" s="43">
        <f t="shared" si="9"/>
        <v>0</v>
      </c>
      <c r="P78" s="40">
        <f t="shared" si="10"/>
        <v>0</v>
      </c>
      <c r="Q78" s="40">
        <f t="shared" si="11"/>
        <v>0</v>
      </c>
      <c r="R78" s="40">
        <f t="shared" si="12"/>
        <v>0</v>
      </c>
      <c r="S78" s="40">
        <f t="shared" si="13"/>
        <v>0</v>
      </c>
      <c r="T78" s="42">
        <f t="shared" si="14"/>
        <v>0.68161434977578472</v>
      </c>
      <c r="AA78" s="35"/>
    </row>
    <row r="79" spans="1:27" hidden="1" outlineLevel="1">
      <c r="A79" s="36">
        <v>182</v>
      </c>
      <c r="B79" s="29">
        <v>2</v>
      </c>
      <c r="C79" s="29" t="s">
        <v>75</v>
      </c>
      <c r="D79" s="31">
        <v>210</v>
      </c>
      <c r="E79" s="31" t="s">
        <v>388</v>
      </c>
      <c r="F79" s="32" t="s">
        <v>284</v>
      </c>
      <c r="G79" s="31" t="s">
        <v>283</v>
      </c>
      <c r="H79" s="30">
        <v>0</v>
      </c>
      <c r="I79" s="103"/>
      <c r="J79" s="102"/>
      <c r="K79" s="45">
        <v>31.2</v>
      </c>
      <c r="L79" s="45">
        <v>16.72</v>
      </c>
      <c r="M79" s="41">
        <v>16.72</v>
      </c>
      <c r="N79" s="44">
        <f t="shared" si="8"/>
        <v>-14.48</v>
      </c>
      <c r="O79" s="43">
        <f t="shared" si="9"/>
        <v>0</v>
      </c>
      <c r="P79" s="40">
        <f t="shared" si="10"/>
        <v>0</v>
      </c>
      <c r="Q79" s="40">
        <f t="shared" si="11"/>
        <v>0</v>
      </c>
      <c r="R79" s="40">
        <f t="shared" si="12"/>
        <v>0</v>
      </c>
      <c r="S79" s="40">
        <f t="shared" si="13"/>
        <v>0</v>
      </c>
      <c r="T79" s="42">
        <f t="shared" si="14"/>
        <v>-0.46410256410256412</v>
      </c>
      <c r="AA79" s="35"/>
    </row>
    <row r="80" spans="1:27" hidden="1" outlineLevel="1">
      <c r="A80" s="36">
        <v>332</v>
      </c>
      <c r="B80" s="29">
        <v>3</v>
      </c>
      <c r="C80" s="29" t="s">
        <v>75</v>
      </c>
      <c r="D80" s="31">
        <v>230</v>
      </c>
      <c r="E80" s="31" t="s">
        <v>388</v>
      </c>
      <c r="F80" s="32" t="s">
        <v>274</v>
      </c>
      <c r="G80" s="31" t="s">
        <v>160</v>
      </c>
      <c r="H80" s="30">
        <v>1</v>
      </c>
      <c r="I80" s="103"/>
      <c r="J80" s="102"/>
      <c r="K80" s="45">
        <v>10</v>
      </c>
      <c r="L80" s="45">
        <v>10</v>
      </c>
      <c r="M80" s="41">
        <v>10</v>
      </c>
      <c r="N80" s="44">
        <f t="shared" si="8"/>
        <v>0</v>
      </c>
      <c r="O80" s="43">
        <f t="shared" si="9"/>
        <v>10</v>
      </c>
      <c r="P80" s="40">
        <f t="shared" si="10"/>
        <v>10</v>
      </c>
      <c r="Q80" s="40">
        <f t="shared" si="11"/>
        <v>10</v>
      </c>
      <c r="R80" s="40">
        <f t="shared" si="12"/>
        <v>0</v>
      </c>
      <c r="S80" s="40">
        <f t="shared" si="13"/>
        <v>0</v>
      </c>
      <c r="T80" s="42">
        <f t="shared" si="14"/>
        <v>0</v>
      </c>
      <c r="AA80" s="35"/>
    </row>
    <row r="81" spans="1:27" hidden="1" outlineLevel="1">
      <c r="A81" s="36">
        <v>319</v>
      </c>
      <c r="B81" s="29">
        <v>3</v>
      </c>
      <c r="C81" s="29" t="s">
        <v>75</v>
      </c>
      <c r="D81" s="31">
        <v>230</v>
      </c>
      <c r="E81" s="31" t="s">
        <v>388</v>
      </c>
      <c r="F81" s="32" t="s">
        <v>275</v>
      </c>
      <c r="G81" s="31" t="s">
        <v>160</v>
      </c>
      <c r="H81" s="30">
        <v>6</v>
      </c>
      <c r="I81" s="103"/>
      <c r="J81" s="102"/>
      <c r="K81" s="45">
        <v>54.65</v>
      </c>
      <c r="L81" s="45">
        <v>54.65</v>
      </c>
      <c r="M81" s="41">
        <v>54.65</v>
      </c>
      <c r="N81" s="44">
        <f t="shared" si="8"/>
        <v>0</v>
      </c>
      <c r="O81" s="43">
        <f t="shared" si="9"/>
        <v>327.9</v>
      </c>
      <c r="P81" s="40">
        <f t="shared" si="10"/>
        <v>327.9</v>
      </c>
      <c r="Q81" s="40">
        <f t="shared" si="11"/>
        <v>327.9</v>
      </c>
      <c r="R81" s="40">
        <f t="shared" si="12"/>
        <v>0</v>
      </c>
      <c r="S81" s="40">
        <f t="shared" si="13"/>
        <v>0</v>
      </c>
      <c r="T81" s="42">
        <f t="shared" si="14"/>
        <v>0</v>
      </c>
      <c r="AA81" s="35"/>
    </row>
    <row r="82" spans="1:27" hidden="1" outlineLevel="1">
      <c r="A82" s="36">
        <v>268</v>
      </c>
      <c r="B82" s="29">
        <v>3</v>
      </c>
      <c r="C82" s="29" t="s">
        <v>75</v>
      </c>
      <c r="D82" s="31">
        <v>230</v>
      </c>
      <c r="E82" s="31" t="s">
        <v>388</v>
      </c>
      <c r="F82" s="32" t="s">
        <v>276</v>
      </c>
      <c r="G82" s="31" t="s">
        <v>67</v>
      </c>
      <c r="H82" s="30">
        <v>2416.36</v>
      </c>
      <c r="I82" s="103"/>
      <c r="J82" s="102"/>
      <c r="K82" s="45">
        <v>54.72</v>
      </c>
      <c r="L82" s="45">
        <v>57.46</v>
      </c>
      <c r="M82" s="46">
        <v>54.72</v>
      </c>
      <c r="N82" s="44">
        <f t="shared" si="8"/>
        <v>2.740000000000002</v>
      </c>
      <c r="O82" s="43">
        <f t="shared" si="9"/>
        <v>132223.21919999999</v>
      </c>
      <c r="P82" s="40">
        <f t="shared" si="10"/>
        <v>138844.04560000001</v>
      </c>
      <c r="Q82" s="40">
        <f t="shared" si="11"/>
        <v>132223.21919999999</v>
      </c>
      <c r="R82" s="40">
        <f t="shared" si="12"/>
        <v>6620.8264000000199</v>
      </c>
      <c r="S82" s="40">
        <f t="shared" si="13"/>
        <v>0</v>
      </c>
      <c r="T82" s="42">
        <f t="shared" si="14"/>
        <v>0</v>
      </c>
      <c r="AA82" s="35"/>
    </row>
    <row r="83" spans="1:27" hidden="1" outlineLevel="1">
      <c r="A83" s="36">
        <v>325</v>
      </c>
      <c r="B83" s="29">
        <v>3</v>
      </c>
      <c r="C83" s="29" t="s">
        <v>75</v>
      </c>
      <c r="D83" s="31">
        <v>230</v>
      </c>
      <c r="E83" s="31" t="s">
        <v>388</v>
      </c>
      <c r="F83" s="32" t="s">
        <v>282</v>
      </c>
      <c r="G83" s="31" t="s">
        <v>160</v>
      </c>
      <c r="H83" s="30">
        <v>51</v>
      </c>
      <c r="I83" s="103"/>
      <c r="J83" s="102"/>
      <c r="K83" s="45">
        <v>3.5</v>
      </c>
      <c r="L83" s="45">
        <v>3.5</v>
      </c>
      <c r="M83" s="41">
        <v>3.5</v>
      </c>
      <c r="N83" s="44">
        <f t="shared" si="8"/>
        <v>0</v>
      </c>
      <c r="O83" s="43">
        <f t="shared" si="9"/>
        <v>178.5</v>
      </c>
      <c r="P83" s="40">
        <f t="shared" si="10"/>
        <v>178.5</v>
      </c>
      <c r="Q83" s="40">
        <f t="shared" si="11"/>
        <v>178.5</v>
      </c>
      <c r="R83" s="40">
        <f t="shared" si="12"/>
        <v>0</v>
      </c>
      <c r="S83" s="40">
        <f t="shared" si="13"/>
        <v>0</v>
      </c>
      <c r="T83" s="42">
        <f t="shared" si="14"/>
        <v>0</v>
      </c>
      <c r="AA83" s="35"/>
    </row>
    <row r="84" spans="1:27" hidden="1" outlineLevel="1">
      <c r="A84" s="36">
        <v>331</v>
      </c>
      <c r="B84" s="29">
        <v>3</v>
      </c>
      <c r="C84" s="29" t="s">
        <v>75</v>
      </c>
      <c r="D84" s="31">
        <v>230</v>
      </c>
      <c r="E84" s="31" t="s">
        <v>388</v>
      </c>
      <c r="F84" s="32" t="s">
        <v>281</v>
      </c>
      <c r="G84" s="31" t="s">
        <v>160</v>
      </c>
      <c r="H84" s="30">
        <v>4</v>
      </c>
      <c r="I84" s="103"/>
      <c r="J84" s="102"/>
      <c r="K84" s="45">
        <v>6.5</v>
      </c>
      <c r="L84" s="45">
        <v>6.5</v>
      </c>
      <c r="M84" s="41">
        <v>6.5</v>
      </c>
      <c r="N84" s="44">
        <f t="shared" si="8"/>
        <v>0</v>
      </c>
      <c r="O84" s="43">
        <f t="shared" si="9"/>
        <v>26</v>
      </c>
      <c r="P84" s="40">
        <f t="shared" si="10"/>
        <v>26</v>
      </c>
      <c r="Q84" s="40">
        <f t="shared" si="11"/>
        <v>26</v>
      </c>
      <c r="R84" s="40">
        <f t="shared" si="12"/>
        <v>0</v>
      </c>
      <c r="S84" s="40">
        <f t="shared" si="13"/>
        <v>0</v>
      </c>
      <c r="T84" s="42">
        <f t="shared" si="14"/>
        <v>0</v>
      </c>
      <c r="AA84" s="35"/>
    </row>
    <row r="85" spans="1:27" hidden="1" outlineLevel="1">
      <c r="A85" s="36">
        <v>340</v>
      </c>
      <c r="B85" s="29">
        <v>3</v>
      </c>
      <c r="C85" s="29" t="s">
        <v>75</v>
      </c>
      <c r="D85" s="31">
        <v>230</v>
      </c>
      <c r="E85" s="31" t="s">
        <v>388</v>
      </c>
      <c r="F85" s="32" t="s">
        <v>280</v>
      </c>
      <c r="G85" s="31" t="s">
        <v>160</v>
      </c>
      <c r="H85" s="30">
        <v>0</v>
      </c>
      <c r="I85" s="103"/>
      <c r="J85" s="102"/>
      <c r="K85" s="45">
        <v>9.9499999999999993</v>
      </c>
      <c r="L85" s="45">
        <v>9.9499999999999993</v>
      </c>
      <c r="M85" s="41">
        <v>9.9499999999999993</v>
      </c>
      <c r="N85" s="44">
        <f t="shared" si="8"/>
        <v>0</v>
      </c>
      <c r="O85" s="43">
        <f t="shared" si="9"/>
        <v>0</v>
      </c>
      <c r="P85" s="40">
        <f t="shared" si="10"/>
        <v>0</v>
      </c>
      <c r="Q85" s="40">
        <f t="shared" si="11"/>
        <v>0</v>
      </c>
      <c r="R85" s="40">
        <f t="shared" si="12"/>
        <v>0</v>
      </c>
      <c r="S85" s="40">
        <f t="shared" si="13"/>
        <v>0</v>
      </c>
      <c r="T85" s="42">
        <f t="shared" si="14"/>
        <v>0</v>
      </c>
      <c r="AA85" s="35"/>
    </row>
    <row r="86" spans="1:27" hidden="1" outlineLevel="1">
      <c r="A86" s="36">
        <v>341</v>
      </c>
      <c r="B86" s="29">
        <v>3</v>
      </c>
      <c r="C86" s="29" t="s">
        <v>75</v>
      </c>
      <c r="D86" s="31">
        <v>230</v>
      </c>
      <c r="E86" s="31" t="s">
        <v>388</v>
      </c>
      <c r="F86" s="32" t="s">
        <v>279</v>
      </c>
      <c r="G86" s="31" t="s">
        <v>160</v>
      </c>
      <c r="H86" s="30">
        <v>0</v>
      </c>
      <c r="I86" s="103"/>
      <c r="J86" s="102"/>
      <c r="K86" s="45">
        <v>12.95</v>
      </c>
      <c r="L86" s="45">
        <v>12.95</v>
      </c>
      <c r="M86" s="41">
        <v>12.95</v>
      </c>
      <c r="N86" s="44">
        <f t="shared" si="8"/>
        <v>0</v>
      </c>
      <c r="O86" s="43">
        <f t="shared" si="9"/>
        <v>0</v>
      </c>
      <c r="P86" s="40">
        <f t="shared" si="10"/>
        <v>0</v>
      </c>
      <c r="Q86" s="40">
        <f t="shared" si="11"/>
        <v>0</v>
      </c>
      <c r="R86" s="40">
        <f t="shared" si="12"/>
        <v>0</v>
      </c>
      <c r="S86" s="40">
        <f t="shared" si="13"/>
        <v>0</v>
      </c>
      <c r="T86" s="42">
        <f t="shared" si="14"/>
        <v>0</v>
      </c>
      <c r="AA86" s="35"/>
    </row>
    <row r="87" spans="1:27" hidden="1" outlineLevel="1">
      <c r="A87" s="36">
        <v>330</v>
      </c>
      <c r="B87" s="29">
        <v>3</v>
      </c>
      <c r="C87" s="29" t="s">
        <v>75</v>
      </c>
      <c r="D87" s="31">
        <v>230</v>
      </c>
      <c r="E87" s="31" t="s">
        <v>388</v>
      </c>
      <c r="F87" s="32" t="s">
        <v>278</v>
      </c>
      <c r="G87" s="31" t="s">
        <v>160</v>
      </c>
      <c r="H87" s="30">
        <v>8</v>
      </c>
      <c r="I87" s="103"/>
      <c r="J87" s="102"/>
      <c r="K87" s="45">
        <v>4.5</v>
      </c>
      <c r="L87" s="45">
        <v>4.5</v>
      </c>
      <c r="M87" s="41">
        <v>4.5</v>
      </c>
      <c r="N87" s="44">
        <f t="shared" si="8"/>
        <v>0</v>
      </c>
      <c r="O87" s="43">
        <f t="shared" si="9"/>
        <v>36</v>
      </c>
      <c r="P87" s="40">
        <f t="shared" si="10"/>
        <v>36</v>
      </c>
      <c r="Q87" s="40">
        <f t="shared" si="11"/>
        <v>36</v>
      </c>
      <c r="R87" s="40">
        <f t="shared" si="12"/>
        <v>0</v>
      </c>
      <c r="S87" s="40">
        <f t="shared" si="13"/>
        <v>0</v>
      </c>
      <c r="T87" s="42">
        <f t="shared" si="14"/>
        <v>0</v>
      </c>
      <c r="AA87" s="35"/>
    </row>
    <row r="88" spans="1:27" hidden="1" outlineLevel="1">
      <c r="A88" s="36">
        <v>342</v>
      </c>
      <c r="B88" s="29">
        <v>3</v>
      </c>
      <c r="C88" s="29" t="s">
        <v>75</v>
      </c>
      <c r="D88" s="31">
        <v>230</v>
      </c>
      <c r="E88" s="31" t="s">
        <v>388</v>
      </c>
      <c r="F88" s="32" t="s">
        <v>277</v>
      </c>
      <c r="G88" s="31" t="s">
        <v>160</v>
      </c>
      <c r="H88" s="30">
        <v>0</v>
      </c>
      <c r="I88" s="103"/>
      <c r="J88" s="102"/>
      <c r="K88" s="45">
        <v>7.5</v>
      </c>
      <c r="L88" s="45">
        <v>7.5</v>
      </c>
      <c r="M88" s="41">
        <v>7.5</v>
      </c>
      <c r="N88" s="44">
        <f t="shared" si="8"/>
        <v>0</v>
      </c>
      <c r="O88" s="43">
        <f t="shared" si="9"/>
        <v>0</v>
      </c>
      <c r="P88" s="40">
        <f t="shared" si="10"/>
        <v>0</v>
      </c>
      <c r="Q88" s="40">
        <f t="shared" si="11"/>
        <v>0</v>
      </c>
      <c r="R88" s="40">
        <f t="shared" si="12"/>
        <v>0</v>
      </c>
      <c r="S88" s="40">
        <f t="shared" si="13"/>
        <v>0</v>
      </c>
      <c r="T88" s="42">
        <f t="shared" si="14"/>
        <v>0</v>
      </c>
      <c r="AA88" s="35"/>
    </row>
    <row r="89" spans="1:27" hidden="1" outlineLevel="1">
      <c r="A89" s="80">
        <v>102</v>
      </c>
      <c r="B89" s="79">
        <v>2</v>
      </c>
      <c r="C89" s="79" t="s">
        <v>75</v>
      </c>
      <c r="D89" s="77">
        <v>240</v>
      </c>
      <c r="E89" s="77" t="s">
        <v>388</v>
      </c>
      <c r="F89" s="78" t="s">
        <v>273</v>
      </c>
      <c r="G89" s="77" t="s">
        <v>212</v>
      </c>
      <c r="H89" s="76">
        <v>12.800052103686337</v>
      </c>
      <c r="I89" s="114">
        <f>[24]References_BDI!$J$7</f>
        <v>4.333333333333333</v>
      </c>
      <c r="J89" s="112">
        <f>H89*I89</f>
        <v>55.466892449307458</v>
      </c>
      <c r="K89" s="45">
        <v>76.77</v>
      </c>
      <c r="L89" s="45">
        <v>57.156000000000006</v>
      </c>
      <c r="M89" s="45">
        <f t="shared" ref="M89:M120" si="15">L89*(1+$W$16)</f>
        <v>57.156000000000006</v>
      </c>
      <c r="N89" s="44">
        <f t="shared" si="8"/>
        <v>-19.61399999999999</v>
      </c>
      <c r="O89" s="43">
        <f t="shared" si="9"/>
        <v>982.66000000000008</v>
      </c>
      <c r="P89" s="40">
        <f t="shared" si="10"/>
        <v>731.59977803829634</v>
      </c>
      <c r="Q89" s="40">
        <f t="shared" si="11"/>
        <v>731.59977803829634</v>
      </c>
      <c r="R89" s="40">
        <f t="shared" si="12"/>
        <v>-251.06022196170375</v>
      </c>
      <c r="S89" s="40">
        <f t="shared" si="13"/>
        <v>-251.06022196170375</v>
      </c>
      <c r="T89" s="42">
        <f t="shared" si="14"/>
        <v>-0.25549042594763571</v>
      </c>
      <c r="AA89" s="35"/>
    </row>
    <row r="90" spans="1:27" hidden="1" outlineLevel="1">
      <c r="A90" s="80">
        <v>190</v>
      </c>
      <c r="B90" s="79">
        <v>2</v>
      </c>
      <c r="C90" s="79" t="s">
        <v>75</v>
      </c>
      <c r="D90" s="77">
        <v>240</v>
      </c>
      <c r="E90" s="77" t="s">
        <v>388</v>
      </c>
      <c r="F90" s="78" t="s">
        <v>273</v>
      </c>
      <c r="G90" s="77" t="s">
        <v>224</v>
      </c>
      <c r="H90" s="76">
        <v>0</v>
      </c>
      <c r="I90" s="114"/>
      <c r="J90" s="112"/>
      <c r="K90" s="45">
        <v>153.54</v>
      </c>
      <c r="L90" s="45">
        <v>114.31200000000001</v>
      </c>
      <c r="M90" s="45">
        <f t="shared" si="15"/>
        <v>114.31200000000001</v>
      </c>
      <c r="N90" s="44">
        <f t="shared" si="8"/>
        <v>-39.22799999999998</v>
      </c>
      <c r="O90" s="43">
        <f t="shared" si="9"/>
        <v>0</v>
      </c>
      <c r="P90" s="40">
        <f t="shared" si="10"/>
        <v>0</v>
      </c>
      <c r="Q90" s="40">
        <f t="shared" si="11"/>
        <v>0</v>
      </c>
      <c r="R90" s="40">
        <f t="shared" si="12"/>
        <v>0</v>
      </c>
      <c r="S90" s="40">
        <f t="shared" si="13"/>
        <v>0</v>
      </c>
      <c r="T90" s="42">
        <f t="shared" si="14"/>
        <v>-0.25549042594763571</v>
      </c>
      <c r="AA90" s="35"/>
    </row>
    <row r="91" spans="1:27" hidden="1" outlineLevel="1">
      <c r="A91" s="80">
        <v>192</v>
      </c>
      <c r="B91" s="79">
        <v>2</v>
      </c>
      <c r="C91" s="79" t="s">
        <v>75</v>
      </c>
      <c r="D91" s="77">
        <v>240</v>
      </c>
      <c r="E91" s="77" t="s">
        <v>388</v>
      </c>
      <c r="F91" s="78" t="s">
        <v>272</v>
      </c>
      <c r="G91" s="77" t="s">
        <v>160</v>
      </c>
      <c r="H91" s="76">
        <v>0</v>
      </c>
      <c r="I91" s="114"/>
      <c r="J91" s="112"/>
      <c r="K91" s="45">
        <v>40.29</v>
      </c>
      <c r="L91" s="45">
        <v>23.594999999999999</v>
      </c>
      <c r="M91" s="45">
        <f t="shared" si="15"/>
        <v>23.594999999999999</v>
      </c>
      <c r="N91" s="44">
        <f t="shared" si="8"/>
        <v>-16.695</v>
      </c>
      <c r="O91" s="43">
        <f t="shared" si="9"/>
        <v>0</v>
      </c>
      <c r="P91" s="40">
        <f t="shared" si="10"/>
        <v>0</v>
      </c>
      <c r="Q91" s="40">
        <f t="shared" si="11"/>
        <v>0</v>
      </c>
      <c r="R91" s="40">
        <f t="shared" si="12"/>
        <v>0</v>
      </c>
      <c r="S91" s="40">
        <f t="shared" si="13"/>
        <v>0</v>
      </c>
      <c r="T91" s="42">
        <f t="shared" si="14"/>
        <v>-0.41437081161578559</v>
      </c>
      <c r="AA91" s="35"/>
    </row>
    <row r="92" spans="1:27" hidden="1" outlineLevel="1">
      <c r="A92" s="36">
        <v>194</v>
      </c>
      <c r="B92" s="29">
        <v>2</v>
      </c>
      <c r="C92" s="29" t="s">
        <v>75</v>
      </c>
      <c r="D92" s="31">
        <v>240</v>
      </c>
      <c r="E92" s="31" t="s">
        <v>388</v>
      </c>
      <c r="F92" s="32" t="s">
        <v>271</v>
      </c>
      <c r="G92" s="31" t="s">
        <v>166</v>
      </c>
      <c r="H92" s="30">
        <v>0</v>
      </c>
      <c r="I92" s="103"/>
      <c r="J92" s="102"/>
      <c r="K92" s="45">
        <v>1.45</v>
      </c>
      <c r="L92" s="45">
        <v>0.82500000000000007</v>
      </c>
      <c r="M92" s="45">
        <f t="shared" si="15"/>
        <v>0.82500000000000007</v>
      </c>
      <c r="N92" s="44">
        <f t="shared" si="8"/>
        <v>-0.62499999999999989</v>
      </c>
      <c r="O92" s="43">
        <f t="shared" si="9"/>
        <v>0</v>
      </c>
      <c r="P92" s="40">
        <f t="shared" si="10"/>
        <v>0</v>
      </c>
      <c r="Q92" s="40">
        <f t="shared" si="11"/>
        <v>0</v>
      </c>
      <c r="R92" s="40">
        <f t="shared" si="12"/>
        <v>0</v>
      </c>
      <c r="S92" s="40">
        <f t="shared" si="13"/>
        <v>0</v>
      </c>
      <c r="T92" s="42">
        <f t="shared" si="14"/>
        <v>-0.43103448275862066</v>
      </c>
      <c r="AA92" s="35"/>
    </row>
    <row r="93" spans="1:27" hidden="1" outlineLevel="1">
      <c r="A93" s="36">
        <v>196</v>
      </c>
      <c r="B93" s="29">
        <v>2</v>
      </c>
      <c r="C93" s="29" t="s">
        <v>75</v>
      </c>
      <c r="D93" s="31">
        <v>240</v>
      </c>
      <c r="E93" s="31" t="s">
        <v>388</v>
      </c>
      <c r="F93" s="32" t="s">
        <v>270</v>
      </c>
      <c r="G93" s="31" t="s">
        <v>160</v>
      </c>
      <c r="H93" s="30">
        <v>0</v>
      </c>
      <c r="I93" s="103"/>
      <c r="J93" s="102"/>
      <c r="K93" s="45">
        <v>22.56</v>
      </c>
      <c r="L93" s="45">
        <v>21.560000000000002</v>
      </c>
      <c r="M93" s="45">
        <f t="shared" si="15"/>
        <v>21.560000000000002</v>
      </c>
      <c r="N93" s="44">
        <f t="shared" si="8"/>
        <v>-0.99999999999999645</v>
      </c>
      <c r="O93" s="43">
        <f t="shared" si="9"/>
        <v>0</v>
      </c>
      <c r="P93" s="40">
        <f t="shared" si="10"/>
        <v>0</v>
      </c>
      <c r="Q93" s="40">
        <f t="shared" si="11"/>
        <v>0</v>
      </c>
      <c r="R93" s="40">
        <f t="shared" si="12"/>
        <v>0</v>
      </c>
      <c r="S93" s="40">
        <f t="shared" si="13"/>
        <v>0</v>
      </c>
      <c r="T93" s="42">
        <f t="shared" si="14"/>
        <v>-4.4326241134751587E-2</v>
      </c>
      <c r="AA93" s="35"/>
    </row>
    <row r="94" spans="1:27" hidden="1" outlineLevel="1">
      <c r="A94" s="80">
        <v>197</v>
      </c>
      <c r="B94" s="79">
        <v>2</v>
      </c>
      <c r="C94" s="79" t="s">
        <v>75</v>
      </c>
      <c r="D94" s="77">
        <v>240</v>
      </c>
      <c r="E94" s="77" t="s">
        <v>388</v>
      </c>
      <c r="F94" s="78" t="s">
        <v>269</v>
      </c>
      <c r="G94" s="77" t="s">
        <v>160</v>
      </c>
      <c r="H94" s="76">
        <v>0</v>
      </c>
      <c r="I94" s="113"/>
      <c r="J94" s="112"/>
      <c r="K94" s="45">
        <v>25.45</v>
      </c>
      <c r="L94" s="45">
        <v>23.594999999999999</v>
      </c>
      <c r="M94" s="45">
        <f t="shared" si="15"/>
        <v>23.594999999999999</v>
      </c>
      <c r="N94" s="44">
        <f t="shared" si="8"/>
        <v>-1.8550000000000004</v>
      </c>
      <c r="O94" s="43">
        <f t="shared" si="9"/>
        <v>0</v>
      </c>
      <c r="P94" s="40">
        <f t="shared" si="10"/>
        <v>0</v>
      </c>
      <c r="Q94" s="40">
        <f t="shared" si="11"/>
        <v>0</v>
      </c>
      <c r="R94" s="40">
        <f t="shared" si="12"/>
        <v>0</v>
      </c>
      <c r="S94" s="40">
        <f t="shared" si="13"/>
        <v>0</v>
      </c>
      <c r="T94" s="42">
        <f t="shared" si="14"/>
        <v>-7.2888015717092358E-2</v>
      </c>
      <c r="AA94" s="35"/>
    </row>
    <row r="95" spans="1:27" hidden="1" outlineLevel="1">
      <c r="A95" s="80">
        <v>82</v>
      </c>
      <c r="B95" s="79">
        <v>2</v>
      </c>
      <c r="C95" s="79" t="s">
        <v>75</v>
      </c>
      <c r="D95" s="77">
        <v>240</v>
      </c>
      <c r="E95" s="77" t="s">
        <v>388</v>
      </c>
      <c r="F95" s="78" t="s">
        <v>268</v>
      </c>
      <c r="G95" s="77" t="s">
        <v>212</v>
      </c>
      <c r="H95" s="76">
        <v>102.45007636445446</v>
      </c>
      <c r="I95" s="114">
        <f>[24]References_BDI!$J$7</f>
        <v>4.333333333333333</v>
      </c>
      <c r="J95" s="112">
        <f>H95*I95</f>
        <v>443.95033091263599</v>
      </c>
      <c r="K95" s="45">
        <v>98.64</v>
      </c>
      <c r="L95" s="45">
        <v>74.302800000000005</v>
      </c>
      <c r="M95" s="45">
        <f t="shared" si="15"/>
        <v>74.302800000000005</v>
      </c>
      <c r="N95" s="44">
        <f t="shared" si="8"/>
        <v>-24.337199999999996</v>
      </c>
      <c r="O95" s="43">
        <f t="shared" si="9"/>
        <v>10105.675532589788</v>
      </c>
      <c r="P95" s="40">
        <f t="shared" si="10"/>
        <v>7612.3275340927876</v>
      </c>
      <c r="Q95" s="40">
        <f t="shared" si="11"/>
        <v>7612.3275340927876</v>
      </c>
      <c r="R95" s="40">
        <f t="shared" si="12"/>
        <v>-2493.3479984970008</v>
      </c>
      <c r="S95" s="40">
        <f t="shared" si="13"/>
        <v>-2493.3479984970008</v>
      </c>
      <c r="T95" s="42">
        <f t="shared" si="14"/>
        <v>-0.24672749391727489</v>
      </c>
      <c r="AA95" s="35"/>
    </row>
    <row r="96" spans="1:27" hidden="1" outlineLevel="1">
      <c r="A96" s="80">
        <v>93</v>
      </c>
      <c r="B96" s="79">
        <v>2</v>
      </c>
      <c r="C96" s="79" t="s">
        <v>75</v>
      </c>
      <c r="D96" s="77">
        <v>240</v>
      </c>
      <c r="E96" s="77" t="s">
        <v>388</v>
      </c>
      <c r="F96" s="78" t="s">
        <v>268</v>
      </c>
      <c r="G96" s="77" t="s">
        <v>230</v>
      </c>
      <c r="H96" s="76">
        <v>63.490896216872343</v>
      </c>
      <c r="I96" s="114">
        <f>[24]References_BDI!$J$8</f>
        <v>2.1666666666666665</v>
      </c>
      <c r="J96" s="112">
        <f>H96*I96</f>
        <v>137.56360846989006</v>
      </c>
      <c r="K96" s="45">
        <v>49.43</v>
      </c>
      <c r="L96" s="45">
        <v>37.151400000000002</v>
      </c>
      <c r="M96" s="45">
        <f t="shared" si="15"/>
        <v>37.151400000000002</v>
      </c>
      <c r="N96" s="44">
        <f t="shared" si="8"/>
        <v>-12.278599999999997</v>
      </c>
      <c r="O96" s="43">
        <f t="shared" si="9"/>
        <v>3138.355</v>
      </c>
      <c r="P96" s="40">
        <f t="shared" si="10"/>
        <v>2358.7756817115114</v>
      </c>
      <c r="Q96" s="40">
        <f t="shared" si="11"/>
        <v>2358.7756817115114</v>
      </c>
      <c r="R96" s="40">
        <f t="shared" si="12"/>
        <v>-779.57931828848859</v>
      </c>
      <c r="S96" s="40">
        <f t="shared" si="13"/>
        <v>-779.57931828848859</v>
      </c>
      <c r="T96" s="42">
        <f t="shared" si="14"/>
        <v>-0.24840380335828438</v>
      </c>
      <c r="AA96" s="35"/>
    </row>
    <row r="97" spans="1:27" hidden="1" outlineLevel="1">
      <c r="A97" s="80">
        <v>199</v>
      </c>
      <c r="B97" s="79">
        <v>2</v>
      </c>
      <c r="C97" s="79" t="s">
        <v>75</v>
      </c>
      <c r="D97" s="77">
        <v>240</v>
      </c>
      <c r="E97" s="77" t="s">
        <v>388</v>
      </c>
      <c r="F97" s="78" t="s">
        <v>268</v>
      </c>
      <c r="G97" s="77" t="s">
        <v>224</v>
      </c>
      <c r="H97" s="76">
        <v>0</v>
      </c>
      <c r="I97" s="114"/>
      <c r="J97" s="112"/>
      <c r="K97" s="45">
        <v>197.28</v>
      </c>
      <c r="L97" s="45">
        <v>148.60560000000001</v>
      </c>
      <c r="M97" s="45">
        <f t="shared" si="15"/>
        <v>148.60560000000001</v>
      </c>
      <c r="N97" s="44">
        <f t="shared" si="8"/>
        <v>-48.674399999999991</v>
      </c>
      <c r="O97" s="43">
        <f t="shared" si="9"/>
        <v>0</v>
      </c>
      <c r="P97" s="40">
        <f t="shared" si="10"/>
        <v>0</v>
      </c>
      <c r="Q97" s="40">
        <f t="shared" si="11"/>
        <v>0</v>
      </c>
      <c r="R97" s="40">
        <f t="shared" si="12"/>
        <v>0</v>
      </c>
      <c r="S97" s="40">
        <f t="shared" si="13"/>
        <v>0</v>
      </c>
      <c r="T97" s="42">
        <f t="shared" si="14"/>
        <v>-0.24672749391727489</v>
      </c>
      <c r="AA97" s="35"/>
    </row>
    <row r="98" spans="1:27" hidden="1" outlineLevel="1">
      <c r="A98" s="80">
        <v>200</v>
      </c>
      <c r="B98" s="79">
        <v>2</v>
      </c>
      <c r="C98" s="79" t="s">
        <v>75</v>
      </c>
      <c r="D98" s="77">
        <v>240</v>
      </c>
      <c r="E98" s="77" t="s">
        <v>388</v>
      </c>
      <c r="F98" s="78" t="s">
        <v>267</v>
      </c>
      <c r="G98" s="77" t="s">
        <v>160</v>
      </c>
      <c r="H98" s="76">
        <v>0</v>
      </c>
      <c r="I98" s="113"/>
      <c r="J98" s="112"/>
      <c r="K98" s="45">
        <v>45.34</v>
      </c>
      <c r="L98" s="45">
        <v>27.555</v>
      </c>
      <c r="M98" s="45">
        <f t="shared" si="15"/>
        <v>27.555</v>
      </c>
      <c r="N98" s="44">
        <f t="shared" si="8"/>
        <v>-17.785000000000004</v>
      </c>
      <c r="O98" s="43">
        <f t="shared" si="9"/>
        <v>0</v>
      </c>
      <c r="P98" s="40">
        <f t="shared" si="10"/>
        <v>0</v>
      </c>
      <c r="Q98" s="40">
        <f t="shared" si="11"/>
        <v>0</v>
      </c>
      <c r="R98" s="40">
        <f t="shared" si="12"/>
        <v>0</v>
      </c>
      <c r="S98" s="40">
        <f t="shared" si="13"/>
        <v>0</v>
      </c>
      <c r="T98" s="42">
        <f t="shared" si="14"/>
        <v>-0.39225849139832381</v>
      </c>
      <c r="AA98" s="35"/>
    </row>
    <row r="99" spans="1:27" hidden="1" outlineLevel="1">
      <c r="A99" s="36">
        <v>148</v>
      </c>
      <c r="B99" s="29">
        <v>2</v>
      </c>
      <c r="C99" s="29" t="s">
        <v>75</v>
      </c>
      <c r="D99" s="31">
        <v>240</v>
      </c>
      <c r="E99" s="31" t="s">
        <v>388</v>
      </c>
      <c r="F99" s="32" t="s">
        <v>266</v>
      </c>
      <c r="G99" s="31" t="s">
        <v>166</v>
      </c>
      <c r="H99" s="30">
        <v>6.9999999999999991</v>
      </c>
      <c r="I99" s="103"/>
      <c r="J99" s="102"/>
      <c r="K99" s="45">
        <v>1.6</v>
      </c>
      <c r="L99" s="45">
        <v>1.1000000000000001</v>
      </c>
      <c r="M99" s="45">
        <f t="shared" si="15"/>
        <v>1.1000000000000001</v>
      </c>
      <c r="N99" s="44">
        <f t="shared" si="8"/>
        <v>-0.5</v>
      </c>
      <c r="O99" s="43">
        <f t="shared" si="9"/>
        <v>11.2</v>
      </c>
      <c r="P99" s="40">
        <f t="shared" si="10"/>
        <v>7.6999999999999993</v>
      </c>
      <c r="Q99" s="40">
        <f t="shared" si="11"/>
        <v>7.6999999999999993</v>
      </c>
      <c r="R99" s="40">
        <f t="shared" si="12"/>
        <v>-3.5</v>
      </c>
      <c r="S99" s="40">
        <f t="shared" si="13"/>
        <v>-3.5</v>
      </c>
      <c r="T99" s="42">
        <f t="shared" si="14"/>
        <v>-0.3125</v>
      </c>
      <c r="AA99" s="35"/>
    </row>
    <row r="100" spans="1:27" hidden="1" outlineLevel="1">
      <c r="A100" s="36">
        <v>201</v>
      </c>
      <c r="B100" s="29">
        <v>2</v>
      </c>
      <c r="C100" s="29" t="s">
        <v>75</v>
      </c>
      <c r="D100" s="31">
        <v>240</v>
      </c>
      <c r="E100" s="31" t="s">
        <v>388</v>
      </c>
      <c r="F100" s="32" t="s">
        <v>265</v>
      </c>
      <c r="G100" s="31" t="s">
        <v>160</v>
      </c>
      <c r="H100" s="30">
        <v>0</v>
      </c>
      <c r="I100" s="103"/>
      <c r="J100" s="102"/>
      <c r="K100" s="45">
        <v>22.56</v>
      </c>
      <c r="L100" s="45">
        <v>21.560000000000002</v>
      </c>
      <c r="M100" s="45">
        <f t="shared" si="15"/>
        <v>21.560000000000002</v>
      </c>
      <c r="N100" s="44">
        <f t="shared" si="8"/>
        <v>-0.99999999999999645</v>
      </c>
      <c r="O100" s="43">
        <f t="shared" si="9"/>
        <v>0</v>
      </c>
      <c r="P100" s="40">
        <f t="shared" si="10"/>
        <v>0</v>
      </c>
      <c r="Q100" s="40">
        <f t="shared" si="11"/>
        <v>0</v>
      </c>
      <c r="R100" s="40">
        <f t="shared" si="12"/>
        <v>0</v>
      </c>
      <c r="S100" s="40">
        <f t="shared" si="13"/>
        <v>0</v>
      </c>
      <c r="T100" s="42">
        <f t="shared" si="14"/>
        <v>-4.4326241134751587E-2</v>
      </c>
      <c r="AA100" s="35"/>
    </row>
    <row r="101" spans="1:27" hidden="1" outlineLevel="1">
      <c r="A101" s="80">
        <v>141</v>
      </c>
      <c r="B101" s="79">
        <v>2</v>
      </c>
      <c r="C101" s="79" t="s">
        <v>75</v>
      </c>
      <c r="D101" s="77">
        <v>240</v>
      </c>
      <c r="E101" s="77" t="s">
        <v>388</v>
      </c>
      <c r="F101" s="78" t="s">
        <v>264</v>
      </c>
      <c r="G101" s="77" t="s">
        <v>210</v>
      </c>
      <c r="H101" s="76">
        <v>1</v>
      </c>
      <c r="I101" s="114">
        <v>1</v>
      </c>
      <c r="J101" s="112">
        <f>H101*I101</f>
        <v>1</v>
      </c>
      <c r="K101" s="45">
        <v>38.61</v>
      </c>
      <c r="L101" s="45">
        <v>27.555</v>
      </c>
      <c r="M101" s="45">
        <f t="shared" si="15"/>
        <v>27.555</v>
      </c>
      <c r="N101" s="44">
        <f t="shared" si="8"/>
        <v>-11.055</v>
      </c>
      <c r="O101" s="43">
        <f t="shared" si="9"/>
        <v>38.61</v>
      </c>
      <c r="P101" s="40">
        <f t="shared" si="10"/>
        <v>27.555</v>
      </c>
      <c r="Q101" s="40">
        <f t="shared" si="11"/>
        <v>27.555</v>
      </c>
      <c r="R101" s="40">
        <f t="shared" si="12"/>
        <v>-11.055</v>
      </c>
      <c r="S101" s="40">
        <f t="shared" si="13"/>
        <v>-11.055</v>
      </c>
      <c r="T101" s="42">
        <f t="shared" si="14"/>
        <v>-0.28632478632478631</v>
      </c>
      <c r="AA101" s="35"/>
    </row>
    <row r="102" spans="1:27" hidden="1" outlineLevel="1">
      <c r="A102" s="80">
        <v>76</v>
      </c>
      <c r="B102" s="79">
        <v>2</v>
      </c>
      <c r="C102" s="79" t="s">
        <v>75</v>
      </c>
      <c r="D102" s="77">
        <v>240</v>
      </c>
      <c r="E102" s="77" t="s">
        <v>388</v>
      </c>
      <c r="F102" s="78" t="s">
        <v>263</v>
      </c>
      <c r="G102" s="77" t="s">
        <v>212</v>
      </c>
      <c r="H102" s="76">
        <v>159.70000861103935</v>
      </c>
      <c r="I102" s="114">
        <f>[24]References_BDI!$J$7</f>
        <v>4.333333333333333</v>
      </c>
      <c r="J102" s="112">
        <f>H102*I102</f>
        <v>692.03337064783716</v>
      </c>
      <c r="K102" s="45">
        <v>116.13</v>
      </c>
      <c r="L102" s="45">
        <v>84.781400000000005</v>
      </c>
      <c r="M102" s="45">
        <f t="shared" si="15"/>
        <v>84.781400000000005</v>
      </c>
      <c r="N102" s="44">
        <f t="shared" si="8"/>
        <v>-31.34859999999999</v>
      </c>
      <c r="O102" s="43">
        <f t="shared" si="9"/>
        <v>18545.962</v>
      </c>
      <c r="P102" s="40">
        <f t="shared" si="10"/>
        <v>13539.590310055972</v>
      </c>
      <c r="Q102" s="40">
        <f t="shared" si="11"/>
        <v>13539.590310055972</v>
      </c>
      <c r="R102" s="40">
        <f t="shared" si="12"/>
        <v>-5006.3716899440278</v>
      </c>
      <c r="S102" s="40">
        <f t="shared" si="13"/>
        <v>-5006.3716899440278</v>
      </c>
      <c r="T102" s="42">
        <f t="shared" si="14"/>
        <v>-0.26994402824420904</v>
      </c>
      <c r="AA102" s="35"/>
    </row>
    <row r="103" spans="1:27" hidden="1" outlineLevel="1">
      <c r="A103" s="80">
        <v>95</v>
      </c>
      <c r="B103" s="79">
        <v>2</v>
      </c>
      <c r="C103" s="79" t="s">
        <v>75</v>
      </c>
      <c r="D103" s="77">
        <v>240</v>
      </c>
      <c r="E103" s="77" t="s">
        <v>388</v>
      </c>
      <c r="F103" s="78" t="s">
        <v>263</v>
      </c>
      <c r="G103" s="77" t="s">
        <v>230</v>
      </c>
      <c r="H103" s="76">
        <v>44.333448993754338</v>
      </c>
      <c r="I103" s="114">
        <f>[24]References_BDI!$J$8</f>
        <v>2.1666666666666665</v>
      </c>
      <c r="J103" s="112">
        <f>H103*I103</f>
        <v>96.055806153134398</v>
      </c>
      <c r="K103" s="45">
        <v>58.2</v>
      </c>
      <c r="L103" s="45">
        <v>42.390700000000002</v>
      </c>
      <c r="M103" s="45">
        <f t="shared" si="15"/>
        <v>42.390700000000002</v>
      </c>
      <c r="N103" s="44">
        <f t="shared" si="8"/>
        <v>-15.8093</v>
      </c>
      <c r="O103" s="43">
        <f t="shared" si="9"/>
        <v>2580.2067314365027</v>
      </c>
      <c r="P103" s="40">
        <f t="shared" si="10"/>
        <v>1879.3259362595422</v>
      </c>
      <c r="Q103" s="40">
        <f t="shared" si="11"/>
        <v>1879.3259362595422</v>
      </c>
      <c r="R103" s="40">
        <f t="shared" si="12"/>
        <v>-700.88079517696042</v>
      </c>
      <c r="S103" s="40">
        <f t="shared" si="13"/>
        <v>-700.88079517696042</v>
      </c>
      <c r="T103" s="42">
        <f t="shared" si="14"/>
        <v>-0.27163745704467357</v>
      </c>
      <c r="AA103" s="35"/>
    </row>
    <row r="104" spans="1:27" hidden="1" outlineLevel="1">
      <c r="A104" s="80">
        <v>202</v>
      </c>
      <c r="B104" s="79">
        <v>2</v>
      </c>
      <c r="C104" s="79" t="s">
        <v>75</v>
      </c>
      <c r="D104" s="77">
        <v>240</v>
      </c>
      <c r="E104" s="77" t="s">
        <v>388</v>
      </c>
      <c r="F104" s="78" t="s">
        <v>263</v>
      </c>
      <c r="G104" s="77" t="s">
        <v>224</v>
      </c>
      <c r="H104" s="76">
        <v>0</v>
      </c>
      <c r="I104" s="114"/>
      <c r="J104" s="112"/>
      <c r="K104" s="45">
        <v>232.26</v>
      </c>
      <c r="L104" s="45">
        <v>169.56280000000001</v>
      </c>
      <c r="M104" s="45">
        <f t="shared" si="15"/>
        <v>169.56280000000001</v>
      </c>
      <c r="N104" s="44">
        <f t="shared" si="8"/>
        <v>-62.697199999999981</v>
      </c>
      <c r="O104" s="43">
        <f t="shared" si="9"/>
        <v>0</v>
      </c>
      <c r="P104" s="40">
        <f t="shared" si="10"/>
        <v>0</v>
      </c>
      <c r="Q104" s="40">
        <f t="shared" si="11"/>
        <v>0</v>
      </c>
      <c r="R104" s="40">
        <f t="shared" si="12"/>
        <v>0</v>
      </c>
      <c r="S104" s="40">
        <f t="shared" si="13"/>
        <v>0</v>
      </c>
      <c r="T104" s="42">
        <f t="shared" si="14"/>
        <v>-0.26994402824420904</v>
      </c>
      <c r="AA104" s="35"/>
    </row>
    <row r="105" spans="1:27" hidden="1" outlineLevel="1">
      <c r="A105" s="80">
        <v>203</v>
      </c>
      <c r="B105" s="79">
        <v>2</v>
      </c>
      <c r="C105" s="79" t="s">
        <v>75</v>
      </c>
      <c r="D105" s="77">
        <v>240</v>
      </c>
      <c r="E105" s="77" t="s">
        <v>388</v>
      </c>
      <c r="F105" s="78" t="s">
        <v>262</v>
      </c>
      <c r="G105" s="77" t="s">
        <v>160</v>
      </c>
      <c r="H105" s="76">
        <v>0</v>
      </c>
      <c r="I105" s="113"/>
      <c r="J105" s="112"/>
      <c r="K105" s="45">
        <v>49.38</v>
      </c>
      <c r="L105" s="45">
        <v>29.975000000000001</v>
      </c>
      <c r="M105" s="45">
        <f t="shared" si="15"/>
        <v>29.975000000000001</v>
      </c>
      <c r="N105" s="44">
        <f t="shared" si="8"/>
        <v>-19.405000000000001</v>
      </c>
      <c r="O105" s="43">
        <f t="shared" si="9"/>
        <v>0</v>
      </c>
      <c r="P105" s="40">
        <f t="shared" si="10"/>
        <v>0</v>
      </c>
      <c r="Q105" s="40">
        <f t="shared" si="11"/>
        <v>0</v>
      </c>
      <c r="R105" s="40">
        <f t="shared" si="12"/>
        <v>0</v>
      </c>
      <c r="S105" s="40">
        <f t="shared" si="13"/>
        <v>0</v>
      </c>
      <c r="T105" s="42">
        <f t="shared" si="14"/>
        <v>-0.39297286350749294</v>
      </c>
      <c r="U105" s="29" t="s">
        <v>398</v>
      </c>
      <c r="AA105" s="35"/>
    </row>
    <row r="106" spans="1:27" hidden="1" outlineLevel="1">
      <c r="A106" s="36">
        <v>120</v>
      </c>
      <c r="B106" s="29">
        <v>2</v>
      </c>
      <c r="C106" s="29" t="s">
        <v>75</v>
      </c>
      <c r="D106" s="31">
        <v>240</v>
      </c>
      <c r="E106" s="31" t="s">
        <v>388</v>
      </c>
      <c r="F106" s="32" t="s">
        <v>261</v>
      </c>
      <c r="G106" s="31" t="s">
        <v>166</v>
      </c>
      <c r="H106" s="30">
        <v>99</v>
      </c>
      <c r="I106" s="103"/>
      <c r="J106" s="102"/>
      <c r="K106" s="45">
        <v>1.75</v>
      </c>
      <c r="L106" s="45">
        <v>1.2100000000000002</v>
      </c>
      <c r="M106" s="45">
        <f t="shared" si="15"/>
        <v>1.2100000000000002</v>
      </c>
      <c r="N106" s="44">
        <f t="shared" si="8"/>
        <v>-0.53999999999999981</v>
      </c>
      <c r="O106" s="43">
        <f t="shared" si="9"/>
        <v>173.25</v>
      </c>
      <c r="P106" s="40">
        <f t="shared" si="10"/>
        <v>119.79000000000002</v>
      </c>
      <c r="Q106" s="40">
        <f t="shared" si="11"/>
        <v>119.79000000000002</v>
      </c>
      <c r="R106" s="40">
        <f t="shared" si="12"/>
        <v>-53.45999999999998</v>
      </c>
      <c r="S106" s="40">
        <f t="shared" si="13"/>
        <v>-53.45999999999998</v>
      </c>
      <c r="T106" s="42">
        <f t="shared" si="14"/>
        <v>-0.3085714285714285</v>
      </c>
      <c r="U106" s="29" t="s">
        <v>398</v>
      </c>
      <c r="AA106" s="35"/>
    </row>
    <row r="107" spans="1:27" hidden="1" outlineLevel="1">
      <c r="A107" s="36">
        <v>139</v>
      </c>
      <c r="B107" s="29">
        <v>2</v>
      </c>
      <c r="C107" s="29" t="s">
        <v>75</v>
      </c>
      <c r="D107" s="31">
        <v>240</v>
      </c>
      <c r="E107" s="31" t="s">
        <v>388</v>
      </c>
      <c r="F107" s="32" t="s">
        <v>260</v>
      </c>
      <c r="G107" s="31" t="s">
        <v>160</v>
      </c>
      <c r="H107" s="30">
        <v>2</v>
      </c>
      <c r="I107" s="103"/>
      <c r="J107" s="102"/>
      <c r="K107" s="45">
        <v>22.56</v>
      </c>
      <c r="L107" s="45">
        <v>21.560000000000002</v>
      </c>
      <c r="M107" s="45">
        <f t="shared" si="15"/>
        <v>21.560000000000002</v>
      </c>
      <c r="N107" s="44">
        <f t="shared" si="8"/>
        <v>-0.99999999999999645</v>
      </c>
      <c r="O107" s="43">
        <f t="shared" si="9"/>
        <v>45.12</v>
      </c>
      <c r="P107" s="40">
        <f t="shared" si="10"/>
        <v>43.120000000000005</v>
      </c>
      <c r="Q107" s="40">
        <f t="shared" si="11"/>
        <v>43.120000000000005</v>
      </c>
      <c r="R107" s="40">
        <f t="shared" si="12"/>
        <v>-1.9999999999999929</v>
      </c>
      <c r="S107" s="40">
        <f t="shared" si="13"/>
        <v>-1.9999999999999929</v>
      </c>
      <c r="T107" s="42">
        <f t="shared" si="14"/>
        <v>-4.4326241134751587E-2</v>
      </c>
      <c r="AA107" s="35"/>
    </row>
    <row r="108" spans="1:27" hidden="1" outlineLevel="1">
      <c r="A108" s="80">
        <v>140</v>
      </c>
      <c r="B108" s="79">
        <v>2</v>
      </c>
      <c r="C108" s="79" t="s">
        <v>75</v>
      </c>
      <c r="D108" s="77">
        <v>240</v>
      </c>
      <c r="E108" s="77" t="s">
        <v>388</v>
      </c>
      <c r="F108" s="78" t="s">
        <v>259</v>
      </c>
      <c r="G108" s="77" t="s">
        <v>210</v>
      </c>
      <c r="H108" s="76">
        <v>1</v>
      </c>
      <c r="I108" s="114">
        <v>1</v>
      </c>
      <c r="J108" s="112">
        <f>H108*I108</f>
        <v>1</v>
      </c>
      <c r="K108" s="45">
        <v>38.86</v>
      </c>
      <c r="L108" s="45">
        <v>29.975000000000001</v>
      </c>
      <c r="M108" s="45">
        <f t="shared" si="15"/>
        <v>29.975000000000001</v>
      </c>
      <c r="N108" s="44">
        <f t="shared" si="8"/>
        <v>-8.884999999999998</v>
      </c>
      <c r="O108" s="43">
        <f t="shared" si="9"/>
        <v>38.86</v>
      </c>
      <c r="P108" s="40">
        <f t="shared" si="10"/>
        <v>29.975000000000001</v>
      </c>
      <c r="Q108" s="40">
        <f t="shared" si="11"/>
        <v>29.975000000000001</v>
      </c>
      <c r="R108" s="40">
        <f t="shared" si="12"/>
        <v>-8.884999999999998</v>
      </c>
      <c r="S108" s="40">
        <f t="shared" si="13"/>
        <v>-8.884999999999998</v>
      </c>
      <c r="T108" s="42">
        <f t="shared" si="14"/>
        <v>-0.22864127637673692</v>
      </c>
      <c r="AA108" s="35"/>
    </row>
    <row r="109" spans="1:27" hidden="1" outlineLevel="1">
      <c r="A109" s="80">
        <v>80</v>
      </c>
      <c r="B109" s="79">
        <v>2</v>
      </c>
      <c r="C109" s="79" t="s">
        <v>75</v>
      </c>
      <c r="D109" s="77">
        <v>240</v>
      </c>
      <c r="E109" s="77" t="s">
        <v>388</v>
      </c>
      <c r="F109" s="78" t="s">
        <v>258</v>
      </c>
      <c r="G109" s="77" t="s">
        <v>212</v>
      </c>
      <c r="H109" s="76">
        <v>82.499971345810309</v>
      </c>
      <c r="I109" s="114">
        <f>[24]References_BDI!$J$7</f>
        <v>4.333333333333333</v>
      </c>
      <c r="J109" s="112">
        <f>H109*I109</f>
        <v>357.49987583184463</v>
      </c>
      <c r="K109" s="45">
        <v>140.38</v>
      </c>
      <c r="L109" s="45">
        <v>109.07270000000001</v>
      </c>
      <c r="M109" s="45">
        <f t="shared" si="15"/>
        <v>109.07270000000001</v>
      </c>
      <c r="N109" s="44">
        <f t="shared" si="8"/>
        <v>-31.307299999999984</v>
      </c>
      <c r="O109" s="43">
        <f t="shared" si="9"/>
        <v>11581.34597752485</v>
      </c>
      <c r="P109" s="40">
        <f t="shared" si="10"/>
        <v>8998.4946246101645</v>
      </c>
      <c r="Q109" s="40">
        <f t="shared" si="11"/>
        <v>8998.4946246101645</v>
      </c>
      <c r="R109" s="40">
        <f t="shared" si="12"/>
        <v>-2582.8513529146858</v>
      </c>
      <c r="S109" s="40">
        <f t="shared" si="13"/>
        <v>-2582.8513529146858</v>
      </c>
      <c r="T109" s="42">
        <f t="shared" si="14"/>
        <v>-0.22301823621598504</v>
      </c>
      <c r="AA109" s="35"/>
    </row>
    <row r="110" spans="1:27" hidden="1" outlineLevel="1">
      <c r="A110" s="80">
        <v>88</v>
      </c>
      <c r="B110" s="79">
        <v>2</v>
      </c>
      <c r="C110" s="79" t="s">
        <v>75</v>
      </c>
      <c r="D110" s="77">
        <v>240</v>
      </c>
      <c r="E110" s="77" t="s">
        <v>388</v>
      </c>
      <c r="F110" s="78" t="s">
        <v>258</v>
      </c>
      <c r="G110" s="77" t="s">
        <v>230</v>
      </c>
      <c r="H110" s="76">
        <v>68.166738536725603</v>
      </c>
      <c r="I110" s="114">
        <f>[24]References_BDI!$J$8</f>
        <v>2.1666666666666665</v>
      </c>
      <c r="J110" s="112">
        <f>H110*I110</f>
        <v>147.69460016290546</v>
      </c>
      <c r="K110" s="45">
        <v>70.349999999999994</v>
      </c>
      <c r="L110" s="45">
        <v>54.536350000000006</v>
      </c>
      <c r="M110" s="45">
        <f t="shared" si="15"/>
        <v>54.536350000000006</v>
      </c>
      <c r="N110" s="44">
        <f t="shared" si="8"/>
        <v>-15.813649999999988</v>
      </c>
      <c r="O110" s="43">
        <f t="shared" si="9"/>
        <v>4795.5300560586456</v>
      </c>
      <c r="P110" s="40">
        <f t="shared" si="10"/>
        <v>3717.5651111973557</v>
      </c>
      <c r="Q110" s="40">
        <f t="shared" si="11"/>
        <v>3717.5651111973557</v>
      </c>
      <c r="R110" s="40">
        <f t="shared" si="12"/>
        <v>-1077.96494486129</v>
      </c>
      <c r="S110" s="40">
        <f t="shared" si="13"/>
        <v>-1077.96494486129</v>
      </c>
      <c r="T110" s="42">
        <f t="shared" si="14"/>
        <v>-0.22478535891968709</v>
      </c>
      <c r="AA110" s="35"/>
    </row>
    <row r="111" spans="1:27" hidden="1" outlineLevel="1">
      <c r="A111" s="80">
        <v>204</v>
      </c>
      <c r="B111" s="79">
        <v>2</v>
      </c>
      <c r="C111" s="79" t="s">
        <v>75</v>
      </c>
      <c r="D111" s="77">
        <v>240</v>
      </c>
      <c r="E111" s="77" t="s">
        <v>388</v>
      </c>
      <c r="F111" s="78" t="s">
        <v>258</v>
      </c>
      <c r="G111" s="77" t="s">
        <v>224</v>
      </c>
      <c r="H111" s="76">
        <v>0</v>
      </c>
      <c r="I111" s="114"/>
      <c r="J111" s="112"/>
      <c r="K111" s="45">
        <v>280.76</v>
      </c>
      <c r="L111" s="45">
        <v>218.14540000000002</v>
      </c>
      <c r="M111" s="45">
        <f t="shared" si="15"/>
        <v>218.14540000000002</v>
      </c>
      <c r="N111" s="44">
        <f t="shared" si="8"/>
        <v>-62.614599999999967</v>
      </c>
      <c r="O111" s="43">
        <f t="shared" si="9"/>
        <v>0</v>
      </c>
      <c r="P111" s="40">
        <f t="shared" si="10"/>
        <v>0</v>
      </c>
      <c r="Q111" s="40">
        <f t="shared" si="11"/>
        <v>0</v>
      </c>
      <c r="R111" s="40">
        <f t="shared" si="12"/>
        <v>0</v>
      </c>
      <c r="S111" s="40">
        <f t="shared" si="13"/>
        <v>0</v>
      </c>
      <c r="T111" s="42">
        <f t="shared" si="14"/>
        <v>-0.22301823621598504</v>
      </c>
      <c r="AA111" s="35"/>
    </row>
    <row r="112" spans="1:27" hidden="1" outlineLevel="1">
      <c r="A112" s="80">
        <v>205</v>
      </c>
      <c r="B112" s="79">
        <v>2</v>
      </c>
      <c r="C112" s="79" t="s">
        <v>75</v>
      </c>
      <c r="D112" s="77">
        <v>240</v>
      </c>
      <c r="E112" s="77" t="s">
        <v>388</v>
      </c>
      <c r="F112" s="78" t="s">
        <v>257</v>
      </c>
      <c r="G112" s="77" t="s">
        <v>160</v>
      </c>
      <c r="H112" s="76">
        <v>0</v>
      </c>
      <c r="I112" s="113"/>
      <c r="J112" s="112"/>
      <c r="K112" s="45">
        <v>54.98</v>
      </c>
      <c r="L112" s="45">
        <v>35.585000000000001</v>
      </c>
      <c r="M112" s="45">
        <f t="shared" si="15"/>
        <v>35.585000000000001</v>
      </c>
      <c r="N112" s="44">
        <f t="shared" si="8"/>
        <v>-19.394999999999996</v>
      </c>
      <c r="O112" s="43">
        <f t="shared" si="9"/>
        <v>0</v>
      </c>
      <c r="P112" s="40">
        <f t="shared" si="10"/>
        <v>0</v>
      </c>
      <c r="Q112" s="40">
        <f t="shared" si="11"/>
        <v>0</v>
      </c>
      <c r="R112" s="40">
        <f t="shared" si="12"/>
        <v>0</v>
      </c>
      <c r="S112" s="40">
        <f t="shared" si="13"/>
        <v>0</v>
      </c>
      <c r="T112" s="42">
        <f t="shared" si="14"/>
        <v>-0.35276464168788646</v>
      </c>
      <c r="AA112" s="35"/>
    </row>
    <row r="113" spans="1:27" hidden="1" outlineLevel="1">
      <c r="A113" s="36">
        <v>206</v>
      </c>
      <c r="B113" s="29">
        <v>2</v>
      </c>
      <c r="C113" s="29" t="s">
        <v>75</v>
      </c>
      <c r="D113" s="31">
        <v>240</v>
      </c>
      <c r="E113" s="31" t="s">
        <v>388</v>
      </c>
      <c r="F113" s="32" t="s">
        <v>256</v>
      </c>
      <c r="G113" s="31" t="s">
        <v>166</v>
      </c>
      <c r="H113" s="30">
        <v>0</v>
      </c>
      <c r="I113" s="103"/>
      <c r="J113" s="102"/>
      <c r="K113" s="45">
        <v>2</v>
      </c>
      <c r="L113" s="45">
        <v>1.6500000000000001</v>
      </c>
      <c r="M113" s="45">
        <f t="shared" si="15"/>
        <v>1.6500000000000001</v>
      </c>
      <c r="N113" s="44">
        <f t="shared" si="8"/>
        <v>-0.34999999999999987</v>
      </c>
      <c r="O113" s="43">
        <f t="shared" si="9"/>
        <v>0</v>
      </c>
      <c r="P113" s="40">
        <f t="shared" si="10"/>
        <v>0</v>
      </c>
      <c r="Q113" s="40">
        <f t="shared" si="11"/>
        <v>0</v>
      </c>
      <c r="R113" s="40">
        <f t="shared" si="12"/>
        <v>0</v>
      </c>
      <c r="S113" s="40">
        <f t="shared" si="13"/>
        <v>0</v>
      </c>
      <c r="T113" s="42">
        <f t="shared" si="14"/>
        <v>-0.17499999999999993</v>
      </c>
      <c r="AA113" s="35"/>
    </row>
    <row r="114" spans="1:27" hidden="1" outlineLevel="1">
      <c r="A114" s="36">
        <v>207</v>
      </c>
      <c r="B114" s="29">
        <v>2</v>
      </c>
      <c r="C114" s="29" t="s">
        <v>75</v>
      </c>
      <c r="D114" s="31">
        <v>240</v>
      </c>
      <c r="E114" s="31" t="s">
        <v>388</v>
      </c>
      <c r="F114" s="32" t="s">
        <v>255</v>
      </c>
      <c r="G114" s="31" t="s">
        <v>160</v>
      </c>
      <c r="H114" s="30">
        <v>0</v>
      </c>
      <c r="I114" s="103"/>
      <c r="J114" s="102"/>
      <c r="K114" s="45">
        <v>22.56</v>
      </c>
      <c r="L114" s="45">
        <v>21.560000000000002</v>
      </c>
      <c r="M114" s="45">
        <f t="shared" si="15"/>
        <v>21.560000000000002</v>
      </c>
      <c r="N114" s="44">
        <f t="shared" si="8"/>
        <v>-0.99999999999999645</v>
      </c>
      <c r="O114" s="43">
        <f t="shared" si="9"/>
        <v>0</v>
      </c>
      <c r="P114" s="40">
        <f t="shared" si="10"/>
        <v>0</v>
      </c>
      <c r="Q114" s="40">
        <f t="shared" si="11"/>
        <v>0</v>
      </c>
      <c r="R114" s="40">
        <f t="shared" si="12"/>
        <v>0</v>
      </c>
      <c r="S114" s="40">
        <f t="shared" si="13"/>
        <v>0</v>
      </c>
      <c r="T114" s="42">
        <f t="shared" si="14"/>
        <v>-4.4326241134751587E-2</v>
      </c>
      <c r="AA114" s="35"/>
    </row>
    <row r="115" spans="1:27" hidden="1" outlineLevel="1">
      <c r="A115" s="80">
        <v>208</v>
      </c>
      <c r="B115" s="79">
        <v>2</v>
      </c>
      <c r="C115" s="79" t="s">
        <v>75</v>
      </c>
      <c r="D115" s="77">
        <v>240</v>
      </c>
      <c r="E115" s="77" t="s">
        <v>388</v>
      </c>
      <c r="F115" s="78" t="s">
        <v>254</v>
      </c>
      <c r="G115" s="77" t="s">
        <v>210</v>
      </c>
      <c r="H115" s="76">
        <v>0</v>
      </c>
      <c r="I115" s="113"/>
      <c r="J115" s="112"/>
      <c r="K115" s="45">
        <v>44.45</v>
      </c>
      <c r="L115" s="45">
        <v>35.585000000000001</v>
      </c>
      <c r="M115" s="45">
        <f t="shared" si="15"/>
        <v>35.585000000000001</v>
      </c>
      <c r="N115" s="44">
        <f t="shared" si="8"/>
        <v>-8.865000000000002</v>
      </c>
      <c r="O115" s="43">
        <f t="shared" si="9"/>
        <v>0</v>
      </c>
      <c r="P115" s="40">
        <f t="shared" si="10"/>
        <v>0</v>
      </c>
      <c r="Q115" s="40">
        <f t="shared" si="11"/>
        <v>0</v>
      </c>
      <c r="R115" s="40">
        <f t="shared" si="12"/>
        <v>0</v>
      </c>
      <c r="S115" s="40">
        <f t="shared" si="13"/>
        <v>0</v>
      </c>
      <c r="T115" s="42">
        <f t="shared" si="14"/>
        <v>-0.19943757030371212</v>
      </c>
      <c r="AA115" s="35"/>
    </row>
    <row r="116" spans="1:27" hidden="1" outlineLevel="1">
      <c r="A116" s="80">
        <v>99</v>
      </c>
      <c r="B116" s="79">
        <v>2</v>
      </c>
      <c r="C116" s="79" t="s">
        <v>75</v>
      </c>
      <c r="D116" s="77">
        <v>240</v>
      </c>
      <c r="E116" s="77" t="s">
        <v>388</v>
      </c>
      <c r="F116" s="78" t="s">
        <v>253</v>
      </c>
      <c r="G116" s="77" t="s">
        <v>230</v>
      </c>
      <c r="H116" s="76">
        <v>35.007788161993773</v>
      </c>
      <c r="I116" s="113"/>
      <c r="J116" s="112"/>
      <c r="K116" s="45">
        <v>44.94</v>
      </c>
      <c r="L116" s="45">
        <v>37.151400000000002</v>
      </c>
      <c r="M116" s="45">
        <f t="shared" si="15"/>
        <v>37.151400000000002</v>
      </c>
      <c r="N116" s="44">
        <f t="shared" si="8"/>
        <v>-7.7885999999999953</v>
      </c>
      <c r="O116" s="43">
        <f t="shared" si="9"/>
        <v>1573.25</v>
      </c>
      <c r="P116" s="40">
        <f t="shared" si="10"/>
        <v>1300.5883411214954</v>
      </c>
      <c r="Q116" s="40">
        <f t="shared" si="11"/>
        <v>1300.5883411214954</v>
      </c>
      <c r="R116" s="40">
        <f t="shared" si="12"/>
        <v>-272.66165887850457</v>
      </c>
      <c r="S116" s="40">
        <f t="shared" si="13"/>
        <v>-272.66165887850457</v>
      </c>
      <c r="T116" s="42">
        <f t="shared" si="14"/>
        <v>-0.17331108144192242</v>
      </c>
      <c r="AA116" s="35"/>
    </row>
    <row r="117" spans="1:27" hidden="1" outlineLevel="1">
      <c r="A117" s="80">
        <v>209</v>
      </c>
      <c r="B117" s="79">
        <v>2</v>
      </c>
      <c r="C117" s="79" t="s">
        <v>75</v>
      </c>
      <c r="D117" s="77">
        <v>240</v>
      </c>
      <c r="E117" s="77" t="s">
        <v>388</v>
      </c>
      <c r="F117" s="78" t="s">
        <v>253</v>
      </c>
      <c r="G117" s="77" t="s">
        <v>212</v>
      </c>
      <c r="H117" s="76">
        <v>0</v>
      </c>
      <c r="I117" s="114"/>
      <c r="J117" s="112"/>
      <c r="K117" s="45">
        <v>89.67</v>
      </c>
      <c r="L117" s="45">
        <v>74.302800000000005</v>
      </c>
      <c r="M117" s="45">
        <f t="shared" si="15"/>
        <v>74.302800000000005</v>
      </c>
      <c r="N117" s="44">
        <f t="shared" si="8"/>
        <v>-15.367199999999997</v>
      </c>
      <c r="O117" s="43">
        <f t="shared" si="9"/>
        <v>0</v>
      </c>
      <c r="P117" s="40">
        <f t="shared" si="10"/>
        <v>0</v>
      </c>
      <c r="Q117" s="40">
        <f t="shared" si="11"/>
        <v>0</v>
      </c>
      <c r="R117" s="40">
        <f t="shared" si="12"/>
        <v>0</v>
      </c>
      <c r="S117" s="40">
        <f t="shared" si="13"/>
        <v>0</v>
      </c>
      <c r="T117" s="42">
        <f t="shared" si="14"/>
        <v>-0.17137504182000662</v>
      </c>
      <c r="AA117" s="35"/>
    </row>
    <row r="118" spans="1:27" hidden="1" outlineLevel="1">
      <c r="A118" s="80">
        <v>210</v>
      </c>
      <c r="B118" s="79">
        <v>2</v>
      </c>
      <c r="C118" s="79" t="s">
        <v>75</v>
      </c>
      <c r="D118" s="77">
        <v>240</v>
      </c>
      <c r="E118" s="77" t="s">
        <v>388</v>
      </c>
      <c r="F118" s="78" t="s">
        <v>253</v>
      </c>
      <c r="G118" s="77" t="s">
        <v>224</v>
      </c>
      <c r="H118" s="76">
        <v>0</v>
      </c>
      <c r="I118" s="114"/>
      <c r="J118" s="112"/>
      <c r="K118" s="45">
        <v>179.34</v>
      </c>
      <c r="L118" s="45">
        <v>148.60560000000001</v>
      </c>
      <c r="M118" s="45">
        <f t="shared" si="15"/>
        <v>148.60560000000001</v>
      </c>
      <c r="N118" s="44">
        <f t="shared" si="8"/>
        <v>-30.734399999999994</v>
      </c>
      <c r="O118" s="43">
        <f t="shared" si="9"/>
        <v>0</v>
      </c>
      <c r="P118" s="40">
        <f t="shared" si="10"/>
        <v>0</v>
      </c>
      <c r="Q118" s="40">
        <f t="shared" si="11"/>
        <v>0</v>
      </c>
      <c r="R118" s="40">
        <f t="shared" si="12"/>
        <v>0</v>
      </c>
      <c r="S118" s="40">
        <f t="shared" si="13"/>
        <v>0</v>
      </c>
      <c r="T118" s="42">
        <f t="shared" si="14"/>
        <v>-0.17137504182000662</v>
      </c>
      <c r="AA118" s="35"/>
    </row>
    <row r="119" spans="1:27" hidden="1" outlineLevel="1">
      <c r="A119" s="80">
        <v>211</v>
      </c>
      <c r="B119" s="79">
        <v>2</v>
      </c>
      <c r="C119" s="79" t="s">
        <v>75</v>
      </c>
      <c r="D119" s="77">
        <v>240</v>
      </c>
      <c r="E119" s="77" t="s">
        <v>388</v>
      </c>
      <c r="F119" s="78" t="s">
        <v>252</v>
      </c>
      <c r="G119" s="77" t="s">
        <v>160</v>
      </c>
      <c r="H119" s="76">
        <v>0</v>
      </c>
      <c r="I119" s="113"/>
      <c r="J119" s="112"/>
      <c r="K119" s="45">
        <v>30.74</v>
      </c>
      <c r="L119" s="45">
        <v>27.555</v>
      </c>
      <c r="M119" s="45">
        <f t="shared" si="15"/>
        <v>27.555</v>
      </c>
      <c r="N119" s="44">
        <f t="shared" si="8"/>
        <v>-3.1849999999999987</v>
      </c>
      <c r="O119" s="43">
        <f t="shared" si="9"/>
        <v>0</v>
      </c>
      <c r="P119" s="40">
        <f t="shared" si="10"/>
        <v>0</v>
      </c>
      <c r="Q119" s="40">
        <f t="shared" si="11"/>
        <v>0</v>
      </c>
      <c r="R119" s="40">
        <f t="shared" si="12"/>
        <v>0</v>
      </c>
      <c r="S119" s="40">
        <f t="shared" si="13"/>
        <v>0</v>
      </c>
      <c r="T119" s="42">
        <f t="shared" si="14"/>
        <v>-0.1036109303838646</v>
      </c>
      <c r="AA119" s="35"/>
    </row>
    <row r="120" spans="1:27" hidden="1" outlineLevel="1">
      <c r="A120" s="80">
        <v>213</v>
      </c>
      <c r="B120" s="79">
        <v>2</v>
      </c>
      <c r="C120" s="79" t="s">
        <v>75</v>
      </c>
      <c r="D120" s="77">
        <v>240</v>
      </c>
      <c r="E120" s="77" t="s">
        <v>388</v>
      </c>
      <c r="F120" s="78" t="s">
        <v>251</v>
      </c>
      <c r="G120" s="77" t="s">
        <v>210</v>
      </c>
      <c r="H120" s="76">
        <v>0</v>
      </c>
      <c r="I120" s="113"/>
      <c r="J120" s="112"/>
      <c r="K120" s="45">
        <v>38.61</v>
      </c>
      <c r="L120" s="45">
        <v>27.555</v>
      </c>
      <c r="M120" s="45">
        <f t="shared" si="15"/>
        <v>27.555</v>
      </c>
      <c r="N120" s="44">
        <f t="shared" si="8"/>
        <v>-11.055</v>
      </c>
      <c r="O120" s="43">
        <f t="shared" si="9"/>
        <v>0</v>
      </c>
      <c r="P120" s="40">
        <f t="shared" si="10"/>
        <v>0</v>
      </c>
      <c r="Q120" s="40">
        <f t="shared" si="11"/>
        <v>0</v>
      </c>
      <c r="R120" s="40">
        <f t="shared" si="12"/>
        <v>0</v>
      </c>
      <c r="S120" s="40">
        <f t="shared" si="13"/>
        <v>0</v>
      </c>
      <c r="T120" s="42">
        <f t="shared" si="14"/>
        <v>-0.28632478632478631</v>
      </c>
      <c r="AA120" s="35"/>
    </row>
    <row r="121" spans="1:27" hidden="1" outlineLevel="1">
      <c r="A121" s="80">
        <v>81</v>
      </c>
      <c r="B121" s="79">
        <v>2</v>
      </c>
      <c r="C121" s="79" t="s">
        <v>75</v>
      </c>
      <c r="D121" s="77">
        <v>240</v>
      </c>
      <c r="E121" s="77" t="s">
        <v>388</v>
      </c>
      <c r="F121" s="78" t="s">
        <v>250</v>
      </c>
      <c r="G121" s="77" t="s">
        <v>212</v>
      </c>
      <c r="H121" s="76">
        <v>64.599999999999994</v>
      </c>
      <c r="I121" s="114">
        <f>[24]References_BDI!$J$7</f>
        <v>4.333333333333333</v>
      </c>
      <c r="J121" s="112">
        <f>H121*I121</f>
        <v>279.93333333333328</v>
      </c>
      <c r="K121" s="45">
        <v>164.54</v>
      </c>
      <c r="L121" s="45">
        <v>119.55130000000001</v>
      </c>
      <c r="M121" s="45">
        <f t="shared" ref="M121:M152" si="16">L121*(1+$W$16)</f>
        <v>119.55130000000001</v>
      </c>
      <c r="N121" s="44">
        <f t="shared" si="8"/>
        <v>-44.98869999999998</v>
      </c>
      <c r="O121" s="43">
        <f t="shared" si="9"/>
        <v>10629.283999999998</v>
      </c>
      <c r="P121" s="40">
        <f t="shared" si="10"/>
        <v>7723.0139799999997</v>
      </c>
      <c r="Q121" s="40">
        <f t="shared" si="11"/>
        <v>7723.0139799999997</v>
      </c>
      <c r="R121" s="40">
        <f t="shared" si="12"/>
        <v>-2906.2700199999981</v>
      </c>
      <c r="S121" s="40">
        <f t="shared" si="13"/>
        <v>-2906.2700199999981</v>
      </c>
      <c r="T121" s="42">
        <f t="shared" si="14"/>
        <v>-0.27342105263157879</v>
      </c>
      <c r="AA121" s="35"/>
    </row>
    <row r="122" spans="1:27" hidden="1" outlineLevel="1">
      <c r="A122" s="80">
        <v>91</v>
      </c>
      <c r="B122" s="79">
        <v>2</v>
      </c>
      <c r="C122" s="79" t="s">
        <v>75</v>
      </c>
      <c r="D122" s="77">
        <v>240</v>
      </c>
      <c r="E122" s="77" t="s">
        <v>388</v>
      </c>
      <c r="F122" s="78" t="s">
        <v>250</v>
      </c>
      <c r="G122" s="77" t="s">
        <v>230</v>
      </c>
      <c r="H122" s="76">
        <v>48</v>
      </c>
      <c r="I122" s="114">
        <f>[24]References_BDI!$J$8</f>
        <v>2.1666666666666665</v>
      </c>
      <c r="J122" s="112">
        <f>H122*I122</f>
        <v>104</v>
      </c>
      <c r="K122" s="45">
        <v>82.46</v>
      </c>
      <c r="L122" s="45">
        <v>59.775650000000006</v>
      </c>
      <c r="M122" s="45">
        <f t="shared" si="16"/>
        <v>59.775650000000006</v>
      </c>
      <c r="N122" s="44">
        <f t="shared" si="8"/>
        <v>-22.684349999999988</v>
      </c>
      <c r="O122" s="43">
        <f t="shared" si="9"/>
        <v>3958.08</v>
      </c>
      <c r="P122" s="40">
        <f t="shared" si="10"/>
        <v>2869.2312000000002</v>
      </c>
      <c r="Q122" s="40">
        <f t="shared" si="11"/>
        <v>2869.2312000000002</v>
      </c>
      <c r="R122" s="40">
        <f t="shared" si="12"/>
        <v>-1088.8487999999998</v>
      </c>
      <c r="S122" s="40">
        <f t="shared" si="13"/>
        <v>-1088.8487999999998</v>
      </c>
      <c r="T122" s="42">
        <f t="shared" si="14"/>
        <v>-0.27509519767159818</v>
      </c>
      <c r="AA122" s="35"/>
    </row>
    <row r="123" spans="1:27" hidden="1" outlineLevel="1">
      <c r="A123" s="80">
        <v>214</v>
      </c>
      <c r="B123" s="79">
        <v>2</v>
      </c>
      <c r="C123" s="79" t="s">
        <v>75</v>
      </c>
      <c r="D123" s="77">
        <v>240</v>
      </c>
      <c r="E123" s="77" t="s">
        <v>388</v>
      </c>
      <c r="F123" s="78" t="s">
        <v>250</v>
      </c>
      <c r="G123" s="77" t="s">
        <v>224</v>
      </c>
      <c r="H123" s="76">
        <v>0</v>
      </c>
      <c r="I123" s="114"/>
      <c r="J123" s="112"/>
      <c r="K123" s="45">
        <v>329.08</v>
      </c>
      <c r="L123" s="45">
        <v>239.10260000000002</v>
      </c>
      <c r="M123" s="45">
        <f t="shared" si="16"/>
        <v>239.10260000000002</v>
      </c>
      <c r="N123" s="44">
        <f t="shared" si="8"/>
        <v>-89.97739999999996</v>
      </c>
      <c r="O123" s="43">
        <f t="shared" si="9"/>
        <v>0</v>
      </c>
      <c r="P123" s="40">
        <f t="shared" si="10"/>
        <v>0</v>
      </c>
      <c r="Q123" s="40">
        <f t="shared" si="11"/>
        <v>0</v>
      </c>
      <c r="R123" s="40">
        <f t="shared" si="12"/>
        <v>0</v>
      </c>
      <c r="S123" s="40">
        <f t="shared" si="13"/>
        <v>0</v>
      </c>
      <c r="T123" s="42">
        <f t="shared" si="14"/>
        <v>-0.27342105263157879</v>
      </c>
      <c r="AA123" s="35"/>
    </row>
    <row r="124" spans="1:27" hidden="1" outlineLevel="1">
      <c r="A124" s="80">
        <v>215</v>
      </c>
      <c r="B124" s="79">
        <v>2</v>
      </c>
      <c r="C124" s="79" t="s">
        <v>75</v>
      </c>
      <c r="D124" s="77">
        <v>240</v>
      </c>
      <c r="E124" s="77" t="s">
        <v>388</v>
      </c>
      <c r="F124" s="78" t="s">
        <v>250</v>
      </c>
      <c r="G124" s="77" t="s">
        <v>236</v>
      </c>
      <c r="H124" s="76">
        <v>0</v>
      </c>
      <c r="I124" s="113"/>
      <c r="J124" s="112"/>
      <c r="K124" s="45">
        <v>822.7</v>
      </c>
      <c r="L124" s="45">
        <v>597.75650000000007</v>
      </c>
      <c r="M124" s="45">
        <f t="shared" si="16"/>
        <v>597.75650000000007</v>
      </c>
      <c r="N124" s="44">
        <f t="shared" si="8"/>
        <v>-224.94349999999997</v>
      </c>
      <c r="O124" s="43">
        <f t="shared" si="9"/>
        <v>0</v>
      </c>
      <c r="P124" s="40">
        <f t="shared" si="10"/>
        <v>0</v>
      </c>
      <c r="Q124" s="40">
        <f t="shared" si="11"/>
        <v>0</v>
      </c>
      <c r="R124" s="40">
        <f t="shared" si="12"/>
        <v>0</v>
      </c>
      <c r="S124" s="40">
        <f t="shared" si="13"/>
        <v>0</v>
      </c>
      <c r="T124" s="42">
        <f t="shared" si="14"/>
        <v>-0.2734210526315789</v>
      </c>
      <c r="AA124" s="35"/>
    </row>
    <row r="125" spans="1:27" hidden="1" outlineLevel="1">
      <c r="A125" s="80">
        <v>216</v>
      </c>
      <c r="B125" s="79">
        <v>2</v>
      </c>
      <c r="C125" s="79" t="s">
        <v>75</v>
      </c>
      <c r="D125" s="77">
        <v>240</v>
      </c>
      <c r="E125" s="77" t="s">
        <v>388</v>
      </c>
      <c r="F125" s="78" t="s">
        <v>249</v>
      </c>
      <c r="G125" s="77" t="s">
        <v>160</v>
      </c>
      <c r="H125" s="76">
        <v>0</v>
      </c>
      <c r="I125" s="113"/>
      <c r="J125" s="112"/>
      <c r="K125" s="45">
        <v>60.56</v>
      </c>
      <c r="L125" s="45">
        <v>38.005000000000003</v>
      </c>
      <c r="M125" s="45">
        <f t="shared" si="16"/>
        <v>38.005000000000003</v>
      </c>
      <c r="N125" s="44">
        <f t="shared" si="8"/>
        <v>-22.555</v>
      </c>
      <c r="O125" s="43">
        <f t="shared" si="9"/>
        <v>0</v>
      </c>
      <c r="P125" s="40">
        <f t="shared" si="10"/>
        <v>0</v>
      </c>
      <c r="Q125" s="40">
        <f t="shared" si="11"/>
        <v>0</v>
      </c>
      <c r="R125" s="40">
        <f t="shared" si="12"/>
        <v>0</v>
      </c>
      <c r="S125" s="40">
        <f t="shared" si="13"/>
        <v>0</v>
      </c>
      <c r="T125" s="42">
        <f t="shared" si="14"/>
        <v>-0.37244055482166449</v>
      </c>
      <c r="AA125" s="35"/>
    </row>
    <row r="126" spans="1:27" hidden="1" outlineLevel="1">
      <c r="A126" s="36">
        <v>112</v>
      </c>
      <c r="B126" s="29">
        <v>2</v>
      </c>
      <c r="C126" s="29" t="s">
        <v>75</v>
      </c>
      <c r="D126" s="31">
        <v>240</v>
      </c>
      <c r="E126" s="31" t="s">
        <v>388</v>
      </c>
      <c r="F126" s="32" t="s">
        <v>248</v>
      </c>
      <c r="G126" s="31" t="s">
        <v>166</v>
      </c>
      <c r="H126" s="30">
        <v>130</v>
      </c>
      <c r="I126" s="103"/>
      <c r="J126" s="102"/>
      <c r="K126" s="45">
        <v>2.25</v>
      </c>
      <c r="L126" s="45">
        <v>1.9250000000000003</v>
      </c>
      <c r="M126" s="45">
        <f t="shared" si="16"/>
        <v>1.9250000000000003</v>
      </c>
      <c r="N126" s="44">
        <f t="shared" si="8"/>
        <v>-0.32499999999999973</v>
      </c>
      <c r="O126" s="43">
        <f t="shared" si="9"/>
        <v>292.5</v>
      </c>
      <c r="P126" s="40">
        <f t="shared" si="10"/>
        <v>250.25000000000003</v>
      </c>
      <c r="Q126" s="40">
        <f t="shared" si="11"/>
        <v>250.25000000000003</v>
      </c>
      <c r="R126" s="40">
        <f t="shared" si="12"/>
        <v>-42.249999999999972</v>
      </c>
      <c r="S126" s="40">
        <f t="shared" si="13"/>
        <v>-42.249999999999972</v>
      </c>
      <c r="T126" s="42">
        <f t="shared" si="14"/>
        <v>-0.14444444444444438</v>
      </c>
      <c r="AA126" s="35"/>
    </row>
    <row r="127" spans="1:27" hidden="1" outlineLevel="1">
      <c r="A127" s="36">
        <v>145</v>
      </c>
      <c r="B127" s="29">
        <v>2</v>
      </c>
      <c r="C127" s="29" t="s">
        <v>75</v>
      </c>
      <c r="D127" s="31">
        <v>240</v>
      </c>
      <c r="E127" s="31" t="s">
        <v>388</v>
      </c>
      <c r="F127" s="32" t="s">
        <v>247</v>
      </c>
      <c r="G127" s="31" t="s">
        <v>160</v>
      </c>
      <c r="H127" s="30">
        <v>1</v>
      </c>
      <c r="I127" s="103"/>
      <c r="J127" s="102"/>
      <c r="K127" s="45">
        <v>22.56</v>
      </c>
      <c r="L127" s="45">
        <v>21.560000000000002</v>
      </c>
      <c r="M127" s="45">
        <f t="shared" si="16"/>
        <v>21.560000000000002</v>
      </c>
      <c r="N127" s="44">
        <f t="shared" si="8"/>
        <v>-0.99999999999999645</v>
      </c>
      <c r="O127" s="43">
        <f t="shared" si="9"/>
        <v>22.56</v>
      </c>
      <c r="P127" s="40">
        <f t="shared" si="10"/>
        <v>21.560000000000002</v>
      </c>
      <c r="Q127" s="40">
        <f t="shared" si="11"/>
        <v>21.560000000000002</v>
      </c>
      <c r="R127" s="40">
        <f t="shared" si="12"/>
        <v>-0.99999999999999645</v>
      </c>
      <c r="S127" s="40">
        <f t="shared" si="13"/>
        <v>-0.99999999999999645</v>
      </c>
      <c r="T127" s="42">
        <f t="shared" si="14"/>
        <v>-4.4326241134751587E-2</v>
      </c>
      <c r="AA127" s="35"/>
    </row>
    <row r="128" spans="1:27" hidden="1" outlineLevel="1">
      <c r="A128" s="80">
        <v>115</v>
      </c>
      <c r="B128" s="79">
        <v>2</v>
      </c>
      <c r="C128" s="79" t="s">
        <v>75</v>
      </c>
      <c r="D128" s="77">
        <v>240</v>
      </c>
      <c r="E128" s="77" t="s">
        <v>388</v>
      </c>
      <c r="F128" s="78" t="s">
        <v>246</v>
      </c>
      <c r="G128" s="77" t="s">
        <v>210</v>
      </c>
      <c r="H128" s="76">
        <v>5</v>
      </c>
      <c r="I128" s="114">
        <v>1</v>
      </c>
      <c r="J128" s="112">
        <f>H128*I128</f>
        <v>5</v>
      </c>
      <c r="K128" s="45">
        <v>50.02</v>
      </c>
      <c r="L128" s="45">
        <v>38.005000000000003</v>
      </c>
      <c r="M128" s="45">
        <f t="shared" si="16"/>
        <v>38.005000000000003</v>
      </c>
      <c r="N128" s="44">
        <f t="shared" si="8"/>
        <v>-12.015000000000001</v>
      </c>
      <c r="O128" s="43">
        <f t="shared" si="9"/>
        <v>250.10000000000002</v>
      </c>
      <c r="P128" s="40">
        <f t="shared" si="10"/>
        <v>190.02500000000001</v>
      </c>
      <c r="Q128" s="40">
        <f t="shared" si="11"/>
        <v>190.02500000000001</v>
      </c>
      <c r="R128" s="40">
        <f t="shared" si="12"/>
        <v>-60.075000000000017</v>
      </c>
      <c r="S128" s="40">
        <f t="shared" si="13"/>
        <v>-60.075000000000017</v>
      </c>
      <c r="T128" s="42">
        <f t="shared" si="14"/>
        <v>-0.2402039184326269</v>
      </c>
      <c r="AA128" s="35"/>
    </row>
    <row r="129" spans="1:27" hidden="1" outlineLevel="1">
      <c r="A129" s="80">
        <v>84</v>
      </c>
      <c r="B129" s="79">
        <v>2</v>
      </c>
      <c r="C129" s="79" t="s">
        <v>75</v>
      </c>
      <c r="D129" s="77">
        <v>240</v>
      </c>
      <c r="E129" s="77" t="s">
        <v>388</v>
      </c>
      <c r="F129" s="78" t="s">
        <v>245</v>
      </c>
      <c r="G129" s="77" t="s">
        <v>212</v>
      </c>
      <c r="H129" s="76">
        <v>44.6</v>
      </c>
      <c r="I129" s="114">
        <f>[24]References_BDI!$J$7</f>
        <v>4.333333333333333</v>
      </c>
      <c r="J129" s="112">
        <f>H129*I129</f>
        <v>193.26666666666665</v>
      </c>
      <c r="K129" s="45">
        <v>196.58</v>
      </c>
      <c r="L129" s="45">
        <v>149.08190000000002</v>
      </c>
      <c r="M129" s="45">
        <f t="shared" si="16"/>
        <v>149.08190000000002</v>
      </c>
      <c r="N129" s="44">
        <f t="shared" si="8"/>
        <v>-47.498099999999994</v>
      </c>
      <c r="O129" s="43">
        <f t="shared" si="9"/>
        <v>8767.4680000000008</v>
      </c>
      <c r="P129" s="40">
        <f t="shared" si="10"/>
        <v>6649.052740000001</v>
      </c>
      <c r="Q129" s="40">
        <f t="shared" si="11"/>
        <v>6649.052740000001</v>
      </c>
      <c r="R129" s="40">
        <f t="shared" si="12"/>
        <v>-2118.4152599999998</v>
      </c>
      <c r="S129" s="40">
        <f t="shared" si="13"/>
        <v>-2118.4152599999998</v>
      </c>
      <c r="T129" s="42">
        <f t="shared" si="14"/>
        <v>-0.2416222403092888</v>
      </c>
      <c r="AA129" s="35"/>
    </row>
    <row r="130" spans="1:27" hidden="1" outlineLevel="1">
      <c r="A130" s="80">
        <v>92</v>
      </c>
      <c r="B130" s="79">
        <v>2</v>
      </c>
      <c r="C130" s="79" t="s">
        <v>75</v>
      </c>
      <c r="D130" s="77">
        <v>240</v>
      </c>
      <c r="E130" s="77" t="s">
        <v>388</v>
      </c>
      <c r="F130" s="78" t="s">
        <v>245</v>
      </c>
      <c r="G130" s="77" t="s">
        <v>230</v>
      </c>
      <c r="H130" s="76">
        <v>36.666666666666664</v>
      </c>
      <c r="I130" s="114">
        <f>[24]References_BDI!$J$8</f>
        <v>2.1666666666666665</v>
      </c>
      <c r="J130" s="112">
        <f>H130*I130</f>
        <v>79.444444444444429</v>
      </c>
      <c r="K130" s="45">
        <v>98.52</v>
      </c>
      <c r="L130" s="45">
        <v>74.713099999999997</v>
      </c>
      <c r="M130" s="45">
        <f t="shared" si="16"/>
        <v>74.713099999999997</v>
      </c>
      <c r="N130" s="44">
        <f t="shared" si="8"/>
        <v>-23.806899999999999</v>
      </c>
      <c r="O130" s="43">
        <f t="shared" si="9"/>
        <v>3612.3999999999996</v>
      </c>
      <c r="P130" s="40">
        <f t="shared" si="10"/>
        <v>2739.480333333333</v>
      </c>
      <c r="Q130" s="40">
        <f t="shared" si="11"/>
        <v>2739.480333333333</v>
      </c>
      <c r="R130" s="40">
        <f t="shared" si="12"/>
        <v>-872.91966666666667</v>
      </c>
      <c r="S130" s="40">
        <f t="shared" si="13"/>
        <v>-872.91966666666667</v>
      </c>
      <c r="T130" s="42">
        <f t="shared" si="14"/>
        <v>-0.24164535119772634</v>
      </c>
      <c r="AA130" s="35"/>
    </row>
    <row r="131" spans="1:27" hidden="1" outlineLevel="1">
      <c r="A131" s="80">
        <v>103</v>
      </c>
      <c r="B131" s="79">
        <v>2</v>
      </c>
      <c r="C131" s="79" t="s">
        <v>75</v>
      </c>
      <c r="D131" s="77">
        <v>240</v>
      </c>
      <c r="E131" s="77" t="s">
        <v>388</v>
      </c>
      <c r="F131" s="78" t="s">
        <v>245</v>
      </c>
      <c r="G131" s="77" t="s">
        <v>224</v>
      </c>
      <c r="H131" s="76">
        <v>2.1182568334192879</v>
      </c>
      <c r="I131" s="114">
        <f>[24]References_BDI!$J$6</f>
        <v>8.6666666666666661</v>
      </c>
      <c r="J131" s="112">
        <f>H131*I131</f>
        <v>18.358225889633829</v>
      </c>
      <c r="K131" s="45">
        <v>393.16</v>
      </c>
      <c r="L131" s="45">
        <v>298.16380000000004</v>
      </c>
      <c r="M131" s="45">
        <f t="shared" si="16"/>
        <v>298.16380000000004</v>
      </c>
      <c r="N131" s="44">
        <f t="shared" ref="N131:N194" si="17">IF(K131="N/A","-",IFERROR(L131-K131,"New"))</f>
        <v>-94.996199999999988</v>
      </c>
      <c r="O131" s="43">
        <f t="shared" ref="O131:O194" si="18">IFERROR(H131*K131,0)</f>
        <v>832.81385662712728</v>
      </c>
      <c r="P131" s="40">
        <f t="shared" ref="P131:P194" si="19">L131*H131</f>
        <v>631.58750682826201</v>
      </c>
      <c r="Q131" s="40">
        <f t="shared" ref="Q131:Q194" si="20">M131*H131</f>
        <v>631.58750682826201</v>
      </c>
      <c r="R131" s="40">
        <f t="shared" ref="R131:R194" si="21">P131-O131</f>
        <v>-201.22634979886527</v>
      </c>
      <c r="S131" s="40">
        <f t="shared" ref="S131:S194" si="22">Q131-O131</f>
        <v>-201.22634979886527</v>
      </c>
      <c r="T131" s="42">
        <f t="shared" ref="T131:T194" si="23">IFERROR(M131/K131-1,0)</f>
        <v>-0.2416222403092888</v>
      </c>
      <c r="AA131" s="35"/>
    </row>
    <row r="132" spans="1:27" hidden="1" outlineLevel="1">
      <c r="A132" s="80">
        <v>217</v>
      </c>
      <c r="B132" s="79">
        <v>2</v>
      </c>
      <c r="C132" s="79" t="s">
        <v>75</v>
      </c>
      <c r="D132" s="77">
        <v>240</v>
      </c>
      <c r="E132" s="77" t="s">
        <v>388</v>
      </c>
      <c r="F132" s="78" t="s">
        <v>245</v>
      </c>
      <c r="G132" s="77" t="s">
        <v>236</v>
      </c>
      <c r="H132" s="76">
        <v>0</v>
      </c>
      <c r="I132" s="113"/>
      <c r="J132" s="112"/>
      <c r="K132" s="45">
        <v>982.9</v>
      </c>
      <c r="L132" s="45">
        <v>745.40950000000009</v>
      </c>
      <c r="M132" s="45">
        <f t="shared" si="16"/>
        <v>745.40950000000009</v>
      </c>
      <c r="N132" s="44">
        <f t="shared" si="17"/>
        <v>-237.49049999999988</v>
      </c>
      <c r="O132" s="43">
        <f t="shared" si="18"/>
        <v>0</v>
      </c>
      <c r="P132" s="40">
        <f t="shared" si="19"/>
        <v>0</v>
      </c>
      <c r="Q132" s="40">
        <f t="shared" si="20"/>
        <v>0</v>
      </c>
      <c r="R132" s="40">
        <f t="shared" si="21"/>
        <v>0</v>
      </c>
      <c r="S132" s="40">
        <f t="shared" si="22"/>
        <v>0</v>
      </c>
      <c r="T132" s="42">
        <f t="shared" si="23"/>
        <v>-0.24162224030928869</v>
      </c>
      <c r="AA132" s="35"/>
    </row>
    <row r="133" spans="1:27" hidden="1" outlineLevel="1">
      <c r="A133" s="80">
        <v>133</v>
      </c>
      <c r="B133" s="79">
        <v>2</v>
      </c>
      <c r="C133" s="79" t="s">
        <v>75</v>
      </c>
      <c r="D133" s="77">
        <v>240</v>
      </c>
      <c r="E133" s="77" t="s">
        <v>388</v>
      </c>
      <c r="F133" s="78" t="s">
        <v>244</v>
      </c>
      <c r="G133" s="77" t="s">
        <v>160</v>
      </c>
      <c r="H133" s="76">
        <v>1</v>
      </c>
      <c r="I133" s="114">
        <v>1</v>
      </c>
      <c r="J133" s="112">
        <f>H133*I133</f>
        <v>1</v>
      </c>
      <c r="K133" s="45">
        <v>67.959999999999994</v>
      </c>
      <c r="L133" s="45">
        <v>44.825000000000003</v>
      </c>
      <c r="M133" s="45">
        <f t="shared" si="16"/>
        <v>44.825000000000003</v>
      </c>
      <c r="N133" s="44">
        <f t="shared" si="17"/>
        <v>-23.134999999999991</v>
      </c>
      <c r="O133" s="43">
        <f t="shared" si="18"/>
        <v>67.959999999999994</v>
      </c>
      <c r="P133" s="40">
        <f t="shared" si="19"/>
        <v>44.825000000000003</v>
      </c>
      <c r="Q133" s="40">
        <f t="shared" si="20"/>
        <v>44.825000000000003</v>
      </c>
      <c r="R133" s="40">
        <f t="shared" si="21"/>
        <v>-23.134999999999991</v>
      </c>
      <c r="S133" s="40">
        <f t="shared" si="22"/>
        <v>-23.134999999999991</v>
      </c>
      <c r="T133" s="42">
        <f t="shared" si="23"/>
        <v>-0.34042083578575622</v>
      </c>
      <c r="AA133" s="35"/>
    </row>
    <row r="134" spans="1:27" hidden="1" outlineLevel="1">
      <c r="A134" s="36">
        <v>124</v>
      </c>
      <c r="B134" s="29">
        <v>2</v>
      </c>
      <c r="C134" s="29" t="s">
        <v>75</v>
      </c>
      <c r="D134" s="31">
        <v>240</v>
      </c>
      <c r="E134" s="31" t="s">
        <v>388</v>
      </c>
      <c r="F134" s="32" t="s">
        <v>243</v>
      </c>
      <c r="G134" s="31" t="s">
        <v>166</v>
      </c>
      <c r="H134" s="30">
        <v>51</v>
      </c>
      <c r="I134" s="103"/>
      <c r="J134" s="102"/>
      <c r="K134" s="45">
        <v>2.75</v>
      </c>
      <c r="L134" s="45">
        <v>2.09</v>
      </c>
      <c r="M134" s="45">
        <f t="shared" si="16"/>
        <v>2.09</v>
      </c>
      <c r="N134" s="44">
        <f t="shared" si="17"/>
        <v>-0.66000000000000014</v>
      </c>
      <c r="O134" s="43">
        <f t="shared" si="18"/>
        <v>140.25</v>
      </c>
      <c r="P134" s="40">
        <f t="shared" si="19"/>
        <v>106.58999999999999</v>
      </c>
      <c r="Q134" s="40">
        <f t="shared" si="20"/>
        <v>106.58999999999999</v>
      </c>
      <c r="R134" s="40">
        <f t="shared" si="21"/>
        <v>-33.660000000000011</v>
      </c>
      <c r="S134" s="40">
        <f t="shared" si="22"/>
        <v>-33.660000000000011</v>
      </c>
      <c r="T134" s="42">
        <f t="shared" si="23"/>
        <v>-0.2400000000000001</v>
      </c>
      <c r="AA134" s="35"/>
    </row>
    <row r="135" spans="1:27" hidden="1" outlineLevel="1">
      <c r="A135" s="36">
        <v>146</v>
      </c>
      <c r="B135" s="29">
        <v>2</v>
      </c>
      <c r="C135" s="29" t="s">
        <v>75</v>
      </c>
      <c r="D135" s="31">
        <v>240</v>
      </c>
      <c r="E135" s="31" t="s">
        <v>388</v>
      </c>
      <c r="F135" s="32" t="s">
        <v>242</v>
      </c>
      <c r="G135" s="31" t="s">
        <v>160</v>
      </c>
      <c r="H135" s="30">
        <v>1</v>
      </c>
      <c r="I135" s="103"/>
      <c r="J135" s="102"/>
      <c r="K135" s="45">
        <v>22.56</v>
      </c>
      <c r="L135" s="45">
        <v>21.560000000000002</v>
      </c>
      <c r="M135" s="45">
        <f t="shared" si="16"/>
        <v>21.560000000000002</v>
      </c>
      <c r="N135" s="44">
        <f t="shared" si="17"/>
        <v>-0.99999999999999645</v>
      </c>
      <c r="O135" s="43">
        <f t="shared" si="18"/>
        <v>22.56</v>
      </c>
      <c r="P135" s="40">
        <f t="shared" si="19"/>
        <v>21.560000000000002</v>
      </c>
      <c r="Q135" s="40">
        <f t="shared" si="20"/>
        <v>21.560000000000002</v>
      </c>
      <c r="R135" s="40">
        <f t="shared" si="21"/>
        <v>-0.99999999999999645</v>
      </c>
      <c r="S135" s="40">
        <f t="shared" si="22"/>
        <v>-0.99999999999999645</v>
      </c>
      <c r="T135" s="42">
        <f t="shared" si="23"/>
        <v>-4.4326241134751587E-2</v>
      </c>
      <c r="AA135" s="35"/>
    </row>
    <row r="136" spans="1:27" hidden="1" outlineLevel="1">
      <c r="A136" s="80">
        <v>218</v>
      </c>
      <c r="B136" s="79">
        <v>2</v>
      </c>
      <c r="C136" s="79" t="s">
        <v>75</v>
      </c>
      <c r="D136" s="77">
        <v>240</v>
      </c>
      <c r="E136" s="77" t="s">
        <v>388</v>
      </c>
      <c r="F136" s="78" t="s">
        <v>241</v>
      </c>
      <c r="G136" s="77" t="s">
        <v>160</v>
      </c>
      <c r="H136" s="76">
        <v>0</v>
      </c>
      <c r="I136" s="113"/>
      <c r="J136" s="112"/>
      <c r="K136" s="45">
        <v>57.44</v>
      </c>
      <c r="L136" s="45">
        <v>44.825000000000003</v>
      </c>
      <c r="M136" s="45">
        <f t="shared" si="16"/>
        <v>44.825000000000003</v>
      </c>
      <c r="N136" s="44">
        <f t="shared" si="17"/>
        <v>-12.614999999999995</v>
      </c>
      <c r="O136" s="43">
        <f t="shared" si="18"/>
        <v>0</v>
      </c>
      <c r="P136" s="40">
        <f t="shared" si="19"/>
        <v>0</v>
      </c>
      <c r="Q136" s="40">
        <f t="shared" si="20"/>
        <v>0</v>
      </c>
      <c r="R136" s="40">
        <f t="shared" si="21"/>
        <v>0</v>
      </c>
      <c r="S136" s="40">
        <f t="shared" si="22"/>
        <v>0</v>
      </c>
      <c r="T136" s="42">
        <f t="shared" si="23"/>
        <v>-0.21962047353760439</v>
      </c>
      <c r="AA136" s="35"/>
    </row>
    <row r="137" spans="1:27" hidden="1" outlineLevel="1">
      <c r="A137" s="80">
        <v>219</v>
      </c>
      <c r="B137" s="79">
        <v>2</v>
      </c>
      <c r="C137" s="79" t="s">
        <v>75</v>
      </c>
      <c r="D137" s="77">
        <v>240</v>
      </c>
      <c r="E137" s="77" t="s">
        <v>388</v>
      </c>
      <c r="F137" s="78" t="s">
        <v>240</v>
      </c>
      <c r="G137" s="77" t="s">
        <v>212</v>
      </c>
      <c r="H137" s="76">
        <v>0</v>
      </c>
      <c r="I137" s="114">
        <f>[24]References_BDI!$J$7</f>
        <v>4.333333333333333</v>
      </c>
      <c r="J137" s="112">
        <f>H137*I137</f>
        <v>0</v>
      </c>
      <c r="K137" s="45">
        <v>19.14</v>
      </c>
      <c r="L137" s="45">
        <v>19.14</v>
      </c>
      <c r="M137" s="45">
        <f t="shared" si="16"/>
        <v>19.14</v>
      </c>
      <c r="N137" s="44">
        <f t="shared" si="17"/>
        <v>0</v>
      </c>
      <c r="O137" s="43">
        <f t="shared" si="18"/>
        <v>0</v>
      </c>
      <c r="P137" s="40">
        <f t="shared" si="19"/>
        <v>0</v>
      </c>
      <c r="Q137" s="40">
        <f t="shared" si="20"/>
        <v>0</v>
      </c>
      <c r="R137" s="40">
        <f t="shared" si="21"/>
        <v>0</v>
      </c>
      <c r="S137" s="40">
        <f t="shared" si="22"/>
        <v>0</v>
      </c>
      <c r="T137" s="42">
        <f t="shared" si="23"/>
        <v>0</v>
      </c>
      <c r="AA137" s="35"/>
    </row>
    <row r="138" spans="1:27" hidden="1" outlineLevel="1">
      <c r="A138" s="80">
        <v>222</v>
      </c>
      <c r="B138" s="79">
        <v>2</v>
      </c>
      <c r="C138" s="79" t="s">
        <v>75</v>
      </c>
      <c r="D138" s="77">
        <v>240</v>
      </c>
      <c r="E138" s="77" t="s">
        <v>388</v>
      </c>
      <c r="F138" s="78" t="s">
        <v>239</v>
      </c>
      <c r="G138" s="77" t="s">
        <v>160</v>
      </c>
      <c r="H138" s="76">
        <v>0</v>
      </c>
      <c r="I138" s="113"/>
      <c r="J138" s="112"/>
      <c r="K138" s="45">
        <v>4.42</v>
      </c>
      <c r="L138" s="45">
        <v>4.42</v>
      </c>
      <c r="M138" s="45">
        <f t="shared" si="16"/>
        <v>4.42</v>
      </c>
      <c r="N138" s="44">
        <f t="shared" si="17"/>
        <v>0</v>
      </c>
      <c r="O138" s="43">
        <f t="shared" si="18"/>
        <v>0</v>
      </c>
      <c r="P138" s="40">
        <f t="shared" si="19"/>
        <v>0</v>
      </c>
      <c r="Q138" s="40">
        <f t="shared" si="20"/>
        <v>0</v>
      </c>
      <c r="R138" s="40">
        <f t="shared" si="21"/>
        <v>0</v>
      </c>
      <c r="S138" s="40">
        <f t="shared" si="22"/>
        <v>0</v>
      </c>
      <c r="T138" s="42">
        <f t="shared" si="23"/>
        <v>0</v>
      </c>
      <c r="AA138" s="35"/>
    </row>
    <row r="139" spans="1:27" hidden="1" outlineLevel="1">
      <c r="A139" s="80">
        <v>223</v>
      </c>
      <c r="B139" s="79">
        <v>2</v>
      </c>
      <c r="C139" s="79" t="s">
        <v>75</v>
      </c>
      <c r="D139" s="77">
        <v>240</v>
      </c>
      <c r="E139" s="77" t="s">
        <v>388</v>
      </c>
      <c r="F139" s="78" t="s">
        <v>238</v>
      </c>
      <c r="G139" s="77" t="s">
        <v>160</v>
      </c>
      <c r="H139" s="76">
        <v>0</v>
      </c>
      <c r="I139" s="113"/>
      <c r="J139" s="112"/>
      <c r="K139" s="45">
        <v>14.45</v>
      </c>
      <c r="L139" s="45">
        <v>12.230323325635105</v>
      </c>
      <c r="M139" s="45">
        <f t="shared" si="16"/>
        <v>12.230323325635105</v>
      </c>
      <c r="N139" s="44">
        <f t="shared" si="17"/>
        <v>-2.2196766743648944</v>
      </c>
      <c r="O139" s="43">
        <f t="shared" si="18"/>
        <v>0</v>
      </c>
      <c r="P139" s="40">
        <f t="shared" si="19"/>
        <v>0</v>
      </c>
      <c r="Q139" s="40">
        <f t="shared" si="20"/>
        <v>0</v>
      </c>
      <c r="R139" s="40">
        <f t="shared" si="21"/>
        <v>0</v>
      </c>
      <c r="S139" s="40">
        <f t="shared" si="22"/>
        <v>0</v>
      </c>
      <c r="T139" s="42">
        <f t="shared" si="23"/>
        <v>-0.15361084251660173</v>
      </c>
      <c r="AA139" s="35"/>
    </row>
    <row r="140" spans="1:27" hidden="1" outlineLevel="1">
      <c r="A140" s="80">
        <v>78</v>
      </c>
      <c r="B140" s="79">
        <v>2</v>
      </c>
      <c r="C140" s="79" t="s">
        <v>75</v>
      </c>
      <c r="D140" s="77">
        <v>240</v>
      </c>
      <c r="E140" s="77" t="s">
        <v>388</v>
      </c>
      <c r="F140" s="78" t="s">
        <v>237</v>
      </c>
      <c r="G140" s="77" t="s">
        <v>212</v>
      </c>
      <c r="H140" s="76">
        <v>52.775969024522254</v>
      </c>
      <c r="I140" s="114">
        <f>[24]References_BDI!$J$7</f>
        <v>4.333333333333333</v>
      </c>
      <c r="J140" s="112">
        <f>H140*I140</f>
        <v>228.69586577292975</v>
      </c>
      <c r="K140" s="45">
        <v>240.19</v>
      </c>
      <c r="L140" s="45">
        <v>184.80440000000002</v>
      </c>
      <c r="M140" s="45">
        <f t="shared" si="16"/>
        <v>184.80440000000002</v>
      </c>
      <c r="N140" s="44">
        <f t="shared" si="17"/>
        <v>-55.385599999999982</v>
      </c>
      <c r="O140" s="43">
        <f t="shared" si="18"/>
        <v>12676.26</v>
      </c>
      <c r="P140" s="40">
        <f t="shared" si="19"/>
        <v>9753.2312899954213</v>
      </c>
      <c r="Q140" s="40">
        <f t="shared" si="20"/>
        <v>9753.2312899954213</v>
      </c>
      <c r="R140" s="40">
        <f t="shared" si="21"/>
        <v>-2923.0287100045789</v>
      </c>
      <c r="S140" s="40">
        <f t="shared" si="22"/>
        <v>-2923.0287100045789</v>
      </c>
      <c r="T140" s="42">
        <f t="shared" si="23"/>
        <v>-0.23059078229734786</v>
      </c>
      <c r="AA140" s="35"/>
    </row>
    <row r="141" spans="1:27" hidden="1" outlineLevel="1">
      <c r="A141" s="80">
        <v>87</v>
      </c>
      <c r="B141" s="79">
        <v>2</v>
      </c>
      <c r="C141" s="79" t="s">
        <v>75</v>
      </c>
      <c r="D141" s="77">
        <v>240</v>
      </c>
      <c r="E141" s="77" t="s">
        <v>388</v>
      </c>
      <c r="F141" s="78" t="s">
        <v>237</v>
      </c>
      <c r="G141" s="77" t="s">
        <v>224</v>
      </c>
      <c r="H141" s="76">
        <v>10.139789935462099</v>
      </c>
      <c r="I141" s="114">
        <f>[24]References_BDI!$J$6</f>
        <v>8.6666666666666661</v>
      </c>
      <c r="J141" s="112">
        <f>H141*I141</f>
        <v>87.878179440671516</v>
      </c>
      <c r="K141" s="45">
        <v>480.38</v>
      </c>
      <c r="L141" s="45">
        <v>369.60880000000003</v>
      </c>
      <c r="M141" s="45">
        <f t="shared" si="16"/>
        <v>369.60880000000003</v>
      </c>
      <c r="N141" s="44">
        <f t="shared" si="17"/>
        <v>-110.77119999999996</v>
      </c>
      <c r="O141" s="43">
        <f t="shared" si="18"/>
        <v>4870.9522891972829</v>
      </c>
      <c r="P141" s="40">
        <f t="shared" si="19"/>
        <v>3747.7555902982244</v>
      </c>
      <c r="Q141" s="40">
        <f t="shared" si="20"/>
        <v>3747.7555902982244</v>
      </c>
      <c r="R141" s="40">
        <f t="shared" si="21"/>
        <v>-1123.1966988990584</v>
      </c>
      <c r="S141" s="40">
        <f t="shared" si="22"/>
        <v>-1123.1966988990584</v>
      </c>
      <c r="T141" s="42">
        <f t="shared" si="23"/>
        <v>-0.23059078229734786</v>
      </c>
      <c r="AA141" s="35"/>
    </row>
    <row r="142" spans="1:27" hidden="1" outlineLevel="1">
      <c r="A142" s="80">
        <v>135</v>
      </c>
      <c r="B142" s="79">
        <v>2</v>
      </c>
      <c r="C142" s="79" t="s">
        <v>75</v>
      </c>
      <c r="D142" s="77">
        <v>240</v>
      </c>
      <c r="E142" s="77" t="s">
        <v>388</v>
      </c>
      <c r="F142" s="78" t="s">
        <v>237</v>
      </c>
      <c r="G142" s="77" t="s">
        <v>230</v>
      </c>
      <c r="H142" s="76">
        <v>0.49347844147212755</v>
      </c>
      <c r="I142" s="113"/>
      <c r="J142" s="112"/>
      <c r="K142" s="45">
        <v>120.37</v>
      </c>
      <c r="L142" s="45">
        <v>92.402200000000008</v>
      </c>
      <c r="M142" s="45">
        <f t="shared" si="16"/>
        <v>92.402200000000008</v>
      </c>
      <c r="N142" s="44">
        <f t="shared" si="17"/>
        <v>-27.967799999999997</v>
      </c>
      <c r="O142" s="43">
        <f t="shared" si="18"/>
        <v>59.4</v>
      </c>
      <c r="P142" s="40">
        <f t="shared" si="19"/>
        <v>45.598493644595827</v>
      </c>
      <c r="Q142" s="40">
        <f t="shared" si="20"/>
        <v>45.598493644595827</v>
      </c>
      <c r="R142" s="40">
        <f t="shared" si="21"/>
        <v>-13.801506355404172</v>
      </c>
      <c r="S142" s="40">
        <f t="shared" si="22"/>
        <v>-13.801506355404172</v>
      </c>
      <c r="T142" s="42">
        <f t="shared" si="23"/>
        <v>-0.232348591841821</v>
      </c>
      <c r="AA142" s="35"/>
    </row>
    <row r="143" spans="1:27" hidden="1" outlineLevel="1">
      <c r="A143" s="80">
        <v>225</v>
      </c>
      <c r="B143" s="79">
        <v>2</v>
      </c>
      <c r="C143" s="79" t="s">
        <v>75</v>
      </c>
      <c r="D143" s="77">
        <v>240</v>
      </c>
      <c r="E143" s="77" t="s">
        <v>388</v>
      </c>
      <c r="F143" s="78" t="s">
        <v>237</v>
      </c>
      <c r="G143" s="77" t="s">
        <v>236</v>
      </c>
      <c r="H143" s="76">
        <v>0</v>
      </c>
      <c r="I143" s="113"/>
      <c r="J143" s="112"/>
      <c r="K143" s="45">
        <v>1200.95</v>
      </c>
      <c r="L143" s="45">
        <v>924.02200000000005</v>
      </c>
      <c r="M143" s="45">
        <f t="shared" si="16"/>
        <v>924.02200000000005</v>
      </c>
      <c r="N143" s="44">
        <f t="shared" si="17"/>
        <v>-276.928</v>
      </c>
      <c r="O143" s="43">
        <f t="shared" si="18"/>
        <v>0</v>
      </c>
      <c r="P143" s="40">
        <f t="shared" si="19"/>
        <v>0</v>
      </c>
      <c r="Q143" s="40">
        <f t="shared" si="20"/>
        <v>0</v>
      </c>
      <c r="R143" s="40">
        <f t="shared" si="21"/>
        <v>0</v>
      </c>
      <c r="S143" s="40">
        <f t="shared" si="22"/>
        <v>0</v>
      </c>
      <c r="T143" s="42">
        <f t="shared" si="23"/>
        <v>-0.23059078229734797</v>
      </c>
      <c r="AA143" s="35"/>
    </row>
    <row r="144" spans="1:27" hidden="1" outlineLevel="1">
      <c r="A144" s="80">
        <v>227</v>
      </c>
      <c r="B144" s="79">
        <v>2</v>
      </c>
      <c r="C144" s="79" t="s">
        <v>75</v>
      </c>
      <c r="D144" s="77">
        <v>240</v>
      </c>
      <c r="E144" s="77" t="s">
        <v>388</v>
      </c>
      <c r="F144" s="78" t="s">
        <v>235</v>
      </c>
      <c r="G144" s="77" t="s">
        <v>160</v>
      </c>
      <c r="H144" s="76">
        <v>0</v>
      </c>
      <c r="I144" s="113"/>
      <c r="J144" s="112"/>
      <c r="K144" s="45">
        <v>78.03</v>
      </c>
      <c r="L144" s="45">
        <v>53.075000000000003</v>
      </c>
      <c r="M144" s="45">
        <f t="shared" si="16"/>
        <v>53.075000000000003</v>
      </c>
      <c r="N144" s="44">
        <f t="shared" si="17"/>
        <v>-24.954999999999998</v>
      </c>
      <c r="O144" s="43">
        <f t="shared" si="18"/>
        <v>0</v>
      </c>
      <c r="P144" s="40">
        <f t="shared" si="19"/>
        <v>0</v>
      </c>
      <c r="Q144" s="40">
        <f t="shared" si="20"/>
        <v>0</v>
      </c>
      <c r="R144" s="40">
        <f t="shared" si="21"/>
        <v>0</v>
      </c>
      <c r="S144" s="40">
        <f t="shared" si="22"/>
        <v>0</v>
      </c>
      <c r="T144" s="42">
        <f t="shared" si="23"/>
        <v>-0.31981289247725231</v>
      </c>
      <c r="AA144" s="35"/>
    </row>
    <row r="145" spans="1:27" hidden="1" outlineLevel="1">
      <c r="A145" s="36">
        <v>109</v>
      </c>
      <c r="B145" s="29">
        <v>2</v>
      </c>
      <c r="C145" s="29" t="s">
        <v>75</v>
      </c>
      <c r="D145" s="31">
        <v>240</v>
      </c>
      <c r="E145" s="31" t="s">
        <v>388</v>
      </c>
      <c r="F145" s="32" t="s">
        <v>234</v>
      </c>
      <c r="G145" s="31" t="s">
        <v>166</v>
      </c>
      <c r="H145" s="30">
        <v>159</v>
      </c>
      <c r="I145" s="103"/>
      <c r="J145" s="102"/>
      <c r="K145" s="45">
        <v>3</v>
      </c>
      <c r="L145" s="45">
        <v>2.4750000000000001</v>
      </c>
      <c r="M145" s="45">
        <f t="shared" si="16"/>
        <v>2.4750000000000001</v>
      </c>
      <c r="N145" s="44">
        <f t="shared" si="17"/>
        <v>-0.52499999999999991</v>
      </c>
      <c r="O145" s="43">
        <f t="shared" si="18"/>
        <v>477</v>
      </c>
      <c r="P145" s="40">
        <f t="shared" si="19"/>
        <v>393.52500000000003</v>
      </c>
      <c r="Q145" s="40">
        <f t="shared" si="20"/>
        <v>393.52500000000003</v>
      </c>
      <c r="R145" s="40">
        <f t="shared" si="21"/>
        <v>-83.474999999999966</v>
      </c>
      <c r="S145" s="40">
        <f t="shared" si="22"/>
        <v>-83.474999999999966</v>
      </c>
      <c r="T145" s="42">
        <f t="shared" si="23"/>
        <v>-0.17499999999999993</v>
      </c>
      <c r="AA145" s="35"/>
    </row>
    <row r="146" spans="1:27" hidden="1" outlineLevel="1">
      <c r="A146" s="36">
        <v>131</v>
      </c>
      <c r="B146" s="29">
        <v>2</v>
      </c>
      <c r="C146" s="29" t="s">
        <v>75</v>
      </c>
      <c r="D146" s="31">
        <v>240</v>
      </c>
      <c r="E146" s="31" t="s">
        <v>388</v>
      </c>
      <c r="F146" s="32" t="s">
        <v>233</v>
      </c>
      <c r="G146" s="31" t="s">
        <v>160</v>
      </c>
      <c r="H146" s="30">
        <v>4</v>
      </c>
      <c r="I146" s="103"/>
      <c r="J146" s="102"/>
      <c r="K146" s="45">
        <v>22.56</v>
      </c>
      <c r="L146" s="45">
        <v>21.560000000000002</v>
      </c>
      <c r="M146" s="45">
        <f t="shared" si="16"/>
        <v>21.560000000000002</v>
      </c>
      <c r="N146" s="44">
        <f t="shared" si="17"/>
        <v>-0.99999999999999645</v>
      </c>
      <c r="O146" s="43">
        <f t="shared" si="18"/>
        <v>90.24</v>
      </c>
      <c r="P146" s="40">
        <f t="shared" si="19"/>
        <v>86.240000000000009</v>
      </c>
      <c r="Q146" s="40">
        <f t="shared" si="20"/>
        <v>86.240000000000009</v>
      </c>
      <c r="R146" s="40">
        <f t="shared" si="21"/>
        <v>-3.9999999999999858</v>
      </c>
      <c r="S146" s="40">
        <f t="shared" si="22"/>
        <v>-3.9999999999999858</v>
      </c>
      <c r="T146" s="42">
        <f t="shared" si="23"/>
        <v>-4.4326241134751587E-2</v>
      </c>
      <c r="AA146" s="35"/>
    </row>
    <row r="147" spans="1:27" hidden="1" outlineLevel="1">
      <c r="A147" s="80">
        <v>108</v>
      </c>
      <c r="B147" s="79">
        <v>2</v>
      </c>
      <c r="C147" s="79" t="s">
        <v>75</v>
      </c>
      <c r="D147" s="77">
        <v>240</v>
      </c>
      <c r="E147" s="77" t="s">
        <v>388</v>
      </c>
      <c r="F147" s="78" t="s">
        <v>232</v>
      </c>
      <c r="G147" s="77" t="s">
        <v>210</v>
      </c>
      <c r="H147" s="76">
        <v>8.7332342007434942</v>
      </c>
      <c r="I147" s="114">
        <v>1</v>
      </c>
      <c r="J147" s="112">
        <f>H147*I147</f>
        <v>8.7332342007434942</v>
      </c>
      <c r="K147" s="45">
        <v>67.25</v>
      </c>
      <c r="L147" s="45">
        <v>53.075000000000003</v>
      </c>
      <c r="M147" s="45">
        <f t="shared" si="16"/>
        <v>53.075000000000003</v>
      </c>
      <c r="N147" s="44">
        <f t="shared" si="17"/>
        <v>-14.174999999999997</v>
      </c>
      <c r="O147" s="43">
        <f t="shared" si="18"/>
        <v>587.30999999999995</v>
      </c>
      <c r="P147" s="40">
        <f t="shared" si="19"/>
        <v>463.51640520446097</v>
      </c>
      <c r="Q147" s="40">
        <f t="shared" si="20"/>
        <v>463.51640520446097</v>
      </c>
      <c r="R147" s="40">
        <f t="shared" si="21"/>
        <v>-123.79359479553898</v>
      </c>
      <c r="S147" s="40">
        <f t="shared" si="22"/>
        <v>-123.79359479553898</v>
      </c>
      <c r="T147" s="42">
        <f t="shared" si="23"/>
        <v>-0.21078066914498139</v>
      </c>
      <c r="AA147" s="35"/>
    </row>
    <row r="148" spans="1:27" hidden="1" outlineLevel="1">
      <c r="A148" s="80">
        <v>147</v>
      </c>
      <c r="B148" s="79">
        <v>2</v>
      </c>
      <c r="C148" s="79" t="s">
        <v>75</v>
      </c>
      <c r="D148" s="77">
        <v>240</v>
      </c>
      <c r="E148" s="77" t="s">
        <v>388</v>
      </c>
      <c r="F148" s="78" t="s">
        <v>231</v>
      </c>
      <c r="G148" s="77" t="s">
        <v>160</v>
      </c>
      <c r="H148" s="76">
        <v>1</v>
      </c>
      <c r="I148" s="113"/>
      <c r="J148" s="112"/>
      <c r="K148" s="45">
        <v>15.62</v>
      </c>
      <c r="L148" s="45">
        <v>14.190000000000001</v>
      </c>
      <c r="M148" s="45">
        <f t="shared" si="16"/>
        <v>14.190000000000001</v>
      </c>
      <c r="N148" s="44">
        <f t="shared" si="17"/>
        <v>-1.4299999999999979</v>
      </c>
      <c r="O148" s="43">
        <f t="shared" si="18"/>
        <v>15.62</v>
      </c>
      <c r="P148" s="40">
        <f t="shared" si="19"/>
        <v>14.190000000000001</v>
      </c>
      <c r="Q148" s="40">
        <f t="shared" si="20"/>
        <v>14.190000000000001</v>
      </c>
      <c r="R148" s="40">
        <f t="shared" si="21"/>
        <v>-1.4299999999999979</v>
      </c>
      <c r="S148" s="40">
        <f t="shared" si="22"/>
        <v>-1.4299999999999979</v>
      </c>
      <c r="T148" s="42">
        <f t="shared" si="23"/>
        <v>-9.1549295774647765E-2</v>
      </c>
      <c r="AA148" s="35"/>
    </row>
    <row r="149" spans="1:27" hidden="1" outlineLevel="1">
      <c r="A149" s="80">
        <v>101</v>
      </c>
      <c r="B149" s="79">
        <v>2</v>
      </c>
      <c r="C149" s="79" t="s">
        <v>75</v>
      </c>
      <c r="D149" s="77">
        <v>240</v>
      </c>
      <c r="E149" s="77" t="s">
        <v>388</v>
      </c>
      <c r="F149" s="78" t="s">
        <v>229</v>
      </c>
      <c r="G149" s="77" t="s">
        <v>212</v>
      </c>
      <c r="H149" s="76">
        <v>50.500208420175071</v>
      </c>
      <c r="I149" s="114">
        <f>[24]References_BDI!$J$7</f>
        <v>4.333333333333333</v>
      </c>
      <c r="J149" s="112">
        <f>H149*I149</f>
        <v>218.8342364874253</v>
      </c>
      <c r="K149" s="45">
        <v>24.2</v>
      </c>
      <c r="L149" s="45">
        <v>27.625400000000003</v>
      </c>
      <c r="M149" s="45">
        <f t="shared" si="16"/>
        <v>27.625400000000003</v>
      </c>
      <c r="N149" s="44">
        <f t="shared" si="17"/>
        <v>3.4254000000000033</v>
      </c>
      <c r="O149" s="43">
        <f t="shared" si="18"/>
        <v>1222.1050437682368</v>
      </c>
      <c r="P149" s="40">
        <f t="shared" si="19"/>
        <v>1395.0884576907044</v>
      </c>
      <c r="Q149" s="40">
        <f t="shared" si="20"/>
        <v>1395.0884576907044</v>
      </c>
      <c r="R149" s="40">
        <f t="shared" si="21"/>
        <v>172.98341392246766</v>
      </c>
      <c r="S149" s="40">
        <f t="shared" si="22"/>
        <v>172.98341392246766</v>
      </c>
      <c r="T149" s="42">
        <f t="shared" si="23"/>
        <v>0.14154545454545464</v>
      </c>
      <c r="AA149" s="35"/>
    </row>
    <row r="150" spans="1:27" hidden="1" outlineLevel="1">
      <c r="A150" s="80">
        <v>229</v>
      </c>
      <c r="B150" s="79">
        <v>2</v>
      </c>
      <c r="C150" s="79" t="s">
        <v>75</v>
      </c>
      <c r="D150" s="77">
        <v>240</v>
      </c>
      <c r="E150" s="77" t="s">
        <v>388</v>
      </c>
      <c r="F150" s="78" t="s">
        <v>229</v>
      </c>
      <c r="G150" s="77" t="s">
        <v>230</v>
      </c>
      <c r="H150" s="76">
        <v>0</v>
      </c>
      <c r="I150" s="113"/>
      <c r="J150" s="112"/>
      <c r="K150" s="45">
        <v>12.13</v>
      </c>
      <c r="L150" s="45">
        <v>13.812700000000001</v>
      </c>
      <c r="M150" s="45">
        <f t="shared" si="16"/>
        <v>13.812700000000001</v>
      </c>
      <c r="N150" s="44">
        <f t="shared" si="17"/>
        <v>1.6827000000000005</v>
      </c>
      <c r="O150" s="43">
        <f t="shared" si="18"/>
        <v>0</v>
      </c>
      <c r="P150" s="40">
        <f t="shared" si="19"/>
        <v>0</v>
      </c>
      <c r="Q150" s="40">
        <f t="shared" si="20"/>
        <v>0</v>
      </c>
      <c r="R150" s="40">
        <f t="shared" si="21"/>
        <v>0</v>
      </c>
      <c r="S150" s="40">
        <f t="shared" si="22"/>
        <v>0</v>
      </c>
      <c r="T150" s="42">
        <f t="shared" si="23"/>
        <v>0.13872217642209406</v>
      </c>
      <c r="AA150" s="35"/>
    </row>
    <row r="151" spans="1:27" hidden="1" outlineLevel="1">
      <c r="A151" s="80">
        <v>231</v>
      </c>
      <c r="B151" s="79">
        <v>2</v>
      </c>
      <c r="C151" s="79" t="s">
        <v>75</v>
      </c>
      <c r="D151" s="77">
        <v>240</v>
      </c>
      <c r="E151" s="77" t="s">
        <v>388</v>
      </c>
      <c r="F151" s="78" t="s">
        <v>228</v>
      </c>
      <c r="G151" s="77" t="s">
        <v>212</v>
      </c>
      <c r="H151" s="76">
        <v>0</v>
      </c>
      <c r="I151" s="113"/>
      <c r="J151" s="112"/>
      <c r="K151" s="45">
        <v>5.59</v>
      </c>
      <c r="L151" s="45">
        <v>6.38</v>
      </c>
      <c r="M151" s="45">
        <f t="shared" si="16"/>
        <v>6.38</v>
      </c>
      <c r="N151" s="44">
        <f t="shared" si="17"/>
        <v>0.79</v>
      </c>
      <c r="O151" s="43">
        <f t="shared" si="18"/>
        <v>0</v>
      </c>
      <c r="P151" s="40">
        <f t="shared" si="19"/>
        <v>0</v>
      </c>
      <c r="Q151" s="40">
        <f t="shared" si="20"/>
        <v>0</v>
      </c>
      <c r="R151" s="40">
        <f t="shared" si="21"/>
        <v>0</v>
      </c>
      <c r="S151" s="40">
        <f t="shared" si="22"/>
        <v>0</v>
      </c>
      <c r="T151" s="42">
        <f t="shared" si="23"/>
        <v>0.14132379248658311</v>
      </c>
      <c r="AA151" s="35"/>
    </row>
    <row r="152" spans="1:27" hidden="1" outlineLevel="1">
      <c r="A152" s="36">
        <v>232</v>
      </c>
      <c r="B152" s="29">
        <v>2</v>
      </c>
      <c r="C152" s="29" t="s">
        <v>75</v>
      </c>
      <c r="D152" s="31">
        <v>240</v>
      </c>
      <c r="E152" s="31" t="s">
        <v>388</v>
      </c>
      <c r="F152" s="32" t="s">
        <v>227</v>
      </c>
      <c r="G152" s="31" t="s">
        <v>212</v>
      </c>
      <c r="H152" s="30">
        <v>0</v>
      </c>
      <c r="I152" s="103"/>
      <c r="J152" s="102"/>
      <c r="K152" s="45">
        <v>14.04</v>
      </c>
      <c r="L152" s="45">
        <v>17.16</v>
      </c>
      <c r="M152" s="45">
        <f t="shared" si="16"/>
        <v>17.16</v>
      </c>
      <c r="N152" s="44">
        <f t="shared" si="17"/>
        <v>3.120000000000001</v>
      </c>
      <c r="O152" s="43">
        <f t="shared" si="18"/>
        <v>0</v>
      </c>
      <c r="P152" s="40">
        <f t="shared" si="19"/>
        <v>0</v>
      </c>
      <c r="Q152" s="40">
        <f t="shared" si="20"/>
        <v>0</v>
      </c>
      <c r="R152" s="40">
        <f t="shared" si="21"/>
        <v>0</v>
      </c>
      <c r="S152" s="40">
        <f t="shared" si="22"/>
        <v>0</v>
      </c>
      <c r="T152" s="42">
        <f t="shared" si="23"/>
        <v>0.22222222222222232</v>
      </c>
      <c r="AA152" s="35"/>
    </row>
    <row r="153" spans="1:27" hidden="1" outlineLevel="1">
      <c r="A153" s="80">
        <v>234</v>
      </c>
      <c r="B153" s="79">
        <v>2</v>
      </c>
      <c r="C153" s="79" t="s">
        <v>75</v>
      </c>
      <c r="D153" s="77">
        <v>240</v>
      </c>
      <c r="E153" s="77" t="s">
        <v>388</v>
      </c>
      <c r="F153" s="78" t="s">
        <v>226</v>
      </c>
      <c r="G153" s="77" t="s">
        <v>224</v>
      </c>
      <c r="H153" s="76">
        <v>0</v>
      </c>
      <c r="I153" s="113"/>
      <c r="J153" s="112"/>
      <c r="K153" s="45">
        <v>38.28</v>
      </c>
      <c r="L153" s="45">
        <v>38.28</v>
      </c>
      <c r="M153" s="45">
        <f t="shared" ref="M153:M157" si="24">L153*(1+$W$16)</f>
        <v>38.28</v>
      </c>
      <c r="N153" s="44">
        <f t="shared" si="17"/>
        <v>0</v>
      </c>
      <c r="O153" s="43">
        <f t="shared" si="18"/>
        <v>0</v>
      </c>
      <c r="P153" s="40">
        <f t="shared" si="19"/>
        <v>0</v>
      </c>
      <c r="Q153" s="40">
        <f t="shared" si="20"/>
        <v>0</v>
      </c>
      <c r="R153" s="40">
        <f t="shared" si="21"/>
        <v>0</v>
      </c>
      <c r="S153" s="40">
        <f t="shared" si="22"/>
        <v>0</v>
      </c>
      <c r="T153" s="42">
        <f t="shared" si="23"/>
        <v>0</v>
      </c>
      <c r="AA153" s="35"/>
    </row>
    <row r="154" spans="1:27" hidden="1" outlineLevel="1">
      <c r="A154" s="80">
        <v>235</v>
      </c>
      <c r="B154" s="79">
        <v>2</v>
      </c>
      <c r="C154" s="79" t="s">
        <v>75</v>
      </c>
      <c r="D154" s="77">
        <v>240</v>
      </c>
      <c r="E154" s="77" t="s">
        <v>388</v>
      </c>
      <c r="F154" s="78" t="s">
        <v>225</v>
      </c>
      <c r="G154" s="77" t="s">
        <v>224</v>
      </c>
      <c r="H154" s="76">
        <v>0</v>
      </c>
      <c r="I154" s="113"/>
      <c r="J154" s="112"/>
      <c r="K154" s="45">
        <v>48.4</v>
      </c>
      <c r="L154" s="45">
        <v>38.28</v>
      </c>
      <c r="M154" s="45">
        <f t="shared" si="24"/>
        <v>38.28</v>
      </c>
      <c r="N154" s="44">
        <f t="shared" si="17"/>
        <v>-10.119999999999997</v>
      </c>
      <c r="O154" s="43">
        <f t="shared" si="18"/>
        <v>0</v>
      </c>
      <c r="P154" s="40">
        <f t="shared" si="19"/>
        <v>0</v>
      </c>
      <c r="Q154" s="40">
        <f t="shared" si="20"/>
        <v>0</v>
      </c>
      <c r="R154" s="40">
        <f t="shared" si="21"/>
        <v>0</v>
      </c>
      <c r="S154" s="40">
        <f t="shared" si="22"/>
        <v>0</v>
      </c>
      <c r="T154" s="42">
        <f t="shared" si="23"/>
        <v>-0.20909090909090899</v>
      </c>
      <c r="AA154" s="35"/>
    </row>
    <row r="155" spans="1:27" hidden="1" outlineLevel="1">
      <c r="A155" s="80">
        <v>236</v>
      </c>
      <c r="B155" s="79">
        <v>2</v>
      </c>
      <c r="C155" s="79" t="s">
        <v>75</v>
      </c>
      <c r="D155" s="77">
        <v>245</v>
      </c>
      <c r="E155" s="77" t="s">
        <v>388</v>
      </c>
      <c r="F155" s="78" t="s">
        <v>223</v>
      </c>
      <c r="G155" s="77" t="s">
        <v>212</v>
      </c>
      <c r="H155" s="76">
        <v>0</v>
      </c>
      <c r="I155" s="113"/>
      <c r="J155" s="112"/>
      <c r="K155" s="45">
        <v>14.25</v>
      </c>
      <c r="L155" s="45">
        <v>16.194200000000002</v>
      </c>
      <c r="M155" s="45">
        <f t="shared" si="24"/>
        <v>16.194200000000002</v>
      </c>
      <c r="N155" s="44">
        <f t="shared" si="17"/>
        <v>1.9442000000000021</v>
      </c>
      <c r="O155" s="43">
        <f t="shared" si="18"/>
        <v>0</v>
      </c>
      <c r="P155" s="40">
        <f t="shared" si="19"/>
        <v>0</v>
      </c>
      <c r="Q155" s="40">
        <f t="shared" si="20"/>
        <v>0</v>
      </c>
      <c r="R155" s="40">
        <f t="shared" si="21"/>
        <v>0</v>
      </c>
      <c r="S155" s="40">
        <f t="shared" si="22"/>
        <v>0</v>
      </c>
      <c r="T155" s="42">
        <f t="shared" si="23"/>
        <v>0.13643508771929835</v>
      </c>
      <c r="AA155" s="35"/>
    </row>
    <row r="156" spans="1:27" hidden="1" outlineLevel="1">
      <c r="A156" s="80">
        <v>238</v>
      </c>
      <c r="B156" s="79">
        <v>2</v>
      </c>
      <c r="C156" s="79" t="s">
        <v>75</v>
      </c>
      <c r="D156" s="77">
        <v>245</v>
      </c>
      <c r="E156" s="77" t="s">
        <v>388</v>
      </c>
      <c r="F156" s="78" t="s">
        <v>222</v>
      </c>
      <c r="G156" s="77" t="s">
        <v>160</v>
      </c>
      <c r="H156" s="76">
        <v>0</v>
      </c>
      <c r="I156" s="113"/>
      <c r="J156" s="112"/>
      <c r="K156" s="45">
        <v>13.32</v>
      </c>
      <c r="L156" s="45">
        <v>11.55</v>
      </c>
      <c r="M156" s="45">
        <f t="shared" si="24"/>
        <v>11.55</v>
      </c>
      <c r="N156" s="44">
        <f t="shared" si="17"/>
        <v>-1.7699999999999996</v>
      </c>
      <c r="O156" s="43">
        <f t="shared" si="18"/>
        <v>0</v>
      </c>
      <c r="P156" s="40">
        <f t="shared" si="19"/>
        <v>0</v>
      </c>
      <c r="Q156" s="40">
        <f t="shared" si="20"/>
        <v>0</v>
      </c>
      <c r="R156" s="40">
        <f t="shared" si="21"/>
        <v>0</v>
      </c>
      <c r="S156" s="40">
        <f t="shared" si="22"/>
        <v>0</v>
      </c>
      <c r="T156" s="42">
        <f t="shared" si="23"/>
        <v>-0.13288288288288286</v>
      </c>
      <c r="AA156" s="35"/>
    </row>
    <row r="157" spans="1:27" hidden="1" outlineLevel="1">
      <c r="A157" s="36">
        <v>252</v>
      </c>
      <c r="B157" s="29">
        <v>2</v>
      </c>
      <c r="C157" s="29" t="s">
        <v>75</v>
      </c>
      <c r="D157" s="31">
        <v>255</v>
      </c>
      <c r="E157" s="31" t="s">
        <v>388</v>
      </c>
      <c r="F157" s="32" t="s">
        <v>221</v>
      </c>
      <c r="G157" s="31" t="s">
        <v>212</v>
      </c>
      <c r="H157" s="30">
        <v>0</v>
      </c>
      <c r="I157" s="103"/>
      <c r="J157" s="102"/>
      <c r="K157" s="45">
        <v>247.89</v>
      </c>
      <c r="L157" s="45">
        <v>175.51655000000002</v>
      </c>
      <c r="M157" s="45">
        <f t="shared" si="24"/>
        <v>175.51655000000002</v>
      </c>
      <c r="N157" s="44">
        <f t="shared" si="17"/>
        <v>-72.373449999999963</v>
      </c>
      <c r="O157" s="43">
        <f t="shared" si="18"/>
        <v>0</v>
      </c>
      <c r="P157" s="40">
        <f t="shared" si="19"/>
        <v>0</v>
      </c>
      <c r="Q157" s="40">
        <f t="shared" si="20"/>
        <v>0</v>
      </c>
      <c r="R157" s="40">
        <f t="shared" si="21"/>
        <v>0</v>
      </c>
      <c r="S157" s="40">
        <f t="shared" si="22"/>
        <v>0</v>
      </c>
      <c r="T157" s="42">
        <f t="shared" si="23"/>
        <v>-0.291957924886038</v>
      </c>
      <c r="AA157" s="35"/>
    </row>
    <row r="158" spans="1:27" hidden="1" outlineLevel="1">
      <c r="A158" s="36">
        <v>254</v>
      </c>
      <c r="B158" s="29">
        <v>2</v>
      </c>
      <c r="C158" s="29" t="s">
        <v>75</v>
      </c>
      <c r="D158" s="31">
        <v>255</v>
      </c>
      <c r="E158" s="31" t="s">
        <v>388</v>
      </c>
      <c r="F158" s="32" t="s">
        <v>220</v>
      </c>
      <c r="G158" s="31" t="s">
        <v>160</v>
      </c>
      <c r="H158" s="30">
        <v>0</v>
      </c>
      <c r="I158" s="103"/>
      <c r="J158" s="102"/>
      <c r="K158" s="45">
        <v>79.81</v>
      </c>
      <c r="L158" s="45">
        <v>48.345000000000006</v>
      </c>
      <c r="M158" s="72" t="e">
        <f>M156/4.33+#REF!</f>
        <v>#REF!</v>
      </c>
      <c r="N158" s="44">
        <f t="shared" si="17"/>
        <v>-31.464999999999996</v>
      </c>
      <c r="O158" s="43">
        <f t="shared" si="18"/>
        <v>0</v>
      </c>
      <c r="P158" s="40">
        <f t="shared" si="19"/>
        <v>0</v>
      </c>
      <c r="Q158" s="40" t="e">
        <f t="shared" si="20"/>
        <v>#REF!</v>
      </c>
      <c r="R158" s="40">
        <f t="shared" si="21"/>
        <v>0</v>
      </c>
      <c r="S158" s="40" t="e">
        <f t="shared" si="22"/>
        <v>#REF!</v>
      </c>
      <c r="T158" s="42">
        <f t="shared" si="23"/>
        <v>0</v>
      </c>
      <c r="AA158" s="35"/>
    </row>
    <row r="159" spans="1:27" hidden="1" outlineLevel="1">
      <c r="A159" s="36">
        <v>256</v>
      </c>
      <c r="B159" s="29">
        <v>2</v>
      </c>
      <c r="C159" s="29" t="s">
        <v>75</v>
      </c>
      <c r="D159" s="31">
        <v>255</v>
      </c>
      <c r="E159" s="31" t="s">
        <v>388</v>
      </c>
      <c r="F159" s="32" t="s">
        <v>219</v>
      </c>
      <c r="G159" s="31" t="s">
        <v>212</v>
      </c>
      <c r="H159" s="30">
        <v>0</v>
      </c>
      <c r="I159" s="103"/>
      <c r="J159" s="102"/>
      <c r="K159" s="45">
        <v>348.69</v>
      </c>
      <c r="L159" s="45">
        <v>256</v>
      </c>
      <c r="M159" s="45">
        <f>L159*(1+$W$16)</f>
        <v>256</v>
      </c>
      <c r="N159" s="44">
        <f t="shared" si="17"/>
        <v>-92.69</v>
      </c>
      <c r="O159" s="43">
        <f t="shared" si="18"/>
        <v>0</v>
      </c>
      <c r="P159" s="40">
        <f t="shared" si="19"/>
        <v>0</v>
      </c>
      <c r="Q159" s="40">
        <f t="shared" si="20"/>
        <v>0</v>
      </c>
      <c r="R159" s="40">
        <f t="shared" si="21"/>
        <v>0</v>
      </c>
      <c r="S159" s="40">
        <f t="shared" si="22"/>
        <v>0</v>
      </c>
      <c r="T159" s="42">
        <f t="shared" si="23"/>
        <v>-0.26582351085491407</v>
      </c>
      <c r="AA159" s="35"/>
    </row>
    <row r="160" spans="1:27" hidden="1" outlineLevel="1">
      <c r="A160" s="36">
        <v>258</v>
      </c>
      <c r="B160" s="29">
        <v>2</v>
      </c>
      <c r="C160" s="29" t="s">
        <v>75</v>
      </c>
      <c r="D160" s="31">
        <v>255</v>
      </c>
      <c r="E160" s="31" t="s">
        <v>388</v>
      </c>
      <c r="F160" s="32" t="s">
        <v>218</v>
      </c>
      <c r="G160" s="31" t="s">
        <v>160</v>
      </c>
      <c r="H160" s="30">
        <v>0</v>
      </c>
      <c r="I160" s="103"/>
      <c r="J160" s="102"/>
      <c r="K160" s="45">
        <v>103.09</v>
      </c>
      <c r="L160" s="45">
        <v>66.932401847575051</v>
      </c>
      <c r="M160" s="72" t="e">
        <f>M158/4.33+#REF!</f>
        <v>#REF!</v>
      </c>
      <c r="N160" s="44">
        <f t="shared" si="17"/>
        <v>-36.157598152424953</v>
      </c>
      <c r="O160" s="43">
        <f t="shared" si="18"/>
        <v>0</v>
      </c>
      <c r="P160" s="40">
        <f t="shared" si="19"/>
        <v>0</v>
      </c>
      <c r="Q160" s="40" t="e">
        <f t="shared" si="20"/>
        <v>#REF!</v>
      </c>
      <c r="R160" s="40">
        <f t="shared" si="21"/>
        <v>0</v>
      </c>
      <c r="S160" s="40" t="e">
        <f t="shared" si="22"/>
        <v>#REF!</v>
      </c>
      <c r="T160" s="42">
        <f t="shared" si="23"/>
        <v>0</v>
      </c>
      <c r="AA160" s="35"/>
    </row>
    <row r="161" spans="1:27" hidden="1" outlineLevel="1">
      <c r="A161" s="36">
        <v>260</v>
      </c>
      <c r="B161" s="29">
        <v>2</v>
      </c>
      <c r="C161" s="29" t="s">
        <v>75</v>
      </c>
      <c r="D161" s="31">
        <v>255</v>
      </c>
      <c r="E161" s="31" t="s">
        <v>388</v>
      </c>
      <c r="F161" s="32" t="s">
        <v>217</v>
      </c>
      <c r="G161" s="31" t="s">
        <v>212</v>
      </c>
      <c r="H161" s="30">
        <v>0</v>
      </c>
      <c r="I161" s="103"/>
      <c r="J161" s="102"/>
      <c r="K161" s="45">
        <v>479.68</v>
      </c>
      <c r="L161" s="45">
        <v>331.76</v>
      </c>
      <c r="M161" s="45">
        <f>L161*(1+$W$16)</f>
        <v>331.76</v>
      </c>
      <c r="N161" s="44">
        <f t="shared" si="17"/>
        <v>-147.92000000000002</v>
      </c>
      <c r="O161" s="43">
        <f t="shared" si="18"/>
        <v>0</v>
      </c>
      <c r="P161" s="40">
        <f t="shared" si="19"/>
        <v>0</v>
      </c>
      <c r="Q161" s="40">
        <f t="shared" si="20"/>
        <v>0</v>
      </c>
      <c r="R161" s="40">
        <f t="shared" si="21"/>
        <v>0</v>
      </c>
      <c r="S161" s="40">
        <f t="shared" si="22"/>
        <v>0</v>
      </c>
      <c r="T161" s="42">
        <f t="shared" si="23"/>
        <v>-0.30837224816544362</v>
      </c>
      <c r="AA161" s="35"/>
    </row>
    <row r="162" spans="1:27" hidden="1" outlineLevel="1">
      <c r="A162" s="36">
        <v>262</v>
      </c>
      <c r="B162" s="29">
        <v>2</v>
      </c>
      <c r="C162" s="29" t="s">
        <v>75</v>
      </c>
      <c r="D162" s="31">
        <v>255</v>
      </c>
      <c r="E162" s="31" t="s">
        <v>388</v>
      </c>
      <c r="F162" s="32" t="s">
        <v>216</v>
      </c>
      <c r="G162" s="31" t="s">
        <v>160</v>
      </c>
      <c r="H162" s="30">
        <v>0</v>
      </c>
      <c r="I162" s="103"/>
      <c r="J162" s="102"/>
      <c r="K162" s="45">
        <v>133.34</v>
      </c>
      <c r="L162" s="45">
        <v>84.428937644341801</v>
      </c>
      <c r="M162" s="72" t="e">
        <f>M160/4.33+#REF!</f>
        <v>#REF!</v>
      </c>
      <c r="N162" s="44">
        <f t="shared" si="17"/>
        <v>-48.911062355658203</v>
      </c>
      <c r="O162" s="43">
        <f t="shared" si="18"/>
        <v>0</v>
      </c>
      <c r="P162" s="40">
        <f t="shared" si="19"/>
        <v>0</v>
      </c>
      <c r="Q162" s="40" t="e">
        <f t="shared" si="20"/>
        <v>#REF!</v>
      </c>
      <c r="R162" s="40">
        <f t="shared" si="21"/>
        <v>0</v>
      </c>
      <c r="S162" s="40" t="e">
        <f t="shared" si="22"/>
        <v>#REF!</v>
      </c>
      <c r="T162" s="42">
        <f t="shared" si="23"/>
        <v>0</v>
      </c>
      <c r="AA162" s="35"/>
    </row>
    <row r="163" spans="1:27" hidden="1" outlineLevel="1">
      <c r="A163" s="36">
        <v>264</v>
      </c>
      <c r="B163" s="29">
        <v>2</v>
      </c>
      <c r="C163" s="29" t="s">
        <v>75</v>
      </c>
      <c r="D163" s="31">
        <v>255</v>
      </c>
      <c r="E163" s="31" t="s">
        <v>388</v>
      </c>
      <c r="F163" s="32" t="s">
        <v>215</v>
      </c>
      <c r="G163" s="31" t="s">
        <v>212</v>
      </c>
      <c r="H163" s="30">
        <v>0</v>
      </c>
      <c r="I163" s="103"/>
      <c r="J163" s="102"/>
      <c r="K163" s="45">
        <v>618.41</v>
      </c>
      <c r="L163" s="45">
        <v>453.91390000000001</v>
      </c>
      <c r="M163" s="45">
        <f>L163*(1+$W$16)</f>
        <v>453.91390000000001</v>
      </c>
      <c r="N163" s="44">
        <f t="shared" si="17"/>
        <v>-164.49609999999996</v>
      </c>
      <c r="O163" s="43">
        <f t="shared" si="18"/>
        <v>0</v>
      </c>
      <c r="P163" s="40">
        <f t="shared" si="19"/>
        <v>0</v>
      </c>
      <c r="Q163" s="40">
        <f t="shared" si="20"/>
        <v>0</v>
      </c>
      <c r="R163" s="40">
        <f t="shared" si="21"/>
        <v>0</v>
      </c>
      <c r="S163" s="40">
        <f t="shared" si="22"/>
        <v>0</v>
      </c>
      <c r="T163" s="42">
        <f t="shared" si="23"/>
        <v>-0.26599844763183</v>
      </c>
      <c r="AA163" s="35"/>
    </row>
    <row r="164" spans="1:27" hidden="1" outlineLevel="1">
      <c r="A164" s="36">
        <v>266</v>
      </c>
      <c r="B164" s="29">
        <v>2</v>
      </c>
      <c r="C164" s="29" t="s">
        <v>75</v>
      </c>
      <c r="D164" s="31">
        <v>255</v>
      </c>
      <c r="E164" s="31" t="s">
        <v>388</v>
      </c>
      <c r="F164" s="32" t="s">
        <v>214</v>
      </c>
      <c r="G164" s="31" t="s">
        <v>160</v>
      </c>
      <c r="H164" s="30">
        <v>0</v>
      </c>
      <c r="I164" s="103"/>
      <c r="J164" s="102"/>
      <c r="K164" s="45">
        <v>165.68</v>
      </c>
      <c r="L164" s="45">
        <v>112.64</v>
      </c>
      <c r="M164" s="72" t="e">
        <f>M162/4.33+#REF!</f>
        <v>#REF!</v>
      </c>
      <c r="N164" s="44">
        <f t="shared" si="17"/>
        <v>-53.040000000000006</v>
      </c>
      <c r="O164" s="43">
        <f t="shared" si="18"/>
        <v>0</v>
      </c>
      <c r="P164" s="40">
        <f t="shared" si="19"/>
        <v>0</v>
      </c>
      <c r="Q164" s="40" t="e">
        <f t="shared" si="20"/>
        <v>#REF!</v>
      </c>
      <c r="R164" s="40">
        <f t="shared" si="21"/>
        <v>0</v>
      </c>
      <c r="S164" s="40" t="e">
        <f t="shared" si="22"/>
        <v>#REF!</v>
      </c>
      <c r="T164" s="42">
        <f t="shared" si="23"/>
        <v>0</v>
      </c>
      <c r="AA164" s="35"/>
    </row>
    <row r="165" spans="1:27" hidden="1" outlineLevel="1">
      <c r="A165" s="36">
        <v>343</v>
      </c>
      <c r="B165" s="29">
        <v>3</v>
      </c>
      <c r="C165" s="29" t="s">
        <v>75</v>
      </c>
      <c r="D165" s="31">
        <v>260</v>
      </c>
      <c r="E165" s="31" t="s">
        <v>388</v>
      </c>
      <c r="F165" s="32" t="s">
        <v>213</v>
      </c>
      <c r="G165" s="31" t="s">
        <v>212</v>
      </c>
      <c r="H165" s="30">
        <v>0</v>
      </c>
      <c r="I165" s="103"/>
      <c r="J165" s="102"/>
      <c r="K165" s="45">
        <v>14.04</v>
      </c>
      <c r="L165" s="45">
        <v>17.814300000000003</v>
      </c>
      <c r="M165" s="45">
        <f>L165*(1+$W$16)</f>
        <v>17.814300000000003</v>
      </c>
      <c r="N165" s="44">
        <f t="shared" si="17"/>
        <v>3.7743000000000038</v>
      </c>
      <c r="O165" s="43">
        <f t="shared" si="18"/>
        <v>0</v>
      </c>
      <c r="P165" s="40">
        <f t="shared" si="19"/>
        <v>0</v>
      </c>
      <c r="Q165" s="40">
        <f t="shared" si="20"/>
        <v>0</v>
      </c>
      <c r="R165" s="40">
        <f t="shared" si="21"/>
        <v>0</v>
      </c>
      <c r="S165" s="40">
        <f t="shared" si="22"/>
        <v>0</v>
      </c>
      <c r="T165" s="42">
        <f t="shared" si="23"/>
        <v>0.26882478632478657</v>
      </c>
      <c r="AA165" s="35"/>
    </row>
    <row r="166" spans="1:27" hidden="1" outlineLevel="1">
      <c r="A166" s="36">
        <v>344</v>
      </c>
      <c r="B166" s="29">
        <v>3</v>
      </c>
      <c r="C166" s="29" t="s">
        <v>75</v>
      </c>
      <c r="D166" s="31">
        <v>260</v>
      </c>
      <c r="E166" s="31" t="s">
        <v>388</v>
      </c>
      <c r="F166" s="32" t="s">
        <v>211</v>
      </c>
      <c r="G166" s="31" t="s">
        <v>210</v>
      </c>
      <c r="H166" s="30">
        <v>0</v>
      </c>
      <c r="I166" s="103"/>
      <c r="J166" s="102"/>
      <c r="K166" s="45">
        <v>14.04</v>
      </c>
      <c r="L166" s="45">
        <v>17.814300000000003</v>
      </c>
      <c r="M166" s="45">
        <f>L166*(1+$W$16)</f>
        <v>17.814300000000003</v>
      </c>
      <c r="N166" s="44">
        <f t="shared" si="17"/>
        <v>3.7743000000000038</v>
      </c>
      <c r="O166" s="43">
        <f t="shared" si="18"/>
        <v>0</v>
      </c>
      <c r="P166" s="40">
        <f t="shared" si="19"/>
        <v>0</v>
      </c>
      <c r="Q166" s="40">
        <f t="shared" si="20"/>
        <v>0</v>
      </c>
      <c r="R166" s="40">
        <f t="shared" si="21"/>
        <v>0</v>
      </c>
      <c r="S166" s="40">
        <f t="shared" si="22"/>
        <v>0</v>
      </c>
      <c r="T166" s="42">
        <f t="shared" si="23"/>
        <v>0.26882478632478657</v>
      </c>
      <c r="AA166" s="35"/>
    </row>
    <row r="167" spans="1:27" hidden="1" outlineLevel="1">
      <c r="A167" s="36">
        <v>269</v>
      </c>
      <c r="B167" s="29">
        <v>3</v>
      </c>
      <c r="C167" s="29" t="s">
        <v>75</v>
      </c>
      <c r="D167" s="31">
        <v>260</v>
      </c>
      <c r="E167" s="31" t="s">
        <v>388</v>
      </c>
      <c r="F167" s="32" t="s">
        <v>182</v>
      </c>
      <c r="G167" s="31" t="s">
        <v>181</v>
      </c>
      <c r="H167" s="30">
        <v>9360.32</v>
      </c>
      <c r="I167" s="103"/>
      <c r="J167" s="102"/>
      <c r="K167" s="45">
        <v>3.21</v>
      </c>
      <c r="L167" s="45">
        <v>3.4929999999999999</v>
      </c>
      <c r="M167" s="45">
        <f>L167*(1+$W$16)</f>
        <v>3.4929999999999999</v>
      </c>
      <c r="N167" s="44">
        <f t="shared" si="17"/>
        <v>0.28299999999999992</v>
      </c>
      <c r="O167" s="43">
        <f t="shared" si="18"/>
        <v>30046.627199999999</v>
      </c>
      <c r="P167" s="40">
        <f t="shared" si="19"/>
        <v>32695.597759999997</v>
      </c>
      <c r="Q167" s="40">
        <f t="shared" si="20"/>
        <v>32695.597759999997</v>
      </c>
      <c r="R167" s="40">
        <f t="shared" si="21"/>
        <v>2648.9705599999979</v>
      </c>
      <c r="S167" s="40">
        <f t="shared" si="22"/>
        <v>2648.9705599999979</v>
      </c>
      <c r="T167" s="42">
        <f t="shared" si="23"/>
        <v>8.8161993769470426E-2</v>
      </c>
      <c r="AA167" s="35"/>
    </row>
    <row r="168" spans="1:27" hidden="1" outlineLevel="1">
      <c r="A168" s="36">
        <v>329</v>
      </c>
      <c r="B168" s="29">
        <v>3</v>
      </c>
      <c r="C168" s="29" t="s">
        <v>75</v>
      </c>
      <c r="D168" s="31">
        <v>260</v>
      </c>
      <c r="E168" s="31" t="s">
        <v>388</v>
      </c>
      <c r="F168" s="32" t="s">
        <v>209</v>
      </c>
      <c r="G168" s="31" t="s">
        <v>160</v>
      </c>
      <c r="H168" s="30">
        <v>1</v>
      </c>
      <c r="I168" s="103"/>
      <c r="J168" s="102"/>
      <c r="K168" s="45">
        <v>100.25</v>
      </c>
      <c r="L168" s="45">
        <v>113.273</v>
      </c>
      <c r="M168" s="41">
        <v>113.27</v>
      </c>
      <c r="N168" s="44">
        <f t="shared" si="17"/>
        <v>13.022999999999996</v>
      </c>
      <c r="O168" s="43">
        <f t="shared" si="18"/>
        <v>100.25</v>
      </c>
      <c r="P168" s="40">
        <f t="shared" si="19"/>
        <v>113.273</v>
      </c>
      <c r="Q168" s="40">
        <f t="shared" si="20"/>
        <v>113.27</v>
      </c>
      <c r="R168" s="40">
        <f t="shared" si="21"/>
        <v>13.022999999999996</v>
      </c>
      <c r="S168" s="40">
        <f t="shared" si="22"/>
        <v>13.019999999999996</v>
      </c>
      <c r="T168" s="42">
        <f t="shared" si="23"/>
        <v>0.12987531172069811</v>
      </c>
      <c r="AA168" s="35"/>
    </row>
    <row r="169" spans="1:27" hidden="1" outlineLevel="1">
      <c r="A169" s="36">
        <v>322</v>
      </c>
      <c r="B169" s="29">
        <v>3</v>
      </c>
      <c r="C169" s="29" t="s">
        <v>75</v>
      </c>
      <c r="D169" s="31">
        <v>260</v>
      </c>
      <c r="E169" s="31" t="s">
        <v>388</v>
      </c>
      <c r="F169" s="32" t="s">
        <v>208</v>
      </c>
      <c r="G169" s="31" t="s">
        <v>166</v>
      </c>
      <c r="H169" s="30">
        <v>79</v>
      </c>
      <c r="I169" s="103"/>
      <c r="J169" s="102"/>
      <c r="K169" s="45">
        <v>4</v>
      </c>
      <c r="L169" s="45">
        <v>3.6926000000000001</v>
      </c>
      <c r="M169" s="41">
        <v>3.69</v>
      </c>
      <c r="N169" s="44">
        <f t="shared" si="17"/>
        <v>-0.3073999999999999</v>
      </c>
      <c r="O169" s="43">
        <f t="shared" si="18"/>
        <v>316</v>
      </c>
      <c r="P169" s="40">
        <f t="shared" si="19"/>
        <v>291.71539999999999</v>
      </c>
      <c r="Q169" s="40">
        <f t="shared" si="20"/>
        <v>291.51</v>
      </c>
      <c r="R169" s="40">
        <f t="shared" si="21"/>
        <v>-24.284600000000012</v>
      </c>
      <c r="S169" s="40">
        <f t="shared" si="22"/>
        <v>-24.490000000000009</v>
      </c>
      <c r="T169" s="42">
        <f t="shared" si="23"/>
        <v>-7.7500000000000013E-2</v>
      </c>
      <c r="AA169" s="35"/>
    </row>
    <row r="170" spans="1:27" hidden="1" outlineLevel="1">
      <c r="A170" s="36">
        <v>305</v>
      </c>
      <c r="B170" s="29">
        <v>3</v>
      </c>
      <c r="C170" s="29" t="s">
        <v>75</v>
      </c>
      <c r="D170" s="31">
        <v>260</v>
      </c>
      <c r="E170" s="31" t="s">
        <v>388</v>
      </c>
      <c r="F170" s="32" t="s">
        <v>207</v>
      </c>
      <c r="G170" s="31" t="s">
        <v>160</v>
      </c>
      <c r="H170" s="30">
        <v>9</v>
      </c>
      <c r="I170" s="103"/>
      <c r="J170" s="102"/>
      <c r="K170" s="45">
        <v>100.25</v>
      </c>
      <c r="L170" s="45">
        <v>113.273</v>
      </c>
      <c r="M170" s="41">
        <v>113.27</v>
      </c>
      <c r="N170" s="44">
        <f t="shared" si="17"/>
        <v>13.022999999999996</v>
      </c>
      <c r="O170" s="43">
        <f t="shared" si="18"/>
        <v>902.25</v>
      </c>
      <c r="P170" s="40">
        <f t="shared" si="19"/>
        <v>1019.457</v>
      </c>
      <c r="Q170" s="40">
        <f t="shared" si="20"/>
        <v>1019.43</v>
      </c>
      <c r="R170" s="40">
        <f t="shared" si="21"/>
        <v>117.20699999999999</v>
      </c>
      <c r="S170" s="40">
        <f t="shared" si="22"/>
        <v>117.17999999999995</v>
      </c>
      <c r="T170" s="42">
        <f t="shared" si="23"/>
        <v>0.12987531172069811</v>
      </c>
      <c r="AA170" s="35"/>
    </row>
    <row r="171" spans="1:27" hidden="1" outlineLevel="1">
      <c r="A171" s="36">
        <v>310</v>
      </c>
      <c r="B171" s="29">
        <v>3</v>
      </c>
      <c r="C171" s="29" t="s">
        <v>75</v>
      </c>
      <c r="D171" s="31">
        <v>260</v>
      </c>
      <c r="E171" s="31" t="s">
        <v>388</v>
      </c>
      <c r="F171" s="32" t="s">
        <v>171</v>
      </c>
      <c r="G171" s="31" t="s">
        <v>160</v>
      </c>
      <c r="H171" s="30">
        <v>12</v>
      </c>
      <c r="I171" s="103"/>
      <c r="J171" s="102"/>
      <c r="K171" s="45">
        <v>50</v>
      </c>
      <c r="L171" s="45">
        <v>42.514800000000001</v>
      </c>
      <c r="M171" s="41">
        <v>42.51</v>
      </c>
      <c r="N171" s="44">
        <f t="shared" si="17"/>
        <v>-7.485199999999999</v>
      </c>
      <c r="O171" s="43">
        <f t="shared" si="18"/>
        <v>600</v>
      </c>
      <c r="P171" s="40">
        <f t="shared" si="19"/>
        <v>510.17759999999998</v>
      </c>
      <c r="Q171" s="40">
        <f t="shared" si="20"/>
        <v>510.12</v>
      </c>
      <c r="R171" s="40">
        <f t="shared" si="21"/>
        <v>-89.822400000000016</v>
      </c>
      <c r="S171" s="40">
        <f t="shared" si="22"/>
        <v>-89.88</v>
      </c>
      <c r="T171" s="42">
        <f t="shared" si="23"/>
        <v>-0.14980000000000004</v>
      </c>
      <c r="AA171" s="35"/>
    </row>
    <row r="172" spans="1:27" hidden="1" outlineLevel="1">
      <c r="A172" s="36">
        <v>347</v>
      </c>
      <c r="B172" s="29">
        <v>3</v>
      </c>
      <c r="C172" s="29" t="s">
        <v>75</v>
      </c>
      <c r="D172" s="31">
        <v>260</v>
      </c>
      <c r="E172" s="31" t="s">
        <v>388</v>
      </c>
      <c r="F172" s="32" t="s">
        <v>206</v>
      </c>
      <c r="G172" s="31" t="s">
        <v>160</v>
      </c>
      <c r="H172" s="30">
        <v>0</v>
      </c>
      <c r="I172" s="103"/>
      <c r="J172" s="102"/>
      <c r="K172" s="45">
        <v>100.25</v>
      </c>
      <c r="L172" s="45">
        <v>113.273</v>
      </c>
      <c r="M172" s="41">
        <v>113.27</v>
      </c>
      <c r="N172" s="44">
        <f t="shared" si="17"/>
        <v>13.022999999999996</v>
      </c>
      <c r="O172" s="43">
        <f t="shared" si="18"/>
        <v>0</v>
      </c>
      <c r="P172" s="40">
        <f t="shared" si="19"/>
        <v>0</v>
      </c>
      <c r="Q172" s="40">
        <f t="shared" si="20"/>
        <v>0</v>
      </c>
      <c r="R172" s="40">
        <f t="shared" si="21"/>
        <v>0</v>
      </c>
      <c r="S172" s="40">
        <f t="shared" si="22"/>
        <v>0</v>
      </c>
      <c r="T172" s="42">
        <f t="shared" si="23"/>
        <v>0.12987531172069811</v>
      </c>
      <c r="AA172" s="35"/>
    </row>
    <row r="173" spans="1:27" hidden="1" outlineLevel="1">
      <c r="A173" s="36">
        <v>274</v>
      </c>
      <c r="B173" s="29">
        <v>3</v>
      </c>
      <c r="C173" s="29" t="s">
        <v>75</v>
      </c>
      <c r="D173" s="31">
        <v>260</v>
      </c>
      <c r="E173" s="31" t="s">
        <v>388</v>
      </c>
      <c r="F173" s="32" t="s">
        <v>205</v>
      </c>
      <c r="G173" s="31" t="s">
        <v>160</v>
      </c>
      <c r="H173" s="30">
        <v>210</v>
      </c>
      <c r="I173" s="103"/>
      <c r="J173" s="102"/>
      <c r="K173" s="45">
        <v>100.25</v>
      </c>
      <c r="L173" s="45">
        <v>113.273</v>
      </c>
      <c r="M173" s="41">
        <v>113.27</v>
      </c>
      <c r="N173" s="44">
        <f t="shared" si="17"/>
        <v>13.022999999999996</v>
      </c>
      <c r="O173" s="43">
        <f t="shared" si="18"/>
        <v>21052.5</v>
      </c>
      <c r="P173" s="40">
        <f t="shared" si="19"/>
        <v>23787.329999999998</v>
      </c>
      <c r="Q173" s="40">
        <f t="shared" si="20"/>
        <v>23786.7</v>
      </c>
      <c r="R173" s="40">
        <f t="shared" si="21"/>
        <v>2734.8299999999981</v>
      </c>
      <c r="S173" s="40">
        <f t="shared" si="22"/>
        <v>2734.2000000000007</v>
      </c>
      <c r="T173" s="42">
        <f t="shared" si="23"/>
        <v>0.12987531172069811</v>
      </c>
      <c r="AA173" s="35"/>
    </row>
    <row r="174" spans="1:27" hidden="1" outlineLevel="1">
      <c r="A174" s="36">
        <v>315</v>
      </c>
      <c r="B174" s="29">
        <v>3</v>
      </c>
      <c r="C174" s="29" t="s">
        <v>75</v>
      </c>
      <c r="D174" s="31">
        <v>260</v>
      </c>
      <c r="E174" s="31" t="s">
        <v>388</v>
      </c>
      <c r="F174" s="32" t="s">
        <v>204</v>
      </c>
      <c r="G174" s="31" t="s">
        <v>160</v>
      </c>
      <c r="H174" s="30">
        <v>10</v>
      </c>
      <c r="I174" s="103"/>
      <c r="J174" s="102"/>
      <c r="K174" s="45">
        <v>50</v>
      </c>
      <c r="L174" s="45">
        <v>53.093600000000002</v>
      </c>
      <c r="M174" s="41">
        <v>53.09</v>
      </c>
      <c r="N174" s="44">
        <f t="shared" si="17"/>
        <v>3.0936000000000021</v>
      </c>
      <c r="O174" s="43">
        <f t="shared" si="18"/>
        <v>500</v>
      </c>
      <c r="P174" s="40">
        <f t="shared" si="19"/>
        <v>530.93600000000004</v>
      </c>
      <c r="Q174" s="40">
        <f t="shared" si="20"/>
        <v>530.90000000000009</v>
      </c>
      <c r="R174" s="40">
        <f t="shared" si="21"/>
        <v>30.936000000000035</v>
      </c>
      <c r="S174" s="40">
        <f t="shared" si="22"/>
        <v>30.900000000000091</v>
      </c>
      <c r="T174" s="42">
        <f t="shared" si="23"/>
        <v>6.1800000000000077E-2</v>
      </c>
      <c r="AA174" s="35"/>
    </row>
    <row r="175" spans="1:27" hidden="1" outlineLevel="1">
      <c r="A175" s="36">
        <v>307</v>
      </c>
      <c r="B175" s="29">
        <v>3</v>
      </c>
      <c r="C175" s="29" t="s">
        <v>75</v>
      </c>
      <c r="D175" s="31">
        <v>260</v>
      </c>
      <c r="E175" s="31" t="s">
        <v>388</v>
      </c>
      <c r="F175" s="32" t="s">
        <v>203</v>
      </c>
      <c r="G175" s="31" t="s">
        <v>160</v>
      </c>
      <c r="H175" s="30">
        <v>6.6899709829524845</v>
      </c>
      <c r="I175" s="103"/>
      <c r="J175" s="102"/>
      <c r="K175" s="45">
        <v>110.28</v>
      </c>
      <c r="L175" s="45">
        <v>113.273</v>
      </c>
      <c r="M175" s="41">
        <v>113.27</v>
      </c>
      <c r="N175" s="44">
        <f t="shared" si="17"/>
        <v>2.992999999999995</v>
      </c>
      <c r="O175" s="43">
        <f t="shared" si="18"/>
        <v>737.77</v>
      </c>
      <c r="P175" s="40">
        <f t="shared" si="19"/>
        <v>757.7930831519767</v>
      </c>
      <c r="Q175" s="40">
        <f t="shared" si="20"/>
        <v>757.77301323902793</v>
      </c>
      <c r="R175" s="40">
        <f t="shared" si="21"/>
        <v>20.023083151976721</v>
      </c>
      <c r="S175" s="40">
        <f t="shared" si="22"/>
        <v>20.00301323902795</v>
      </c>
      <c r="T175" s="42">
        <f t="shared" si="23"/>
        <v>2.7112803772216143E-2</v>
      </c>
      <c r="AA175" s="35"/>
    </row>
    <row r="176" spans="1:27" hidden="1" outlineLevel="1">
      <c r="A176" s="36">
        <v>277</v>
      </c>
      <c r="B176" s="29">
        <v>3</v>
      </c>
      <c r="C176" s="29" t="s">
        <v>75</v>
      </c>
      <c r="D176" s="31">
        <v>260</v>
      </c>
      <c r="E176" s="31" t="s">
        <v>388</v>
      </c>
      <c r="F176" s="32" t="s">
        <v>177</v>
      </c>
      <c r="G176" s="31" t="s">
        <v>160</v>
      </c>
      <c r="H176" s="30">
        <v>37</v>
      </c>
      <c r="I176" s="103"/>
      <c r="J176" s="102"/>
      <c r="K176" s="45">
        <v>110.28</v>
      </c>
      <c r="L176" s="45">
        <v>113.273</v>
      </c>
      <c r="M176" s="41">
        <v>113.27</v>
      </c>
      <c r="N176" s="44">
        <f t="shared" si="17"/>
        <v>2.992999999999995</v>
      </c>
      <c r="O176" s="43">
        <f t="shared" si="18"/>
        <v>4080.36</v>
      </c>
      <c r="P176" s="40">
        <f t="shared" si="19"/>
        <v>4191.1009999999997</v>
      </c>
      <c r="Q176" s="40">
        <f t="shared" si="20"/>
        <v>4190.99</v>
      </c>
      <c r="R176" s="40">
        <f t="shared" si="21"/>
        <v>110.74099999999953</v>
      </c>
      <c r="S176" s="40">
        <f t="shared" si="22"/>
        <v>110.62999999999965</v>
      </c>
      <c r="T176" s="42">
        <f t="shared" si="23"/>
        <v>2.7112803772216143E-2</v>
      </c>
      <c r="AA176" s="35"/>
    </row>
    <row r="177" spans="1:27" hidden="1" outlineLevel="1">
      <c r="A177" s="36">
        <v>278</v>
      </c>
      <c r="B177" s="29">
        <v>3</v>
      </c>
      <c r="C177" s="29" t="s">
        <v>75</v>
      </c>
      <c r="D177" s="31">
        <v>260</v>
      </c>
      <c r="E177" s="31" t="s">
        <v>388</v>
      </c>
      <c r="F177" s="32" t="s">
        <v>176</v>
      </c>
      <c r="G177" s="31" t="s">
        <v>160</v>
      </c>
      <c r="H177" s="30">
        <v>86</v>
      </c>
      <c r="I177" s="103"/>
      <c r="J177" s="102"/>
      <c r="K177" s="45">
        <v>55</v>
      </c>
      <c r="L177" s="45">
        <v>63.672399999999996</v>
      </c>
      <c r="M177" s="41">
        <v>63.67</v>
      </c>
      <c r="N177" s="44">
        <f t="shared" si="17"/>
        <v>8.6723999999999961</v>
      </c>
      <c r="O177" s="43">
        <f t="shared" si="18"/>
        <v>4730</v>
      </c>
      <c r="P177" s="40">
        <f t="shared" si="19"/>
        <v>5475.8263999999999</v>
      </c>
      <c r="Q177" s="40">
        <f t="shared" si="20"/>
        <v>5475.62</v>
      </c>
      <c r="R177" s="40">
        <f t="shared" si="21"/>
        <v>745.82639999999992</v>
      </c>
      <c r="S177" s="40">
        <f t="shared" si="22"/>
        <v>745.61999999999989</v>
      </c>
      <c r="T177" s="42">
        <f t="shared" si="23"/>
        <v>0.15763636363636357</v>
      </c>
      <c r="AA177" s="35"/>
    </row>
    <row r="178" spans="1:27" hidden="1" outlineLevel="1">
      <c r="A178" s="36">
        <v>300</v>
      </c>
      <c r="B178" s="29">
        <v>3</v>
      </c>
      <c r="C178" s="29" t="s">
        <v>75</v>
      </c>
      <c r="D178" s="31">
        <v>260</v>
      </c>
      <c r="E178" s="31" t="s">
        <v>388</v>
      </c>
      <c r="F178" s="32" t="s">
        <v>202</v>
      </c>
      <c r="G178" s="31" t="s">
        <v>160</v>
      </c>
      <c r="H178" s="30">
        <v>10</v>
      </c>
      <c r="I178" s="103"/>
      <c r="J178" s="102"/>
      <c r="K178" s="45">
        <v>110.28</v>
      </c>
      <c r="L178" s="45">
        <v>113.273</v>
      </c>
      <c r="M178" s="41">
        <v>113.27</v>
      </c>
      <c r="N178" s="44">
        <f t="shared" si="17"/>
        <v>2.992999999999995</v>
      </c>
      <c r="O178" s="43">
        <f t="shared" si="18"/>
        <v>1102.8</v>
      </c>
      <c r="P178" s="40">
        <f t="shared" si="19"/>
        <v>1132.73</v>
      </c>
      <c r="Q178" s="40">
        <f t="shared" si="20"/>
        <v>1132.7</v>
      </c>
      <c r="R178" s="40">
        <f t="shared" si="21"/>
        <v>29.930000000000064</v>
      </c>
      <c r="S178" s="40">
        <f t="shared" si="22"/>
        <v>29.900000000000091</v>
      </c>
      <c r="T178" s="42">
        <f t="shared" si="23"/>
        <v>2.7112803772216143E-2</v>
      </c>
      <c r="AA178" s="35"/>
    </row>
    <row r="179" spans="1:27" hidden="1" outlineLevel="1">
      <c r="A179" s="36">
        <v>276</v>
      </c>
      <c r="B179" s="29">
        <v>3</v>
      </c>
      <c r="C179" s="29" t="s">
        <v>75</v>
      </c>
      <c r="D179" s="31">
        <v>260</v>
      </c>
      <c r="E179" s="31" t="s">
        <v>388</v>
      </c>
      <c r="F179" s="32" t="s">
        <v>178</v>
      </c>
      <c r="G179" s="31" t="s">
        <v>160</v>
      </c>
      <c r="H179" s="30">
        <v>86</v>
      </c>
      <c r="I179" s="103"/>
      <c r="J179" s="102"/>
      <c r="K179" s="45">
        <v>110.28</v>
      </c>
      <c r="L179" s="45">
        <v>113.273</v>
      </c>
      <c r="M179" s="41">
        <v>113.27</v>
      </c>
      <c r="N179" s="44">
        <f t="shared" si="17"/>
        <v>2.992999999999995</v>
      </c>
      <c r="O179" s="43">
        <f t="shared" si="18"/>
        <v>9484.08</v>
      </c>
      <c r="P179" s="40">
        <f t="shared" si="19"/>
        <v>9741.4779999999992</v>
      </c>
      <c r="Q179" s="40">
        <f t="shared" si="20"/>
        <v>9741.2199999999993</v>
      </c>
      <c r="R179" s="40">
        <f t="shared" si="21"/>
        <v>257.39799999999923</v>
      </c>
      <c r="S179" s="40">
        <f t="shared" si="22"/>
        <v>257.13999999999942</v>
      </c>
      <c r="T179" s="42">
        <f t="shared" si="23"/>
        <v>2.7112803772216143E-2</v>
      </c>
      <c r="AA179" s="35"/>
    </row>
    <row r="180" spans="1:27" hidden="1" outlineLevel="1">
      <c r="A180" s="36">
        <v>275</v>
      </c>
      <c r="B180" s="29">
        <v>3</v>
      </c>
      <c r="C180" s="29" t="s">
        <v>75</v>
      </c>
      <c r="D180" s="31">
        <v>260</v>
      </c>
      <c r="E180" s="31" t="s">
        <v>388</v>
      </c>
      <c r="F180" s="32" t="s">
        <v>179</v>
      </c>
      <c r="G180" s="31" t="s">
        <v>160</v>
      </c>
      <c r="H180" s="30">
        <v>179</v>
      </c>
      <c r="I180" s="103"/>
      <c r="J180" s="102"/>
      <c r="K180" s="45">
        <v>60</v>
      </c>
      <c r="L180" s="45">
        <v>84.9298</v>
      </c>
      <c r="M180" s="41">
        <v>84.93</v>
      </c>
      <c r="N180" s="44">
        <f t="shared" si="17"/>
        <v>24.9298</v>
      </c>
      <c r="O180" s="43">
        <f t="shared" si="18"/>
        <v>10740</v>
      </c>
      <c r="P180" s="40">
        <f t="shared" si="19"/>
        <v>15202.4342</v>
      </c>
      <c r="Q180" s="40">
        <f t="shared" si="20"/>
        <v>15202.470000000001</v>
      </c>
      <c r="R180" s="40">
        <f t="shared" si="21"/>
        <v>4462.4341999999997</v>
      </c>
      <c r="S180" s="40">
        <f t="shared" si="22"/>
        <v>4462.4700000000012</v>
      </c>
      <c r="T180" s="42">
        <f t="shared" si="23"/>
        <v>0.4155000000000002</v>
      </c>
      <c r="AA180" s="35"/>
    </row>
    <row r="181" spans="1:27" hidden="1" outlineLevel="1">
      <c r="A181" s="36">
        <v>304</v>
      </c>
      <c r="B181" s="29">
        <v>3</v>
      </c>
      <c r="C181" s="29" t="s">
        <v>75</v>
      </c>
      <c r="D181" s="31">
        <v>260</v>
      </c>
      <c r="E181" s="31" t="s">
        <v>388</v>
      </c>
      <c r="F181" s="32" t="s">
        <v>201</v>
      </c>
      <c r="G181" s="31" t="s">
        <v>160</v>
      </c>
      <c r="H181" s="30">
        <v>2</v>
      </c>
      <c r="I181" s="103"/>
      <c r="J181" s="102"/>
      <c r="K181" s="45">
        <v>130.33000000000001</v>
      </c>
      <c r="L181" s="45">
        <v>130.33000000000001</v>
      </c>
      <c r="M181" s="41">
        <v>130.33000000000001</v>
      </c>
      <c r="N181" s="44">
        <f t="shared" si="17"/>
        <v>0</v>
      </c>
      <c r="O181" s="43">
        <f t="shared" si="18"/>
        <v>260.66000000000003</v>
      </c>
      <c r="P181" s="40">
        <f t="shared" si="19"/>
        <v>260.66000000000003</v>
      </c>
      <c r="Q181" s="40">
        <f t="shared" si="20"/>
        <v>260.66000000000003</v>
      </c>
      <c r="R181" s="40">
        <f t="shared" si="21"/>
        <v>0</v>
      </c>
      <c r="S181" s="40">
        <f t="shared" si="22"/>
        <v>0</v>
      </c>
      <c r="T181" s="42">
        <f t="shared" si="23"/>
        <v>0</v>
      </c>
      <c r="AA181" s="35"/>
    </row>
    <row r="182" spans="1:27" hidden="1" outlineLevel="1">
      <c r="A182" s="36">
        <v>271</v>
      </c>
      <c r="B182" s="29">
        <v>3</v>
      </c>
      <c r="C182" s="29" t="s">
        <v>75</v>
      </c>
      <c r="D182" s="31">
        <v>260</v>
      </c>
      <c r="E182" s="31" t="s">
        <v>388</v>
      </c>
      <c r="F182" s="32" t="s">
        <v>180</v>
      </c>
      <c r="G182" s="31" t="s">
        <v>160</v>
      </c>
      <c r="H182" s="30">
        <v>2</v>
      </c>
      <c r="I182" s="103"/>
      <c r="J182" s="102"/>
      <c r="K182" s="45">
        <v>130.33000000000001</v>
      </c>
      <c r="L182" s="45">
        <v>130.33000000000001</v>
      </c>
      <c r="M182" s="41">
        <v>130.33000000000001</v>
      </c>
      <c r="N182" s="44">
        <f t="shared" si="17"/>
        <v>0</v>
      </c>
      <c r="O182" s="43">
        <f t="shared" si="18"/>
        <v>260.66000000000003</v>
      </c>
      <c r="P182" s="40">
        <f t="shared" si="19"/>
        <v>260.66000000000003</v>
      </c>
      <c r="Q182" s="40">
        <f t="shared" si="20"/>
        <v>260.66000000000003</v>
      </c>
      <c r="R182" s="40">
        <f t="shared" si="21"/>
        <v>0</v>
      </c>
      <c r="S182" s="40">
        <f t="shared" si="22"/>
        <v>0</v>
      </c>
      <c r="T182" s="42">
        <f t="shared" si="23"/>
        <v>0</v>
      </c>
      <c r="AA182" s="35"/>
    </row>
    <row r="183" spans="1:27" hidden="1" outlineLevel="1">
      <c r="A183" s="36">
        <v>279</v>
      </c>
      <c r="B183" s="29">
        <v>3</v>
      </c>
      <c r="C183" s="29" t="s">
        <v>75</v>
      </c>
      <c r="D183" s="31">
        <v>260</v>
      </c>
      <c r="E183" s="31" t="s">
        <v>388</v>
      </c>
      <c r="F183" s="32" t="s">
        <v>175</v>
      </c>
      <c r="G183" s="31" t="s">
        <v>160</v>
      </c>
      <c r="H183" s="30">
        <v>83</v>
      </c>
      <c r="I183" s="103"/>
      <c r="J183" s="102"/>
      <c r="K183" s="45">
        <v>70</v>
      </c>
      <c r="L183" s="45">
        <v>95</v>
      </c>
      <c r="M183" s="41">
        <v>95</v>
      </c>
      <c r="N183" s="44">
        <f t="shared" si="17"/>
        <v>25</v>
      </c>
      <c r="O183" s="43">
        <f t="shared" si="18"/>
        <v>5810</v>
      </c>
      <c r="P183" s="40">
        <f t="shared" si="19"/>
        <v>7885</v>
      </c>
      <c r="Q183" s="40">
        <f t="shared" si="20"/>
        <v>7885</v>
      </c>
      <c r="R183" s="40">
        <f t="shared" si="21"/>
        <v>2075</v>
      </c>
      <c r="S183" s="40">
        <f t="shared" si="22"/>
        <v>2075</v>
      </c>
      <c r="T183" s="42">
        <f t="shared" si="23"/>
        <v>0.35714285714285721</v>
      </c>
      <c r="AA183" s="35"/>
    </row>
    <row r="184" spans="1:27" hidden="1" outlineLevel="1">
      <c r="A184" s="36">
        <v>349</v>
      </c>
      <c r="B184" s="29">
        <v>3</v>
      </c>
      <c r="C184" s="29" t="s">
        <v>75</v>
      </c>
      <c r="D184" s="31">
        <v>260</v>
      </c>
      <c r="E184" s="31" t="s">
        <v>388</v>
      </c>
      <c r="F184" s="32" t="s">
        <v>200</v>
      </c>
      <c r="G184" s="31" t="s">
        <v>160</v>
      </c>
      <c r="H184" s="30">
        <v>0</v>
      </c>
      <c r="I184" s="103"/>
      <c r="J184" s="102"/>
      <c r="K184" s="45">
        <v>130.33000000000001</v>
      </c>
      <c r="L184" s="45">
        <v>130.33000000000001</v>
      </c>
      <c r="M184" s="41">
        <v>130.33000000000001</v>
      </c>
      <c r="N184" s="44">
        <f t="shared" si="17"/>
        <v>0</v>
      </c>
      <c r="O184" s="43">
        <f t="shared" si="18"/>
        <v>0</v>
      </c>
      <c r="P184" s="40">
        <f t="shared" si="19"/>
        <v>0</v>
      </c>
      <c r="Q184" s="40">
        <f t="shared" si="20"/>
        <v>0</v>
      </c>
      <c r="R184" s="40">
        <f t="shared" si="21"/>
        <v>0</v>
      </c>
      <c r="S184" s="40">
        <f t="shared" si="22"/>
        <v>0</v>
      </c>
      <c r="T184" s="42">
        <f t="shared" si="23"/>
        <v>0</v>
      </c>
      <c r="AA184" s="35"/>
    </row>
    <row r="185" spans="1:27" hidden="1" outlineLevel="1">
      <c r="A185" s="36">
        <v>350</v>
      </c>
      <c r="B185" s="29">
        <v>3</v>
      </c>
      <c r="C185" s="29" t="s">
        <v>75</v>
      </c>
      <c r="D185" s="31">
        <v>260</v>
      </c>
      <c r="E185" s="31" t="s">
        <v>388</v>
      </c>
      <c r="F185" s="32" t="s">
        <v>199</v>
      </c>
      <c r="G185" s="31" t="s">
        <v>166</v>
      </c>
      <c r="H185" s="30">
        <v>0</v>
      </c>
      <c r="I185" s="103"/>
      <c r="J185" s="102"/>
      <c r="K185" s="45">
        <v>130.33000000000001</v>
      </c>
      <c r="L185" s="45">
        <v>130.33000000000001</v>
      </c>
      <c r="M185" s="41">
        <v>130.33000000000001</v>
      </c>
      <c r="N185" s="44">
        <f t="shared" si="17"/>
        <v>0</v>
      </c>
      <c r="O185" s="43">
        <f t="shared" si="18"/>
        <v>0</v>
      </c>
      <c r="P185" s="40">
        <f t="shared" si="19"/>
        <v>0</v>
      </c>
      <c r="Q185" s="40">
        <f t="shared" si="20"/>
        <v>0</v>
      </c>
      <c r="R185" s="40">
        <f t="shared" si="21"/>
        <v>0</v>
      </c>
      <c r="S185" s="40">
        <f t="shared" si="22"/>
        <v>0</v>
      </c>
      <c r="T185" s="42">
        <f t="shared" si="23"/>
        <v>0</v>
      </c>
      <c r="AA185" s="35"/>
    </row>
    <row r="186" spans="1:27" hidden="1" outlineLevel="1">
      <c r="A186" s="36">
        <v>352</v>
      </c>
      <c r="B186" s="29">
        <v>3</v>
      </c>
      <c r="C186" s="29" t="s">
        <v>75</v>
      </c>
      <c r="D186" s="31">
        <v>260</v>
      </c>
      <c r="E186" s="31" t="s">
        <v>388</v>
      </c>
      <c r="F186" s="32" t="s">
        <v>198</v>
      </c>
      <c r="G186" s="31" t="s">
        <v>160</v>
      </c>
      <c r="H186" s="30">
        <v>0</v>
      </c>
      <c r="I186" s="103"/>
      <c r="J186" s="102"/>
      <c r="K186" s="45">
        <v>80</v>
      </c>
      <c r="L186" s="45">
        <v>80</v>
      </c>
      <c r="M186" s="41">
        <v>80</v>
      </c>
      <c r="N186" s="44">
        <f t="shared" si="17"/>
        <v>0</v>
      </c>
      <c r="O186" s="43">
        <f t="shared" si="18"/>
        <v>0</v>
      </c>
      <c r="P186" s="40">
        <f t="shared" si="19"/>
        <v>0</v>
      </c>
      <c r="Q186" s="40">
        <f t="shared" si="20"/>
        <v>0</v>
      </c>
      <c r="R186" s="40">
        <f t="shared" si="21"/>
        <v>0</v>
      </c>
      <c r="S186" s="40">
        <f t="shared" si="22"/>
        <v>0</v>
      </c>
      <c r="T186" s="42">
        <f t="shared" si="23"/>
        <v>0</v>
      </c>
      <c r="AA186" s="35"/>
    </row>
    <row r="187" spans="1:27" hidden="1" outlineLevel="1">
      <c r="A187" s="36">
        <v>301</v>
      </c>
      <c r="B187" s="29">
        <v>3</v>
      </c>
      <c r="C187" s="29" t="s">
        <v>75</v>
      </c>
      <c r="D187" s="31">
        <v>260</v>
      </c>
      <c r="E187" s="31" t="s">
        <v>388</v>
      </c>
      <c r="F187" s="32" t="s">
        <v>197</v>
      </c>
      <c r="G187" s="31" t="s">
        <v>160</v>
      </c>
      <c r="H187" s="30">
        <v>8</v>
      </c>
      <c r="I187" s="103"/>
      <c r="J187" s="102"/>
      <c r="K187" s="45">
        <v>120.3</v>
      </c>
      <c r="L187" s="45">
        <v>133.0334</v>
      </c>
      <c r="M187" s="41">
        <v>133.03</v>
      </c>
      <c r="N187" s="44">
        <f t="shared" si="17"/>
        <v>12.733400000000003</v>
      </c>
      <c r="O187" s="43">
        <f t="shared" si="18"/>
        <v>962.4</v>
      </c>
      <c r="P187" s="40">
        <f t="shared" si="19"/>
        <v>1064.2672</v>
      </c>
      <c r="Q187" s="40">
        <f t="shared" si="20"/>
        <v>1064.24</v>
      </c>
      <c r="R187" s="40">
        <f t="shared" si="21"/>
        <v>101.86720000000003</v>
      </c>
      <c r="S187" s="40">
        <f t="shared" si="22"/>
        <v>101.84000000000003</v>
      </c>
      <c r="T187" s="42">
        <f t="shared" si="23"/>
        <v>0.10581878636741493</v>
      </c>
      <c r="AA187" s="35"/>
    </row>
    <row r="188" spans="1:27" hidden="1" outlineLevel="1">
      <c r="A188" s="36">
        <v>316</v>
      </c>
      <c r="B188" s="29">
        <v>3</v>
      </c>
      <c r="C188" s="29" t="s">
        <v>75</v>
      </c>
      <c r="D188" s="31">
        <v>260</v>
      </c>
      <c r="E188" s="31" t="s">
        <v>388</v>
      </c>
      <c r="F188" s="32" t="s">
        <v>197</v>
      </c>
      <c r="G188" s="31" t="s">
        <v>160</v>
      </c>
      <c r="H188" s="30">
        <v>4</v>
      </c>
      <c r="I188" s="103"/>
      <c r="J188" s="102"/>
      <c r="K188" s="45">
        <v>120.3</v>
      </c>
      <c r="L188" s="45">
        <v>133.0334</v>
      </c>
      <c r="M188" s="41">
        <v>133.03</v>
      </c>
      <c r="N188" s="44">
        <f t="shared" si="17"/>
        <v>12.733400000000003</v>
      </c>
      <c r="O188" s="43">
        <f t="shared" si="18"/>
        <v>481.2</v>
      </c>
      <c r="P188" s="40">
        <f t="shared" si="19"/>
        <v>532.1336</v>
      </c>
      <c r="Q188" s="40">
        <f t="shared" si="20"/>
        <v>532.12</v>
      </c>
      <c r="R188" s="40">
        <f t="shared" si="21"/>
        <v>50.933600000000013</v>
      </c>
      <c r="S188" s="40">
        <f t="shared" si="22"/>
        <v>50.920000000000016</v>
      </c>
      <c r="T188" s="42">
        <f t="shared" si="23"/>
        <v>0.10581878636741493</v>
      </c>
      <c r="AA188" s="35"/>
    </row>
    <row r="189" spans="1:27" hidden="1" outlineLevel="1">
      <c r="A189" s="36">
        <v>318</v>
      </c>
      <c r="B189" s="29">
        <v>3</v>
      </c>
      <c r="C189" s="29" t="s">
        <v>75</v>
      </c>
      <c r="D189" s="31">
        <v>260</v>
      </c>
      <c r="E189" s="31" t="s">
        <v>388</v>
      </c>
      <c r="F189" s="32" t="s">
        <v>197</v>
      </c>
      <c r="G189" s="31" t="s">
        <v>160</v>
      </c>
      <c r="H189" s="30">
        <v>7</v>
      </c>
      <c r="I189" s="103"/>
      <c r="J189" s="102"/>
      <c r="K189" s="45">
        <v>56.64</v>
      </c>
      <c r="L189" s="45">
        <v>52.4</v>
      </c>
      <c r="M189" s="45">
        <f>L189*(1+$W$16)</f>
        <v>52.4</v>
      </c>
      <c r="N189" s="44">
        <f t="shared" si="17"/>
        <v>-4.240000000000002</v>
      </c>
      <c r="O189" s="43">
        <f t="shared" si="18"/>
        <v>396.48</v>
      </c>
      <c r="P189" s="40">
        <f t="shared" si="19"/>
        <v>366.8</v>
      </c>
      <c r="Q189" s="40">
        <f t="shared" si="20"/>
        <v>366.8</v>
      </c>
      <c r="R189" s="40">
        <f t="shared" si="21"/>
        <v>-29.680000000000007</v>
      </c>
      <c r="S189" s="40">
        <f t="shared" si="22"/>
        <v>-29.680000000000007</v>
      </c>
      <c r="T189" s="42">
        <f t="shared" si="23"/>
        <v>-7.4858757062146952E-2</v>
      </c>
      <c r="AA189" s="35"/>
    </row>
    <row r="190" spans="1:27" hidden="1" outlineLevel="1">
      <c r="A190" s="36">
        <v>354</v>
      </c>
      <c r="B190" s="29">
        <v>3</v>
      </c>
      <c r="C190" s="29" t="s">
        <v>75</v>
      </c>
      <c r="D190" s="31">
        <v>260</v>
      </c>
      <c r="E190" s="31" t="s">
        <v>388</v>
      </c>
      <c r="F190" s="32" t="s">
        <v>196</v>
      </c>
      <c r="G190" s="31" t="s">
        <v>160</v>
      </c>
      <c r="H190" s="30">
        <v>0</v>
      </c>
      <c r="I190" s="103"/>
      <c r="J190" s="102"/>
      <c r="K190" s="45">
        <v>120.3</v>
      </c>
      <c r="L190" s="45">
        <v>133.0334</v>
      </c>
      <c r="M190" s="41">
        <v>133.03</v>
      </c>
      <c r="N190" s="44">
        <f t="shared" si="17"/>
        <v>12.733400000000003</v>
      </c>
      <c r="O190" s="43">
        <f t="shared" si="18"/>
        <v>0</v>
      </c>
      <c r="P190" s="40">
        <f t="shared" si="19"/>
        <v>0</v>
      </c>
      <c r="Q190" s="40">
        <f t="shared" si="20"/>
        <v>0</v>
      </c>
      <c r="R190" s="40">
        <f t="shared" si="21"/>
        <v>0</v>
      </c>
      <c r="S190" s="40">
        <f t="shared" si="22"/>
        <v>0</v>
      </c>
      <c r="T190" s="42">
        <f t="shared" si="23"/>
        <v>0.10581878636741493</v>
      </c>
      <c r="AA190" s="35"/>
    </row>
    <row r="191" spans="1:27" hidden="1" outlineLevel="1">
      <c r="A191" s="36">
        <v>355</v>
      </c>
      <c r="B191" s="29">
        <v>3</v>
      </c>
      <c r="C191" s="29" t="s">
        <v>75</v>
      </c>
      <c r="D191" s="31">
        <v>260</v>
      </c>
      <c r="E191" s="31" t="s">
        <v>388</v>
      </c>
      <c r="F191" s="32" t="s">
        <v>195</v>
      </c>
      <c r="G191" s="31" t="s">
        <v>166</v>
      </c>
      <c r="H191" s="30">
        <v>0</v>
      </c>
      <c r="I191" s="103"/>
      <c r="J191" s="102"/>
      <c r="K191" s="45">
        <v>4</v>
      </c>
      <c r="L191" s="45">
        <v>4.2913999999999994</v>
      </c>
      <c r="M191" s="41">
        <v>4.29</v>
      </c>
      <c r="N191" s="44">
        <f t="shared" si="17"/>
        <v>0.29139999999999944</v>
      </c>
      <c r="O191" s="43">
        <f t="shared" si="18"/>
        <v>0</v>
      </c>
      <c r="P191" s="40">
        <f t="shared" si="19"/>
        <v>0</v>
      </c>
      <c r="Q191" s="40">
        <f t="shared" si="20"/>
        <v>0</v>
      </c>
      <c r="R191" s="40">
        <f t="shared" si="21"/>
        <v>0</v>
      </c>
      <c r="S191" s="40">
        <f t="shared" si="22"/>
        <v>0</v>
      </c>
      <c r="T191" s="42">
        <f t="shared" si="23"/>
        <v>7.2500000000000009E-2</v>
      </c>
      <c r="AA191" s="35"/>
    </row>
    <row r="192" spans="1:27" hidden="1" outlineLevel="1">
      <c r="A192" s="36">
        <v>357</v>
      </c>
      <c r="B192" s="29">
        <v>3</v>
      </c>
      <c r="C192" s="29" t="s">
        <v>75</v>
      </c>
      <c r="D192" s="31">
        <v>260</v>
      </c>
      <c r="E192" s="31" t="s">
        <v>388</v>
      </c>
      <c r="F192" s="32" t="s">
        <v>194</v>
      </c>
      <c r="G192" s="31" t="s">
        <v>160</v>
      </c>
      <c r="H192" s="30">
        <v>0</v>
      </c>
      <c r="I192" s="103"/>
      <c r="J192" s="102"/>
      <c r="K192" s="45">
        <v>56.64</v>
      </c>
      <c r="L192" s="45">
        <v>52.395000000000003</v>
      </c>
      <c r="M192" s="45">
        <f>L192*(1+$W$16)</f>
        <v>52.395000000000003</v>
      </c>
      <c r="N192" s="44">
        <f t="shared" si="17"/>
        <v>-4.2449999999999974</v>
      </c>
      <c r="O192" s="43">
        <f t="shared" si="18"/>
        <v>0</v>
      </c>
      <c r="P192" s="40">
        <f t="shared" si="19"/>
        <v>0</v>
      </c>
      <c r="Q192" s="40">
        <f t="shared" si="20"/>
        <v>0</v>
      </c>
      <c r="R192" s="40">
        <f t="shared" si="21"/>
        <v>0</v>
      </c>
      <c r="S192" s="40">
        <f t="shared" si="22"/>
        <v>0</v>
      </c>
      <c r="T192" s="42">
        <f t="shared" si="23"/>
        <v>-7.4947033898305038E-2</v>
      </c>
      <c r="AA192" s="35"/>
    </row>
    <row r="193" spans="1:27" hidden="1" outlineLevel="1">
      <c r="A193" s="36">
        <v>359</v>
      </c>
      <c r="B193" s="29">
        <v>3</v>
      </c>
      <c r="C193" s="29" t="s">
        <v>75</v>
      </c>
      <c r="D193" s="31">
        <v>260</v>
      </c>
      <c r="E193" s="31" t="s">
        <v>388</v>
      </c>
      <c r="F193" s="32" t="s">
        <v>193</v>
      </c>
      <c r="G193" s="31" t="s">
        <v>160</v>
      </c>
      <c r="H193" s="30">
        <v>0</v>
      </c>
      <c r="I193" s="103"/>
      <c r="J193" s="102"/>
      <c r="K193" s="45">
        <v>120.3</v>
      </c>
      <c r="L193" s="45">
        <v>133.0334</v>
      </c>
      <c r="M193" s="41">
        <v>133.03</v>
      </c>
      <c r="N193" s="44">
        <f t="shared" si="17"/>
        <v>12.733400000000003</v>
      </c>
      <c r="O193" s="43">
        <f t="shared" si="18"/>
        <v>0</v>
      </c>
      <c r="P193" s="40">
        <f t="shared" si="19"/>
        <v>0</v>
      </c>
      <c r="Q193" s="40">
        <f t="shared" si="20"/>
        <v>0</v>
      </c>
      <c r="R193" s="40">
        <f t="shared" si="21"/>
        <v>0</v>
      </c>
      <c r="S193" s="40">
        <f t="shared" si="22"/>
        <v>0</v>
      </c>
      <c r="T193" s="42">
        <f t="shared" si="23"/>
        <v>0.10581878636741493</v>
      </c>
      <c r="AA193" s="35"/>
    </row>
    <row r="194" spans="1:27" hidden="1" outlineLevel="1">
      <c r="A194" s="36">
        <v>295</v>
      </c>
      <c r="B194" s="29">
        <v>3</v>
      </c>
      <c r="C194" s="29" t="s">
        <v>75</v>
      </c>
      <c r="D194" s="31">
        <v>260</v>
      </c>
      <c r="E194" s="31" t="s">
        <v>388</v>
      </c>
      <c r="F194" s="32" t="s">
        <v>192</v>
      </c>
      <c r="G194" s="31" t="s">
        <v>160</v>
      </c>
      <c r="H194" s="30">
        <v>16.347886135195271</v>
      </c>
      <c r="I194" s="103"/>
      <c r="J194" s="102"/>
      <c r="K194" s="45">
        <v>130.33000000000001</v>
      </c>
      <c r="L194" s="45">
        <v>133.0334</v>
      </c>
      <c r="M194" s="41">
        <v>133.03</v>
      </c>
      <c r="N194" s="44">
        <f t="shared" si="17"/>
        <v>2.7033999999999878</v>
      </c>
      <c r="O194" s="43">
        <f t="shared" si="18"/>
        <v>2130.62</v>
      </c>
      <c r="P194" s="40">
        <f t="shared" si="19"/>
        <v>2174.8148753778864</v>
      </c>
      <c r="Q194" s="40">
        <f t="shared" si="20"/>
        <v>2174.759292565027</v>
      </c>
      <c r="R194" s="40">
        <f t="shared" si="21"/>
        <v>44.194875377886547</v>
      </c>
      <c r="S194" s="40">
        <f t="shared" si="22"/>
        <v>44.139292565027063</v>
      </c>
      <c r="T194" s="42">
        <f t="shared" si="23"/>
        <v>2.0716642369369875E-2</v>
      </c>
      <c r="AA194" s="35"/>
    </row>
    <row r="195" spans="1:27" hidden="1" outlineLevel="1">
      <c r="A195" s="36">
        <v>289</v>
      </c>
      <c r="B195" s="29">
        <v>3</v>
      </c>
      <c r="C195" s="29" t="s">
        <v>75</v>
      </c>
      <c r="D195" s="31">
        <v>260</v>
      </c>
      <c r="E195" s="31" t="s">
        <v>388</v>
      </c>
      <c r="F195" s="32" t="s">
        <v>174</v>
      </c>
      <c r="G195" s="31" t="s">
        <v>166</v>
      </c>
      <c r="H195" s="30">
        <v>470</v>
      </c>
      <c r="I195" s="103"/>
      <c r="J195" s="102"/>
      <c r="K195" s="45">
        <v>5</v>
      </c>
      <c r="L195" s="45">
        <v>4.7904</v>
      </c>
      <c r="M195" s="41">
        <v>4.79</v>
      </c>
      <c r="N195" s="44">
        <f t="shared" ref="N195:N258" si="25">IF(K195="N/A","-",IFERROR(L195-K195,"New"))</f>
        <v>-0.20960000000000001</v>
      </c>
      <c r="O195" s="43">
        <f t="shared" ref="O195:O258" si="26">IFERROR(H195*K195,0)</f>
        <v>2350</v>
      </c>
      <c r="P195" s="40">
        <f t="shared" ref="P195:P258" si="27">L195*H195</f>
        <v>2251.4879999999998</v>
      </c>
      <c r="Q195" s="40">
        <f t="shared" ref="Q195:Q258" si="28">M195*H195</f>
        <v>2251.3000000000002</v>
      </c>
      <c r="R195" s="40">
        <f t="shared" ref="R195:R258" si="29">P195-O195</f>
        <v>-98.512000000000171</v>
      </c>
      <c r="S195" s="40">
        <f t="shared" ref="S195:S258" si="30">Q195-O195</f>
        <v>-98.699999999999818</v>
      </c>
      <c r="T195" s="42">
        <f t="shared" ref="T195:T258" si="31">IFERROR(M195/K195-1,0)</f>
        <v>-4.2000000000000037E-2</v>
      </c>
      <c r="AA195" s="35"/>
    </row>
    <row r="196" spans="1:27" hidden="1" outlineLevel="1">
      <c r="A196" s="36">
        <v>303</v>
      </c>
      <c r="B196" s="29">
        <v>3</v>
      </c>
      <c r="C196" s="29" t="s">
        <v>75</v>
      </c>
      <c r="D196" s="31">
        <v>260</v>
      </c>
      <c r="E196" s="31" t="s">
        <v>388</v>
      </c>
      <c r="F196" s="32" t="s">
        <v>172</v>
      </c>
      <c r="G196" s="31" t="s">
        <v>160</v>
      </c>
      <c r="H196" s="30">
        <v>14</v>
      </c>
      <c r="I196" s="103"/>
      <c r="J196" s="102"/>
      <c r="K196" s="45">
        <v>56.64</v>
      </c>
      <c r="L196" s="45">
        <v>52.395000000000003</v>
      </c>
      <c r="M196" s="45">
        <f>L196*(1+$W$16)</f>
        <v>52.395000000000003</v>
      </c>
      <c r="N196" s="44">
        <f t="shared" si="25"/>
        <v>-4.2449999999999974</v>
      </c>
      <c r="O196" s="43">
        <f t="shared" si="26"/>
        <v>792.96</v>
      </c>
      <c r="P196" s="40">
        <f t="shared" si="27"/>
        <v>733.53000000000009</v>
      </c>
      <c r="Q196" s="40">
        <f t="shared" si="28"/>
        <v>733.53000000000009</v>
      </c>
      <c r="R196" s="40">
        <f t="shared" si="29"/>
        <v>-59.42999999999995</v>
      </c>
      <c r="S196" s="40">
        <f t="shared" si="30"/>
        <v>-59.42999999999995</v>
      </c>
      <c r="T196" s="42">
        <f t="shared" si="31"/>
        <v>-7.4947033898305038E-2</v>
      </c>
      <c r="AA196" s="35"/>
    </row>
    <row r="197" spans="1:27" hidden="1" outlineLevel="1">
      <c r="A197" s="36">
        <v>285</v>
      </c>
      <c r="B197" s="29">
        <v>3</v>
      </c>
      <c r="C197" s="29" t="s">
        <v>75</v>
      </c>
      <c r="D197" s="31">
        <v>260</v>
      </c>
      <c r="E197" s="31" t="s">
        <v>388</v>
      </c>
      <c r="F197" s="32" t="s">
        <v>173</v>
      </c>
      <c r="G197" s="31" t="s">
        <v>160</v>
      </c>
      <c r="H197" s="30">
        <v>35</v>
      </c>
      <c r="I197" s="103"/>
      <c r="J197" s="102"/>
      <c r="K197" s="45">
        <v>130.33000000000001</v>
      </c>
      <c r="L197" s="45">
        <v>133.0334</v>
      </c>
      <c r="M197" s="41">
        <v>133.03</v>
      </c>
      <c r="N197" s="44">
        <f t="shared" si="25"/>
        <v>2.7033999999999878</v>
      </c>
      <c r="O197" s="43">
        <f t="shared" si="26"/>
        <v>4561.55</v>
      </c>
      <c r="P197" s="40">
        <f t="shared" si="27"/>
        <v>4656.1689999999999</v>
      </c>
      <c r="Q197" s="40">
        <f t="shared" si="28"/>
        <v>4656.05</v>
      </c>
      <c r="R197" s="40">
        <f t="shared" si="29"/>
        <v>94.618999999999687</v>
      </c>
      <c r="S197" s="40">
        <f t="shared" si="30"/>
        <v>94.5</v>
      </c>
      <c r="T197" s="42">
        <f t="shared" si="31"/>
        <v>2.0716642369369875E-2</v>
      </c>
      <c r="AA197" s="35"/>
    </row>
    <row r="198" spans="1:27" hidden="1" outlineLevel="1">
      <c r="A198" s="36">
        <v>298</v>
      </c>
      <c r="B198" s="29">
        <v>3</v>
      </c>
      <c r="C198" s="29" t="s">
        <v>75</v>
      </c>
      <c r="D198" s="31">
        <v>260</v>
      </c>
      <c r="E198" s="31" t="s">
        <v>388</v>
      </c>
      <c r="F198" s="32" t="s">
        <v>191</v>
      </c>
      <c r="G198" s="31" t="s">
        <v>160</v>
      </c>
      <c r="H198" s="30">
        <v>12</v>
      </c>
      <c r="I198" s="103"/>
      <c r="J198" s="102"/>
      <c r="K198" s="45">
        <v>130.33000000000001</v>
      </c>
      <c r="L198" s="45">
        <v>133.0334</v>
      </c>
      <c r="M198" s="41">
        <v>133.03</v>
      </c>
      <c r="N198" s="44">
        <f t="shared" si="25"/>
        <v>2.7033999999999878</v>
      </c>
      <c r="O198" s="43">
        <f t="shared" si="26"/>
        <v>1563.96</v>
      </c>
      <c r="P198" s="40">
        <f t="shared" si="27"/>
        <v>1596.4007999999999</v>
      </c>
      <c r="Q198" s="40">
        <f t="shared" si="28"/>
        <v>1596.3600000000001</v>
      </c>
      <c r="R198" s="40">
        <f t="shared" si="29"/>
        <v>32.440799999999854</v>
      </c>
      <c r="S198" s="40">
        <f t="shared" si="30"/>
        <v>32.400000000000091</v>
      </c>
      <c r="T198" s="42">
        <f t="shared" si="31"/>
        <v>2.0716642369369875E-2</v>
      </c>
      <c r="AA198" s="35"/>
    </row>
    <row r="199" spans="1:27" hidden="1" outlineLevel="1">
      <c r="A199" s="36">
        <v>286</v>
      </c>
      <c r="B199" s="29">
        <v>3</v>
      </c>
      <c r="C199" s="29" t="s">
        <v>75</v>
      </c>
      <c r="D199" s="31">
        <v>260</v>
      </c>
      <c r="E199" s="31" t="s">
        <v>388</v>
      </c>
      <c r="F199" s="32" t="s">
        <v>190</v>
      </c>
      <c r="G199" s="31" t="s">
        <v>166</v>
      </c>
      <c r="H199" s="30">
        <v>882.39130434782612</v>
      </c>
      <c r="I199" s="103"/>
      <c r="J199" s="102"/>
      <c r="K199" s="45">
        <v>5.75</v>
      </c>
      <c r="L199" s="45">
        <v>5.7884000000000002</v>
      </c>
      <c r="M199" s="41">
        <v>5.79</v>
      </c>
      <c r="N199" s="44">
        <f t="shared" si="25"/>
        <v>3.8400000000000212E-2</v>
      </c>
      <c r="O199" s="43">
        <f t="shared" si="26"/>
        <v>5073.75</v>
      </c>
      <c r="P199" s="40">
        <f t="shared" si="27"/>
        <v>5107.633826086957</v>
      </c>
      <c r="Q199" s="40">
        <f t="shared" si="28"/>
        <v>5109.0456521739134</v>
      </c>
      <c r="R199" s="40">
        <f t="shared" si="29"/>
        <v>33.883826086957015</v>
      </c>
      <c r="S199" s="40">
        <f t="shared" si="30"/>
        <v>35.295652173913368</v>
      </c>
      <c r="T199" s="42">
        <f t="shared" si="31"/>
        <v>6.9565217391305278E-3</v>
      </c>
      <c r="AA199" s="35"/>
    </row>
    <row r="200" spans="1:27" hidden="1" outlineLevel="1">
      <c r="A200" s="36">
        <v>306</v>
      </c>
      <c r="B200" s="29">
        <v>3</v>
      </c>
      <c r="C200" s="29" t="s">
        <v>75</v>
      </c>
      <c r="D200" s="31">
        <v>260</v>
      </c>
      <c r="E200" s="31" t="s">
        <v>388</v>
      </c>
      <c r="F200" s="32" t="s">
        <v>189</v>
      </c>
      <c r="G200" s="31" t="s">
        <v>160</v>
      </c>
      <c r="H200" s="30">
        <v>15</v>
      </c>
      <c r="I200" s="103"/>
      <c r="J200" s="102"/>
      <c r="K200" s="45">
        <v>56.64</v>
      </c>
      <c r="L200" s="45">
        <v>52.395000000000003</v>
      </c>
      <c r="M200" s="45">
        <f>L200*(1+$W$16)</f>
        <v>52.395000000000003</v>
      </c>
      <c r="N200" s="44">
        <f t="shared" si="25"/>
        <v>-4.2449999999999974</v>
      </c>
      <c r="O200" s="43">
        <f t="shared" si="26"/>
        <v>849.6</v>
      </c>
      <c r="P200" s="40">
        <f t="shared" si="27"/>
        <v>785.92500000000007</v>
      </c>
      <c r="Q200" s="40">
        <f t="shared" si="28"/>
        <v>785.92500000000007</v>
      </c>
      <c r="R200" s="40">
        <f t="shared" si="29"/>
        <v>-63.674999999999955</v>
      </c>
      <c r="S200" s="40">
        <f t="shared" si="30"/>
        <v>-63.674999999999955</v>
      </c>
      <c r="T200" s="42">
        <f t="shared" si="31"/>
        <v>-7.4947033898305038E-2</v>
      </c>
      <c r="AA200" s="35"/>
    </row>
    <row r="201" spans="1:27" hidden="1" outlineLevel="1">
      <c r="A201" s="36">
        <v>292</v>
      </c>
      <c r="B201" s="29">
        <v>3</v>
      </c>
      <c r="C201" s="29" t="s">
        <v>75</v>
      </c>
      <c r="D201" s="31">
        <v>260</v>
      </c>
      <c r="E201" s="31" t="s">
        <v>388</v>
      </c>
      <c r="F201" s="32" t="s">
        <v>188</v>
      </c>
      <c r="G201" s="31" t="s">
        <v>160</v>
      </c>
      <c r="H201" s="30">
        <v>17</v>
      </c>
      <c r="I201" s="103"/>
      <c r="J201" s="102"/>
      <c r="K201" s="45">
        <v>130.33000000000001</v>
      </c>
      <c r="L201" s="45">
        <v>133.0334</v>
      </c>
      <c r="M201" s="41">
        <v>133.03</v>
      </c>
      <c r="N201" s="44">
        <f t="shared" si="25"/>
        <v>2.7033999999999878</v>
      </c>
      <c r="O201" s="43">
        <f t="shared" si="26"/>
        <v>2215.61</v>
      </c>
      <c r="P201" s="40">
        <f t="shared" si="27"/>
        <v>2261.5677999999998</v>
      </c>
      <c r="Q201" s="40">
        <f t="shared" si="28"/>
        <v>2261.5100000000002</v>
      </c>
      <c r="R201" s="40">
        <f t="shared" si="29"/>
        <v>45.957799999999679</v>
      </c>
      <c r="S201" s="40">
        <f t="shared" si="30"/>
        <v>45.900000000000091</v>
      </c>
      <c r="T201" s="42">
        <f t="shared" si="31"/>
        <v>2.0716642369369875E-2</v>
      </c>
      <c r="AA201" s="35"/>
    </row>
    <row r="202" spans="1:27" hidden="1" outlineLevel="1">
      <c r="A202" s="36">
        <v>321</v>
      </c>
      <c r="B202" s="29">
        <v>3</v>
      </c>
      <c r="C202" s="29" t="s">
        <v>75</v>
      </c>
      <c r="D202" s="31">
        <v>260</v>
      </c>
      <c r="E202" s="31" t="s">
        <v>388</v>
      </c>
      <c r="F202" s="32" t="s">
        <v>187</v>
      </c>
      <c r="G202" s="31" t="s">
        <v>160</v>
      </c>
      <c r="H202" s="30">
        <v>1</v>
      </c>
      <c r="I202" s="103"/>
      <c r="J202" s="102"/>
      <c r="K202" s="45">
        <v>160.4</v>
      </c>
      <c r="L202" s="45">
        <v>160.4</v>
      </c>
      <c r="M202" s="41">
        <v>160.4</v>
      </c>
      <c r="N202" s="44">
        <f t="shared" si="25"/>
        <v>0</v>
      </c>
      <c r="O202" s="43">
        <f t="shared" si="26"/>
        <v>160.4</v>
      </c>
      <c r="P202" s="40">
        <f t="shared" si="27"/>
        <v>160.4</v>
      </c>
      <c r="Q202" s="40">
        <f t="shared" si="28"/>
        <v>160.4</v>
      </c>
      <c r="R202" s="40">
        <f t="shared" si="29"/>
        <v>0</v>
      </c>
      <c r="S202" s="40">
        <f t="shared" si="30"/>
        <v>0</v>
      </c>
      <c r="T202" s="42">
        <f t="shared" si="31"/>
        <v>0</v>
      </c>
      <c r="AA202" s="35"/>
    </row>
    <row r="203" spans="1:27" hidden="1" outlineLevel="1">
      <c r="A203" s="36">
        <v>320</v>
      </c>
      <c r="B203" s="29">
        <v>3</v>
      </c>
      <c r="C203" s="29" t="s">
        <v>75</v>
      </c>
      <c r="D203" s="31">
        <v>260</v>
      </c>
      <c r="E203" s="31" t="s">
        <v>388</v>
      </c>
      <c r="F203" s="32" t="s">
        <v>169</v>
      </c>
      <c r="G203" s="31" t="s">
        <v>166</v>
      </c>
      <c r="H203" s="30">
        <v>8</v>
      </c>
      <c r="I203" s="103"/>
      <c r="J203" s="102"/>
      <c r="K203" s="45">
        <v>6</v>
      </c>
      <c r="L203" s="45">
        <v>6</v>
      </c>
      <c r="M203" s="41">
        <v>6</v>
      </c>
      <c r="N203" s="44">
        <f t="shared" si="25"/>
        <v>0</v>
      </c>
      <c r="O203" s="43">
        <f t="shared" si="26"/>
        <v>48</v>
      </c>
      <c r="P203" s="40">
        <f t="shared" si="27"/>
        <v>48</v>
      </c>
      <c r="Q203" s="40">
        <f t="shared" si="28"/>
        <v>48</v>
      </c>
      <c r="R203" s="40">
        <f t="shared" si="29"/>
        <v>0</v>
      </c>
      <c r="S203" s="40">
        <f t="shared" si="30"/>
        <v>0</v>
      </c>
      <c r="T203" s="42">
        <f t="shared" si="31"/>
        <v>0</v>
      </c>
      <c r="AA203" s="35"/>
    </row>
    <row r="204" spans="1:27" hidden="1" outlineLevel="1">
      <c r="A204" s="36">
        <v>327</v>
      </c>
      <c r="B204" s="29">
        <v>3</v>
      </c>
      <c r="C204" s="29" t="s">
        <v>75</v>
      </c>
      <c r="D204" s="31">
        <v>260</v>
      </c>
      <c r="E204" s="31" t="s">
        <v>388</v>
      </c>
      <c r="F204" s="32" t="s">
        <v>168</v>
      </c>
      <c r="G204" s="31" t="s">
        <v>160</v>
      </c>
      <c r="H204" s="30">
        <v>1</v>
      </c>
      <c r="I204" s="103"/>
      <c r="J204" s="102"/>
      <c r="K204" s="45">
        <v>56.64</v>
      </c>
      <c r="L204" s="45">
        <v>52.395000000000003</v>
      </c>
      <c r="M204" s="45">
        <f>L204*(1+$W$16)</f>
        <v>52.395000000000003</v>
      </c>
      <c r="N204" s="44">
        <f t="shared" si="25"/>
        <v>-4.2449999999999974</v>
      </c>
      <c r="O204" s="43">
        <f t="shared" si="26"/>
        <v>56.64</v>
      </c>
      <c r="P204" s="40">
        <f t="shared" si="27"/>
        <v>52.395000000000003</v>
      </c>
      <c r="Q204" s="40">
        <f t="shared" si="28"/>
        <v>52.395000000000003</v>
      </c>
      <c r="R204" s="40">
        <f t="shared" si="29"/>
        <v>-4.2449999999999974</v>
      </c>
      <c r="S204" s="40">
        <f t="shared" si="30"/>
        <v>-4.2449999999999974</v>
      </c>
      <c r="T204" s="42">
        <f t="shared" si="31"/>
        <v>-7.4947033898305038E-2</v>
      </c>
      <c r="AA204" s="35"/>
    </row>
    <row r="205" spans="1:27" hidden="1" outlineLevel="1">
      <c r="A205" s="36">
        <v>326</v>
      </c>
      <c r="B205" s="29">
        <v>3</v>
      </c>
      <c r="C205" s="29" t="s">
        <v>75</v>
      </c>
      <c r="D205" s="31">
        <v>260</v>
      </c>
      <c r="E205" s="31" t="s">
        <v>388</v>
      </c>
      <c r="F205" s="32" t="s">
        <v>170</v>
      </c>
      <c r="G205" s="31" t="s">
        <v>160</v>
      </c>
      <c r="H205" s="30">
        <v>0</v>
      </c>
      <c r="I205" s="103"/>
      <c r="J205" s="102"/>
      <c r="K205" s="45">
        <v>160.4</v>
      </c>
      <c r="L205" s="45">
        <v>160.4</v>
      </c>
      <c r="M205" s="41">
        <v>160.4</v>
      </c>
      <c r="N205" s="44">
        <f t="shared" si="25"/>
        <v>0</v>
      </c>
      <c r="O205" s="43">
        <f t="shared" si="26"/>
        <v>0</v>
      </c>
      <c r="P205" s="40">
        <f t="shared" si="27"/>
        <v>0</v>
      </c>
      <c r="Q205" s="40">
        <f t="shared" si="28"/>
        <v>0</v>
      </c>
      <c r="R205" s="40">
        <f t="shared" si="29"/>
        <v>0</v>
      </c>
      <c r="S205" s="40">
        <f t="shared" si="30"/>
        <v>0</v>
      </c>
      <c r="T205" s="42">
        <f t="shared" si="31"/>
        <v>0</v>
      </c>
      <c r="AA205" s="35"/>
    </row>
    <row r="206" spans="1:27" hidden="1" outlineLevel="1">
      <c r="A206" s="36">
        <v>361</v>
      </c>
      <c r="B206" s="29">
        <v>3</v>
      </c>
      <c r="C206" s="29" t="s">
        <v>75</v>
      </c>
      <c r="D206" s="31">
        <v>260</v>
      </c>
      <c r="E206" s="31" t="s">
        <v>388</v>
      </c>
      <c r="F206" s="32" t="s">
        <v>186</v>
      </c>
      <c r="G206" s="31" t="s">
        <v>160</v>
      </c>
      <c r="H206" s="30">
        <v>0</v>
      </c>
      <c r="I206" s="103"/>
      <c r="J206" s="102"/>
      <c r="K206" s="45">
        <v>160.4</v>
      </c>
      <c r="L206" s="45">
        <v>160.4</v>
      </c>
      <c r="M206" s="41">
        <v>160.4</v>
      </c>
      <c r="N206" s="44">
        <f t="shared" si="25"/>
        <v>0</v>
      </c>
      <c r="O206" s="43">
        <f t="shared" si="26"/>
        <v>0</v>
      </c>
      <c r="P206" s="40">
        <f t="shared" si="27"/>
        <v>0</v>
      </c>
      <c r="Q206" s="40">
        <f t="shared" si="28"/>
        <v>0</v>
      </c>
      <c r="R206" s="40">
        <f t="shared" si="29"/>
        <v>0</v>
      </c>
      <c r="S206" s="40">
        <f t="shared" si="30"/>
        <v>0</v>
      </c>
      <c r="T206" s="42">
        <f t="shared" si="31"/>
        <v>0</v>
      </c>
      <c r="AA206" s="35"/>
    </row>
    <row r="207" spans="1:27" hidden="1" outlineLevel="1">
      <c r="A207" s="36">
        <v>362</v>
      </c>
      <c r="B207" s="29">
        <v>3</v>
      </c>
      <c r="C207" s="29" t="s">
        <v>75</v>
      </c>
      <c r="D207" s="31">
        <v>260</v>
      </c>
      <c r="E207" s="31" t="s">
        <v>388</v>
      </c>
      <c r="F207" s="32" t="s">
        <v>185</v>
      </c>
      <c r="G207" s="31" t="s">
        <v>166</v>
      </c>
      <c r="H207" s="30">
        <v>0</v>
      </c>
      <c r="I207" s="103"/>
      <c r="J207" s="102"/>
      <c r="K207" s="45">
        <v>6.5</v>
      </c>
      <c r="L207" s="45">
        <v>6.5</v>
      </c>
      <c r="M207" s="41">
        <v>6.5</v>
      </c>
      <c r="N207" s="44">
        <f t="shared" si="25"/>
        <v>0</v>
      </c>
      <c r="O207" s="43">
        <f t="shared" si="26"/>
        <v>0</v>
      </c>
      <c r="P207" s="40">
        <f t="shared" si="27"/>
        <v>0</v>
      </c>
      <c r="Q207" s="40">
        <f t="shared" si="28"/>
        <v>0</v>
      </c>
      <c r="R207" s="40">
        <f t="shared" si="29"/>
        <v>0</v>
      </c>
      <c r="S207" s="40">
        <f t="shared" si="30"/>
        <v>0</v>
      </c>
      <c r="T207" s="42">
        <f t="shared" si="31"/>
        <v>0</v>
      </c>
      <c r="AA207" s="35"/>
    </row>
    <row r="208" spans="1:27" hidden="1" outlineLevel="1">
      <c r="A208" s="36">
        <v>364</v>
      </c>
      <c r="B208" s="29">
        <v>3</v>
      </c>
      <c r="C208" s="29" t="s">
        <v>75</v>
      </c>
      <c r="D208" s="31">
        <v>260</v>
      </c>
      <c r="E208" s="31" t="s">
        <v>388</v>
      </c>
      <c r="F208" s="32" t="s">
        <v>184</v>
      </c>
      <c r="G208" s="31" t="s">
        <v>160</v>
      </c>
      <c r="H208" s="30">
        <v>0</v>
      </c>
      <c r="I208" s="103"/>
      <c r="J208" s="102"/>
      <c r="K208" s="45">
        <v>56.64</v>
      </c>
      <c r="L208" s="45">
        <v>52.395000000000003</v>
      </c>
      <c r="M208" s="45">
        <f>L208*(1+$W$16)</f>
        <v>52.395000000000003</v>
      </c>
      <c r="N208" s="44">
        <f t="shared" si="25"/>
        <v>-4.2449999999999974</v>
      </c>
      <c r="O208" s="43">
        <f t="shared" si="26"/>
        <v>0</v>
      </c>
      <c r="P208" s="40">
        <f t="shared" si="27"/>
        <v>0</v>
      </c>
      <c r="Q208" s="40">
        <f t="shared" si="28"/>
        <v>0</v>
      </c>
      <c r="R208" s="40">
        <f t="shared" si="29"/>
        <v>0</v>
      </c>
      <c r="S208" s="40">
        <f t="shared" si="30"/>
        <v>0</v>
      </c>
      <c r="T208" s="42">
        <f t="shared" si="31"/>
        <v>-7.4947033898305038E-2</v>
      </c>
      <c r="AA208" s="35"/>
    </row>
    <row r="209" spans="1:27" hidden="1" outlineLevel="1">
      <c r="A209" s="36">
        <v>366</v>
      </c>
      <c r="B209" s="29">
        <v>3</v>
      </c>
      <c r="C209" s="29" t="s">
        <v>75</v>
      </c>
      <c r="D209" s="31">
        <v>260</v>
      </c>
      <c r="E209" s="31" t="s">
        <v>388</v>
      </c>
      <c r="F209" s="32" t="s">
        <v>183</v>
      </c>
      <c r="G209" s="31" t="s">
        <v>160</v>
      </c>
      <c r="H209" s="30">
        <v>0</v>
      </c>
      <c r="I209" s="103"/>
      <c r="J209" s="102"/>
      <c r="K209" s="45">
        <v>160.4</v>
      </c>
      <c r="L209" s="45">
        <v>160.4</v>
      </c>
      <c r="M209" s="41">
        <v>160.4</v>
      </c>
      <c r="N209" s="44">
        <f t="shared" si="25"/>
        <v>0</v>
      </c>
      <c r="O209" s="43">
        <f t="shared" si="26"/>
        <v>0</v>
      </c>
      <c r="P209" s="40">
        <f t="shared" si="27"/>
        <v>0</v>
      </c>
      <c r="Q209" s="40">
        <f t="shared" si="28"/>
        <v>0</v>
      </c>
      <c r="R209" s="40">
        <f t="shared" si="29"/>
        <v>0</v>
      </c>
      <c r="S209" s="40">
        <f t="shared" si="30"/>
        <v>0</v>
      </c>
      <c r="T209" s="42">
        <f t="shared" si="31"/>
        <v>0</v>
      </c>
      <c r="AA209" s="35"/>
    </row>
    <row r="210" spans="1:27" hidden="1" outlineLevel="1">
      <c r="A210" s="36">
        <v>368</v>
      </c>
      <c r="B210" s="29">
        <v>3</v>
      </c>
      <c r="C210" s="29" t="s">
        <v>75</v>
      </c>
      <c r="D210" s="31">
        <v>270</v>
      </c>
      <c r="E210" s="31" t="s">
        <v>388</v>
      </c>
      <c r="F210" s="32" t="s">
        <v>167</v>
      </c>
      <c r="G210" s="31" t="s">
        <v>166</v>
      </c>
      <c r="H210" s="30">
        <v>0</v>
      </c>
      <c r="I210" s="103"/>
      <c r="J210" s="102"/>
      <c r="K210" s="45">
        <v>22.56</v>
      </c>
      <c r="L210" s="45">
        <v>33.133600000000001</v>
      </c>
      <c r="M210" s="41">
        <v>33.130000000000003</v>
      </c>
      <c r="N210" s="44">
        <f t="shared" si="25"/>
        <v>10.573600000000003</v>
      </c>
      <c r="O210" s="43">
        <f t="shared" si="26"/>
        <v>0</v>
      </c>
      <c r="P210" s="40">
        <f t="shared" si="27"/>
        <v>0</v>
      </c>
      <c r="Q210" s="40">
        <f t="shared" si="28"/>
        <v>0</v>
      </c>
      <c r="R210" s="40">
        <f t="shared" si="29"/>
        <v>0</v>
      </c>
      <c r="S210" s="40">
        <f t="shared" si="30"/>
        <v>0</v>
      </c>
      <c r="T210" s="42">
        <f t="shared" si="31"/>
        <v>0.46852836879432647</v>
      </c>
      <c r="AA210" s="35"/>
    </row>
    <row r="211" spans="1:27" hidden="1" outlineLevel="1">
      <c r="A211" s="36">
        <v>309</v>
      </c>
      <c r="B211" s="29">
        <v>3</v>
      </c>
      <c r="C211" s="29" t="s">
        <v>75</v>
      </c>
      <c r="D211" s="31">
        <v>270</v>
      </c>
      <c r="E211" s="31" t="s">
        <v>388</v>
      </c>
      <c r="F211" s="32" t="s">
        <v>165</v>
      </c>
      <c r="G211" s="31" t="s">
        <v>160</v>
      </c>
      <c r="H211" s="30">
        <v>5</v>
      </c>
      <c r="I211" s="103"/>
      <c r="J211" s="102"/>
      <c r="K211" s="45">
        <v>135.34</v>
      </c>
      <c r="L211" s="45">
        <v>135.34</v>
      </c>
      <c r="M211" s="41">
        <v>135.34</v>
      </c>
      <c r="N211" s="44">
        <f t="shared" si="25"/>
        <v>0</v>
      </c>
      <c r="O211" s="43">
        <f t="shared" si="26"/>
        <v>676.7</v>
      </c>
      <c r="P211" s="40">
        <f t="shared" si="27"/>
        <v>676.7</v>
      </c>
      <c r="Q211" s="40">
        <f t="shared" si="28"/>
        <v>676.7</v>
      </c>
      <c r="R211" s="40">
        <f t="shared" si="29"/>
        <v>0</v>
      </c>
      <c r="S211" s="40">
        <f t="shared" si="30"/>
        <v>0</v>
      </c>
      <c r="T211" s="42">
        <f t="shared" si="31"/>
        <v>0</v>
      </c>
      <c r="AA211" s="35"/>
    </row>
    <row r="212" spans="1:27" hidden="1" outlineLevel="1">
      <c r="A212" s="36">
        <v>372</v>
      </c>
      <c r="B212" s="29">
        <v>3</v>
      </c>
      <c r="C212" s="29" t="s">
        <v>75</v>
      </c>
      <c r="D212" s="31">
        <v>270</v>
      </c>
      <c r="E212" s="31" t="s">
        <v>388</v>
      </c>
      <c r="F212" s="32" t="s">
        <v>164</v>
      </c>
      <c r="G212" s="31" t="s">
        <v>160</v>
      </c>
      <c r="H212" s="30">
        <v>0</v>
      </c>
      <c r="I212" s="103"/>
      <c r="J212" s="102"/>
      <c r="K212" s="45">
        <v>135.34</v>
      </c>
      <c r="L212" s="45">
        <v>135.34</v>
      </c>
      <c r="M212" s="41">
        <v>135.34</v>
      </c>
      <c r="N212" s="44">
        <f t="shared" si="25"/>
        <v>0</v>
      </c>
      <c r="O212" s="43">
        <f t="shared" si="26"/>
        <v>0</v>
      </c>
      <c r="P212" s="40">
        <f t="shared" si="27"/>
        <v>0</v>
      </c>
      <c r="Q212" s="40">
        <f t="shared" si="28"/>
        <v>0</v>
      </c>
      <c r="R212" s="40">
        <f t="shared" si="29"/>
        <v>0</v>
      </c>
      <c r="S212" s="40">
        <f t="shared" si="30"/>
        <v>0</v>
      </c>
      <c r="T212" s="42">
        <f t="shared" si="31"/>
        <v>0</v>
      </c>
      <c r="AA212" s="35"/>
    </row>
    <row r="213" spans="1:27" hidden="1" outlineLevel="1">
      <c r="A213" s="36">
        <v>375</v>
      </c>
      <c r="B213" s="29">
        <v>3</v>
      </c>
      <c r="C213" s="29" t="s">
        <v>75</v>
      </c>
      <c r="D213" s="31">
        <v>270</v>
      </c>
      <c r="E213" s="31" t="s">
        <v>388</v>
      </c>
      <c r="F213" s="32" t="s">
        <v>163</v>
      </c>
      <c r="G213" s="31" t="s">
        <v>160</v>
      </c>
      <c r="H213" s="30">
        <v>0</v>
      </c>
      <c r="I213" s="103"/>
      <c r="J213" s="102"/>
      <c r="K213" s="45">
        <v>135.34</v>
      </c>
      <c r="L213" s="45">
        <v>135.34</v>
      </c>
      <c r="M213" s="41">
        <v>135.34</v>
      </c>
      <c r="N213" s="44">
        <f t="shared" si="25"/>
        <v>0</v>
      </c>
      <c r="O213" s="43">
        <f t="shared" si="26"/>
        <v>0</v>
      </c>
      <c r="P213" s="40">
        <f t="shared" si="27"/>
        <v>0</v>
      </c>
      <c r="Q213" s="40">
        <f t="shared" si="28"/>
        <v>0</v>
      </c>
      <c r="R213" s="40">
        <f t="shared" si="29"/>
        <v>0</v>
      </c>
      <c r="S213" s="40">
        <f t="shared" si="30"/>
        <v>0</v>
      </c>
      <c r="T213" s="42">
        <f t="shared" si="31"/>
        <v>0</v>
      </c>
      <c r="AA213" s="35"/>
    </row>
    <row r="214" spans="1:27" hidden="1" outlineLevel="1">
      <c r="A214" s="36">
        <v>122</v>
      </c>
      <c r="B214" s="29">
        <v>2</v>
      </c>
      <c r="C214" s="29" t="s">
        <v>75</v>
      </c>
      <c r="D214" s="31" t="s">
        <v>159</v>
      </c>
      <c r="E214" s="31" t="s">
        <v>388</v>
      </c>
      <c r="F214" s="32" t="s">
        <v>161</v>
      </c>
      <c r="G214" s="31" t="s">
        <v>160</v>
      </c>
      <c r="H214" s="30">
        <v>773.79470198675494</v>
      </c>
      <c r="I214" s="103"/>
      <c r="J214" s="102"/>
      <c r="K214" s="45">
        <v>0.21</v>
      </c>
      <c r="L214" s="45">
        <v>0</v>
      </c>
      <c r="M214" s="45">
        <f>L214*(1+$W$16)</f>
        <v>0</v>
      </c>
      <c r="N214" s="44">
        <f t="shared" si="25"/>
        <v>-0.21</v>
      </c>
      <c r="O214" s="43">
        <f t="shared" si="26"/>
        <v>162.49688741721855</v>
      </c>
      <c r="P214" s="40">
        <f t="shared" si="27"/>
        <v>0</v>
      </c>
      <c r="Q214" s="40">
        <f t="shared" si="28"/>
        <v>0</v>
      </c>
      <c r="R214" s="40">
        <f t="shared" si="29"/>
        <v>-162.49688741721855</v>
      </c>
      <c r="S214" s="40">
        <f t="shared" si="30"/>
        <v>-162.49688741721855</v>
      </c>
      <c r="T214" s="42">
        <f t="shared" si="31"/>
        <v>-1</v>
      </c>
      <c r="AA214" s="35"/>
    </row>
    <row r="215" spans="1:27" hidden="1" outlineLevel="1">
      <c r="A215" s="36">
        <v>299</v>
      </c>
      <c r="B215" s="29">
        <v>3</v>
      </c>
      <c r="C215" s="29" t="s">
        <v>75</v>
      </c>
      <c r="D215" s="31" t="s">
        <v>159</v>
      </c>
      <c r="E215" s="31" t="s">
        <v>388</v>
      </c>
      <c r="F215" s="32" t="s">
        <v>158</v>
      </c>
      <c r="G215" s="31" t="s">
        <v>67</v>
      </c>
      <c r="H215" s="30">
        <v>2789.8500000000004</v>
      </c>
      <c r="I215" s="103"/>
      <c r="J215" s="102"/>
      <c r="K215" s="45">
        <v>0.35</v>
      </c>
      <c r="L215" s="45">
        <v>0</v>
      </c>
      <c r="M215" s="45">
        <f>L215*(1+$W$16)</f>
        <v>0</v>
      </c>
      <c r="N215" s="44">
        <f t="shared" si="25"/>
        <v>-0.35</v>
      </c>
      <c r="O215" s="43">
        <f t="shared" si="26"/>
        <v>976.4475000000001</v>
      </c>
      <c r="P215" s="40">
        <f t="shared" si="27"/>
        <v>0</v>
      </c>
      <c r="Q215" s="40">
        <f t="shared" si="28"/>
        <v>0</v>
      </c>
      <c r="R215" s="40">
        <f t="shared" si="29"/>
        <v>-976.4475000000001</v>
      </c>
      <c r="S215" s="40">
        <f t="shared" si="30"/>
        <v>-976.4475000000001</v>
      </c>
      <c r="T215" s="42">
        <f t="shared" si="31"/>
        <v>-1</v>
      </c>
      <c r="AA215" s="35"/>
    </row>
    <row r="216" spans="1:27" hidden="1" outlineLevel="1">
      <c r="A216" s="36">
        <v>15</v>
      </c>
      <c r="B216" s="29">
        <v>1</v>
      </c>
      <c r="C216" s="29" t="s">
        <v>75</v>
      </c>
      <c r="D216" s="31" t="s">
        <v>159</v>
      </c>
      <c r="E216" s="31" t="s">
        <v>388</v>
      </c>
      <c r="F216" s="32" t="s">
        <v>162</v>
      </c>
      <c r="G216" s="31" t="s">
        <v>160</v>
      </c>
      <c r="H216" s="30">
        <v>9299.0666666666657</v>
      </c>
      <c r="I216" s="103"/>
      <c r="J216" s="102"/>
      <c r="K216" s="45">
        <v>0.05</v>
      </c>
      <c r="L216" s="45">
        <v>0</v>
      </c>
      <c r="M216" s="45">
        <f>L216*(1+$W$16)</f>
        <v>0</v>
      </c>
      <c r="N216" s="44">
        <f t="shared" si="25"/>
        <v>-0.05</v>
      </c>
      <c r="O216" s="43">
        <f t="shared" si="26"/>
        <v>464.95333333333332</v>
      </c>
      <c r="P216" s="40">
        <f t="shared" si="27"/>
        <v>0</v>
      </c>
      <c r="Q216" s="40">
        <f t="shared" si="28"/>
        <v>0</v>
      </c>
      <c r="R216" s="40">
        <f t="shared" si="29"/>
        <v>-464.95333333333332</v>
      </c>
      <c r="S216" s="40">
        <f t="shared" si="30"/>
        <v>-464.95333333333332</v>
      </c>
      <c r="T216" s="42">
        <f t="shared" si="31"/>
        <v>-1</v>
      </c>
      <c r="AA216" s="35"/>
    </row>
    <row r="217" spans="1:27" collapsed="1">
      <c r="A217" s="36">
        <v>12</v>
      </c>
      <c r="B217" s="29">
        <v>1</v>
      </c>
      <c r="C217" s="29" t="s">
        <v>76</v>
      </c>
      <c r="D217" s="31">
        <v>50</v>
      </c>
      <c r="E217" s="31" t="s">
        <v>388</v>
      </c>
      <c r="F217" s="32" t="s">
        <v>370</v>
      </c>
      <c r="G217" s="31" t="s">
        <v>160</v>
      </c>
      <c r="H217" s="30">
        <v>44</v>
      </c>
      <c r="I217" s="103"/>
      <c r="J217" s="102"/>
      <c r="K217" s="45">
        <v>28.07</v>
      </c>
      <c r="L217" s="45">
        <v>15</v>
      </c>
      <c r="M217" s="41">
        <v>15</v>
      </c>
      <c r="N217" s="44">
        <f t="shared" si="25"/>
        <v>-13.07</v>
      </c>
      <c r="O217" s="43">
        <f t="shared" si="26"/>
        <v>1235.08</v>
      </c>
      <c r="P217" s="40">
        <f t="shared" si="27"/>
        <v>660</v>
      </c>
      <c r="Q217" s="40">
        <f t="shared" si="28"/>
        <v>660</v>
      </c>
      <c r="R217" s="40">
        <f t="shared" si="29"/>
        <v>-575.07999999999993</v>
      </c>
      <c r="S217" s="40">
        <f t="shared" si="30"/>
        <v>-575.07999999999993</v>
      </c>
      <c r="T217" s="42">
        <f t="shared" si="31"/>
        <v>-0.46562166013537587</v>
      </c>
      <c r="AA217" s="35"/>
    </row>
    <row r="218" spans="1:27">
      <c r="A218" s="36">
        <v>126</v>
      </c>
      <c r="B218" s="29">
        <v>2</v>
      </c>
      <c r="C218" s="29" t="s">
        <v>76</v>
      </c>
      <c r="D218" s="31">
        <v>51</v>
      </c>
      <c r="E218" s="31" t="s">
        <v>388</v>
      </c>
      <c r="F218" s="32" t="s">
        <v>439</v>
      </c>
      <c r="G218" s="31" t="s">
        <v>160</v>
      </c>
      <c r="H218" s="30">
        <v>6</v>
      </c>
      <c r="I218" s="103"/>
      <c r="J218" s="102"/>
      <c r="K218" s="45">
        <v>22.56</v>
      </c>
      <c r="L218" s="45">
        <v>22.56</v>
      </c>
      <c r="M218" s="41">
        <v>22.56</v>
      </c>
      <c r="N218" s="44">
        <f t="shared" si="25"/>
        <v>0</v>
      </c>
      <c r="O218" s="43">
        <f t="shared" si="26"/>
        <v>135.35999999999999</v>
      </c>
      <c r="P218" s="40">
        <f t="shared" si="27"/>
        <v>135.35999999999999</v>
      </c>
      <c r="Q218" s="40">
        <f t="shared" si="28"/>
        <v>135.35999999999999</v>
      </c>
      <c r="R218" s="40">
        <f t="shared" si="29"/>
        <v>0</v>
      </c>
      <c r="S218" s="40">
        <f t="shared" si="30"/>
        <v>0</v>
      </c>
      <c r="T218" s="42">
        <f t="shared" si="31"/>
        <v>0</v>
      </c>
      <c r="AA218" s="35"/>
    </row>
    <row r="219" spans="1:27">
      <c r="A219" s="36">
        <v>8</v>
      </c>
      <c r="B219" s="29">
        <v>1</v>
      </c>
      <c r="C219" s="29" t="s">
        <v>76</v>
      </c>
      <c r="D219" s="31">
        <v>51</v>
      </c>
      <c r="E219" s="31" t="s">
        <v>388</v>
      </c>
      <c r="F219" s="32" t="s">
        <v>438</v>
      </c>
      <c r="G219" s="31" t="s">
        <v>160</v>
      </c>
      <c r="H219" s="30">
        <v>162.3909574468085</v>
      </c>
      <c r="I219" s="103"/>
      <c r="J219" s="102"/>
      <c r="K219" s="45">
        <v>22.56</v>
      </c>
      <c r="L219" s="45">
        <v>22.56</v>
      </c>
      <c r="M219" s="41">
        <v>22.56</v>
      </c>
      <c r="N219" s="44">
        <f t="shared" si="25"/>
        <v>0</v>
      </c>
      <c r="O219" s="43">
        <f t="shared" si="26"/>
        <v>3663.5399999999995</v>
      </c>
      <c r="P219" s="40">
        <f t="shared" si="27"/>
        <v>3663.5399999999995</v>
      </c>
      <c r="Q219" s="40">
        <f t="shared" si="28"/>
        <v>3663.5399999999995</v>
      </c>
      <c r="R219" s="40">
        <f t="shared" si="29"/>
        <v>0</v>
      </c>
      <c r="S219" s="40">
        <f t="shared" si="30"/>
        <v>0</v>
      </c>
      <c r="T219" s="42">
        <f t="shared" si="31"/>
        <v>0</v>
      </c>
      <c r="AA219" s="35"/>
    </row>
    <row r="220" spans="1:27">
      <c r="A220" s="36">
        <v>134</v>
      </c>
      <c r="B220" s="29">
        <v>2</v>
      </c>
      <c r="C220" s="29" t="s">
        <v>76</v>
      </c>
      <c r="D220" s="31">
        <v>52</v>
      </c>
      <c r="E220" s="31" t="s">
        <v>388</v>
      </c>
      <c r="F220" s="32" t="s">
        <v>437</v>
      </c>
      <c r="G220" s="31" t="s">
        <v>160</v>
      </c>
      <c r="H220" s="30">
        <v>3</v>
      </c>
      <c r="I220" s="103"/>
      <c r="J220" s="102"/>
      <c r="K220" s="45">
        <v>22.56</v>
      </c>
      <c r="L220" s="45">
        <v>30</v>
      </c>
      <c r="M220" s="41">
        <v>30</v>
      </c>
      <c r="N220" s="44">
        <f t="shared" si="25"/>
        <v>7.4400000000000013</v>
      </c>
      <c r="O220" s="43">
        <f t="shared" si="26"/>
        <v>67.679999999999993</v>
      </c>
      <c r="P220" s="40">
        <f t="shared" si="27"/>
        <v>90</v>
      </c>
      <c r="Q220" s="40">
        <f t="shared" si="28"/>
        <v>90</v>
      </c>
      <c r="R220" s="40">
        <f t="shared" si="29"/>
        <v>22.320000000000007</v>
      </c>
      <c r="S220" s="40">
        <f t="shared" si="30"/>
        <v>22.320000000000007</v>
      </c>
      <c r="T220" s="42">
        <f t="shared" si="31"/>
        <v>0.32978723404255317</v>
      </c>
      <c r="AA220" s="35"/>
    </row>
    <row r="221" spans="1:27">
      <c r="A221" s="36">
        <v>18</v>
      </c>
      <c r="B221" s="29">
        <v>1</v>
      </c>
      <c r="C221" s="29" t="s">
        <v>76</v>
      </c>
      <c r="D221" s="31">
        <v>52</v>
      </c>
      <c r="E221" s="31" t="s">
        <v>388</v>
      </c>
      <c r="F221" s="32" t="s">
        <v>436</v>
      </c>
      <c r="G221" s="31" t="s">
        <v>160</v>
      </c>
      <c r="H221" s="30">
        <v>27</v>
      </c>
      <c r="I221" s="103"/>
      <c r="J221" s="102"/>
      <c r="K221" s="45">
        <v>10.029999999999999</v>
      </c>
      <c r="L221" s="45">
        <v>17</v>
      </c>
      <c r="M221" s="41">
        <v>17</v>
      </c>
      <c r="N221" s="44">
        <f t="shared" si="25"/>
        <v>6.9700000000000006</v>
      </c>
      <c r="O221" s="43">
        <f t="shared" si="26"/>
        <v>270.81</v>
      </c>
      <c r="P221" s="40">
        <f t="shared" si="27"/>
        <v>459</v>
      </c>
      <c r="Q221" s="40">
        <f t="shared" si="28"/>
        <v>459</v>
      </c>
      <c r="R221" s="40">
        <f t="shared" si="29"/>
        <v>188.19</v>
      </c>
      <c r="S221" s="40">
        <f t="shared" si="30"/>
        <v>188.19</v>
      </c>
      <c r="T221" s="42">
        <f t="shared" si="31"/>
        <v>0.69491525423728828</v>
      </c>
      <c r="AA221" s="35"/>
    </row>
    <row r="222" spans="1:27">
      <c r="A222" s="36">
        <v>334</v>
      </c>
      <c r="B222" s="29">
        <v>3</v>
      </c>
      <c r="C222" s="29" t="s">
        <v>76</v>
      </c>
      <c r="D222" s="31">
        <v>60</v>
      </c>
      <c r="E222" s="31" t="s">
        <v>388</v>
      </c>
      <c r="F222" s="32" t="s">
        <v>342</v>
      </c>
      <c r="G222" s="31" t="s">
        <v>287</v>
      </c>
      <c r="H222" s="30">
        <v>0</v>
      </c>
      <c r="I222" s="103"/>
      <c r="J222" s="102"/>
      <c r="K222" s="45">
        <v>95.06</v>
      </c>
      <c r="L222" s="45">
        <v>71</v>
      </c>
      <c r="M222" s="45">
        <f t="shared" ref="M222:M228" si="32">L222*(1+$W$16)</f>
        <v>71</v>
      </c>
      <c r="N222" s="44">
        <f t="shared" si="25"/>
        <v>-24.060000000000002</v>
      </c>
      <c r="O222" s="43">
        <f t="shared" si="26"/>
        <v>0</v>
      </c>
      <c r="P222" s="40">
        <f t="shared" si="27"/>
        <v>0</v>
      </c>
      <c r="Q222" s="40">
        <f t="shared" si="28"/>
        <v>0</v>
      </c>
      <c r="R222" s="40">
        <f t="shared" si="29"/>
        <v>0</v>
      </c>
      <c r="S222" s="40">
        <f t="shared" si="30"/>
        <v>0</v>
      </c>
      <c r="T222" s="42">
        <f t="shared" si="31"/>
        <v>-0.25310330317694085</v>
      </c>
      <c r="AA222" s="35"/>
    </row>
    <row r="223" spans="1:27">
      <c r="A223" s="36">
        <v>144</v>
      </c>
      <c r="B223" s="29">
        <v>2</v>
      </c>
      <c r="C223" s="29" t="s">
        <v>76</v>
      </c>
      <c r="D223" s="31">
        <v>70</v>
      </c>
      <c r="E223" s="31" t="s">
        <v>388</v>
      </c>
      <c r="F223" s="32" t="s">
        <v>435</v>
      </c>
      <c r="G223" s="31" t="s">
        <v>160</v>
      </c>
      <c r="H223" s="30">
        <v>1</v>
      </c>
      <c r="I223" s="103"/>
      <c r="J223" s="102"/>
      <c r="K223" s="45">
        <v>22.56</v>
      </c>
      <c r="L223" s="45">
        <v>10.395</v>
      </c>
      <c r="M223" s="45">
        <f t="shared" si="32"/>
        <v>10.395</v>
      </c>
      <c r="N223" s="44">
        <f t="shared" si="25"/>
        <v>-12.164999999999999</v>
      </c>
      <c r="O223" s="43">
        <f t="shared" si="26"/>
        <v>22.56</v>
      </c>
      <c r="P223" s="40">
        <f t="shared" si="27"/>
        <v>10.395</v>
      </c>
      <c r="Q223" s="40">
        <f t="shared" si="28"/>
        <v>10.395</v>
      </c>
      <c r="R223" s="40">
        <f t="shared" si="29"/>
        <v>-12.164999999999999</v>
      </c>
      <c r="S223" s="40">
        <f t="shared" si="30"/>
        <v>-12.164999999999999</v>
      </c>
      <c r="T223" s="42">
        <f t="shared" si="31"/>
        <v>-0.53922872340425532</v>
      </c>
      <c r="AA223" s="35"/>
    </row>
    <row r="224" spans="1:27">
      <c r="A224" s="36">
        <v>323</v>
      </c>
      <c r="B224" s="29">
        <v>3</v>
      </c>
      <c r="C224" s="29" t="s">
        <v>76</v>
      </c>
      <c r="D224" s="31">
        <v>70</v>
      </c>
      <c r="E224" s="31" t="s">
        <v>388</v>
      </c>
      <c r="F224" s="32" t="s">
        <v>322</v>
      </c>
      <c r="G224" s="31" t="s">
        <v>160</v>
      </c>
      <c r="H224" s="30">
        <v>5</v>
      </c>
      <c r="I224" s="103"/>
      <c r="J224" s="102"/>
      <c r="K224" s="45">
        <v>56.64</v>
      </c>
      <c r="L224" s="45">
        <v>52.395000000000003</v>
      </c>
      <c r="M224" s="45">
        <f t="shared" si="32"/>
        <v>52.395000000000003</v>
      </c>
      <c r="N224" s="44">
        <f t="shared" si="25"/>
        <v>-4.2449999999999974</v>
      </c>
      <c r="O224" s="43">
        <f t="shared" si="26"/>
        <v>283.2</v>
      </c>
      <c r="P224" s="40">
        <f t="shared" si="27"/>
        <v>261.97500000000002</v>
      </c>
      <c r="Q224" s="40">
        <f t="shared" si="28"/>
        <v>261.97500000000002</v>
      </c>
      <c r="R224" s="40">
        <f t="shared" si="29"/>
        <v>-21.224999999999966</v>
      </c>
      <c r="S224" s="40">
        <f t="shared" si="30"/>
        <v>-21.224999999999966</v>
      </c>
      <c r="T224" s="42">
        <f t="shared" si="31"/>
        <v>-7.4947033898305038E-2</v>
      </c>
      <c r="AA224" s="35"/>
    </row>
    <row r="225" spans="1:27">
      <c r="A225" s="36">
        <v>17</v>
      </c>
      <c r="B225" s="29">
        <v>1</v>
      </c>
      <c r="C225" s="29" t="s">
        <v>76</v>
      </c>
      <c r="D225" s="31">
        <v>70</v>
      </c>
      <c r="E225" s="31" t="s">
        <v>388</v>
      </c>
      <c r="F225" s="32" t="s">
        <v>434</v>
      </c>
      <c r="G225" s="31" t="s">
        <v>160</v>
      </c>
      <c r="H225" s="30">
        <v>30</v>
      </c>
      <c r="I225" s="103"/>
      <c r="J225" s="102"/>
      <c r="K225" s="45">
        <v>10.029999999999999</v>
      </c>
      <c r="L225" s="45">
        <v>7.8100000000000005</v>
      </c>
      <c r="M225" s="45">
        <f t="shared" si="32"/>
        <v>7.8100000000000005</v>
      </c>
      <c r="N225" s="44">
        <f t="shared" si="25"/>
        <v>-2.2199999999999989</v>
      </c>
      <c r="O225" s="43">
        <f t="shared" si="26"/>
        <v>300.89999999999998</v>
      </c>
      <c r="P225" s="40">
        <f t="shared" si="27"/>
        <v>234.3</v>
      </c>
      <c r="Q225" s="40">
        <f t="shared" si="28"/>
        <v>234.3</v>
      </c>
      <c r="R225" s="40">
        <f t="shared" si="29"/>
        <v>-66.599999999999966</v>
      </c>
      <c r="S225" s="40">
        <f t="shared" si="30"/>
        <v>-66.599999999999966</v>
      </c>
      <c r="T225" s="42">
        <f t="shared" si="31"/>
        <v>-0.22133599202392806</v>
      </c>
      <c r="AA225" s="35"/>
    </row>
    <row r="226" spans="1:27">
      <c r="A226" s="36">
        <v>113</v>
      </c>
      <c r="B226" s="29">
        <v>2</v>
      </c>
      <c r="C226" s="29" t="s">
        <v>76</v>
      </c>
      <c r="D226" s="31">
        <v>80</v>
      </c>
      <c r="E226" s="31" t="s">
        <v>388</v>
      </c>
      <c r="F226" s="32" t="s">
        <v>319</v>
      </c>
      <c r="G226" s="31" t="s">
        <v>212</v>
      </c>
      <c r="H226" s="30">
        <v>29.849846782431054</v>
      </c>
      <c r="I226" s="103"/>
      <c r="J226" s="102"/>
      <c r="K226" s="45">
        <v>9.7899999999999991</v>
      </c>
      <c r="L226" s="45">
        <v>5.8108600000000008</v>
      </c>
      <c r="M226" s="45">
        <f t="shared" si="32"/>
        <v>5.8108600000000008</v>
      </c>
      <c r="N226" s="44">
        <f t="shared" si="25"/>
        <v>-3.9791399999999983</v>
      </c>
      <c r="O226" s="43">
        <f t="shared" si="26"/>
        <v>292.23</v>
      </c>
      <c r="P226" s="40">
        <f t="shared" si="27"/>
        <v>173.45328067415736</v>
      </c>
      <c r="Q226" s="40">
        <f t="shared" si="28"/>
        <v>173.45328067415736</v>
      </c>
      <c r="R226" s="40">
        <f t="shared" si="29"/>
        <v>-118.77671932584266</v>
      </c>
      <c r="S226" s="40">
        <f t="shared" si="30"/>
        <v>-118.77671932584266</v>
      </c>
      <c r="T226" s="42">
        <f t="shared" si="31"/>
        <v>-0.4064494382022471</v>
      </c>
      <c r="AA226" s="35"/>
    </row>
    <row r="227" spans="1:27">
      <c r="A227" s="36">
        <v>38</v>
      </c>
      <c r="B227" s="29">
        <v>1</v>
      </c>
      <c r="C227" s="29" t="s">
        <v>76</v>
      </c>
      <c r="D227" s="31">
        <v>80</v>
      </c>
      <c r="E227" s="31" t="s">
        <v>388</v>
      </c>
      <c r="F227" s="32" t="s">
        <v>433</v>
      </c>
      <c r="G227" s="31" t="s">
        <v>160</v>
      </c>
      <c r="H227" s="30">
        <v>0</v>
      </c>
      <c r="I227" s="103"/>
      <c r="J227" s="102"/>
      <c r="K227" s="45">
        <v>9.7899999999999991</v>
      </c>
      <c r="L227" s="45">
        <v>1.3336400000000002</v>
      </c>
      <c r="M227" s="45">
        <f t="shared" si="32"/>
        <v>1.3336400000000002</v>
      </c>
      <c r="N227" s="44">
        <f t="shared" si="25"/>
        <v>-8.4563599999999983</v>
      </c>
      <c r="O227" s="43">
        <f t="shared" si="26"/>
        <v>0</v>
      </c>
      <c r="P227" s="40">
        <f t="shared" si="27"/>
        <v>0</v>
      </c>
      <c r="Q227" s="40">
        <f t="shared" si="28"/>
        <v>0</v>
      </c>
      <c r="R227" s="40">
        <f t="shared" si="29"/>
        <v>0</v>
      </c>
      <c r="S227" s="40">
        <f t="shared" si="30"/>
        <v>0</v>
      </c>
      <c r="T227" s="42">
        <f t="shared" si="31"/>
        <v>-0.86377528089887634</v>
      </c>
      <c r="AA227" s="35"/>
    </row>
    <row r="228" spans="1:27">
      <c r="A228" s="36">
        <v>5</v>
      </c>
      <c r="B228" s="29">
        <v>1</v>
      </c>
      <c r="C228" s="29" t="s">
        <v>76</v>
      </c>
      <c r="D228" s="31">
        <v>80</v>
      </c>
      <c r="E228" s="31" t="s">
        <v>388</v>
      </c>
      <c r="F228" s="32" t="s">
        <v>320</v>
      </c>
      <c r="G228" s="31" t="s">
        <v>212</v>
      </c>
      <c r="H228" s="30">
        <v>1344.7507660878448</v>
      </c>
      <c r="I228" s="103"/>
      <c r="J228" s="102"/>
      <c r="K228" s="45">
        <v>9.7899999999999991</v>
      </c>
      <c r="L228" s="45">
        <v>5.8108600000000008</v>
      </c>
      <c r="M228" s="45">
        <f t="shared" si="32"/>
        <v>5.8108600000000008</v>
      </c>
      <c r="N228" s="44">
        <f t="shared" si="25"/>
        <v>-3.9791399999999983</v>
      </c>
      <c r="O228" s="43">
        <f t="shared" si="26"/>
        <v>13165.109999999999</v>
      </c>
      <c r="P228" s="40">
        <f t="shared" si="27"/>
        <v>7814.1584366292145</v>
      </c>
      <c r="Q228" s="40">
        <f t="shared" si="28"/>
        <v>7814.1584366292145</v>
      </c>
      <c r="R228" s="40">
        <f t="shared" si="29"/>
        <v>-5350.9515633707842</v>
      </c>
      <c r="S228" s="40">
        <f t="shared" si="30"/>
        <v>-5350.9515633707842</v>
      </c>
      <c r="T228" s="42">
        <f t="shared" si="31"/>
        <v>-0.4064494382022471</v>
      </c>
      <c r="AA228" s="35"/>
    </row>
    <row r="229" spans="1:27">
      <c r="A229" s="36">
        <v>14</v>
      </c>
      <c r="B229" s="29">
        <v>1</v>
      </c>
      <c r="C229" s="110" t="s">
        <v>76</v>
      </c>
      <c r="D229" s="108">
        <v>100</v>
      </c>
      <c r="E229" s="108" t="s">
        <v>388</v>
      </c>
      <c r="F229" s="109" t="s">
        <v>316</v>
      </c>
      <c r="G229" s="108" t="s">
        <v>317</v>
      </c>
      <c r="H229" s="111">
        <v>79</v>
      </c>
      <c r="I229" s="103" t="s">
        <v>482</v>
      </c>
      <c r="J229" s="102"/>
      <c r="K229" s="45">
        <v>9.14</v>
      </c>
      <c r="L229" s="45">
        <v>9.14</v>
      </c>
      <c r="M229" s="41">
        <v>9.14</v>
      </c>
      <c r="N229" s="44">
        <f t="shared" si="25"/>
        <v>0</v>
      </c>
      <c r="O229" s="43">
        <f t="shared" si="26"/>
        <v>722.06000000000006</v>
      </c>
      <c r="P229" s="40">
        <f t="shared" si="27"/>
        <v>722.06000000000006</v>
      </c>
      <c r="Q229" s="40">
        <f t="shared" si="28"/>
        <v>722.06000000000006</v>
      </c>
      <c r="R229" s="40">
        <f t="shared" si="29"/>
        <v>0</v>
      </c>
      <c r="S229" s="40">
        <f t="shared" si="30"/>
        <v>0</v>
      </c>
      <c r="T229" s="42">
        <f t="shared" si="31"/>
        <v>0</v>
      </c>
      <c r="AA229" s="35"/>
    </row>
    <row r="230" spans="1:27">
      <c r="A230" s="36">
        <v>30</v>
      </c>
      <c r="B230" s="29">
        <v>1</v>
      </c>
      <c r="C230" s="110" t="s">
        <v>76</v>
      </c>
      <c r="D230" s="108">
        <v>100</v>
      </c>
      <c r="E230" s="108" t="s">
        <v>388</v>
      </c>
      <c r="F230" s="109" t="s">
        <v>316</v>
      </c>
      <c r="G230" s="108" t="s">
        <v>212</v>
      </c>
      <c r="H230" s="111">
        <v>0.24909747292418771</v>
      </c>
      <c r="I230" s="103"/>
      <c r="J230" s="102"/>
      <c r="K230" s="45">
        <v>19.53</v>
      </c>
      <c r="L230" s="45">
        <v>19.53</v>
      </c>
      <c r="M230" s="41">
        <v>19.53</v>
      </c>
      <c r="N230" s="44">
        <f t="shared" si="25"/>
        <v>0</v>
      </c>
      <c r="O230" s="43">
        <f t="shared" si="26"/>
        <v>4.8648736462093867</v>
      </c>
      <c r="P230" s="40">
        <f t="shared" si="27"/>
        <v>4.8648736462093867</v>
      </c>
      <c r="Q230" s="40">
        <f t="shared" si="28"/>
        <v>4.8648736462093867</v>
      </c>
      <c r="R230" s="40">
        <f t="shared" si="29"/>
        <v>0</v>
      </c>
      <c r="S230" s="40">
        <f t="shared" si="30"/>
        <v>0</v>
      </c>
      <c r="T230" s="42">
        <f t="shared" si="31"/>
        <v>0</v>
      </c>
      <c r="AA230" s="35"/>
    </row>
    <row r="231" spans="1:27">
      <c r="A231" s="36">
        <v>42</v>
      </c>
      <c r="B231" s="29">
        <v>1</v>
      </c>
      <c r="C231" s="110" t="s">
        <v>76</v>
      </c>
      <c r="D231" s="108">
        <v>100</v>
      </c>
      <c r="E231" s="108" t="s">
        <v>388</v>
      </c>
      <c r="F231" s="109" t="s">
        <v>315</v>
      </c>
      <c r="G231" s="108" t="s">
        <v>212</v>
      </c>
      <c r="H231" s="111">
        <v>0</v>
      </c>
      <c r="I231" s="103"/>
      <c r="J231" s="102"/>
      <c r="K231" s="45">
        <v>23.76</v>
      </c>
      <c r="L231" s="45">
        <v>23.82</v>
      </c>
      <c r="M231" s="41">
        <v>23.82</v>
      </c>
      <c r="N231" s="44">
        <f t="shared" si="25"/>
        <v>5.9999999999998721E-2</v>
      </c>
      <c r="O231" s="43">
        <f t="shared" si="26"/>
        <v>0</v>
      </c>
      <c r="P231" s="40">
        <f t="shared" si="27"/>
        <v>0</v>
      </c>
      <c r="Q231" s="40">
        <f t="shared" si="28"/>
        <v>0</v>
      </c>
      <c r="R231" s="40">
        <f t="shared" si="29"/>
        <v>0</v>
      </c>
      <c r="S231" s="40">
        <f t="shared" si="30"/>
        <v>0</v>
      </c>
      <c r="T231" s="42">
        <f t="shared" si="31"/>
        <v>2.525252525252375E-3</v>
      </c>
      <c r="AA231" s="35"/>
    </row>
    <row r="232" spans="1:27">
      <c r="A232" s="36">
        <v>44</v>
      </c>
      <c r="B232" s="29">
        <v>1</v>
      </c>
      <c r="C232" s="110" t="s">
        <v>76</v>
      </c>
      <c r="D232" s="108">
        <v>100</v>
      </c>
      <c r="E232" s="108" t="s">
        <v>388</v>
      </c>
      <c r="F232" s="109" t="s">
        <v>314</v>
      </c>
      <c r="G232" s="108" t="s">
        <v>212</v>
      </c>
      <c r="H232" s="111">
        <v>0</v>
      </c>
      <c r="I232" s="103"/>
      <c r="J232" s="102"/>
      <c r="K232" s="45">
        <v>28.99</v>
      </c>
      <c r="L232" s="45">
        <v>28.99</v>
      </c>
      <c r="M232" s="41">
        <v>28.99</v>
      </c>
      <c r="N232" s="44">
        <f t="shared" si="25"/>
        <v>0</v>
      </c>
      <c r="O232" s="43">
        <f t="shared" si="26"/>
        <v>0</v>
      </c>
      <c r="P232" s="40">
        <f t="shared" si="27"/>
        <v>0</v>
      </c>
      <c r="Q232" s="40">
        <f t="shared" si="28"/>
        <v>0</v>
      </c>
      <c r="R232" s="40">
        <f t="shared" si="29"/>
        <v>0</v>
      </c>
      <c r="S232" s="40">
        <f t="shared" si="30"/>
        <v>0</v>
      </c>
      <c r="T232" s="42">
        <f t="shared" si="31"/>
        <v>0</v>
      </c>
      <c r="AA232" s="35"/>
    </row>
    <row r="233" spans="1:27">
      <c r="A233" s="36">
        <v>46</v>
      </c>
      <c r="B233" s="29">
        <v>1</v>
      </c>
      <c r="C233" s="110" t="s">
        <v>76</v>
      </c>
      <c r="D233" s="108">
        <v>100</v>
      </c>
      <c r="E233" s="108" t="s">
        <v>388</v>
      </c>
      <c r="F233" s="109" t="s">
        <v>313</v>
      </c>
      <c r="G233" s="108" t="s">
        <v>212</v>
      </c>
      <c r="H233" s="111">
        <v>0</v>
      </c>
      <c r="I233" s="103"/>
      <c r="J233" s="102"/>
      <c r="K233" s="45">
        <v>88.64</v>
      </c>
      <c r="L233" s="45">
        <v>88.64</v>
      </c>
      <c r="M233" s="41">
        <v>88.64</v>
      </c>
      <c r="N233" s="44">
        <f t="shared" si="25"/>
        <v>0</v>
      </c>
      <c r="O233" s="43">
        <f t="shared" si="26"/>
        <v>0</v>
      </c>
      <c r="P233" s="40">
        <f t="shared" si="27"/>
        <v>0</v>
      </c>
      <c r="Q233" s="40">
        <f t="shared" si="28"/>
        <v>0</v>
      </c>
      <c r="R233" s="40">
        <f t="shared" si="29"/>
        <v>0</v>
      </c>
      <c r="S233" s="40">
        <f t="shared" si="30"/>
        <v>0</v>
      </c>
      <c r="T233" s="42">
        <f t="shared" si="31"/>
        <v>0</v>
      </c>
      <c r="AA233" s="35"/>
    </row>
    <row r="234" spans="1:27">
      <c r="A234" s="36">
        <v>48</v>
      </c>
      <c r="B234" s="29">
        <v>1</v>
      </c>
      <c r="C234" s="110" t="s">
        <v>76</v>
      </c>
      <c r="D234" s="108">
        <v>100</v>
      </c>
      <c r="E234" s="108" t="s">
        <v>388</v>
      </c>
      <c r="F234" s="109" t="s">
        <v>312</v>
      </c>
      <c r="G234" s="108" t="s">
        <v>212</v>
      </c>
      <c r="H234" s="111">
        <v>0</v>
      </c>
      <c r="I234" s="103"/>
      <c r="J234" s="102"/>
      <c r="K234" s="45">
        <v>34.39</v>
      </c>
      <c r="L234" s="45">
        <v>34.39</v>
      </c>
      <c r="M234" s="41">
        <v>34.39</v>
      </c>
      <c r="N234" s="44">
        <f t="shared" si="25"/>
        <v>0</v>
      </c>
      <c r="O234" s="43">
        <f t="shared" si="26"/>
        <v>0</v>
      </c>
      <c r="P234" s="40">
        <f t="shared" si="27"/>
        <v>0</v>
      </c>
      <c r="Q234" s="40">
        <f t="shared" si="28"/>
        <v>0</v>
      </c>
      <c r="R234" s="40">
        <f t="shared" si="29"/>
        <v>0</v>
      </c>
      <c r="S234" s="40">
        <f t="shared" si="30"/>
        <v>0</v>
      </c>
      <c r="T234" s="42">
        <f t="shared" si="31"/>
        <v>0</v>
      </c>
      <c r="AA234" s="35"/>
    </row>
    <row r="235" spans="1:27">
      <c r="A235" s="36">
        <v>50</v>
      </c>
      <c r="B235" s="29">
        <v>1</v>
      </c>
      <c r="C235" s="110" t="s">
        <v>76</v>
      </c>
      <c r="D235" s="108">
        <v>100</v>
      </c>
      <c r="E235" s="108" t="s">
        <v>388</v>
      </c>
      <c r="F235" s="109" t="s">
        <v>311</v>
      </c>
      <c r="G235" s="108" t="s">
        <v>212</v>
      </c>
      <c r="H235" s="111">
        <v>0</v>
      </c>
      <c r="I235" s="103"/>
      <c r="J235" s="102"/>
      <c r="K235" s="45">
        <v>44.31</v>
      </c>
      <c r="L235" s="45">
        <v>44.31</v>
      </c>
      <c r="M235" s="41">
        <v>44.31</v>
      </c>
      <c r="N235" s="44">
        <f t="shared" si="25"/>
        <v>0</v>
      </c>
      <c r="O235" s="43">
        <f t="shared" si="26"/>
        <v>0</v>
      </c>
      <c r="P235" s="40">
        <f t="shared" si="27"/>
        <v>0</v>
      </c>
      <c r="Q235" s="40">
        <f t="shared" si="28"/>
        <v>0</v>
      </c>
      <c r="R235" s="40">
        <f t="shared" si="29"/>
        <v>0</v>
      </c>
      <c r="S235" s="40">
        <f t="shared" si="30"/>
        <v>0</v>
      </c>
      <c r="T235" s="42">
        <f t="shared" si="31"/>
        <v>0</v>
      </c>
      <c r="AA235" s="35"/>
    </row>
    <row r="236" spans="1:27">
      <c r="A236" s="36">
        <v>52</v>
      </c>
      <c r="B236" s="29">
        <v>1</v>
      </c>
      <c r="C236" s="110" t="s">
        <v>76</v>
      </c>
      <c r="D236" s="108">
        <v>100</v>
      </c>
      <c r="E236" s="108" t="s">
        <v>388</v>
      </c>
      <c r="F236" s="109" t="s">
        <v>310</v>
      </c>
      <c r="G236" s="108" t="s">
        <v>212</v>
      </c>
      <c r="H236" s="111">
        <v>0</v>
      </c>
      <c r="I236" s="103"/>
      <c r="J236" s="102"/>
      <c r="K236" s="45">
        <v>50.83</v>
      </c>
      <c r="L236" s="45">
        <v>50.83</v>
      </c>
      <c r="M236" s="41">
        <v>50.83</v>
      </c>
      <c r="N236" s="44">
        <f t="shared" si="25"/>
        <v>0</v>
      </c>
      <c r="O236" s="43">
        <f t="shared" si="26"/>
        <v>0</v>
      </c>
      <c r="P236" s="40">
        <f t="shared" si="27"/>
        <v>0</v>
      </c>
      <c r="Q236" s="40">
        <f t="shared" si="28"/>
        <v>0</v>
      </c>
      <c r="R236" s="40">
        <f t="shared" si="29"/>
        <v>0</v>
      </c>
      <c r="S236" s="40">
        <f t="shared" si="30"/>
        <v>0</v>
      </c>
      <c r="T236" s="42">
        <f t="shared" si="31"/>
        <v>0</v>
      </c>
      <c r="AA236" s="35"/>
    </row>
    <row r="237" spans="1:27">
      <c r="A237" s="36">
        <v>3</v>
      </c>
      <c r="B237" s="29">
        <v>1</v>
      </c>
      <c r="C237" s="110" t="s">
        <v>76</v>
      </c>
      <c r="D237" s="108">
        <v>100</v>
      </c>
      <c r="E237" s="108" t="s">
        <v>388</v>
      </c>
      <c r="F237" s="109" t="s">
        <v>309</v>
      </c>
      <c r="G237" s="108" t="s">
        <v>212</v>
      </c>
      <c r="H237" s="111">
        <v>3169.8510134346543</v>
      </c>
      <c r="I237" s="103" t="s">
        <v>482</v>
      </c>
      <c r="J237" s="102"/>
      <c r="K237" s="45">
        <v>19.010000000000002</v>
      </c>
      <c r="L237" s="45">
        <v>19.010000000000002</v>
      </c>
      <c r="M237" s="41">
        <v>19.010000000000002</v>
      </c>
      <c r="N237" s="44">
        <f t="shared" si="25"/>
        <v>0</v>
      </c>
      <c r="O237" s="43">
        <f t="shared" si="26"/>
        <v>60258.867765392781</v>
      </c>
      <c r="P237" s="40">
        <f t="shared" si="27"/>
        <v>60258.867765392781</v>
      </c>
      <c r="Q237" s="40">
        <f t="shared" si="28"/>
        <v>60258.867765392781</v>
      </c>
      <c r="R237" s="40">
        <f t="shared" si="29"/>
        <v>0</v>
      </c>
      <c r="S237" s="40">
        <f t="shared" si="30"/>
        <v>0</v>
      </c>
      <c r="T237" s="42">
        <f t="shared" si="31"/>
        <v>0</v>
      </c>
      <c r="AA237" s="35"/>
    </row>
    <row r="238" spans="1:27">
      <c r="A238" s="36">
        <v>26</v>
      </c>
      <c r="B238" s="29">
        <v>1</v>
      </c>
      <c r="C238" s="29" t="s">
        <v>76</v>
      </c>
      <c r="D238" s="31">
        <v>100</v>
      </c>
      <c r="E238" s="31" t="s">
        <v>388</v>
      </c>
      <c r="F238" s="32" t="s">
        <v>432</v>
      </c>
      <c r="G238" s="31" t="s">
        <v>160</v>
      </c>
      <c r="H238" s="30">
        <v>15</v>
      </c>
      <c r="I238" s="103"/>
      <c r="J238" s="102"/>
      <c r="K238" s="45">
        <v>3.26</v>
      </c>
      <c r="L238" s="45">
        <v>3.26</v>
      </c>
      <c r="M238" s="41">
        <v>3.26</v>
      </c>
      <c r="N238" s="44">
        <f t="shared" si="25"/>
        <v>0</v>
      </c>
      <c r="O238" s="43">
        <f t="shared" si="26"/>
        <v>48.9</v>
      </c>
      <c r="P238" s="40">
        <f t="shared" si="27"/>
        <v>48.9</v>
      </c>
      <c r="Q238" s="40">
        <f t="shared" si="28"/>
        <v>48.9</v>
      </c>
      <c r="R238" s="40">
        <f t="shared" si="29"/>
        <v>0</v>
      </c>
      <c r="S238" s="40">
        <f t="shared" si="30"/>
        <v>0</v>
      </c>
      <c r="T238" s="42">
        <f t="shared" si="31"/>
        <v>0</v>
      </c>
      <c r="AA238" s="35"/>
    </row>
    <row r="239" spans="1:27">
      <c r="A239" s="36">
        <v>54</v>
      </c>
      <c r="B239" s="29">
        <v>1</v>
      </c>
      <c r="C239" s="110" t="s">
        <v>76</v>
      </c>
      <c r="D239" s="108">
        <v>100</v>
      </c>
      <c r="E239" s="108" t="s">
        <v>388</v>
      </c>
      <c r="F239" s="109" t="s">
        <v>308</v>
      </c>
      <c r="G239" s="108" t="s">
        <v>160</v>
      </c>
      <c r="H239" s="111">
        <v>0</v>
      </c>
      <c r="I239" s="103"/>
      <c r="J239" s="102"/>
      <c r="K239" s="45">
        <v>18.440000000000001</v>
      </c>
      <c r="L239" s="45">
        <v>3.39</v>
      </c>
      <c r="M239" s="41">
        <v>18.440000000000001</v>
      </c>
      <c r="N239" s="44">
        <f t="shared" si="25"/>
        <v>-15.05</v>
      </c>
      <c r="O239" s="43">
        <f t="shared" si="26"/>
        <v>0</v>
      </c>
      <c r="P239" s="40">
        <f t="shared" si="27"/>
        <v>0</v>
      </c>
      <c r="Q239" s="40">
        <f t="shared" si="28"/>
        <v>0</v>
      </c>
      <c r="R239" s="40">
        <f t="shared" si="29"/>
        <v>0</v>
      </c>
      <c r="S239" s="40">
        <f t="shared" si="30"/>
        <v>0</v>
      </c>
      <c r="T239" s="42">
        <f t="shared" si="31"/>
        <v>0</v>
      </c>
      <c r="AA239" s="35"/>
    </row>
    <row r="240" spans="1:27">
      <c r="A240" s="36">
        <v>1</v>
      </c>
      <c r="B240" s="29">
        <v>1</v>
      </c>
      <c r="C240" s="110" t="s">
        <v>76</v>
      </c>
      <c r="D240" s="108">
        <v>100</v>
      </c>
      <c r="E240" s="108" t="s">
        <v>388</v>
      </c>
      <c r="F240" s="109" t="s">
        <v>306</v>
      </c>
      <c r="G240" s="108" t="s">
        <v>212</v>
      </c>
      <c r="H240" s="111">
        <v>52288</v>
      </c>
      <c r="I240" s="103" t="s">
        <v>482</v>
      </c>
      <c r="J240" s="102"/>
      <c r="K240" s="45">
        <v>24.08</v>
      </c>
      <c r="L240" s="45">
        <v>24.08</v>
      </c>
      <c r="M240" s="41">
        <v>24.08</v>
      </c>
      <c r="N240" s="44">
        <f t="shared" si="25"/>
        <v>0</v>
      </c>
      <c r="O240" s="43">
        <f t="shared" si="26"/>
        <v>1259095.0399999998</v>
      </c>
      <c r="P240" s="40">
        <f t="shared" si="27"/>
        <v>1259095.0399999998</v>
      </c>
      <c r="Q240" s="40">
        <f t="shared" si="28"/>
        <v>1259095.0399999998</v>
      </c>
      <c r="R240" s="40">
        <f t="shared" si="29"/>
        <v>0</v>
      </c>
      <c r="S240" s="40">
        <f t="shared" si="30"/>
        <v>0</v>
      </c>
      <c r="T240" s="42">
        <f t="shared" si="31"/>
        <v>0</v>
      </c>
      <c r="AA240" s="35"/>
    </row>
    <row r="241" spans="1:27">
      <c r="A241" s="36">
        <v>10</v>
      </c>
      <c r="B241" s="29">
        <v>1</v>
      </c>
      <c r="C241" s="29" t="s">
        <v>76</v>
      </c>
      <c r="D241" s="31">
        <v>100</v>
      </c>
      <c r="E241" s="31" t="s">
        <v>388</v>
      </c>
      <c r="F241" s="32" t="s">
        <v>305</v>
      </c>
      <c r="G241" s="31" t="s">
        <v>160</v>
      </c>
      <c r="H241" s="30">
        <v>562.90797546012277</v>
      </c>
      <c r="I241" s="103"/>
      <c r="J241" s="102"/>
      <c r="K241" s="45">
        <v>3.26</v>
      </c>
      <c r="L241" s="45">
        <v>3.26</v>
      </c>
      <c r="M241" s="41">
        <v>3.26</v>
      </c>
      <c r="N241" s="44">
        <f t="shared" si="25"/>
        <v>0</v>
      </c>
      <c r="O241" s="43">
        <f t="shared" si="26"/>
        <v>1835.0800000000002</v>
      </c>
      <c r="P241" s="40">
        <f t="shared" si="27"/>
        <v>1835.0800000000002</v>
      </c>
      <c r="Q241" s="40">
        <f t="shared" si="28"/>
        <v>1835.0800000000002</v>
      </c>
      <c r="R241" s="40">
        <f t="shared" si="29"/>
        <v>0</v>
      </c>
      <c r="S241" s="40">
        <f t="shared" si="30"/>
        <v>0</v>
      </c>
      <c r="T241" s="42">
        <f t="shared" si="31"/>
        <v>0</v>
      </c>
      <c r="AA241" s="35"/>
    </row>
    <row r="242" spans="1:27">
      <c r="A242" s="36">
        <v>57</v>
      </c>
      <c r="B242" s="29">
        <v>1</v>
      </c>
      <c r="C242" s="110" t="s">
        <v>76</v>
      </c>
      <c r="D242" s="108">
        <v>100</v>
      </c>
      <c r="E242" s="108" t="s">
        <v>388</v>
      </c>
      <c r="F242" s="109" t="s">
        <v>303</v>
      </c>
      <c r="G242" s="108" t="s">
        <v>160</v>
      </c>
      <c r="H242" s="111">
        <v>0</v>
      </c>
      <c r="I242" s="103"/>
      <c r="J242" s="102"/>
      <c r="K242" s="45">
        <v>23.28</v>
      </c>
      <c r="L242" s="45">
        <v>3.39</v>
      </c>
      <c r="M242" s="41">
        <v>23.28</v>
      </c>
      <c r="N242" s="44">
        <f t="shared" si="25"/>
        <v>-19.89</v>
      </c>
      <c r="O242" s="43">
        <f t="shared" si="26"/>
        <v>0</v>
      </c>
      <c r="P242" s="40">
        <f t="shared" si="27"/>
        <v>0</v>
      </c>
      <c r="Q242" s="40">
        <f t="shared" si="28"/>
        <v>0</v>
      </c>
      <c r="R242" s="40">
        <f t="shared" si="29"/>
        <v>0</v>
      </c>
      <c r="S242" s="40">
        <f t="shared" si="30"/>
        <v>0</v>
      </c>
      <c r="T242" s="42">
        <f t="shared" si="31"/>
        <v>0</v>
      </c>
      <c r="AA242" s="35"/>
    </row>
    <row r="243" spans="1:27">
      <c r="A243" s="36">
        <v>6</v>
      </c>
      <c r="B243" s="29">
        <v>1</v>
      </c>
      <c r="C243" s="110" t="s">
        <v>76</v>
      </c>
      <c r="D243" s="108">
        <v>100</v>
      </c>
      <c r="E243" s="108" t="s">
        <v>388</v>
      </c>
      <c r="F243" s="109" t="s">
        <v>431</v>
      </c>
      <c r="G243" s="108" t="s">
        <v>160</v>
      </c>
      <c r="H243" s="111">
        <v>2049</v>
      </c>
      <c r="I243" s="103" t="s">
        <v>482</v>
      </c>
      <c r="J243" s="102"/>
      <c r="K243" s="45">
        <v>3.36</v>
      </c>
      <c r="L243" s="45">
        <v>3.39</v>
      </c>
      <c r="M243" s="45">
        <f>L243*(1+$W$16)</f>
        <v>3.39</v>
      </c>
      <c r="N243" s="44">
        <f t="shared" si="25"/>
        <v>3.0000000000000249E-2</v>
      </c>
      <c r="O243" s="43">
        <f t="shared" si="26"/>
        <v>6884.6399999999994</v>
      </c>
      <c r="P243" s="40">
        <f t="shared" si="27"/>
        <v>6946.1100000000006</v>
      </c>
      <c r="Q243" s="40">
        <f t="shared" si="28"/>
        <v>6946.1100000000006</v>
      </c>
      <c r="R243" s="40">
        <f t="shared" si="29"/>
        <v>61.470000000001164</v>
      </c>
      <c r="S243" s="40">
        <f t="shared" si="30"/>
        <v>61.470000000001164</v>
      </c>
      <c r="T243" s="42">
        <f t="shared" si="31"/>
        <v>8.9285714285713969E-3</v>
      </c>
      <c r="AA243" s="35"/>
    </row>
    <row r="244" spans="1:27">
      <c r="A244" s="36">
        <v>24</v>
      </c>
      <c r="B244" s="29">
        <v>1</v>
      </c>
      <c r="C244" s="110" t="s">
        <v>76</v>
      </c>
      <c r="D244" s="108">
        <v>100</v>
      </c>
      <c r="E244" s="108" t="s">
        <v>388</v>
      </c>
      <c r="F244" s="109" t="s">
        <v>298</v>
      </c>
      <c r="G244" s="108" t="s">
        <v>160</v>
      </c>
      <c r="H244" s="111">
        <v>5</v>
      </c>
      <c r="I244" s="103" t="s">
        <v>482</v>
      </c>
      <c r="J244" s="102"/>
      <c r="K244" s="45">
        <v>14.35</v>
      </c>
      <c r="L244" s="45">
        <v>14.41</v>
      </c>
      <c r="M244" s="45">
        <f>L244*(1+$W$16)</f>
        <v>14.41</v>
      </c>
      <c r="N244" s="44">
        <f t="shared" si="25"/>
        <v>6.0000000000000497E-2</v>
      </c>
      <c r="O244" s="43">
        <f t="shared" si="26"/>
        <v>71.75</v>
      </c>
      <c r="P244" s="40">
        <f t="shared" si="27"/>
        <v>72.05</v>
      </c>
      <c r="Q244" s="40">
        <f t="shared" si="28"/>
        <v>72.05</v>
      </c>
      <c r="R244" s="40">
        <f t="shared" si="29"/>
        <v>0.29999999999999716</v>
      </c>
      <c r="S244" s="40">
        <f t="shared" si="30"/>
        <v>0.29999999999999716</v>
      </c>
      <c r="T244" s="42">
        <f t="shared" si="31"/>
        <v>4.1811846689896459E-3</v>
      </c>
      <c r="AA244" s="35"/>
    </row>
    <row r="245" spans="1:27">
      <c r="A245" s="36">
        <v>20</v>
      </c>
      <c r="B245" s="29">
        <v>1</v>
      </c>
      <c r="C245" s="29" t="s">
        <v>76</v>
      </c>
      <c r="D245" s="31">
        <v>100</v>
      </c>
      <c r="E245" s="31" t="s">
        <v>388</v>
      </c>
      <c r="F245" s="32" t="s">
        <v>430</v>
      </c>
      <c r="G245" s="31" t="s">
        <v>212</v>
      </c>
      <c r="H245" s="30">
        <v>12</v>
      </c>
      <c r="I245" s="103"/>
      <c r="J245" s="102"/>
      <c r="K245" s="45">
        <v>9.7899999999999991</v>
      </c>
      <c r="L245" s="45">
        <v>1.3336400000000002</v>
      </c>
      <c r="M245" s="45">
        <f>L245*(1+$W$16)</f>
        <v>1.3336400000000002</v>
      </c>
      <c r="N245" s="44">
        <f t="shared" si="25"/>
        <v>-8.4563599999999983</v>
      </c>
      <c r="O245" s="43">
        <f t="shared" si="26"/>
        <v>117.47999999999999</v>
      </c>
      <c r="P245" s="40">
        <f t="shared" si="27"/>
        <v>16.003680000000003</v>
      </c>
      <c r="Q245" s="40">
        <f t="shared" si="28"/>
        <v>16.003680000000003</v>
      </c>
      <c r="R245" s="40">
        <f t="shared" si="29"/>
        <v>-101.47631999999999</v>
      </c>
      <c r="S245" s="40">
        <f t="shared" si="30"/>
        <v>-101.47631999999999</v>
      </c>
      <c r="T245" s="42">
        <f t="shared" si="31"/>
        <v>-0.86377528089887634</v>
      </c>
      <c r="AA245" s="35"/>
    </row>
    <row r="246" spans="1:27">
      <c r="A246" s="36">
        <v>104</v>
      </c>
      <c r="B246" s="29">
        <v>2</v>
      </c>
      <c r="C246" s="110" t="s">
        <v>76</v>
      </c>
      <c r="D246" s="108">
        <v>150</v>
      </c>
      <c r="E246" s="108" t="s">
        <v>388</v>
      </c>
      <c r="F246" s="109" t="s">
        <v>429</v>
      </c>
      <c r="G246" s="108" t="s">
        <v>283</v>
      </c>
      <c r="H246" s="111">
        <v>52</v>
      </c>
      <c r="I246" s="103"/>
      <c r="J246" s="102"/>
      <c r="K246" s="45">
        <v>15.98</v>
      </c>
      <c r="L246" s="45">
        <v>15.98</v>
      </c>
      <c r="M246" s="41">
        <v>15.98</v>
      </c>
      <c r="N246" s="44">
        <f t="shared" si="25"/>
        <v>0</v>
      </c>
      <c r="O246" s="43">
        <f t="shared" si="26"/>
        <v>830.96</v>
      </c>
      <c r="P246" s="40">
        <f t="shared" si="27"/>
        <v>830.96</v>
      </c>
      <c r="Q246" s="40">
        <f t="shared" si="28"/>
        <v>830.96</v>
      </c>
      <c r="R246" s="40">
        <f t="shared" si="29"/>
        <v>0</v>
      </c>
      <c r="S246" s="40">
        <f t="shared" si="30"/>
        <v>0</v>
      </c>
      <c r="T246" s="42">
        <f t="shared" si="31"/>
        <v>0</v>
      </c>
      <c r="AA246" s="35"/>
    </row>
    <row r="247" spans="1:27">
      <c r="A247" s="36">
        <v>335</v>
      </c>
      <c r="B247" s="29">
        <v>3</v>
      </c>
      <c r="C247" s="29" t="s">
        <v>76</v>
      </c>
      <c r="D247" s="31">
        <v>160</v>
      </c>
      <c r="E247" s="31" t="s">
        <v>388</v>
      </c>
      <c r="F247" s="32" t="s">
        <v>428</v>
      </c>
      <c r="G247" s="31" t="s">
        <v>287</v>
      </c>
      <c r="H247" s="30">
        <v>0</v>
      </c>
      <c r="I247" s="103"/>
      <c r="J247" s="102"/>
      <c r="K247" s="45">
        <v>46.26</v>
      </c>
      <c r="L247" s="45">
        <v>46.26</v>
      </c>
      <c r="M247" s="41">
        <v>46.26</v>
      </c>
      <c r="N247" s="44">
        <f t="shared" si="25"/>
        <v>0</v>
      </c>
      <c r="O247" s="43">
        <f t="shared" si="26"/>
        <v>0</v>
      </c>
      <c r="P247" s="40">
        <f t="shared" si="27"/>
        <v>0</v>
      </c>
      <c r="Q247" s="40">
        <f t="shared" si="28"/>
        <v>0</v>
      </c>
      <c r="R247" s="40">
        <f t="shared" si="29"/>
        <v>0</v>
      </c>
      <c r="S247" s="40">
        <f t="shared" si="30"/>
        <v>0</v>
      </c>
      <c r="T247" s="42">
        <f t="shared" si="31"/>
        <v>0</v>
      </c>
      <c r="AA247" s="35"/>
    </row>
    <row r="248" spans="1:27">
      <c r="A248" s="36">
        <v>336</v>
      </c>
      <c r="B248" s="29">
        <v>3</v>
      </c>
      <c r="C248" s="29" t="s">
        <v>76</v>
      </c>
      <c r="D248" s="31">
        <v>160</v>
      </c>
      <c r="E248" s="31" t="s">
        <v>388</v>
      </c>
      <c r="F248" s="32" t="s">
        <v>427</v>
      </c>
      <c r="G248" s="31" t="s">
        <v>287</v>
      </c>
      <c r="H248" s="30">
        <v>0</v>
      </c>
      <c r="I248" s="103"/>
      <c r="J248" s="102"/>
      <c r="K248" s="45">
        <v>84.74</v>
      </c>
      <c r="L248" s="45">
        <v>84.74</v>
      </c>
      <c r="M248" s="41">
        <v>84.74</v>
      </c>
      <c r="N248" s="44">
        <f t="shared" si="25"/>
        <v>0</v>
      </c>
      <c r="O248" s="43">
        <f t="shared" si="26"/>
        <v>0</v>
      </c>
      <c r="P248" s="40">
        <f t="shared" si="27"/>
        <v>0</v>
      </c>
      <c r="Q248" s="40">
        <f t="shared" si="28"/>
        <v>0</v>
      </c>
      <c r="R248" s="40">
        <f t="shared" si="29"/>
        <v>0</v>
      </c>
      <c r="S248" s="40">
        <f t="shared" si="30"/>
        <v>0</v>
      </c>
      <c r="T248" s="42">
        <f t="shared" si="31"/>
        <v>0</v>
      </c>
      <c r="AA248" s="35"/>
    </row>
    <row r="249" spans="1:27">
      <c r="A249" s="36">
        <v>337</v>
      </c>
      <c r="B249" s="29">
        <v>3</v>
      </c>
      <c r="C249" s="29" t="s">
        <v>76</v>
      </c>
      <c r="D249" s="31">
        <v>160</v>
      </c>
      <c r="E249" s="31" t="s">
        <v>388</v>
      </c>
      <c r="F249" s="32" t="s">
        <v>426</v>
      </c>
      <c r="G249" s="31" t="s">
        <v>287</v>
      </c>
      <c r="H249" s="30">
        <v>0</v>
      </c>
      <c r="I249" s="103"/>
      <c r="J249" s="102"/>
      <c r="K249" s="45">
        <v>101.3</v>
      </c>
      <c r="L249" s="45">
        <v>101.3</v>
      </c>
      <c r="M249" s="41">
        <v>101.3</v>
      </c>
      <c r="N249" s="44">
        <f t="shared" si="25"/>
        <v>0</v>
      </c>
      <c r="O249" s="43">
        <f t="shared" si="26"/>
        <v>0</v>
      </c>
      <c r="P249" s="40">
        <f t="shared" si="27"/>
        <v>0</v>
      </c>
      <c r="Q249" s="40">
        <f t="shared" si="28"/>
        <v>0</v>
      </c>
      <c r="R249" s="40">
        <f t="shared" si="29"/>
        <v>0</v>
      </c>
      <c r="S249" s="40">
        <f t="shared" si="30"/>
        <v>0</v>
      </c>
      <c r="T249" s="42">
        <f t="shared" si="31"/>
        <v>0</v>
      </c>
      <c r="AA249" s="35"/>
    </row>
    <row r="250" spans="1:27">
      <c r="A250" s="36">
        <v>338</v>
      </c>
      <c r="B250" s="29">
        <v>3</v>
      </c>
      <c r="C250" s="29" t="s">
        <v>76</v>
      </c>
      <c r="D250" s="31">
        <v>160</v>
      </c>
      <c r="E250" s="31" t="s">
        <v>388</v>
      </c>
      <c r="F250" s="32" t="s">
        <v>425</v>
      </c>
      <c r="G250" s="31" t="s">
        <v>287</v>
      </c>
      <c r="H250" s="30">
        <v>0</v>
      </c>
      <c r="I250" s="103"/>
      <c r="J250" s="102"/>
      <c r="K250" s="45">
        <v>101.3</v>
      </c>
      <c r="L250" s="45">
        <v>101.3</v>
      </c>
      <c r="M250" s="41">
        <v>101.3</v>
      </c>
      <c r="N250" s="44">
        <f t="shared" si="25"/>
        <v>0</v>
      </c>
      <c r="O250" s="43">
        <f t="shared" si="26"/>
        <v>0</v>
      </c>
      <c r="P250" s="40">
        <f t="shared" si="27"/>
        <v>0</v>
      </c>
      <c r="Q250" s="40">
        <f t="shared" si="28"/>
        <v>0</v>
      </c>
      <c r="R250" s="40">
        <f t="shared" si="29"/>
        <v>0</v>
      </c>
      <c r="S250" s="40">
        <f t="shared" si="30"/>
        <v>0</v>
      </c>
      <c r="T250" s="42">
        <f t="shared" si="31"/>
        <v>0</v>
      </c>
      <c r="AA250" s="35"/>
    </row>
    <row r="251" spans="1:27">
      <c r="A251" s="36">
        <v>311</v>
      </c>
      <c r="B251" s="29">
        <v>3</v>
      </c>
      <c r="C251" s="29" t="s">
        <v>76</v>
      </c>
      <c r="D251" s="31">
        <v>160</v>
      </c>
      <c r="E251" s="31" t="s">
        <v>388</v>
      </c>
      <c r="F251" s="32" t="s">
        <v>424</v>
      </c>
      <c r="G251" s="31" t="s">
        <v>287</v>
      </c>
      <c r="H251" s="30">
        <v>5</v>
      </c>
      <c r="I251" s="103"/>
      <c r="J251" s="102"/>
      <c r="K251" s="45">
        <v>117.29</v>
      </c>
      <c r="L251" s="45">
        <v>117.29</v>
      </c>
      <c r="M251" s="41">
        <v>117.29</v>
      </c>
      <c r="N251" s="44">
        <f t="shared" si="25"/>
        <v>0</v>
      </c>
      <c r="O251" s="43">
        <f t="shared" si="26"/>
        <v>586.45000000000005</v>
      </c>
      <c r="P251" s="40">
        <f t="shared" si="27"/>
        <v>586.45000000000005</v>
      </c>
      <c r="Q251" s="40">
        <f t="shared" si="28"/>
        <v>586.45000000000005</v>
      </c>
      <c r="R251" s="40">
        <f t="shared" si="29"/>
        <v>0</v>
      </c>
      <c r="S251" s="40">
        <f t="shared" si="30"/>
        <v>0</v>
      </c>
      <c r="T251" s="42">
        <f t="shared" si="31"/>
        <v>0</v>
      </c>
      <c r="AA251" s="35"/>
    </row>
    <row r="252" spans="1:27">
      <c r="A252" s="36">
        <v>178</v>
      </c>
      <c r="B252" s="29">
        <v>2</v>
      </c>
      <c r="C252" s="29" t="s">
        <v>76</v>
      </c>
      <c r="D252" s="31">
        <v>205</v>
      </c>
      <c r="E252" s="31" t="s">
        <v>388</v>
      </c>
      <c r="F252" s="32" t="s">
        <v>286</v>
      </c>
      <c r="G252" s="31" t="s">
        <v>212</v>
      </c>
      <c r="H252" s="30">
        <v>0</v>
      </c>
      <c r="I252" s="103"/>
      <c r="J252" s="102"/>
      <c r="K252" s="45">
        <v>7.01</v>
      </c>
      <c r="L252" s="45">
        <v>12</v>
      </c>
      <c r="M252" s="41">
        <v>12</v>
      </c>
      <c r="N252" s="44">
        <f t="shared" si="25"/>
        <v>4.99</v>
      </c>
      <c r="O252" s="43">
        <f t="shared" si="26"/>
        <v>0</v>
      </c>
      <c r="P252" s="40">
        <f t="shared" si="27"/>
        <v>0</v>
      </c>
      <c r="Q252" s="40">
        <f t="shared" si="28"/>
        <v>0</v>
      </c>
      <c r="R252" s="40">
        <f t="shared" si="29"/>
        <v>0</v>
      </c>
      <c r="S252" s="40">
        <f t="shared" si="30"/>
        <v>0</v>
      </c>
      <c r="T252" s="42">
        <f t="shared" si="31"/>
        <v>0.71184022824536375</v>
      </c>
      <c r="AA252" s="35"/>
    </row>
    <row r="253" spans="1:27">
      <c r="A253" s="36">
        <v>180</v>
      </c>
      <c r="B253" s="29">
        <v>2</v>
      </c>
      <c r="C253" s="29" t="s">
        <v>76</v>
      </c>
      <c r="D253" s="31">
        <v>205</v>
      </c>
      <c r="E253" s="31" t="s">
        <v>388</v>
      </c>
      <c r="F253" s="32" t="s">
        <v>285</v>
      </c>
      <c r="G253" s="31" t="s">
        <v>212</v>
      </c>
      <c r="H253" s="30">
        <v>0</v>
      </c>
      <c r="I253" s="103"/>
      <c r="J253" s="102"/>
      <c r="K253" s="45">
        <v>8.92</v>
      </c>
      <c r="L253" s="45">
        <v>15</v>
      </c>
      <c r="M253" s="41">
        <v>15</v>
      </c>
      <c r="N253" s="44">
        <f t="shared" si="25"/>
        <v>6.08</v>
      </c>
      <c r="O253" s="43">
        <f t="shared" si="26"/>
        <v>0</v>
      </c>
      <c r="P253" s="40">
        <f t="shared" si="27"/>
        <v>0</v>
      </c>
      <c r="Q253" s="40">
        <f t="shared" si="28"/>
        <v>0</v>
      </c>
      <c r="R253" s="40">
        <f t="shared" si="29"/>
        <v>0</v>
      </c>
      <c r="S253" s="40">
        <f t="shared" si="30"/>
        <v>0</v>
      </c>
      <c r="T253" s="42">
        <f t="shared" si="31"/>
        <v>0.68161434977578472</v>
      </c>
      <c r="AA253" s="35"/>
    </row>
    <row r="254" spans="1:27">
      <c r="A254" s="36">
        <v>181</v>
      </c>
      <c r="B254" s="29">
        <v>2</v>
      </c>
      <c r="C254" s="110" t="s">
        <v>76</v>
      </c>
      <c r="D254" s="108">
        <v>207</v>
      </c>
      <c r="E254" s="108" t="s">
        <v>388</v>
      </c>
      <c r="F254" s="109" t="s">
        <v>423</v>
      </c>
      <c r="G254" s="108" t="s">
        <v>283</v>
      </c>
      <c r="H254" s="30">
        <v>0</v>
      </c>
      <c r="I254" s="103"/>
      <c r="J254" s="102"/>
      <c r="K254" s="45">
        <v>19.329999999999998</v>
      </c>
      <c r="L254" s="45">
        <v>15.98</v>
      </c>
      <c r="M254" s="41">
        <v>15.98</v>
      </c>
      <c r="N254" s="44">
        <f t="shared" si="25"/>
        <v>-3.3499999999999979</v>
      </c>
      <c r="O254" s="43">
        <f t="shared" si="26"/>
        <v>0</v>
      </c>
      <c r="P254" s="40">
        <f t="shared" si="27"/>
        <v>0</v>
      </c>
      <c r="Q254" s="40">
        <f t="shared" si="28"/>
        <v>0</v>
      </c>
      <c r="R254" s="40">
        <f t="shared" si="29"/>
        <v>0</v>
      </c>
      <c r="S254" s="40">
        <f t="shared" si="30"/>
        <v>0</v>
      </c>
      <c r="T254" s="42">
        <f t="shared" si="31"/>
        <v>-0.17330574236937391</v>
      </c>
      <c r="AA254" s="35"/>
    </row>
    <row r="255" spans="1:27">
      <c r="A255" s="36">
        <v>339</v>
      </c>
      <c r="B255" s="29">
        <v>3</v>
      </c>
      <c r="C255" s="110" t="s">
        <v>76</v>
      </c>
      <c r="D255" s="108">
        <v>207</v>
      </c>
      <c r="E255" s="108" t="s">
        <v>388</v>
      </c>
      <c r="F255" s="109" t="s">
        <v>422</v>
      </c>
      <c r="G255" s="108" t="s">
        <v>283</v>
      </c>
      <c r="H255" s="30">
        <v>0</v>
      </c>
      <c r="I255" s="103"/>
      <c r="J255" s="102"/>
      <c r="K255" s="45">
        <v>19.329999999999998</v>
      </c>
      <c r="L255" s="45">
        <v>25</v>
      </c>
      <c r="M255" s="41">
        <v>25</v>
      </c>
      <c r="N255" s="44">
        <f t="shared" si="25"/>
        <v>5.6700000000000017</v>
      </c>
      <c r="O255" s="43">
        <f t="shared" si="26"/>
        <v>0</v>
      </c>
      <c r="P255" s="40">
        <f t="shared" si="27"/>
        <v>0</v>
      </c>
      <c r="Q255" s="40">
        <f t="shared" si="28"/>
        <v>0</v>
      </c>
      <c r="R255" s="40">
        <f t="shared" si="29"/>
        <v>0</v>
      </c>
      <c r="S255" s="40">
        <f t="shared" si="30"/>
        <v>0</v>
      </c>
      <c r="T255" s="42">
        <f t="shared" si="31"/>
        <v>0.29332643559234373</v>
      </c>
      <c r="AA255" s="35"/>
    </row>
    <row r="256" spans="1:27">
      <c r="A256" s="36">
        <v>63</v>
      </c>
      <c r="B256" s="29">
        <v>1</v>
      </c>
      <c r="C256" s="110" t="s">
        <v>76</v>
      </c>
      <c r="D256" s="108">
        <v>207</v>
      </c>
      <c r="E256" s="108" t="s">
        <v>388</v>
      </c>
      <c r="F256" s="109" t="s">
        <v>301</v>
      </c>
      <c r="G256" s="108" t="s">
        <v>160</v>
      </c>
      <c r="H256" s="30">
        <v>0</v>
      </c>
      <c r="I256" s="103"/>
      <c r="J256" s="102"/>
      <c r="K256" s="45">
        <v>3.39</v>
      </c>
      <c r="L256" s="45">
        <v>3.39</v>
      </c>
      <c r="M256" s="45">
        <f>L256*(1+$W$16)</f>
        <v>3.39</v>
      </c>
      <c r="N256" s="44">
        <f t="shared" si="25"/>
        <v>0</v>
      </c>
      <c r="O256" s="43">
        <f t="shared" si="26"/>
        <v>0</v>
      </c>
      <c r="P256" s="40">
        <f t="shared" si="27"/>
        <v>0</v>
      </c>
      <c r="Q256" s="40">
        <f t="shared" si="28"/>
        <v>0</v>
      </c>
      <c r="R256" s="40">
        <f t="shared" si="29"/>
        <v>0</v>
      </c>
      <c r="S256" s="40">
        <f t="shared" si="30"/>
        <v>0</v>
      </c>
      <c r="T256" s="42">
        <f t="shared" si="31"/>
        <v>0</v>
      </c>
      <c r="AA256" s="35"/>
    </row>
    <row r="257" spans="1:27">
      <c r="A257" s="36">
        <v>183</v>
      </c>
      <c r="B257" s="29">
        <v>2</v>
      </c>
      <c r="C257" s="29" t="s">
        <v>76</v>
      </c>
      <c r="D257" s="31">
        <v>210</v>
      </c>
      <c r="E257" s="31" t="s">
        <v>388</v>
      </c>
      <c r="F257" s="32" t="s">
        <v>284</v>
      </c>
      <c r="G257" s="31" t="s">
        <v>283</v>
      </c>
      <c r="H257" s="30">
        <v>0</v>
      </c>
      <c r="I257" s="103"/>
      <c r="J257" s="102"/>
      <c r="K257" s="45">
        <v>31.2</v>
      </c>
      <c r="L257" s="45">
        <v>16.72</v>
      </c>
      <c r="M257" s="41">
        <v>16.72</v>
      </c>
      <c r="N257" s="44">
        <f t="shared" si="25"/>
        <v>-14.48</v>
      </c>
      <c r="O257" s="43">
        <f t="shared" si="26"/>
        <v>0</v>
      </c>
      <c r="P257" s="40">
        <f t="shared" si="27"/>
        <v>0</v>
      </c>
      <c r="Q257" s="40">
        <f t="shared" si="28"/>
        <v>0</v>
      </c>
      <c r="R257" s="40">
        <f t="shared" si="29"/>
        <v>0</v>
      </c>
      <c r="S257" s="40">
        <f t="shared" si="30"/>
        <v>0</v>
      </c>
      <c r="T257" s="42">
        <f t="shared" si="31"/>
        <v>-0.46410256410256412</v>
      </c>
      <c r="AA257" s="35"/>
    </row>
    <row r="258" spans="1:27">
      <c r="A258" s="36">
        <v>394</v>
      </c>
      <c r="B258" s="29">
        <v>4</v>
      </c>
      <c r="C258" s="29" t="s">
        <v>76</v>
      </c>
      <c r="D258" s="31">
        <v>230</v>
      </c>
      <c r="E258" s="31" t="s">
        <v>388</v>
      </c>
      <c r="F258" s="32" t="s">
        <v>421</v>
      </c>
      <c r="G258" s="31" t="s">
        <v>67</v>
      </c>
      <c r="H258" s="30">
        <v>0</v>
      </c>
      <c r="I258" s="103"/>
      <c r="J258" s="102"/>
      <c r="K258" s="45">
        <v>76.150000000000006</v>
      </c>
      <c r="L258" s="45">
        <v>76.150000000000006</v>
      </c>
      <c r="M258" s="41">
        <v>76.150000000000006</v>
      </c>
      <c r="N258" s="44">
        <f t="shared" si="25"/>
        <v>0</v>
      </c>
      <c r="O258" s="43">
        <f t="shared" si="26"/>
        <v>0</v>
      </c>
      <c r="P258" s="40">
        <f t="shared" si="27"/>
        <v>0</v>
      </c>
      <c r="Q258" s="40">
        <f t="shared" si="28"/>
        <v>0</v>
      </c>
      <c r="R258" s="40">
        <f t="shared" si="29"/>
        <v>0</v>
      </c>
      <c r="S258" s="40">
        <f t="shared" si="30"/>
        <v>0</v>
      </c>
      <c r="T258" s="42">
        <f t="shared" si="31"/>
        <v>0</v>
      </c>
      <c r="AA258" s="35"/>
    </row>
    <row r="259" spans="1:27">
      <c r="A259" s="36">
        <v>395</v>
      </c>
      <c r="B259" s="29">
        <v>4</v>
      </c>
      <c r="C259" s="29" t="s">
        <v>76</v>
      </c>
      <c r="D259" s="31">
        <v>230</v>
      </c>
      <c r="E259" s="31" t="s">
        <v>388</v>
      </c>
      <c r="F259" s="32" t="s">
        <v>420</v>
      </c>
      <c r="G259" s="31" t="s">
        <v>67</v>
      </c>
      <c r="H259" s="30">
        <v>0</v>
      </c>
      <c r="I259" s="103"/>
      <c r="J259" s="102"/>
      <c r="K259" s="45">
        <v>102.2</v>
      </c>
      <c r="L259" s="45">
        <v>102.2</v>
      </c>
      <c r="M259" s="41">
        <v>102.2</v>
      </c>
      <c r="N259" s="44">
        <f t="shared" ref="N259:N322" si="33">IF(K259="N/A","-",IFERROR(L259-K259,"New"))</f>
        <v>0</v>
      </c>
      <c r="O259" s="43">
        <f t="shared" ref="O259:O322" si="34">IFERROR(H259*K259,0)</f>
        <v>0</v>
      </c>
      <c r="P259" s="40">
        <f t="shared" ref="P259:P322" si="35">L259*H259</f>
        <v>0</v>
      </c>
      <c r="Q259" s="40">
        <f t="shared" ref="Q259:Q322" si="36">M259*H259</f>
        <v>0</v>
      </c>
      <c r="R259" s="40">
        <f t="shared" ref="R259:R322" si="37">P259-O259</f>
        <v>0</v>
      </c>
      <c r="S259" s="40">
        <f t="shared" ref="S259:S322" si="38">Q259-O259</f>
        <v>0</v>
      </c>
      <c r="T259" s="42">
        <f t="shared" ref="T259:T322" si="39">IFERROR(M259/K259-1,0)</f>
        <v>0</v>
      </c>
      <c r="AA259" s="35"/>
    </row>
    <row r="260" spans="1:27">
      <c r="A260" s="36">
        <v>388</v>
      </c>
      <c r="B260" s="29">
        <v>4</v>
      </c>
      <c r="C260" s="29" t="s">
        <v>76</v>
      </c>
      <c r="D260" s="31">
        <v>230</v>
      </c>
      <c r="E260" s="31" t="s">
        <v>388</v>
      </c>
      <c r="F260" s="32" t="s">
        <v>274</v>
      </c>
      <c r="G260" s="31" t="s">
        <v>160</v>
      </c>
      <c r="H260" s="30">
        <v>16</v>
      </c>
      <c r="I260" s="103"/>
      <c r="J260" s="102"/>
      <c r="K260" s="45">
        <v>10</v>
      </c>
      <c r="L260" s="45">
        <v>10</v>
      </c>
      <c r="M260" s="41">
        <v>10</v>
      </c>
      <c r="N260" s="44">
        <f t="shared" si="33"/>
        <v>0</v>
      </c>
      <c r="O260" s="43">
        <f t="shared" si="34"/>
        <v>160</v>
      </c>
      <c r="P260" s="40">
        <f t="shared" si="35"/>
        <v>160</v>
      </c>
      <c r="Q260" s="40">
        <f t="shared" si="36"/>
        <v>160</v>
      </c>
      <c r="R260" s="40">
        <f t="shared" si="37"/>
        <v>0</v>
      </c>
      <c r="S260" s="40">
        <f t="shared" si="38"/>
        <v>0</v>
      </c>
      <c r="T260" s="42">
        <f t="shared" si="39"/>
        <v>0</v>
      </c>
      <c r="AA260" s="35"/>
    </row>
    <row r="261" spans="1:27">
      <c r="A261" s="36">
        <v>386</v>
      </c>
      <c r="B261" s="29">
        <v>4</v>
      </c>
      <c r="C261" s="29" t="s">
        <v>76</v>
      </c>
      <c r="D261" s="31">
        <v>230</v>
      </c>
      <c r="E261" s="31" t="s">
        <v>388</v>
      </c>
      <c r="F261" s="32" t="s">
        <v>275</v>
      </c>
      <c r="G261" s="31" t="s">
        <v>160</v>
      </c>
      <c r="H261" s="30">
        <v>4</v>
      </c>
      <c r="I261" s="103"/>
      <c r="J261" s="102"/>
      <c r="K261" s="45">
        <v>54.65</v>
      </c>
      <c r="L261" s="45">
        <v>54.65</v>
      </c>
      <c r="M261" s="41">
        <v>54.65</v>
      </c>
      <c r="N261" s="44">
        <f t="shared" si="33"/>
        <v>0</v>
      </c>
      <c r="O261" s="43">
        <f t="shared" si="34"/>
        <v>218.6</v>
      </c>
      <c r="P261" s="40">
        <f t="shared" si="35"/>
        <v>218.6</v>
      </c>
      <c r="Q261" s="40">
        <f t="shared" si="36"/>
        <v>218.6</v>
      </c>
      <c r="R261" s="40">
        <f t="shared" si="37"/>
        <v>0</v>
      </c>
      <c r="S261" s="40">
        <f t="shared" si="38"/>
        <v>0</v>
      </c>
      <c r="T261" s="42">
        <f t="shared" si="39"/>
        <v>0</v>
      </c>
      <c r="AA261" s="35"/>
    </row>
    <row r="262" spans="1:27">
      <c r="A262" s="36">
        <v>385</v>
      </c>
      <c r="B262" s="29">
        <v>4</v>
      </c>
      <c r="C262" s="29" t="s">
        <v>76</v>
      </c>
      <c r="D262" s="31">
        <v>230</v>
      </c>
      <c r="E262" s="31" t="s">
        <v>388</v>
      </c>
      <c r="F262" s="32" t="s">
        <v>276</v>
      </c>
      <c r="G262" s="31" t="s">
        <v>67</v>
      </c>
      <c r="H262" s="30">
        <v>1407.3229606553307</v>
      </c>
      <c r="I262" s="103"/>
      <c r="J262" s="102"/>
      <c r="K262" s="45">
        <v>54.72</v>
      </c>
      <c r="L262" s="45">
        <v>57.46</v>
      </c>
      <c r="M262" s="46">
        <v>54.72</v>
      </c>
      <c r="N262" s="44">
        <f t="shared" si="33"/>
        <v>2.740000000000002</v>
      </c>
      <c r="O262" s="43">
        <f t="shared" si="34"/>
        <v>77008.712407059691</v>
      </c>
      <c r="P262" s="40">
        <f t="shared" si="35"/>
        <v>80864.7773192553</v>
      </c>
      <c r="Q262" s="40">
        <f t="shared" si="36"/>
        <v>77008.712407059691</v>
      </c>
      <c r="R262" s="40">
        <f t="shared" si="37"/>
        <v>3856.0649121956085</v>
      </c>
      <c r="S262" s="40">
        <f t="shared" si="38"/>
        <v>0</v>
      </c>
      <c r="T262" s="42">
        <f t="shared" si="39"/>
        <v>0</v>
      </c>
      <c r="AA262" s="35"/>
    </row>
    <row r="263" spans="1:27">
      <c r="A263" s="36">
        <v>387</v>
      </c>
      <c r="B263" s="29">
        <v>4</v>
      </c>
      <c r="C263" s="29" t="s">
        <v>76</v>
      </c>
      <c r="D263" s="31">
        <v>230</v>
      </c>
      <c r="E263" s="31" t="s">
        <v>388</v>
      </c>
      <c r="F263" s="32" t="s">
        <v>282</v>
      </c>
      <c r="G263" s="31" t="s">
        <v>160</v>
      </c>
      <c r="H263" s="30">
        <v>55</v>
      </c>
      <c r="I263" s="103"/>
      <c r="J263" s="102"/>
      <c r="K263" s="45">
        <v>3.5</v>
      </c>
      <c r="L263" s="45">
        <v>3.5</v>
      </c>
      <c r="M263" s="41">
        <v>3.5</v>
      </c>
      <c r="N263" s="44">
        <f t="shared" si="33"/>
        <v>0</v>
      </c>
      <c r="O263" s="43">
        <f t="shared" si="34"/>
        <v>192.5</v>
      </c>
      <c r="P263" s="40">
        <f t="shared" si="35"/>
        <v>192.5</v>
      </c>
      <c r="Q263" s="40">
        <f t="shared" si="36"/>
        <v>192.5</v>
      </c>
      <c r="R263" s="40">
        <f t="shared" si="37"/>
        <v>0</v>
      </c>
      <c r="S263" s="40">
        <f t="shared" si="38"/>
        <v>0</v>
      </c>
      <c r="T263" s="42">
        <f t="shared" si="39"/>
        <v>0</v>
      </c>
      <c r="AA263" s="35"/>
    </row>
    <row r="264" spans="1:27">
      <c r="A264" s="36">
        <v>389</v>
      </c>
      <c r="B264" s="29">
        <v>4</v>
      </c>
      <c r="C264" s="29" t="s">
        <v>76</v>
      </c>
      <c r="D264" s="31">
        <v>230</v>
      </c>
      <c r="E264" s="31" t="s">
        <v>388</v>
      </c>
      <c r="F264" s="32" t="s">
        <v>281</v>
      </c>
      <c r="G264" s="31" t="s">
        <v>160</v>
      </c>
      <c r="H264" s="30">
        <v>13</v>
      </c>
      <c r="I264" s="103"/>
      <c r="J264" s="102"/>
      <c r="K264" s="45">
        <v>6.5</v>
      </c>
      <c r="L264" s="45">
        <v>6.5</v>
      </c>
      <c r="M264" s="41">
        <v>6.5</v>
      </c>
      <c r="N264" s="44">
        <f t="shared" si="33"/>
        <v>0</v>
      </c>
      <c r="O264" s="43">
        <f t="shared" si="34"/>
        <v>84.5</v>
      </c>
      <c r="P264" s="40">
        <f t="shared" si="35"/>
        <v>84.5</v>
      </c>
      <c r="Q264" s="40">
        <f t="shared" si="36"/>
        <v>84.5</v>
      </c>
      <c r="R264" s="40">
        <f t="shared" si="37"/>
        <v>0</v>
      </c>
      <c r="S264" s="40">
        <f t="shared" si="38"/>
        <v>0</v>
      </c>
      <c r="T264" s="42">
        <f t="shared" si="39"/>
        <v>0</v>
      </c>
      <c r="AA264" s="35"/>
    </row>
    <row r="265" spans="1:27">
      <c r="A265" s="36">
        <v>393</v>
      </c>
      <c r="B265" s="29">
        <v>4</v>
      </c>
      <c r="C265" s="29" t="s">
        <v>76</v>
      </c>
      <c r="D265" s="31">
        <v>230</v>
      </c>
      <c r="E265" s="31" t="s">
        <v>388</v>
      </c>
      <c r="F265" s="32" t="s">
        <v>280</v>
      </c>
      <c r="G265" s="31" t="s">
        <v>160</v>
      </c>
      <c r="H265" s="30">
        <v>1</v>
      </c>
      <c r="I265" s="103"/>
      <c r="J265" s="102"/>
      <c r="K265" s="45">
        <v>9.9499999999999993</v>
      </c>
      <c r="L265" s="45">
        <v>9.9499999999999993</v>
      </c>
      <c r="M265" s="41">
        <v>9.9499999999999993</v>
      </c>
      <c r="N265" s="44">
        <f t="shared" si="33"/>
        <v>0</v>
      </c>
      <c r="O265" s="43">
        <f t="shared" si="34"/>
        <v>9.9499999999999993</v>
      </c>
      <c r="P265" s="40">
        <f t="shared" si="35"/>
        <v>9.9499999999999993</v>
      </c>
      <c r="Q265" s="40">
        <f t="shared" si="36"/>
        <v>9.9499999999999993</v>
      </c>
      <c r="R265" s="40">
        <f t="shared" si="37"/>
        <v>0</v>
      </c>
      <c r="S265" s="40">
        <f t="shared" si="38"/>
        <v>0</v>
      </c>
      <c r="T265" s="42">
        <f t="shared" si="39"/>
        <v>0</v>
      </c>
      <c r="AA265" s="35"/>
    </row>
    <row r="266" spans="1:27">
      <c r="A266" s="36">
        <v>392</v>
      </c>
      <c r="B266" s="29">
        <v>4</v>
      </c>
      <c r="C266" s="29" t="s">
        <v>76</v>
      </c>
      <c r="D266" s="31">
        <v>230</v>
      </c>
      <c r="E266" s="31" t="s">
        <v>388</v>
      </c>
      <c r="F266" s="32" t="s">
        <v>279</v>
      </c>
      <c r="G266" s="31" t="s">
        <v>160</v>
      </c>
      <c r="H266" s="30">
        <v>1</v>
      </c>
      <c r="I266" s="103"/>
      <c r="J266" s="102"/>
      <c r="K266" s="45">
        <v>12.95</v>
      </c>
      <c r="L266" s="45">
        <v>12.95</v>
      </c>
      <c r="M266" s="41">
        <v>12.95</v>
      </c>
      <c r="N266" s="44">
        <f t="shared" si="33"/>
        <v>0</v>
      </c>
      <c r="O266" s="43">
        <f t="shared" si="34"/>
        <v>12.95</v>
      </c>
      <c r="P266" s="40">
        <f t="shared" si="35"/>
        <v>12.95</v>
      </c>
      <c r="Q266" s="40">
        <f t="shared" si="36"/>
        <v>12.95</v>
      </c>
      <c r="R266" s="40">
        <f t="shared" si="37"/>
        <v>0</v>
      </c>
      <c r="S266" s="40">
        <f t="shared" si="38"/>
        <v>0</v>
      </c>
      <c r="T266" s="42">
        <f t="shared" si="39"/>
        <v>0</v>
      </c>
      <c r="AA266" s="35"/>
    </row>
    <row r="267" spans="1:27">
      <c r="A267" s="36">
        <v>390</v>
      </c>
      <c r="B267" s="29">
        <v>4</v>
      </c>
      <c r="C267" s="29" t="s">
        <v>76</v>
      </c>
      <c r="D267" s="31">
        <v>230</v>
      </c>
      <c r="E267" s="31" t="s">
        <v>388</v>
      </c>
      <c r="F267" s="32" t="s">
        <v>278</v>
      </c>
      <c r="G267" s="31" t="s">
        <v>160</v>
      </c>
      <c r="H267" s="30">
        <v>17</v>
      </c>
      <c r="I267" s="103"/>
      <c r="J267" s="102"/>
      <c r="K267" s="45">
        <v>4.5</v>
      </c>
      <c r="L267" s="45">
        <v>4.5</v>
      </c>
      <c r="M267" s="41">
        <v>4.5</v>
      </c>
      <c r="N267" s="44">
        <f t="shared" si="33"/>
        <v>0</v>
      </c>
      <c r="O267" s="43">
        <f t="shared" si="34"/>
        <v>76.5</v>
      </c>
      <c r="P267" s="40">
        <f t="shared" si="35"/>
        <v>76.5</v>
      </c>
      <c r="Q267" s="40">
        <f t="shared" si="36"/>
        <v>76.5</v>
      </c>
      <c r="R267" s="40">
        <f t="shared" si="37"/>
        <v>0</v>
      </c>
      <c r="S267" s="40">
        <f t="shared" si="38"/>
        <v>0</v>
      </c>
      <c r="T267" s="42">
        <f t="shared" si="39"/>
        <v>0</v>
      </c>
      <c r="AA267" s="35"/>
    </row>
    <row r="268" spans="1:27">
      <c r="A268" s="36">
        <v>391</v>
      </c>
      <c r="B268" s="29">
        <v>4</v>
      </c>
      <c r="C268" s="29" t="s">
        <v>76</v>
      </c>
      <c r="D268" s="31">
        <v>230</v>
      </c>
      <c r="E268" s="31" t="s">
        <v>388</v>
      </c>
      <c r="F268" s="32" t="s">
        <v>277</v>
      </c>
      <c r="G268" s="31" t="s">
        <v>160</v>
      </c>
      <c r="H268" s="30">
        <v>4</v>
      </c>
      <c r="I268" s="103"/>
      <c r="J268" s="102"/>
      <c r="K268" s="45">
        <v>7.5</v>
      </c>
      <c r="L268" s="45">
        <v>7.5</v>
      </c>
      <c r="M268" s="41">
        <v>7.5</v>
      </c>
      <c r="N268" s="44">
        <f t="shared" si="33"/>
        <v>0</v>
      </c>
      <c r="O268" s="43">
        <f t="shared" si="34"/>
        <v>30</v>
      </c>
      <c r="P268" s="40">
        <f t="shared" si="35"/>
        <v>30</v>
      </c>
      <c r="Q268" s="40">
        <f t="shared" si="36"/>
        <v>30</v>
      </c>
      <c r="R268" s="40">
        <f t="shared" si="37"/>
        <v>0</v>
      </c>
      <c r="S268" s="40">
        <f t="shared" si="38"/>
        <v>0</v>
      </c>
      <c r="T268" s="42">
        <f t="shared" si="39"/>
        <v>0</v>
      </c>
      <c r="AA268" s="35"/>
    </row>
    <row r="269" spans="1:27">
      <c r="A269" s="36">
        <v>396</v>
      </c>
      <c r="B269" s="29">
        <v>4</v>
      </c>
      <c r="C269" s="29" t="s">
        <v>76</v>
      </c>
      <c r="D269" s="31">
        <v>230</v>
      </c>
      <c r="E269" s="31" t="s">
        <v>388</v>
      </c>
      <c r="F269" s="32" t="s">
        <v>419</v>
      </c>
      <c r="G269" s="31" t="s">
        <v>67</v>
      </c>
      <c r="H269" s="30">
        <v>0</v>
      </c>
      <c r="I269" s="103"/>
      <c r="J269" s="102"/>
      <c r="K269" s="45">
        <v>27.05</v>
      </c>
      <c r="L269" s="45">
        <v>27.05</v>
      </c>
      <c r="M269" s="41">
        <v>27.05</v>
      </c>
      <c r="N269" s="44">
        <f t="shared" si="33"/>
        <v>0</v>
      </c>
      <c r="O269" s="43">
        <f t="shared" si="34"/>
        <v>0</v>
      </c>
      <c r="P269" s="40">
        <f t="shared" si="35"/>
        <v>0</v>
      </c>
      <c r="Q269" s="40">
        <f t="shared" si="36"/>
        <v>0</v>
      </c>
      <c r="R269" s="40">
        <f t="shared" si="37"/>
        <v>0</v>
      </c>
      <c r="S269" s="40">
        <f t="shared" si="38"/>
        <v>0</v>
      </c>
      <c r="T269" s="42">
        <f t="shared" si="39"/>
        <v>0</v>
      </c>
      <c r="AA269" s="35"/>
    </row>
    <row r="270" spans="1:27">
      <c r="A270" s="36">
        <v>397</v>
      </c>
      <c r="B270" s="29">
        <v>4</v>
      </c>
      <c r="C270" s="29" t="s">
        <v>76</v>
      </c>
      <c r="D270" s="31">
        <v>230</v>
      </c>
      <c r="E270" s="31" t="s">
        <v>388</v>
      </c>
      <c r="F270" s="32" t="s">
        <v>418</v>
      </c>
      <c r="G270" s="31" t="s">
        <v>67</v>
      </c>
      <c r="H270" s="30">
        <v>0</v>
      </c>
      <c r="I270" s="103"/>
      <c r="J270" s="102"/>
      <c r="K270" s="45">
        <v>59.95</v>
      </c>
      <c r="L270" s="45">
        <v>59.95</v>
      </c>
      <c r="M270" s="41">
        <v>59.95</v>
      </c>
      <c r="N270" s="44">
        <f t="shared" si="33"/>
        <v>0</v>
      </c>
      <c r="O270" s="43">
        <f t="shared" si="34"/>
        <v>0</v>
      </c>
      <c r="P270" s="40">
        <f t="shared" si="35"/>
        <v>0</v>
      </c>
      <c r="Q270" s="40">
        <f t="shared" si="36"/>
        <v>0</v>
      </c>
      <c r="R270" s="40">
        <f t="shared" si="37"/>
        <v>0</v>
      </c>
      <c r="S270" s="40">
        <f t="shared" si="38"/>
        <v>0</v>
      </c>
      <c r="T270" s="42">
        <f t="shared" si="39"/>
        <v>0</v>
      </c>
      <c r="AA270" s="35"/>
    </row>
    <row r="271" spans="1:27">
      <c r="A271" s="36">
        <v>96</v>
      </c>
      <c r="B271" s="29">
        <v>2</v>
      </c>
      <c r="C271" s="29" t="s">
        <v>76</v>
      </c>
      <c r="D271" s="105">
        <v>240</v>
      </c>
      <c r="E271" s="105" t="s">
        <v>388</v>
      </c>
      <c r="F271" s="106" t="s">
        <v>273</v>
      </c>
      <c r="G271" s="105" t="s">
        <v>212</v>
      </c>
      <c r="H271" s="104">
        <v>27.500065608187903</v>
      </c>
      <c r="I271" s="103">
        <v>4.33</v>
      </c>
      <c r="J271" s="102">
        <f>H271*I271</f>
        <v>119.07528408345362</v>
      </c>
      <c r="K271" s="45">
        <v>76.209999999999994</v>
      </c>
      <c r="L271" s="45">
        <v>57.156000000000006</v>
      </c>
      <c r="M271" s="45">
        <f t="shared" ref="M271:M302" si="40">L271*(1+$W$16)</f>
        <v>57.156000000000006</v>
      </c>
      <c r="N271" s="44">
        <f t="shared" si="33"/>
        <v>-19.053999999999988</v>
      </c>
      <c r="O271" s="43">
        <f t="shared" si="34"/>
        <v>2095.7799999999997</v>
      </c>
      <c r="P271" s="40">
        <f t="shared" si="35"/>
        <v>1571.7937499015879</v>
      </c>
      <c r="Q271" s="40">
        <f t="shared" si="36"/>
        <v>1571.7937499015879</v>
      </c>
      <c r="R271" s="40">
        <f t="shared" si="37"/>
        <v>-523.9862500984118</v>
      </c>
      <c r="S271" s="40">
        <f t="shared" si="38"/>
        <v>-523.9862500984118</v>
      </c>
      <c r="T271" s="42">
        <f t="shared" si="39"/>
        <v>-0.25001968245637041</v>
      </c>
      <c r="AA271" s="35"/>
    </row>
    <row r="272" spans="1:27">
      <c r="A272" s="36">
        <v>191</v>
      </c>
      <c r="B272" s="29">
        <v>2</v>
      </c>
      <c r="C272" s="29" t="s">
        <v>76</v>
      </c>
      <c r="D272" s="105">
        <v>240</v>
      </c>
      <c r="E272" s="105" t="s">
        <v>388</v>
      </c>
      <c r="F272" s="106" t="s">
        <v>273</v>
      </c>
      <c r="G272" s="105" t="s">
        <v>230</v>
      </c>
      <c r="H272" s="104">
        <v>0</v>
      </c>
      <c r="I272" s="103">
        <v>2.17</v>
      </c>
      <c r="J272" s="102">
        <f>H272*I272</f>
        <v>0</v>
      </c>
      <c r="K272" s="45">
        <v>38.19</v>
      </c>
      <c r="L272" s="45">
        <v>28.578000000000003</v>
      </c>
      <c r="M272" s="45">
        <f t="shared" si="40"/>
        <v>28.578000000000003</v>
      </c>
      <c r="N272" s="44">
        <f t="shared" si="33"/>
        <v>-9.6119999999999948</v>
      </c>
      <c r="O272" s="43">
        <f t="shared" si="34"/>
        <v>0</v>
      </c>
      <c r="P272" s="40">
        <f t="shared" si="35"/>
        <v>0</v>
      </c>
      <c r="Q272" s="40">
        <f t="shared" si="36"/>
        <v>0</v>
      </c>
      <c r="R272" s="40">
        <f t="shared" si="37"/>
        <v>0</v>
      </c>
      <c r="S272" s="40">
        <f t="shared" si="38"/>
        <v>0</v>
      </c>
      <c r="T272" s="42">
        <f t="shared" si="39"/>
        <v>-0.25168892380204233</v>
      </c>
      <c r="AA272" s="35"/>
    </row>
    <row r="273" spans="1:30">
      <c r="A273" s="36">
        <v>193</v>
      </c>
      <c r="B273" s="29">
        <v>2</v>
      </c>
      <c r="C273" s="29" t="s">
        <v>76</v>
      </c>
      <c r="D273" s="105">
        <v>240</v>
      </c>
      <c r="E273" s="105" t="s">
        <v>388</v>
      </c>
      <c r="F273" s="106" t="s">
        <v>272</v>
      </c>
      <c r="G273" s="105" t="s">
        <v>160</v>
      </c>
      <c r="H273" s="104">
        <v>0</v>
      </c>
      <c r="I273" s="103">
        <v>1</v>
      </c>
      <c r="J273" s="102">
        <f>H273*I273</f>
        <v>0</v>
      </c>
      <c r="K273" s="45">
        <v>40.159999999999997</v>
      </c>
      <c r="L273" s="45">
        <v>23.594999999999999</v>
      </c>
      <c r="M273" s="45">
        <f t="shared" si="40"/>
        <v>23.594999999999999</v>
      </c>
      <c r="N273" s="44">
        <f t="shared" si="33"/>
        <v>-16.564999999999998</v>
      </c>
      <c r="O273" s="43">
        <f t="shared" si="34"/>
        <v>0</v>
      </c>
      <c r="P273" s="40">
        <f t="shared" si="35"/>
        <v>0</v>
      </c>
      <c r="Q273" s="40">
        <f t="shared" si="36"/>
        <v>0</v>
      </c>
      <c r="R273" s="40">
        <f t="shared" si="37"/>
        <v>0</v>
      </c>
      <c r="S273" s="40">
        <f t="shared" si="38"/>
        <v>0</v>
      </c>
      <c r="T273" s="42">
        <f t="shared" si="39"/>
        <v>-0.41247509960159356</v>
      </c>
      <c r="AA273" s="35"/>
    </row>
    <row r="274" spans="1:30">
      <c r="A274" s="36">
        <v>195</v>
      </c>
      <c r="B274" s="29">
        <v>2</v>
      </c>
      <c r="C274" s="29" t="s">
        <v>76</v>
      </c>
      <c r="D274" s="31">
        <v>240</v>
      </c>
      <c r="E274" s="31" t="s">
        <v>388</v>
      </c>
      <c r="F274" s="32" t="s">
        <v>271</v>
      </c>
      <c r="G274" s="31" t="s">
        <v>166</v>
      </c>
      <c r="H274" s="30">
        <v>0</v>
      </c>
      <c r="I274" s="103"/>
      <c r="J274" s="102"/>
      <c r="K274" s="45">
        <v>1.45</v>
      </c>
      <c r="L274" s="45">
        <v>0.82500000000000007</v>
      </c>
      <c r="M274" s="45">
        <f t="shared" si="40"/>
        <v>0.82500000000000007</v>
      </c>
      <c r="N274" s="44">
        <f t="shared" si="33"/>
        <v>-0.62499999999999989</v>
      </c>
      <c r="O274" s="43">
        <f t="shared" si="34"/>
        <v>0</v>
      </c>
      <c r="P274" s="40">
        <f t="shared" si="35"/>
        <v>0</v>
      </c>
      <c r="Q274" s="40">
        <f t="shared" si="36"/>
        <v>0</v>
      </c>
      <c r="R274" s="40">
        <f t="shared" si="37"/>
        <v>0</v>
      </c>
      <c r="S274" s="40">
        <f t="shared" si="38"/>
        <v>0</v>
      </c>
      <c r="T274" s="42">
        <f t="shared" si="39"/>
        <v>-0.43103448275862066</v>
      </c>
      <c r="V274" s="74">
        <f>L274/2</f>
        <v>0.41250000000000003</v>
      </c>
      <c r="W274" s="29" t="s">
        <v>417</v>
      </c>
      <c r="Y274" s="29">
        <v>2</v>
      </c>
      <c r="Z274" s="29">
        <f>85.75*4.33</f>
        <v>371.29750000000001</v>
      </c>
      <c r="AA274" s="107">
        <f>Z274/Y274</f>
        <v>185.64875000000001</v>
      </c>
      <c r="AC274" s="53"/>
      <c r="AD274" s="53"/>
    </row>
    <row r="275" spans="1:30">
      <c r="A275" s="36">
        <v>198</v>
      </c>
      <c r="B275" s="29">
        <v>2</v>
      </c>
      <c r="C275" s="29" t="s">
        <v>76</v>
      </c>
      <c r="D275" s="105">
        <v>240</v>
      </c>
      <c r="E275" s="105" t="s">
        <v>388</v>
      </c>
      <c r="F275" s="106" t="s">
        <v>269</v>
      </c>
      <c r="G275" s="105" t="s">
        <v>160</v>
      </c>
      <c r="H275" s="104">
        <v>0</v>
      </c>
      <c r="I275" s="103"/>
      <c r="J275" s="102"/>
      <c r="K275" s="45">
        <v>25.32</v>
      </c>
      <c r="L275" s="45">
        <v>23.594999999999999</v>
      </c>
      <c r="M275" s="45">
        <f t="shared" si="40"/>
        <v>23.594999999999999</v>
      </c>
      <c r="N275" s="44">
        <f t="shared" si="33"/>
        <v>-1.7250000000000014</v>
      </c>
      <c r="O275" s="43">
        <f t="shared" si="34"/>
        <v>0</v>
      </c>
      <c r="P275" s="40">
        <f t="shared" si="35"/>
        <v>0</v>
      </c>
      <c r="Q275" s="40">
        <f t="shared" si="36"/>
        <v>0</v>
      </c>
      <c r="R275" s="40">
        <f t="shared" si="37"/>
        <v>0</v>
      </c>
      <c r="S275" s="40">
        <f t="shared" si="38"/>
        <v>0</v>
      </c>
      <c r="T275" s="42">
        <f t="shared" si="39"/>
        <v>-6.8127962085308136E-2</v>
      </c>
      <c r="Y275" s="29">
        <v>3</v>
      </c>
      <c r="Z275" s="29">
        <f>104.4*4.33</f>
        <v>452.05200000000002</v>
      </c>
      <c r="AA275" s="107">
        <f>Z275/Y275</f>
        <v>150.684</v>
      </c>
      <c r="AB275" s="75">
        <f>AA275/AA274-1</f>
        <v>-0.18833819241982508</v>
      </c>
      <c r="AC275" s="53"/>
      <c r="AD275" s="53"/>
    </row>
    <row r="276" spans="1:30">
      <c r="A276" s="36">
        <v>70</v>
      </c>
      <c r="B276" s="29">
        <v>2</v>
      </c>
      <c r="C276" s="29" t="s">
        <v>76</v>
      </c>
      <c r="D276" s="105">
        <v>240</v>
      </c>
      <c r="E276" s="105" t="s">
        <v>388</v>
      </c>
      <c r="F276" s="106" t="s">
        <v>268</v>
      </c>
      <c r="G276" s="105" t="s">
        <v>212</v>
      </c>
      <c r="H276" s="104">
        <v>681.45028041789305</v>
      </c>
      <c r="I276" s="103">
        <v>4.33</v>
      </c>
      <c r="J276" s="102">
        <f>H276*I276</f>
        <v>2950.679714209477</v>
      </c>
      <c r="K276" s="45">
        <v>97.86</v>
      </c>
      <c r="L276" s="45">
        <v>74.302800000000005</v>
      </c>
      <c r="M276" s="45">
        <f t="shared" si="40"/>
        <v>74.302800000000005</v>
      </c>
      <c r="N276" s="44">
        <f t="shared" si="33"/>
        <v>-23.557199999999995</v>
      </c>
      <c r="O276" s="43">
        <f t="shared" si="34"/>
        <v>66686.724441695013</v>
      </c>
      <c r="P276" s="40">
        <f t="shared" si="35"/>
        <v>50633.66389583463</v>
      </c>
      <c r="Q276" s="40">
        <f t="shared" si="36"/>
        <v>50633.66389583463</v>
      </c>
      <c r="R276" s="40">
        <f t="shared" si="37"/>
        <v>-16053.060545860382</v>
      </c>
      <c r="S276" s="40">
        <f t="shared" si="38"/>
        <v>-16053.060545860382</v>
      </c>
      <c r="T276" s="42">
        <f t="shared" si="39"/>
        <v>-0.24072348252605758</v>
      </c>
      <c r="Y276" s="29">
        <v>4</v>
      </c>
      <c r="Z276" s="29">
        <f>130.54*4.33</f>
        <v>565.23820000000001</v>
      </c>
      <c r="AA276" s="107">
        <f>Z276/Y276</f>
        <v>141.30955</v>
      </c>
      <c r="AB276" s="75">
        <f>AA276/AA275-1</f>
        <v>-6.2212643678160928E-2</v>
      </c>
      <c r="AC276" s="53"/>
      <c r="AD276" s="53"/>
    </row>
    <row r="277" spans="1:30">
      <c r="A277" s="36">
        <v>85</v>
      </c>
      <c r="B277" s="29">
        <v>2</v>
      </c>
      <c r="C277" s="29" t="s">
        <v>76</v>
      </c>
      <c r="D277" s="105">
        <v>240</v>
      </c>
      <c r="E277" s="105" t="s">
        <v>388</v>
      </c>
      <c r="F277" s="106" t="s">
        <v>268</v>
      </c>
      <c r="G277" s="105" t="s">
        <v>230</v>
      </c>
      <c r="H277" s="104">
        <v>140.31895881693796</v>
      </c>
      <c r="I277" s="103">
        <v>2.17</v>
      </c>
      <c r="J277" s="102">
        <f>H277*I277</f>
        <v>304.49214063275537</v>
      </c>
      <c r="K277" s="45">
        <v>49.04</v>
      </c>
      <c r="L277" s="45">
        <v>37.151400000000002</v>
      </c>
      <c r="M277" s="45">
        <f t="shared" si="40"/>
        <v>37.151400000000002</v>
      </c>
      <c r="N277" s="44">
        <f t="shared" si="33"/>
        <v>-11.888599999999997</v>
      </c>
      <c r="O277" s="43">
        <f t="shared" si="34"/>
        <v>6881.2417403826375</v>
      </c>
      <c r="P277" s="40">
        <f t="shared" si="35"/>
        <v>5213.0457665915892</v>
      </c>
      <c r="Q277" s="40">
        <f t="shared" si="36"/>
        <v>5213.0457665915892</v>
      </c>
      <c r="R277" s="40">
        <f t="shared" si="37"/>
        <v>-1668.1959737910483</v>
      </c>
      <c r="S277" s="40">
        <f t="shared" si="38"/>
        <v>-1668.1959737910483</v>
      </c>
      <c r="T277" s="42">
        <f t="shared" si="39"/>
        <v>-0.24242659053833604</v>
      </c>
      <c r="Y277" s="29">
        <v>6</v>
      </c>
      <c r="Z277" s="29">
        <f>143.23*4.33</f>
        <v>620.18589999999995</v>
      </c>
      <c r="AA277" s="107">
        <f>Z277/Y277</f>
        <v>103.36431666666665</v>
      </c>
      <c r="AB277" s="75">
        <f>AA277/AA276-1</f>
        <v>-0.26852561156222876</v>
      </c>
      <c r="AC277" s="53"/>
      <c r="AD277" s="53"/>
    </row>
    <row r="278" spans="1:30">
      <c r="A278" s="36">
        <v>125</v>
      </c>
      <c r="B278" s="29">
        <v>2</v>
      </c>
      <c r="C278" s="29" t="s">
        <v>76</v>
      </c>
      <c r="D278" s="105">
        <v>240</v>
      </c>
      <c r="E278" s="105" t="s">
        <v>388</v>
      </c>
      <c r="F278" s="106" t="s">
        <v>267</v>
      </c>
      <c r="G278" s="105" t="s">
        <v>160</v>
      </c>
      <c r="H278" s="104">
        <v>3</v>
      </c>
      <c r="I278" s="103">
        <v>1</v>
      </c>
      <c r="J278" s="102">
        <f>H278*I278</f>
        <v>3</v>
      </c>
      <c r="K278" s="45">
        <v>45.16</v>
      </c>
      <c r="L278" s="45">
        <v>27.555</v>
      </c>
      <c r="M278" s="45">
        <f t="shared" si="40"/>
        <v>27.555</v>
      </c>
      <c r="N278" s="44">
        <f t="shared" si="33"/>
        <v>-17.604999999999997</v>
      </c>
      <c r="O278" s="43">
        <f t="shared" si="34"/>
        <v>135.47999999999999</v>
      </c>
      <c r="P278" s="40">
        <f t="shared" si="35"/>
        <v>82.664999999999992</v>
      </c>
      <c r="Q278" s="40">
        <f t="shared" si="36"/>
        <v>82.664999999999992</v>
      </c>
      <c r="R278" s="40">
        <f t="shared" si="37"/>
        <v>-52.814999999999998</v>
      </c>
      <c r="S278" s="40">
        <f t="shared" si="38"/>
        <v>-52.814999999999998</v>
      </c>
      <c r="T278" s="42">
        <f t="shared" si="39"/>
        <v>-0.38983613817537643</v>
      </c>
      <c r="AA278" s="35"/>
    </row>
    <row r="279" spans="1:30">
      <c r="A279" s="36">
        <v>142</v>
      </c>
      <c r="B279" s="29">
        <v>2</v>
      </c>
      <c r="C279" s="29" t="s">
        <v>76</v>
      </c>
      <c r="D279" s="31">
        <v>240</v>
      </c>
      <c r="E279" s="31" t="s">
        <v>388</v>
      </c>
      <c r="F279" s="32" t="s">
        <v>266</v>
      </c>
      <c r="G279" s="31" t="s">
        <v>166</v>
      </c>
      <c r="H279" s="30">
        <v>16</v>
      </c>
      <c r="I279" s="103"/>
      <c r="J279" s="102"/>
      <c r="K279" s="45">
        <v>1.6</v>
      </c>
      <c r="L279" s="45">
        <v>1.1000000000000001</v>
      </c>
      <c r="M279" s="45">
        <f t="shared" si="40"/>
        <v>1.1000000000000001</v>
      </c>
      <c r="N279" s="44">
        <f t="shared" si="33"/>
        <v>-0.5</v>
      </c>
      <c r="O279" s="43">
        <f t="shared" si="34"/>
        <v>25.6</v>
      </c>
      <c r="P279" s="40">
        <f t="shared" si="35"/>
        <v>17.600000000000001</v>
      </c>
      <c r="Q279" s="40">
        <f t="shared" si="36"/>
        <v>17.600000000000001</v>
      </c>
      <c r="R279" s="40">
        <f t="shared" si="37"/>
        <v>-8</v>
      </c>
      <c r="S279" s="40">
        <f t="shared" si="38"/>
        <v>-8</v>
      </c>
      <c r="T279" s="42">
        <f t="shared" si="39"/>
        <v>-0.3125</v>
      </c>
      <c r="AA279" s="35"/>
    </row>
    <row r="280" spans="1:30">
      <c r="A280" s="36">
        <v>137</v>
      </c>
      <c r="B280" s="29">
        <v>2</v>
      </c>
      <c r="C280" s="29" t="s">
        <v>76</v>
      </c>
      <c r="D280" s="105">
        <v>240</v>
      </c>
      <c r="E280" s="105" t="s">
        <v>388</v>
      </c>
      <c r="F280" s="106" t="s">
        <v>264</v>
      </c>
      <c r="G280" s="105" t="s">
        <v>210</v>
      </c>
      <c r="H280" s="104">
        <v>1.5161612795734754</v>
      </c>
      <c r="I280" s="103">
        <v>1</v>
      </c>
      <c r="J280" s="102">
        <f>H280*I280</f>
        <v>1.5161612795734754</v>
      </c>
      <c r="K280" s="45">
        <v>30.01</v>
      </c>
      <c r="L280" s="45">
        <v>27.555</v>
      </c>
      <c r="M280" s="45">
        <f t="shared" si="40"/>
        <v>27.555</v>
      </c>
      <c r="N280" s="44">
        <f t="shared" si="33"/>
        <v>-2.4550000000000018</v>
      </c>
      <c r="O280" s="43">
        <f t="shared" si="34"/>
        <v>45.5</v>
      </c>
      <c r="P280" s="40">
        <f t="shared" si="35"/>
        <v>41.777824058647113</v>
      </c>
      <c r="Q280" s="40">
        <f t="shared" si="36"/>
        <v>41.777824058647113</v>
      </c>
      <c r="R280" s="40">
        <f t="shared" si="37"/>
        <v>-3.7221759413528872</v>
      </c>
      <c r="S280" s="40">
        <f t="shared" si="38"/>
        <v>-3.7221759413528872</v>
      </c>
      <c r="T280" s="42">
        <f t="shared" si="39"/>
        <v>-8.1806064645118304E-2</v>
      </c>
      <c r="AA280" s="35"/>
    </row>
    <row r="281" spans="1:30">
      <c r="A281" s="36">
        <v>75</v>
      </c>
      <c r="B281" s="29">
        <v>2</v>
      </c>
      <c r="C281" s="29" t="s">
        <v>76</v>
      </c>
      <c r="D281" s="105">
        <v>240</v>
      </c>
      <c r="E281" s="105" t="s">
        <v>388</v>
      </c>
      <c r="F281" s="106" t="s">
        <v>263</v>
      </c>
      <c r="G281" s="105" t="s">
        <v>212</v>
      </c>
      <c r="H281" s="104">
        <v>256.60002974206009</v>
      </c>
      <c r="I281" s="103">
        <v>4.33</v>
      </c>
      <c r="J281" s="102">
        <f>H281*I281</f>
        <v>1111.0781287831203</v>
      </c>
      <c r="K281" s="45">
        <v>115.18</v>
      </c>
      <c r="L281" s="45">
        <v>84.781400000000005</v>
      </c>
      <c r="M281" s="45">
        <f t="shared" si="40"/>
        <v>84.781400000000005</v>
      </c>
      <c r="N281" s="44">
        <f t="shared" si="33"/>
        <v>-30.398600000000002</v>
      </c>
      <c r="O281" s="43">
        <f t="shared" si="34"/>
        <v>29555.191425690482</v>
      </c>
      <c r="P281" s="40">
        <f t="shared" si="35"/>
        <v>21754.909761573494</v>
      </c>
      <c r="Q281" s="40">
        <f t="shared" si="36"/>
        <v>21754.909761573494</v>
      </c>
      <c r="R281" s="40">
        <f t="shared" si="37"/>
        <v>-7800.2816641169884</v>
      </c>
      <c r="S281" s="40">
        <f t="shared" si="38"/>
        <v>-7800.2816641169884</v>
      </c>
      <c r="T281" s="42">
        <f t="shared" si="39"/>
        <v>-0.26392255599930547</v>
      </c>
      <c r="AA281" s="35"/>
    </row>
    <row r="282" spans="1:30">
      <c r="A282" s="36">
        <v>86</v>
      </c>
      <c r="B282" s="29">
        <v>2</v>
      </c>
      <c r="C282" s="29" t="s">
        <v>76</v>
      </c>
      <c r="D282" s="105">
        <v>240</v>
      </c>
      <c r="E282" s="105" t="s">
        <v>388</v>
      </c>
      <c r="F282" s="106" t="s">
        <v>263</v>
      </c>
      <c r="G282" s="105" t="s">
        <v>230</v>
      </c>
      <c r="H282" s="104">
        <v>93.985574407372866</v>
      </c>
      <c r="I282" s="103">
        <v>2.17</v>
      </c>
      <c r="J282" s="102">
        <f>H282*I282</f>
        <v>203.94869646399911</v>
      </c>
      <c r="K282" s="45">
        <v>57.72</v>
      </c>
      <c r="L282" s="45">
        <v>42.390700000000002</v>
      </c>
      <c r="M282" s="45">
        <f t="shared" si="40"/>
        <v>42.390700000000002</v>
      </c>
      <c r="N282" s="44">
        <f t="shared" si="33"/>
        <v>-15.329299999999996</v>
      </c>
      <c r="O282" s="43">
        <f t="shared" si="34"/>
        <v>5424.8473547935619</v>
      </c>
      <c r="P282" s="40">
        <f t="shared" si="35"/>
        <v>3984.114289030621</v>
      </c>
      <c r="Q282" s="40">
        <f t="shared" si="36"/>
        <v>3984.114289030621</v>
      </c>
      <c r="R282" s="40">
        <f t="shared" si="37"/>
        <v>-1440.7330657629409</v>
      </c>
      <c r="S282" s="40">
        <f t="shared" si="38"/>
        <v>-1440.7330657629409</v>
      </c>
      <c r="T282" s="42">
        <f t="shared" si="39"/>
        <v>-0.26558038808038797</v>
      </c>
      <c r="AA282" s="35"/>
    </row>
    <row r="283" spans="1:30">
      <c r="A283" s="36">
        <v>121</v>
      </c>
      <c r="B283" s="29">
        <v>2</v>
      </c>
      <c r="C283" s="29" t="s">
        <v>76</v>
      </c>
      <c r="D283" s="105">
        <v>240</v>
      </c>
      <c r="E283" s="105" t="s">
        <v>388</v>
      </c>
      <c r="F283" s="106" t="s">
        <v>263</v>
      </c>
      <c r="G283" s="105" t="s">
        <v>317</v>
      </c>
      <c r="H283" s="104">
        <v>6.25</v>
      </c>
      <c r="I283" s="103">
        <v>1</v>
      </c>
      <c r="J283" s="102">
        <f>H283*I283</f>
        <v>6.25</v>
      </c>
      <c r="K283" s="45">
        <v>26.6</v>
      </c>
      <c r="L283" s="45">
        <v>19.580000000000002</v>
      </c>
      <c r="M283" s="45">
        <f t="shared" si="40"/>
        <v>19.580000000000002</v>
      </c>
      <c r="N283" s="44">
        <f t="shared" si="33"/>
        <v>-7.02</v>
      </c>
      <c r="O283" s="43">
        <f t="shared" si="34"/>
        <v>166.25</v>
      </c>
      <c r="P283" s="40">
        <f t="shared" si="35"/>
        <v>122.37500000000001</v>
      </c>
      <c r="Q283" s="40">
        <f t="shared" si="36"/>
        <v>122.37500000000001</v>
      </c>
      <c r="R283" s="40">
        <f t="shared" si="37"/>
        <v>-43.874999999999986</v>
      </c>
      <c r="S283" s="40">
        <f t="shared" si="38"/>
        <v>-43.874999999999986</v>
      </c>
      <c r="T283" s="42">
        <f t="shared" si="39"/>
        <v>-0.26390977443609021</v>
      </c>
      <c r="AA283" s="35"/>
    </row>
    <row r="284" spans="1:30">
      <c r="A284" s="36">
        <v>136</v>
      </c>
      <c r="B284" s="29">
        <v>2</v>
      </c>
      <c r="C284" s="29" t="s">
        <v>76</v>
      </c>
      <c r="D284" s="105">
        <v>240</v>
      </c>
      <c r="E284" s="105" t="s">
        <v>388</v>
      </c>
      <c r="F284" s="106" t="s">
        <v>262</v>
      </c>
      <c r="G284" s="105" t="s">
        <v>160</v>
      </c>
      <c r="H284" s="104">
        <v>1</v>
      </c>
      <c r="I284" s="103">
        <v>1</v>
      </c>
      <c r="J284" s="102">
        <f>H284*I284</f>
        <v>1</v>
      </c>
      <c r="K284" s="45">
        <v>49.16</v>
      </c>
      <c r="L284" s="45">
        <v>29.975000000000001</v>
      </c>
      <c r="M284" s="45">
        <f t="shared" si="40"/>
        <v>29.975000000000001</v>
      </c>
      <c r="N284" s="44">
        <f t="shared" si="33"/>
        <v>-19.184999999999995</v>
      </c>
      <c r="O284" s="43">
        <f t="shared" si="34"/>
        <v>49.16</v>
      </c>
      <c r="P284" s="40">
        <f t="shared" si="35"/>
        <v>29.975000000000001</v>
      </c>
      <c r="Q284" s="40">
        <f t="shared" si="36"/>
        <v>29.975000000000001</v>
      </c>
      <c r="R284" s="40">
        <f t="shared" si="37"/>
        <v>-19.184999999999995</v>
      </c>
      <c r="S284" s="40">
        <f t="shared" si="38"/>
        <v>-19.184999999999995</v>
      </c>
      <c r="T284" s="42">
        <f t="shared" si="39"/>
        <v>-0.39025630593978833</v>
      </c>
      <c r="AA284" s="35"/>
    </row>
    <row r="285" spans="1:30">
      <c r="A285" s="36">
        <v>130</v>
      </c>
      <c r="B285" s="29">
        <v>2</v>
      </c>
      <c r="C285" s="29" t="s">
        <v>76</v>
      </c>
      <c r="D285" s="31">
        <v>240</v>
      </c>
      <c r="E285" s="31" t="s">
        <v>388</v>
      </c>
      <c r="F285" s="32" t="s">
        <v>261</v>
      </c>
      <c r="G285" s="31" t="s">
        <v>166</v>
      </c>
      <c r="H285" s="30">
        <v>52</v>
      </c>
      <c r="I285" s="103"/>
      <c r="J285" s="102"/>
      <c r="K285" s="45">
        <v>1.75</v>
      </c>
      <c r="L285" s="45">
        <v>1.2100000000000002</v>
      </c>
      <c r="M285" s="45">
        <f t="shared" si="40"/>
        <v>1.2100000000000002</v>
      </c>
      <c r="N285" s="44">
        <f t="shared" si="33"/>
        <v>-0.53999999999999981</v>
      </c>
      <c r="O285" s="43">
        <f t="shared" si="34"/>
        <v>91</v>
      </c>
      <c r="P285" s="40">
        <f t="shared" si="35"/>
        <v>62.920000000000009</v>
      </c>
      <c r="Q285" s="40">
        <f t="shared" si="36"/>
        <v>62.920000000000009</v>
      </c>
      <c r="R285" s="40">
        <f t="shared" si="37"/>
        <v>-28.079999999999991</v>
      </c>
      <c r="S285" s="40">
        <f t="shared" si="38"/>
        <v>-28.079999999999991</v>
      </c>
      <c r="T285" s="42">
        <f t="shared" si="39"/>
        <v>-0.3085714285714285</v>
      </c>
      <c r="AA285" s="35"/>
    </row>
    <row r="286" spans="1:30">
      <c r="A286" s="36">
        <v>127</v>
      </c>
      <c r="B286" s="29">
        <v>2</v>
      </c>
      <c r="C286" s="29" t="s">
        <v>76</v>
      </c>
      <c r="D286" s="105">
        <v>240</v>
      </c>
      <c r="E286" s="105" t="s">
        <v>388</v>
      </c>
      <c r="F286" s="106" t="s">
        <v>259</v>
      </c>
      <c r="G286" s="105" t="s">
        <v>210</v>
      </c>
      <c r="H286" s="104">
        <v>3</v>
      </c>
      <c r="I286" s="103">
        <v>1</v>
      </c>
      <c r="J286" s="102">
        <f>H286*I286</f>
        <v>3</v>
      </c>
      <c r="K286" s="45">
        <v>38.630000000000003</v>
      </c>
      <c r="L286" s="45">
        <v>29.975000000000001</v>
      </c>
      <c r="M286" s="45">
        <f t="shared" si="40"/>
        <v>29.975000000000001</v>
      </c>
      <c r="N286" s="44">
        <f t="shared" si="33"/>
        <v>-8.6550000000000011</v>
      </c>
      <c r="O286" s="43">
        <f t="shared" si="34"/>
        <v>115.89000000000001</v>
      </c>
      <c r="P286" s="40">
        <f t="shared" si="35"/>
        <v>89.925000000000011</v>
      </c>
      <c r="Q286" s="40">
        <f t="shared" si="36"/>
        <v>89.925000000000011</v>
      </c>
      <c r="R286" s="40">
        <f t="shared" si="37"/>
        <v>-25.965000000000003</v>
      </c>
      <c r="S286" s="40">
        <f t="shared" si="38"/>
        <v>-25.965000000000003</v>
      </c>
      <c r="T286" s="42">
        <f t="shared" si="39"/>
        <v>-0.22404866683924407</v>
      </c>
      <c r="V286" s="74">
        <f>L286/2</f>
        <v>14.987500000000001</v>
      </c>
      <c r="W286" s="29" t="s">
        <v>417</v>
      </c>
      <c r="AA286" s="35"/>
    </row>
    <row r="287" spans="1:30">
      <c r="A287" s="36">
        <v>69</v>
      </c>
      <c r="B287" s="29">
        <v>2</v>
      </c>
      <c r="C287" s="29" t="s">
        <v>76</v>
      </c>
      <c r="D287" s="105">
        <v>240</v>
      </c>
      <c r="E287" s="105" t="s">
        <v>388</v>
      </c>
      <c r="F287" s="106" t="s">
        <v>258</v>
      </c>
      <c r="G287" s="105" t="s">
        <v>212</v>
      </c>
      <c r="H287" s="104">
        <v>565.20011563963465</v>
      </c>
      <c r="I287" s="103">
        <v>4.33</v>
      </c>
      <c r="J287" s="102">
        <f>H287*I287</f>
        <v>2447.316500719618</v>
      </c>
      <c r="K287" s="45">
        <v>138.94999999999999</v>
      </c>
      <c r="L287" s="45">
        <v>109.07270000000001</v>
      </c>
      <c r="M287" s="45">
        <f t="shared" si="40"/>
        <v>109.07270000000001</v>
      </c>
      <c r="N287" s="44">
        <f t="shared" si="33"/>
        <v>-29.877299999999977</v>
      </c>
      <c r="O287" s="43">
        <f t="shared" si="34"/>
        <v>78534.556068127233</v>
      </c>
      <c r="P287" s="40">
        <f t="shared" si="35"/>
        <v>61647.902653127181</v>
      </c>
      <c r="Q287" s="40">
        <f t="shared" si="36"/>
        <v>61647.902653127181</v>
      </c>
      <c r="R287" s="40">
        <f t="shared" si="37"/>
        <v>-16886.653415000052</v>
      </c>
      <c r="S287" s="40">
        <f t="shared" si="38"/>
        <v>-16886.653415000052</v>
      </c>
      <c r="T287" s="42">
        <f t="shared" si="39"/>
        <v>-0.21502195034184945</v>
      </c>
      <c r="AA287" s="35"/>
    </row>
    <row r="288" spans="1:30">
      <c r="A288" s="36">
        <v>83</v>
      </c>
      <c r="B288" s="29">
        <v>2</v>
      </c>
      <c r="C288" s="29" t="s">
        <v>76</v>
      </c>
      <c r="D288" s="105">
        <v>240</v>
      </c>
      <c r="E288" s="105" t="s">
        <v>388</v>
      </c>
      <c r="F288" s="106" t="s">
        <v>258</v>
      </c>
      <c r="G288" s="105" t="s">
        <v>230</v>
      </c>
      <c r="H288" s="104">
        <v>138.6669076403723</v>
      </c>
      <c r="I288" s="103">
        <v>2.17</v>
      </c>
      <c r="J288" s="102">
        <f>H288*I288</f>
        <v>300.90718957960786</v>
      </c>
      <c r="K288" s="45">
        <v>69.64</v>
      </c>
      <c r="L288" s="45">
        <v>54.536350000000006</v>
      </c>
      <c r="M288" s="45">
        <f t="shared" si="40"/>
        <v>54.536350000000006</v>
      </c>
      <c r="N288" s="44">
        <f t="shared" si="33"/>
        <v>-15.103649999999995</v>
      </c>
      <c r="O288" s="43">
        <f t="shared" si="34"/>
        <v>9656.7634480755278</v>
      </c>
      <c r="P288" s="40">
        <f t="shared" si="35"/>
        <v>7562.3870084930186</v>
      </c>
      <c r="Q288" s="40">
        <f t="shared" si="36"/>
        <v>7562.3870084930186</v>
      </c>
      <c r="R288" s="40">
        <f t="shared" si="37"/>
        <v>-2094.3764395825092</v>
      </c>
      <c r="S288" s="40">
        <f t="shared" si="38"/>
        <v>-2094.3764395825092</v>
      </c>
      <c r="T288" s="42">
        <f t="shared" si="39"/>
        <v>-0.21688182079264784</v>
      </c>
      <c r="AA288" s="35"/>
    </row>
    <row r="289" spans="1:27">
      <c r="A289" s="36">
        <v>114</v>
      </c>
      <c r="B289" s="29">
        <v>2</v>
      </c>
      <c r="C289" s="29" t="s">
        <v>76</v>
      </c>
      <c r="D289" s="105">
        <v>240</v>
      </c>
      <c r="E289" s="105" t="s">
        <v>388</v>
      </c>
      <c r="F289" s="106" t="s">
        <v>257</v>
      </c>
      <c r="G289" s="105" t="s">
        <v>160</v>
      </c>
      <c r="H289" s="104">
        <v>5</v>
      </c>
      <c r="I289" s="103">
        <v>1</v>
      </c>
      <c r="J289" s="102">
        <f>H289*I289</f>
        <v>5</v>
      </c>
      <c r="K289" s="45">
        <v>54.65</v>
      </c>
      <c r="L289" s="45">
        <v>35.585000000000001</v>
      </c>
      <c r="M289" s="45">
        <f t="shared" si="40"/>
        <v>35.585000000000001</v>
      </c>
      <c r="N289" s="44">
        <f t="shared" si="33"/>
        <v>-19.064999999999998</v>
      </c>
      <c r="O289" s="43">
        <f t="shared" si="34"/>
        <v>273.25</v>
      </c>
      <c r="P289" s="40">
        <f t="shared" si="35"/>
        <v>177.92500000000001</v>
      </c>
      <c r="Q289" s="40">
        <f t="shared" si="36"/>
        <v>177.92500000000001</v>
      </c>
      <c r="R289" s="40">
        <f t="shared" si="37"/>
        <v>-95.324999999999989</v>
      </c>
      <c r="S289" s="40">
        <f t="shared" si="38"/>
        <v>-95.324999999999989</v>
      </c>
      <c r="T289" s="42">
        <f t="shared" si="39"/>
        <v>-0.34885635864592857</v>
      </c>
      <c r="AA289" s="35"/>
    </row>
    <row r="290" spans="1:27">
      <c r="A290" s="36">
        <v>107</v>
      </c>
      <c r="B290" s="29">
        <v>2</v>
      </c>
      <c r="C290" s="29" t="s">
        <v>76</v>
      </c>
      <c r="D290" s="31">
        <v>240</v>
      </c>
      <c r="E290" s="31" t="s">
        <v>388</v>
      </c>
      <c r="F290" s="32" t="s">
        <v>256</v>
      </c>
      <c r="G290" s="31" t="s">
        <v>166</v>
      </c>
      <c r="H290" s="30">
        <v>340</v>
      </c>
      <c r="I290" s="103"/>
      <c r="J290" s="102"/>
      <c r="K290" s="45">
        <v>2</v>
      </c>
      <c r="L290" s="45">
        <v>1.6500000000000001</v>
      </c>
      <c r="M290" s="45">
        <f t="shared" si="40"/>
        <v>1.6500000000000001</v>
      </c>
      <c r="N290" s="44">
        <f t="shared" si="33"/>
        <v>-0.34999999999999987</v>
      </c>
      <c r="O290" s="43">
        <f t="shared" si="34"/>
        <v>680</v>
      </c>
      <c r="P290" s="40">
        <f t="shared" si="35"/>
        <v>561</v>
      </c>
      <c r="Q290" s="40">
        <f t="shared" si="36"/>
        <v>561</v>
      </c>
      <c r="R290" s="40">
        <f t="shared" si="37"/>
        <v>-119</v>
      </c>
      <c r="S290" s="40">
        <f t="shared" si="38"/>
        <v>-119</v>
      </c>
      <c r="T290" s="42">
        <f t="shared" si="39"/>
        <v>-0.17499999999999993</v>
      </c>
      <c r="AA290" s="35"/>
    </row>
    <row r="291" spans="1:27">
      <c r="A291" s="36">
        <v>110</v>
      </c>
      <c r="B291" s="29">
        <v>2</v>
      </c>
      <c r="C291" s="29" t="s">
        <v>76</v>
      </c>
      <c r="D291" s="105">
        <v>240</v>
      </c>
      <c r="E291" s="105" t="s">
        <v>388</v>
      </c>
      <c r="F291" s="106" t="s">
        <v>254</v>
      </c>
      <c r="G291" s="105" t="s">
        <v>210</v>
      </c>
      <c r="H291" s="104">
        <v>10</v>
      </c>
      <c r="I291" s="103">
        <v>1</v>
      </c>
      <c r="J291" s="102">
        <f t="shared" ref="J291:J298" si="41">H291*I291</f>
        <v>10</v>
      </c>
      <c r="K291" s="45">
        <v>44.12</v>
      </c>
      <c r="L291" s="45">
        <v>35.585000000000001</v>
      </c>
      <c r="M291" s="45">
        <f t="shared" si="40"/>
        <v>35.585000000000001</v>
      </c>
      <c r="N291" s="44">
        <f t="shared" si="33"/>
        <v>-8.5349999999999966</v>
      </c>
      <c r="O291" s="43">
        <f t="shared" si="34"/>
        <v>441.2</v>
      </c>
      <c r="P291" s="40">
        <f t="shared" si="35"/>
        <v>355.85</v>
      </c>
      <c r="Q291" s="40">
        <f t="shared" si="36"/>
        <v>355.85</v>
      </c>
      <c r="R291" s="40">
        <f t="shared" si="37"/>
        <v>-85.349999999999966</v>
      </c>
      <c r="S291" s="40">
        <f t="shared" si="38"/>
        <v>-85.349999999999966</v>
      </c>
      <c r="T291" s="42">
        <f t="shared" si="39"/>
        <v>-0.1934496826835902</v>
      </c>
      <c r="AA291" s="35"/>
    </row>
    <row r="292" spans="1:27">
      <c r="A292" s="36">
        <v>74</v>
      </c>
      <c r="B292" s="29">
        <v>2</v>
      </c>
      <c r="C292" s="29" t="s">
        <v>76</v>
      </c>
      <c r="D292" s="105">
        <v>240</v>
      </c>
      <c r="E292" s="105" t="s">
        <v>388</v>
      </c>
      <c r="F292" s="106" t="s">
        <v>253</v>
      </c>
      <c r="G292" s="105" t="s">
        <v>212</v>
      </c>
      <c r="H292" s="104">
        <v>394.32748811027614</v>
      </c>
      <c r="I292" s="103">
        <v>4.33</v>
      </c>
      <c r="J292" s="102">
        <f t="shared" si="41"/>
        <v>1707.4380235174956</v>
      </c>
      <c r="K292" s="45">
        <v>89.24</v>
      </c>
      <c r="L292" s="45">
        <v>74.302800000000005</v>
      </c>
      <c r="M292" s="45">
        <f t="shared" si="40"/>
        <v>74.302800000000005</v>
      </c>
      <c r="N292" s="44">
        <f t="shared" si="33"/>
        <v>-14.93719999999999</v>
      </c>
      <c r="O292" s="43">
        <f t="shared" si="34"/>
        <v>35189.785038961039</v>
      </c>
      <c r="P292" s="40">
        <f t="shared" si="35"/>
        <v>29299.636483560229</v>
      </c>
      <c r="Q292" s="40">
        <f t="shared" si="36"/>
        <v>29299.636483560229</v>
      </c>
      <c r="R292" s="40">
        <f t="shared" si="37"/>
        <v>-5890.1485554008104</v>
      </c>
      <c r="S292" s="40">
        <f t="shared" si="38"/>
        <v>-5890.1485554008104</v>
      </c>
      <c r="T292" s="42">
        <f t="shared" si="39"/>
        <v>-0.16738233975795602</v>
      </c>
      <c r="AA292" s="35"/>
    </row>
    <row r="293" spans="1:27">
      <c r="A293" s="36">
        <v>94</v>
      </c>
      <c r="B293" s="29">
        <v>2</v>
      </c>
      <c r="C293" s="29" t="s">
        <v>76</v>
      </c>
      <c r="D293" s="105">
        <v>240</v>
      </c>
      <c r="E293" s="105" t="s">
        <v>388</v>
      </c>
      <c r="F293" s="106" t="s">
        <v>253</v>
      </c>
      <c r="G293" s="105" t="s">
        <v>317</v>
      </c>
      <c r="H293" s="104">
        <v>128</v>
      </c>
      <c r="I293" s="103">
        <v>1</v>
      </c>
      <c r="J293" s="102">
        <f t="shared" si="41"/>
        <v>128</v>
      </c>
      <c r="K293" s="45">
        <v>20.61</v>
      </c>
      <c r="L293" s="45">
        <v>17.16</v>
      </c>
      <c r="M293" s="45">
        <f t="shared" si="40"/>
        <v>17.16</v>
      </c>
      <c r="N293" s="44">
        <f t="shared" si="33"/>
        <v>-3.4499999999999993</v>
      </c>
      <c r="O293" s="43">
        <f t="shared" si="34"/>
        <v>2638.08</v>
      </c>
      <c r="P293" s="40">
        <f t="shared" si="35"/>
        <v>2196.48</v>
      </c>
      <c r="Q293" s="40">
        <f t="shared" si="36"/>
        <v>2196.48</v>
      </c>
      <c r="R293" s="40">
        <f t="shared" si="37"/>
        <v>-441.59999999999991</v>
      </c>
      <c r="S293" s="40">
        <f t="shared" si="38"/>
        <v>-441.59999999999991</v>
      </c>
      <c r="T293" s="42">
        <f t="shared" si="39"/>
        <v>-0.16739446870451236</v>
      </c>
      <c r="AA293" s="35"/>
    </row>
    <row r="294" spans="1:27">
      <c r="A294" s="36">
        <v>97</v>
      </c>
      <c r="B294" s="29">
        <v>2</v>
      </c>
      <c r="C294" s="29" t="s">
        <v>76</v>
      </c>
      <c r="D294" s="105">
        <v>240</v>
      </c>
      <c r="E294" s="105" t="s">
        <v>388</v>
      </c>
      <c r="F294" s="106" t="s">
        <v>253</v>
      </c>
      <c r="G294" s="105" t="s">
        <v>230</v>
      </c>
      <c r="H294" s="104">
        <v>36</v>
      </c>
      <c r="I294" s="103">
        <v>2.17</v>
      </c>
      <c r="J294" s="102">
        <f t="shared" si="41"/>
        <v>78.12</v>
      </c>
      <c r="K294" s="45">
        <v>44.72</v>
      </c>
      <c r="L294" s="45">
        <v>37.151400000000002</v>
      </c>
      <c r="M294" s="45">
        <f t="shared" si="40"/>
        <v>37.151400000000002</v>
      </c>
      <c r="N294" s="44">
        <f t="shared" si="33"/>
        <v>-7.5685999999999964</v>
      </c>
      <c r="O294" s="43">
        <f t="shared" si="34"/>
        <v>1609.92</v>
      </c>
      <c r="P294" s="40">
        <f t="shared" si="35"/>
        <v>1337.4504000000002</v>
      </c>
      <c r="Q294" s="40">
        <f t="shared" si="36"/>
        <v>1337.4504000000002</v>
      </c>
      <c r="R294" s="40">
        <f t="shared" si="37"/>
        <v>-272.4695999999999</v>
      </c>
      <c r="S294" s="40">
        <f t="shared" si="38"/>
        <v>-272.4695999999999</v>
      </c>
      <c r="T294" s="42">
        <f t="shared" si="39"/>
        <v>-0.16924418604651159</v>
      </c>
      <c r="AA294" s="35"/>
    </row>
    <row r="295" spans="1:27">
      <c r="A295" s="36">
        <v>212</v>
      </c>
      <c r="B295" s="29">
        <v>2</v>
      </c>
      <c r="C295" s="29" t="s">
        <v>76</v>
      </c>
      <c r="D295" s="105">
        <v>240</v>
      </c>
      <c r="E295" s="105" t="s">
        <v>388</v>
      </c>
      <c r="F295" s="106" t="s">
        <v>252</v>
      </c>
      <c r="G295" s="105" t="s">
        <v>160</v>
      </c>
      <c r="H295" s="104">
        <v>0</v>
      </c>
      <c r="I295" s="103">
        <v>1</v>
      </c>
      <c r="J295" s="102">
        <f t="shared" si="41"/>
        <v>0</v>
      </c>
      <c r="K295" s="45">
        <v>30.64</v>
      </c>
      <c r="L295" s="45">
        <v>27.555</v>
      </c>
      <c r="M295" s="45">
        <f t="shared" si="40"/>
        <v>27.555</v>
      </c>
      <c r="N295" s="44">
        <f t="shared" si="33"/>
        <v>-3.0850000000000009</v>
      </c>
      <c r="O295" s="43">
        <f t="shared" si="34"/>
        <v>0</v>
      </c>
      <c r="P295" s="40">
        <f t="shared" si="35"/>
        <v>0</v>
      </c>
      <c r="Q295" s="40">
        <f t="shared" si="36"/>
        <v>0</v>
      </c>
      <c r="R295" s="40">
        <f t="shared" si="37"/>
        <v>0</v>
      </c>
      <c r="S295" s="40">
        <f t="shared" si="38"/>
        <v>0</v>
      </c>
      <c r="T295" s="42">
        <f t="shared" si="39"/>
        <v>-0.10068537859007831</v>
      </c>
      <c r="AA295" s="35"/>
    </row>
    <row r="296" spans="1:27">
      <c r="A296" s="36">
        <v>72</v>
      </c>
      <c r="B296" s="29">
        <v>2</v>
      </c>
      <c r="C296" s="29" t="s">
        <v>76</v>
      </c>
      <c r="D296" s="105">
        <v>240</v>
      </c>
      <c r="E296" s="105" t="s">
        <v>388</v>
      </c>
      <c r="F296" s="106" t="s">
        <v>250</v>
      </c>
      <c r="G296" s="105" t="s">
        <v>212</v>
      </c>
      <c r="H296" s="104">
        <v>290.78813158100553</v>
      </c>
      <c r="I296" s="103">
        <v>4.33</v>
      </c>
      <c r="J296" s="102">
        <f t="shared" si="41"/>
        <v>1259.1126097457541</v>
      </c>
      <c r="K296" s="45">
        <v>162.63</v>
      </c>
      <c r="L296" s="45">
        <v>119.55130000000001</v>
      </c>
      <c r="M296" s="45">
        <f t="shared" si="40"/>
        <v>119.55130000000001</v>
      </c>
      <c r="N296" s="44">
        <f t="shared" si="33"/>
        <v>-43.078699999999984</v>
      </c>
      <c r="O296" s="43">
        <f t="shared" si="34"/>
        <v>47290.873839018925</v>
      </c>
      <c r="P296" s="40">
        <f t="shared" si="35"/>
        <v>34764.099155080272</v>
      </c>
      <c r="Q296" s="40">
        <f t="shared" si="36"/>
        <v>34764.099155080272</v>
      </c>
      <c r="R296" s="40">
        <f t="shared" si="37"/>
        <v>-12526.774683938653</v>
      </c>
      <c r="S296" s="40">
        <f t="shared" si="38"/>
        <v>-12526.774683938653</v>
      </c>
      <c r="T296" s="42">
        <f t="shared" si="39"/>
        <v>-0.26488778208202657</v>
      </c>
      <c r="AA296" s="35"/>
    </row>
    <row r="297" spans="1:27">
      <c r="A297" s="36">
        <v>77</v>
      </c>
      <c r="B297" s="29">
        <v>2</v>
      </c>
      <c r="C297" s="29" t="s">
        <v>76</v>
      </c>
      <c r="D297" s="105">
        <v>240</v>
      </c>
      <c r="E297" s="105" t="s">
        <v>388</v>
      </c>
      <c r="F297" s="106" t="s">
        <v>250</v>
      </c>
      <c r="G297" s="105" t="s">
        <v>230</v>
      </c>
      <c r="H297" s="104">
        <v>168.5003097585124</v>
      </c>
      <c r="I297" s="103">
        <v>2.17</v>
      </c>
      <c r="J297" s="102">
        <f t="shared" si="41"/>
        <v>365.64567217597192</v>
      </c>
      <c r="K297" s="45">
        <v>81.510000000000005</v>
      </c>
      <c r="L297" s="45">
        <v>59.775650000000006</v>
      </c>
      <c r="M297" s="45">
        <f t="shared" si="40"/>
        <v>59.775650000000006</v>
      </c>
      <c r="N297" s="44">
        <f t="shared" si="33"/>
        <v>-21.734349999999999</v>
      </c>
      <c r="O297" s="43">
        <f t="shared" si="34"/>
        <v>13734.460248416346</v>
      </c>
      <c r="P297" s="40">
        <f t="shared" si="35"/>
        <v>10072.215541016423</v>
      </c>
      <c r="Q297" s="40">
        <f t="shared" si="36"/>
        <v>10072.215541016423</v>
      </c>
      <c r="R297" s="40">
        <f t="shared" si="37"/>
        <v>-3662.2447073999228</v>
      </c>
      <c r="S297" s="40">
        <f t="shared" si="38"/>
        <v>-3662.2447073999228</v>
      </c>
      <c r="T297" s="42">
        <f t="shared" si="39"/>
        <v>-0.2666464237516869</v>
      </c>
      <c r="AA297" s="35"/>
    </row>
    <row r="298" spans="1:27">
      <c r="A298" s="36">
        <v>119</v>
      </c>
      <c r="B298" s="29">
        <v>2</v>
      </c>
      <c r="C298" s="29" t="s">
        <v>76</v>
      </c>
      <c r="D298" s="105">
        <v>240</v>
      </c>
      <c r="E298" s="105" t="s">
        <v>388</v>
      </c>
      <c r="F298" s="106" t="s">
        <v>249</v>
      </c>
      <c r="G298" s="105" t="s">
        <v>160</v>
      </c>
      <c r="H298" s="104">
        <v>3</v>
      </c>
      <c r="I298" s="103">
        <v>1</v>
      </c>
      <c r="J298" s="102">
        <f t="shared" si="41"/>
        <v>3</v>
      </c>
      <c r="K298" s="45">
        <v>60.12</v>
      </c>
      <c r="L298" s="45">
        <v>38.005000000000003</v>
      </c>
      <c r="M298" s="45">
        <f t="shared" si="40"/>
        <v>38.005000000000003</v>
      </c>
      <c r="N298" s="44">
        <f t="shared" si="33"/>
        <v>-22.114999999999995</v>
      </c>
      <c r="O298" s="43">
        <f t="shared" si="34"/>
        <v>180.35999999999999</v>
      </c>
      <c r="P298" s="40">
        <f t="shared" si="35"/>
        <v>114.01500000000001</v>
      </c>
      <c r="Q298" s="40">
        <f t="shared" si="36"/>
        <v>114.01500000000001</v>
      </c>
      <c r="R298" s="40">
        <f t="shared" si="37"/>
        <v>-66.34499999999997</v>
      </c>
      <c r="S298" s="40">
        <f t="shared" si="38"/>
        <v>-66.34499999999997</v>
      </c>
      <c r="T298" s="42">
        <f t="shared" si="39"/>
        <v>-0.36784763805721887</v>
      </c>
      <c r="AA298" s="35"/>
    </row>
    <row r="299" spans="1:27">
      <c r="A299" s="36">
        <v>117</v>
      </c>
      <c r="B299" s="29">
        <v>2</v>
      </c>
      <c r="C299" s="29" t="s">
        <v>76</v>
      </c>
      <c r="D299" s="31">
        <v>240</v>
      </c>
      <c r="E299" s="31" t="s">
        <v>388</v>
      </c>
      <c r="F299" s="32" t="s">
        <v>248</v>
      </c>
      <c r="G299" s="31" t="s">
        <v>166</v>
      </c>
      <c r="H299" s="30">
        <v>87</v>
      </c>
      <c r="I299" s="103"/>
      <c r="J299" s="102"/>
      <c r="K299" s="45">
        <v>2.25</v>
      </c>
      <c r="L299" s="45">
        <v>1.9250000000000003</v>
      </c>
      <c r="M299" s="45">
        <f t="shared" si="40"/>
        <v>1.9250000000000003</v>
      </c>
      <c r="N299" s="44">
        <f t="shared" si="33"/>
        <v>-0.32499999999999973</v>
      </c>
      <c r="O299" s="43">
        <f t="shared" si="34"/>
        <v>195.75</v>
      </c>
      <c r="P299" s="40">
        <f t="shared" si="35"/>
        <v>167.47500000000002</v>
      </c>
      <c r="Q299" s="40">
        <f t="shared" si="36"/>
        <v>167.47500000000002</v>
      </c>
      <c r="R299" s="40">
        <f t="shared" si="37"/>
        <v>-28.274999999999977</v>
      </c>
      <c r="S299" s="40">
        <f t="shared" si="38"/>
        <v>-28.274999999999977</v>
      </c>
      <c r="T299" s="42">
        <f t="shared" si="39"/>
        <v>-0.14444444444444438</v>
      </c>
      <c r="AA299" s="35"/>
    </row>
    <row r="300" spans="1:27">
      <c r="A300" s="36">
        <v>129</v>
      </c>
      <c r="B300" s="29">
        <v>2</v>
      </c>
      <c r="C300" s="29" t="s">
        <v>76</v>
      </c>
      <c r="D300" s="105">
        <v>240</v>
      </c>
      <c r="E300" s="105" t="s">
        <v>388</v>
      </c>
      <c r="F300" s="106" t="s">
        <v>246</v>
      </c>
      <c r="G300" s="105" t="s">
        <v>210</v>
      </c>
      <c r="H300" s="104">
        <v>2</v>
      </c>
      <c r="I300" s="103">
        <v>1</v>
      </c>
      <c r="J300" s="102">
        <f>H300*I300</f>
        <v>2</v>
      </c>
      <c r="K300" s="45">
        <v>49.59</v>
      </c>
      <c r="L300" s="45">
        <v>38.005000000000003</v>
      </c>
      <c r="M300" s="45">
        <f t="shared" si="40"/>
        <v>38.005000000000003</v>
      </c>
      <c r="N300" s="44">
        <f t="shared" si="33"/>
        <v>-11.585000000000001</v>
      </c>
      <c r="O300" s="43">
        <f t="shared" si="34"/>
        <v>99.18</v>
      </c>
      <c r="P300" s="40">
        <f t="shared" si="35"/>
        <v>76.010000000000005</v>
      </c>
      <c r="Q300" s="40">
        <f t="shared" si="36"/>
        <v>76.010000000000005</v>
      </c>
      <c r="R300" s="40">
        <f t="shared" si="37"/>
        <v>-23.17</v>
      </c>
      <c r="S300" s="40">
        <f t="shared" si="38"/>
        <v>-23.17</v>
      </c>
      <c r="T300" s="42">
        <f t="shared" si="39"/>
        <v>-0.23361564831619275</v>
      </c>
      <c r="AA300" s="35"/>
    </row>
    <row r="301" spans="1:27">
      <c r="A301" s="36">
        <v>71</v>
      </c>
      <c r="B301" s="29">
        <v>2</v>
      </c>
      <c r="C301" s="29" t="s">
        <v>76</v>
      </c>
      <c r="D301" s="105">
        <v>240</v>
      </c>
      <c r="E301" s="105" t="s">
        <v>388</v>
      </c>
      <c r="F301" s="106" t="s">
        <v>245</v>
      </c>
      <c r="G301" s="105" t="s">
        <v>212</v>
      </c>
      <c r="H301" s="104">
        <v>244.30009336209622</v>
      </c>
      <c r="I301" s="103">
        <v>4.33</v>
      </c>
      <c r="J301" s="102">
        <f>H301*I301</f>
        <v>1057.8194042578766</v>
      </c>
      <c r="K301" s="45">
        <v>193.98</v>
      </c>
      <c r="L301" s="45">
        <v>149.08190000000002</v>
      </c>
      <c r="M301" s="45">
        <f t="shared" si="40"/>
        <v>149.08190000000002</v>
      </c>
      <c r="N301" s="44">
        <f t="shared" si="33"/>
        <v>-44.898099999999971</v>
      </c>
      <c r="O301" s="43">
        <f t="shared" si="34"/>
        <v>47389.332110379422</v>
      </c>
      <c r="P301" s="40">
        <f t="shared" si="35"/>
        <v>36420.722088598697</v>
      </c>
      <c r="Q301" s="40">
        <f t="shared" si="36"/>
        <v>36420.722088598697</v>
      </c>
      <c r="R301" s="40">
        <f t="shared" si="37"/>
        <v>-10968.610021780725</v>
      </c>
      <c r="S301" s="40">
        <f t="shared" si="38"/>
        <v>-10968.610021780725</v>
      </c>
      <c r="T301" s="42">
        <f t="shared" si="39"/>
        <v>-0.23145736673883888</v>
      </c>
      <c r="AA301" s="35"/>
    </row>
    <row r="302" spans="1:27">
      <c r="A302" s="36">
        <v>89</v>
      </c>
      <c r="B302" s="29">
        <v>2</v>
      </c>
      <c r="C302" s="29" t="s">
        <v>76</v>
      </c>
      <c r="D302" s="105">
        <v>240</v>
      </c>
      <c r="E302" s="105" t="s">
        <v>388</v>
      </c>
      <c r="F302" s="106" t="s">
        <v>245</v>
      </c>
      <c r="G302" s="105" t="s">
        <v>230</v>
      </c>
      <c r="H302" s="104">
        <v>48</v>
      </c>
      <c r="I302" s="103">
        <v>2.17</v>
      </c>
      <c r="J302" s="102">
        <f>H302*I302</f>
        <v>104.16</v>
      </c>
      <c r="K302" s="45">
        <v>97.22</v>
      </c>
      <c r="L302" s="45">
        <v>74.713099999999997</v>
      </c>
      <c r="M302" s="45">
        <f t="shared" si="40"/>
        <v>74.713099999999997</v>
      </c>
      <c r="N302" s="44">
        <f t="shared" si="33"/>
        <v>-22.506900000000002</v>
      </c>
      <c r="O302" s="43">
        <f t="shared" si="34"/>
        <v>4666.5599999999995</v>
      </c>
      <c r="P302" s="40">
        <f t="shared" si="35"/>
        <v>3586.2287999999999</v>
      </c>
      <c r="Q302" s="40">
        <f t="shared" si="36"/>
        <v>3586.2287999999999</v>
      </c>
      <c r="R302" s="40">
        <f t="shared" si="37"/>
        <v>-1080.3311999999996</v>
      </c>
      <c r="S302" s="40">
        <f t="shared" si="38"/>
        <v>-1080.3311999999996</v>
      </c>
      <c r="T302" s="42">
        <f t="shared" si="39"/>
        <v>-0.23150483439621483</v>
      </c>
      <c r="AA302" s="35"/>
    </row>
    <row r="303" spans="1:27">
      <c r="A303" s="36">
        <v>116</v>
      </c>
      <c r="B303" s="29">
        <v>2</v>
      </c>
      <c r="C303" s="29" t="s">
        <v>76</v>
      </c>
      <c r="D303" s="105">
        <v>240</v>
      </c>
      <c r="E303" s="105" t="s">
        <v>388</v>
      </c>
      <c r="F303" s="106" t="s">
        <v>244</v>
      </c>
      <c r="G303" s="105" t="s">
        <v>160</v>
      </c>
      <c r="H303" s="104">
        <v>3</v>
      </c>
      <c r="I303" s="103">
        <v>1</v>
      </c>
      <c r="J303" s="102">
        <f>H303*I303</f>
        <v>3</v>
      </c>
      <c r="K303" s="45">
        <v>67.36</v>
      </c>
      <c r="L303" s="45">
        <v>44.825000000000003</v>
      </c>
      <c r="M303" s="45">
        <f t="shared" ref="M303:M334" si="42">L303*(1+$W$16)</f>
        <v>44.825000000000003</v>
      </c>
      <c r="N303" s="44">
        <f t="shared" si="33"/>
        <v>-22.534999999999997</v>
      </c>
      <c r="O303" s="43">
        <f t="shared" si="34"/>
        <v>202.07999999999998</v>
      </c>
      <c r="P303" s="40">
        <f t="shared" si="35"/>
        <v>134.47500000000002</v>
      </c>
      <c r="Q303" s="40">
        <f t="shared" si="36"/>
        <v>134.47500000000002</v>
      </c>
      <c r="R303" s="40">
        <f t="shared" si="37"/>
        <v>-67.604999999999961</v>
      </c>
      <c r="S303" s="40">
        <f t="shared" si="38"/>
        <v>-67.604999999999961</v>
      </c>
      <c r="T303" s="42">
        <f t="shared" si="39"/>
        <v>-0.33454572446555819</v>
      </c>
      <c r="AA303" s="35"/>
    </row>
    <row r="304" spans="1:27">
      <c r="A304" s="36">
        <v>111</v>
      </c>
      <c r="B304" s="29">
        <v>2</v>
      </c>
      <c r="C304" s="29" t="s">
        <v>76</v>
      </c>
      <c r="D304" s="31">
        <v>240</v>
      </c>
      <c r="E304" s="31" t="s">
        <v>388</v>
      </c>
      <c r="F304" s="32" t="s">
        <v>243</v>
      </c>
      <c r="G304" s="31" t="s">
        <v>166</v>
      </c>
      <c r="H304" s="30">
        <v>144</v>
      </c>
      <c r="I304" s="103"/>
      <c r="J304" s="102"/>
      <c r="K304" s="45">
        <v>2.75</v>
      </c>
      <c r="L304" s="45">
        <v>2.09</v>
      </c>
      <c r="M304" s="45">
        <f t="shared" si="42"/>
        <v>2.09</v>
      </c>
      <c r="N304" s="44">
        <f t="shared" si="33"/>
        <v>-0.66000000000000014</v>
      </c>
      <c r="O304" s="43">
        <f t="shared" si="34"/>
        <v>396</v>
      </c>
      <c r="P304" s="40">
        <f t="shared" si="35"/>
        <v>300.95999999999998</v>
      </c>
      <c r="Q304" s="40">
        <f t="shared" si="36"/>
        <v>300.95999999999998</v>
      </c>
      <c r="R304" s="40">
        <f t="shared" si="37"/>
        <v>-95.04000000000002</v>
      </c>
      <c r="S304" s="40">
        <f t="shared" si="38"/>
        <v>-95.04000000000002</v>
      </c>
      <c r="T304" s="42">
        <f t="shared" si="39"/>
        <v>-0.2400000000000001</v>
      </c>
      <c r="AA304" s="35"/>
    </row>
    <row r="305" spans="1:27">
      <c r="A305" s="36">
        <v>106</v>
      </c>
      <c r="B305" s="29">
        <v>2</v>
      </c>
      <c r="C305" s="29" t="s">
        <v>76</v>
      </c>
      <c r="D305" s="105">
        <v>240</v>
      </c>
      <c r="E305" s="105" t="s">
        <v>388</v>
      </c>
      <c r="F305" s="106" t="s">
        <v>241</v>
      </c>
      <c r="G305" s="105" t="s">
        <v>160</v>
      </c>
      <c r="H305" s="104">
        <v>12</v>
      </c>
      <c r="I305" s="103">
        <v>1</v>
      </c>
      <c r="J305" s="102">
        <f>H305*I305</f>
        <v>12</v>
      </c>
      <c r="K305" s="45">
        <v>56.83</v>
      </c>
      <c r="L305" s="45">
        <v>44.825000000000003</v>
      </c>
      <c r="M305" s="45">
        <f t="shared" si="42"/>
        <v>44.825000000000003</v>
      </c>
      <c r="N305" s="44">
        <f t="shared" si="33"/>
        <v>-12.004999999999995</v>
      </c>
      <c r="O305" s="43">
        <f t="shared" si="34"/>
        <v>681.96</v>
      </c>
      <c r="P305" s="40">
        <f t="shared" si="35"/>
        <v>537.90000000000009</v>
      </c>
      <c r="Q305" s="40">
        <f t="shared" si="36"/>
        <v>537.90000000000009</v>
      </c>
      <c r="R305" s="40">
        <f t="shared" si="37"/>
        <v>-144.05999999999995</v>
      </c>
      <c r="S305" s="40">
        <f t="shared" si="38"/>
        <v>-144.05999999999995</v>
      </c>
      <c r="T305" s="42">
        <f t="shared" si="39"/>
        <v>-0.21124406123526296</v>
      </c>
      <c r="AA305" s="35"/>
    </row>
    <row r="306" spans="1:27">
      <c r="A306" s="36">
        <v>220</v>
      </c>
      <c r="B306" s="29">
        <v>2</v>
      </c>
      <c r="C306" s="29" t="s">
        <v>76</v>
      </c>
      <c r="D306" s="105">
        <v>240</v>
      </c>
      <c r="E306" s="105" t="s">
        <v>388</v>
      </c>
      <c r="F306" s="106" t="s">
        <v>240</v>
      </c>
      <c r="G306" s="105" t="s">
        <v>212</v>
      </c>
      <c r="H306" s="104">
        <v>0</v>
      </c>
      <c r="I306" s="103"/>
      <c r="J306" s="102"/>
      <c r="K306" s="45">
        <v>18.920000000000002</v>
      </c>
      <c r="L306" s="45">
        <v>18.920000000000002</v>
      </c>
      <c r="M306" s="45">
        <f t="shared" si="42"/>
        <v>18.920000000000002</v>
      </c>
      <c r="N306" s="44">
        <f t="shared" si="33"/>
        <v>0</v>
      </c>
      <c r="O306" s="43">
        <f t="shared" si="34"/>
        <v>0</v>
      </c>
      <c r="P306" s="40">
        <f t="shared" si="35"/>
        <v>0</v>
      </c>
      <c r="Q306" s="40">
        <f t="shared" si="36"/>
        <v>0</v>
      </c>
      <c r="R306" s="40">
        <f t="shared" si="37"/>
        <v>0</v>
      </c>
      <c r="S306" s="40">
        <f t="shared" si="38"/>
        <v>0</v>
      </c>
      <c r="T306" s="42">
        <f t="shared" si="39"/>
        <v>0</v>
      </c>
      <c r="AA306" s="35"/>
    </row>
    <row r="307" spans="1:27">
      <c r="A307" s="36">
        <v>221</v>
      </c>
      <c r="B307" s="29">
        <v>2</v>
      </c>
      <c r="C307" s="29" t="s">
        <v>76</v>
      </c>
      <c r="D307" s="105">
        <v>240</v>
      </c>
      <c r="E307" s="105" t="s">
        <v>388</v>
      </c>
      <c r="F307" s="106" t="s">
        <v>416</v>
      </c>
      <c r="G307" s="105" t="s">
        <v>160</v>
      </c>
      <c r="H307" s="104">
        <v>0</v>
      </c>
      <c r="I307" s="103"/>
      <c r="J307" s="102"/>
      <c r="K307" s="45">
        <v>4.37</v>
      </c>
      <c r="L307" s="45">
        <v>4.37</v>
      </c>
      <c r="M307" s="45">
        <f t="shared" si="42"/>
        <v>4.37</v>
      </c>
      <c r="N307" s="44">
        <f t="shared" si="33"/>
        <v>0</v>
      </c>
      <c r="O307" s="43">
        <f t="shared" si="34"/>
        <v>0</v>
      </c>
      <c r="P307" s="40">
        <f t="shared" si="35"/>
        <v>0</v>
      </c>
      <c r="Q307" s="40">
        <f t="shared" si="36"/>
        <v>0</v>
      </c>
      <c r="R307" s="40">
        <f t="shared" si="37"/>
        <v>0</v>
      </c>
      <c r="S307" s="40">
        <f t="shared" si="38"/>
        <v>0</v>
      </c>
      <c r="T307" s="42">
        <f t="shared" si="39"/>
        <v>0</v>
      </c>
      <c r="AA307" s="35"/>
    </row>
    <row r="308" spans="1:27">
      <c r="A308" s="36">
        <v>224</v>
      </c>
      <c r="B308" s="29">
        <v>2</v>
      </c>
      <c r="C308" s="29" t="s">
        <v>76</v>
      </c>
      <c r="D308" s="105">
        <v>240</v>
      </c>
      <c r="E308" s="105" t="s">
        <v>388</v>
      </c>
      <c r="F308" s="106" t="s">
        <v>238</v>
      </c>
      <c r="G308" s="105" t="s">
        <v>160</v>
      </c>
      <c r="H308" s="104">
        <v>0</v>
      </c>
      <c r="I308" s="103"/>
      <c r="J308" s="102"/>
      <c r="K308" s="45">
        <v>14.4</v>
      </c>
      <c r="L308" s="45">
        <v>12.230323325635105</v>
      </c>
      <c r="M308" s="45">
        <f t="shared" si="42"/>
        <v>12.230323325635105</v>
      </c>
      <c r="N308" s="44">
        <f t="shared" si="33"/>
        <v>-2.1696766743648954</v>
      </c>
      <c r="O308" s="43">
        <f t="shared" si="34"/>
        <v>0</v>
      </c>
      <c r="P308" s="40">
        <f t="shared" si="35"/>
        <v>0</v>
      </c>
      <c r="Q308" s="40">
        <f t="shared" si="36"/>
        <v>0</v>
      </c>
      <c r="R308" s="40">
        <f t="shared" si="37"/>
        <v>0</v>
      </c>
      <c r="S308" s="40">
        <f t="shared" si="38"/>
        <v>0</v>
      </c>
      <c r="T308" s="42">
        <f t="shared" si="39"/>
        <v>-0.15067199127533992</v>
      </c>
      <c r="AA308" s="35"/>
    </row>
    <row r="309" spans="1:27">
      <c r="A309" s="36">
        <v>73</v>
      </c>
      <c r="B309" s="29">
        <v>2</v>
      </c>
      <c r="C309" s="29" t="s">
        <v>76</v>
      </c>
      <c r="D309" s="105">
        <v>240</v>
      </c>
      <c r="E309" s="105" t="s">
        <v>388</v>
      </c>
      <c r="F309" s="106" t="s">
        <v>237</v>
      </c>
      <c r="G309" s="105" t="s">
        <v>212</v>
      </c>
      <c r="H309" s="104">
        <v>149.34671163575044</v>
      </c>
      <c r="I309" s="103">
        <v>4.33</v>
      </c>
      <c r="J309" s="102">
        <f>H309*I309</f>
        <v>646.67126138279946</v>
      </c>
      <c r="K309" s="45">
        <v>237.2</v>
      </c>
      <c r="L309" s="45">
        <v>184.80440000000002</v>
      </c>
      <c r="M309" s="45">
        <f t="shared" si="42"/>
        <v>184.80440000000002</v>
      </c>
      <c r="N309" s="44">
        <f t="shared" si="33"/>
        <v>-52.395599999999973</v>
      </c>
      <c r="O309" s="43">
        <f t="shared" si="34"/>
        <v>35425.040000000001</v>
      </c>
      <c r="P309" s="40">
        <f t="shared" si="35"/>
        <v>27599.929435817881</v>
      </c>
      <c r="Q309" s="40">
        <f t="shared" si="36"/>
        <v>27599.929435817881</v>
      </c>
      <c r="R309" s="40">
        <f t="shared" si="37"/>
        <v>-7825.1105641821196</v>
      </c>
      <c r="S309" s="40">
        <f t="shared" si="38"/>
        <v>-7825.1105641821196</v>
      </c>
      <c r="T309" s="42">
        <f t="shared" si="39"/>
        <v>-0.22089207419898804</v>
      </c>
      <c r="AA309" s="35"/>
    </row>
    <row r="310" spans="1:27">
      <c r="A310" s="36">
        <v>90</v>
      </c>
      <c r="B310" s="29">
        <v>2</v>
      </c>
      <c r="C310" s="29" t="s">
        <v>76</v>
      </c>
      <c r="D310" s="105">
        <v>240</v>
      </c>
      <c r="E310" s="105" t="s">
        <v>388</v>
      </c>
      <c r="F310" s="106" t="s">
        <v>237</v>
      </c>
      <c r="G310" s="105" t="s">
        <v>230</v>
      </c>
      <c r="H310" s="104">
        <v>36.500042622112353</v>
      </c>
      <c r="I310" s="103">
        <v>2.17</v>
      </c>
      <c r="J310" s="102">
        <f>H310*I310</f>
        <v>79.205092489983798</v>
      </c>
      <c r="K310" s="45">
        <v>118.87</v>
      </c>
      <c r="L310" s="45">
        <v>92.402200000000008</v>
      </c>
      <c r="M310" s="45">
        <f t="shared" si="42"/>
        <v>92.402200000000008</v>
      </c>
      <c r="N310" s="44">
        <f t="shared" si="33"/>
        <v>-26.467799999999997</v>
      </c>
      <c r="O310" s="43">
        <f t="shared" si="34"/>
        <v>4338.7600664904958</v>
      </c>
      <c r="P310" s="40">
        <f t="shared" si="35"/>
        <v>3372.6842383769504</v>
      </c>
      <c r="Q310" s="40">
        <f t="shared" si="36"/>
        <v>3372.6842383769504</v>
      </c>
      <c r="R310" s="40">
        <f t="shared" si="37"/>
        <v>-966.07582811354541</v>
      </c>
      <c r="S310" s="40">
        <f t="shared" si="38"/>
        <v>-966.07582811354541</v>
      </c>
      <c r="T310" s="42">
        <f t="shared" si="39"/>
        <v>-0.22266173130310418</v>
      </c>
      <c r="AA310" s="35"/>
    </row>
    <row r="311" spans="1:27">
      <c r="A311" s="36">
        <v>226</v>
      </c>
      <c r="B311" s="29">
        <v>2</v>
      </c>
      <c r="C311" s="29" t="s">
        <v>76</v>
      </c>
      <c r="D311" s="105">
        <v>240</v>
      </c>
      <c r="E311" s="105" t="s">
        <v>388</v>
      </c>
      <c r="F311" s="106" t="s">
        <v>237</v>
      </c>
      <c r="G311" s="105" t="s">
        <v>224</v>
      </c>
      <c r="H311" s="104">
        <v>0</v>
      </c>
      <c r="I311" s="103">
        <v>4.33</v>
      </c>
      <c r="J311" s="102">
        <f>H311*I311</f>
        <v>0</v>
      </c>
      <c r="K311" s="45">
        <v>474.4</v>
      </c>
      <c r="L311" s="45">
        <v>369.60880000000003</v>
      </c>
      <c r="M311" s="45">
        <f t="shared" si="42"/>
        <v>369.60880000000003</v>
      </c>
      <c r="N311" s="44">
        <f t="shared" si="33"/>
        <v>-104.79119999999995</v>
      </c>
      <c r="O311" s="43">
        <f t="shared" si="34"/>
        <v>0</v>
      </c>
      <c r="P311" s="40">
        <f t="shared" si="35"/>
        <v>0</v>
      </c>
      <c r="Q311" s="40">
        <f t="shared" si="36"/>
        <v>0</v>
      </c>
      <c r="R311" s="40">
        <f t="shared" si="37"/>
        <v>0</v>
      </c>
      <c r="S311" s="40">
        <f t="shared" si="38"/>
        <v>0</v>
      </c>
      <c r="T311" s="42">
        <f t="shared" si="39"/>
        <v>-0.22089207419898804</v>
      </c>
      <c r="AA311" s="35"/>
    </row>
    <row r="312" spans="1:27">
      <c r="A312" s="36">
        <v>123</v>
      </c>
      <c r="B312" s="29">
        <v>2</v>
      </c>
      <c r="C312" s="29" t="s">
        <v>76</v>
      </c>
      <c r="D312" s="105">
        <v>240</v>
      </c>
      <c r="E312" s="105" t="s">
        <v>388</v>
      </c>
      <c r="F312" s="106" t="s">
        <v>235</v>
      </c>
      <c r="G312" s="105" t="s">
        <v>160</v>
      </c>
      <c r="H312" s="104">
        <v>2</v>
      </c>
      <c r="I312" s="103">
        <v>1</v>
      </c>
      <c r="J312" s="102">
        <f>H312*I312</f>
        <v>2</v>
      </c>
      <c r="K312" s="45">
        <v>77.34</v>
      </c>
      <c r="L312" s="45">
        <v>53.075000000000003</v>
      </c>
      <c r="M312" s="45">
        <f t="shared" si="42"/>
        <v>53.075000000000003</v>
      </c>
      <c r="N312" s="44">
        <f t="shared" si="33"/>
        <v>-24.265000000000001</v>
      </c>
      <c r="O312" s="43">
        <f t="shared" si="34"/>
        <v>154.68</v>
      </c>
      <c r="P312" s="40">
        <f t="shared" si="35"/>
        <v>106.15</v>
      </c>
      <c r="Q312" s="40">
        <f t="shared" si="36"/>
        <v>106.15</v>
      </c>
      <c r="R312" s="40">
        <f t="shared" si="37"/>
        <v>-48.53</v>
      </c>
      <c r="S312" s="40">
        <f t="shared" si="38"/>
        <v>-48.53</v>
      </c>
      <c r="T312" s="42">
        <f t="shared" si="39"/>
        <v>-0.31374450478407034</v>
      </c>
      <c r="AA312" s="35"/>
    </row>
    <row r="313" spans="1:27">
      <c r="A313" s="36">
        <v>98</v>
      </c>
      <c r="B313" s="29">
        <v>2</v>
      </c>
      <c r="C313" s="29" t="s">
        <v>76</v>
      </c>
      <c r="D313" s="31">
        <v>240</v>
      </c>
      <c r="E313" s="31" t="s">
        <v>388</v>
      </c>
      <c r="F313" s="32" t="s">
        <v>234</v>
      </c>
      <c r="G313" s="31" t="s">
        <v>166</v>
      </c>
      <c r="H313" s="30">
        <v>533</v>
      </c>
      <c r="I313" s="103"/>
      <c r="J313" s="102"/>
      <c r="K313" s="45">
        <v>3</v>
      </c>
      <c r="L313" s="45">
        <v>2.4750000000000001</v>
      </c>
      <c r="M313" s="45">
        <f t="shared" si="42"/>
        <v>2.4750000000000001</v>
      </c>
      <c r="N313" s="44">
        <f t="shared" si="33"/>
        <v>-0.52499999999999991</v>
      </c>
      <c r="O313" s="43">
        <f t="shared" si="34"/>
        <v>1599</v>
      </c>
      <c r="P313" s="40">
        <f t="shared" si="35"/>
        <v>1319.175</v>
      </c>
      <c r="Q313" s="40">
        <f t="shared" si="36"/>
        <v>1319.175</v>
      </c>
      <c r="R313" s="40">
        <f t="shared" si="37"/>
        <v>-279.82500000000005</v>
      </c>
      <c r="S313" s="40">
        <f t="shared" si="38"/>
        <v>-279.82500000000005</v>
      </c>
      <c r="T313" s="42">
        <f t="shared" si="39"/>
        <v>-0.17499999999999993</v>
      </c>
      <c r="AA313" s="35"/>
    </row>
    <row r="314" spans="1:27">
      <c r="A314" s="36">
        <v>100</v>
      </c>
      <c r="B314" s="29">
        <v>2</v>
      </c>
      <c r="C314" s="29" t="s">
        <v>76</v>
      </c>
      <c r="D314" s="105">
        <v>240</v>
      </c>
      <c r="E314" s="105" t="s">
        <v>388</v>
      </c>
      <c r="F314" s="106" t="s">
        <v>232</v>
      </c>
      <c r="G314" s="105" t="s">
        <v>210</v>
      </c>
      <c r="H314" s="104">
        <v>22.59990985576923</v>
      </c>
      <c r="I314" s="103">
        <v>1</v>
      </c>
      <c r="J314" s="102">
        <f>H314*I314</f>
        <v>22.59990985576923</v>
      </c>
      <c r="K314" s="45">
        <v>66.56</v>
      </c>
      <c r="L314" s="45">
        <v>53.075000000000003</v>
      </c>
      <c r="M314" s="45">
        <f t="shared" si="42"/>
        <v>53.075000000000003</v>
      </c>
      <c r="N314" s="44">
        <f t="shared" si="33"/>
        <v>-13.484999999999999</v>
      </c>
      <c r="O314" s="43">
        <f t="shared" si="34"/>
        <v>1504.25</v>
      </c>
      <c r="P314" s="40">
        <f t="shared" si="35"/>
        <v>1199.4902155949519</v>
      </c>
      <c r="Q314" s="40">
        <f t="shared" si="36"/>
        <v>1199.4902155949519</v>
      </c>
      <c r="R314" s="40">
        <f t="shared" si="37"/>
        <v>-304.75978440504809</v>
      </c>
      <c r="S314" s="40">
        <f t="shared" si="38"/>
        <v>-304.75978440504809</v>
      </c>
      <c r="T314" s="42">
        <f t="shared" si="39"/>
        <v>-0.20259915865384615</v>
      </c>
      <c r="AA314" s="35"/>
    </row>
    <row r="315" spans="1:27">
      <c r="A315" s="36">
        <v>228</v>
      </c>
      <c r="B315" s="29">
        <v>2</v>
      </c>
      <c r="C315" s="29" t="s">
        <v>76</v>
      </c>
      <c r="D315" s="105">
        <v>240</v>
      </c>
      <c r="E315" s="105" t="s">
        <v>388</v>
      </c>
      <c r="F315" s="106" t="s">
        <v>231</v>
      </c>
      <c r="G315" s="105" t="s">
        <v>160</v>
      </c>
      <c r="H315" s="104">
        <v>0</v>
      </c>
      <c r="I315" s="103"/>
      <c r="J315" s="102"/>
      <c r="K315" s="45">
        <v>15.59</v>
      </c>
      <c r="L315" s="45">
        <v>14.190000000000001</v>
      </c>
      <c r="M315" s="45">
        <f t="shared" si="42"/>
        <v>14.190000000000001</v>
      </c>
      <c r="N315" s="44">
        <f t="shared" si="33"/>
        <v>-1.3999999999999986</v>
      </c>
      <c r="O315" s="43">
        <f t="shared" si="34"/>
        <v>0</v>
      </c>
      <c r="P315" s="40">
        <f t="shared" si="35"/>
        <v>0</v>
      </c>
      <c r="Q315" s="40">
        <f t="shared" si="36"/>
        <v>0</v>
      </c>
      <c r="R315" s="40">
        <f t="shared" si="37"/>
        <v>0</v>
      </c>
      <c r="S315" s="40">
        <f t="shared" si="38"/>
        <v>0</v>
      </c>
      <c r="T315" s="42">
        <f t="shared" si="39"/>
        <v>-8.9801154586273135E-2</v>
      </c>
      <c r="AA315" s="35"/>
    </row>
    <row r="316" spans="1:27">
      <c r="A316" s="36">
        <v>79</v>
      </c>
      <c r="B316" s="29">
        <v>2</v>
      </c>
      <c r="C316" s="29" t="s">
        <v>76</v>
      </c>
      <c r="D316" s="105">
        <v>240</v>
      </c>
      <c r="E316" s="105" t="s">
        <v>388</v>
      </c>
      <c r="F316" s="106" t="s">
        <v>229</v>
      </c>
      <c r="G316" s="105" t="s">
        <v>212</v>
      </c>
      <c r="H316" s="104">
        <v>504.86485073745854</v>
      </c>
      <c r="I316" s="103">
        <v>4.33</v>
      </c>
      <c r="J316" s="102">
        <f>H316*I316</f>
        <v>2186.0648036931957</v>
      </c>
      <c r="K316" s="45">
        <v>24.07</v>
      </c>
      <c r="L316" s="45">
        <v>27.625400000000003</v>
      </c>
      <c r="M316" s="45">
        <f t="shared" si="42"/>
        <v>27.625400000000003</v>
      </c>
      <c r="N316" s="44">
        <f t="shared" si="33"/>
        <v>3.5554000000000023</v>
      </c>
      <c r="O316" s="43">
        <f t="shared" si="34"/>
        <v>12152.096957250627</v>
      </c>
      <c r="P316" s="40">
        <f t="shared" si="35"/>
        <v>13947.093447562589</v>
      </c>
      <c r="Q316" s="40">
        <f t="shared" si="36"/>
        <v>13947.093447562589</v>
      </c>
      <c r="R316" s="40">
        <f t="shared" si="37"/>
        <v>1794.9964903119617</v>
      </c>
      <c r="S316" s="40">
        <f t="shared" si="38"/>
        <v>1794.9964903119617</v>
      </c>
      <c r="T316" s="42">
        <f t="shared" si="39"/>
        <v>0.14771084337349416</v>
      </c>
      <c r="AA316" s="35"/>
    </row>
    <row r="317" spans="1:27">
      <c r="A317" s="36">
        <v>230</v>
      </c>
      <c r="B317" s="29">
        <v>2</v>
      </c>
      <c r="C317" s="29" t="s">
        <v>76</v>
      </c>
      <c r="D317" s="105">
        <v>240</v>
      </c>
      <c r="E317" s="105" t="s">
        <v>388</v>
      </c>
      <c r="F317" s="106" t="s">
        <v>415</v>
      </c>
      <c r="G317" s="105" t="s">
        <v>212</v>
      </c>
      <c r="H317" s="104">
        <v>0</v>
      </c>
      <c r="I317" s="103"/>
      <c r="J317" s="102"/>
      <c r="K317" s="45">
        <v>5.56</v>
      </c>
      <c r="L317" s="45">
        <v>6.38</v>
      </c>
      <c r="M317" s="45">
        <f t="shared" si="42"/>
        <v>6.38</v>
      </c>
      <c r="N317" s="44">
        <f t="shared" si="33"/>
        <v>0.82000000000000028</v>
      </c>
      <c r="O317" s="43">
        <f t="shared" si="34"/>
        <v>0</v>
      </c>
      <c r="P317" s="40">
        <f t="shared" si="35"/>
        <v>0</v>
      </c>
      <c r="Q317" s="40">
        <f t="shared" si="36"/>
        <v>0</v>
      </c>
      <c r="R317" s="40">
        <f t="shared" si="37"/>
        <v>0</v>
      </c>
      <c r="S317" s="40">
        <f t="shared" si="38"/>
        <v>0</v>
      </c>
      <c r="T317" s="42">
        <f t="shared" si="39"/>
        <v>0.14748201438848918</v>
      </c>
      <c r="AA317" s="35"/>
    </row>
    <row r="318" spans="1:27">
      <c r="A318" s="36">
        <v>233</v>
      </c>
      <c r="B318" s="29">
        <v>2</v>
      </c>
      <c r="C318" s="29" t="s">
        <v>76</v>
      </c>
      <c r="D318" s="31">
        <v>240</v>
      </c>
      <c r="E318" s="31" t="s">
        <v>388</v>
      </c>
      <c r="F318" s="32" t="s">
        <v>414</v>
      </c>
      <c r="G318" s="31" t="s">
        <v>212</v>
      </c>
      <c r="H318" s="30">
        <v>0</v>
      </c>
      <c r="I318" s="103"/>
      <c r="J318" s="102"/>
      <c r="K318" s="45">
        <v>14.04</v>
      </c>
      <c r="L318" s="45">
        <v>17.16</v>
      </c>
      <c r="M318" s="45">
        <f t="shared" si="42"/>
        <v>17.16</v>
      </c>
      <c r="N318" s="44">
        <f t="shared" si="33"/>
        <v>3.120000000000001</v>
      </c>
      <c r="O318" s="43">
        <f t="shared" si="34"/>
        <v>0</v>
      </c>
      <c r="P318" s="40">
        <f t="shared" si="35"/>
        <v>0</v>
      </c>
      <c r="Q318" s="40">
        <f t="shared" si="36"/>
        <v>0</v>
      </c>
      <c r="R318" s="40">
        <f t="shared" si="37"/>
        <v>0</v>
      </c>
      <c r="S318" s="40">
        <f t="shared" si="38"/>
        <v>0</v>
      </c>
      <c r="T318" s="42">
        <f t="shared" si="39"/>
        <v>0.22222222222222232</v>
      </c>
      <c r="AA318" s="35"/>
    </row>
    <row r="319" spans="1:27">
      <c r="A319" s="36">
        <v>105</v>
      </c>
      <c r="B319" s="29">
        <v>2</v>
      </c>
      <c r="C319" s="29" t="s">
        <v>76</v>
      </c>
      <c r="D319" s="31">
        <v>240</v>
      </c>
      <c r="E319" s="31" t="s">
        <v>388</v>
      </c>
      <c r="F319" s="32" t="s">
        <v>413</v>
      </c>
      <c r="G319" s="31" t="s">
        <v>160</v>
      </c>
      <c r="H319" s="30">
        <v>33</v>
      </c>
      <c r="I319" s="103"/>
      <c r="J319" s="102"/>
      <c r="K319" s="45">
        <v>22.56</v>
      </c>
      <c r="L319" s="45">
        <v>21.560000000000002</v>
      </c>
      <c r="M319" s="45">
        <f t="shared" si="42"/>
        <v>21.560000000000002</v>
      </c>
      <c r="N319" s="44">
        <f t="shared" si="33"/>
        <v>-0.99999999999999645</v>
      </c>
      <c r="O319" s="43">
        <f t="shared" si="34"/>
        <v>744.4799999999999</v>
      </c>
      <c r="P319" s="40">
        <f t="shared" si="35"/>
        <v>711.48</v>
      </c>
      <c r="Q319" s="40">
        <f t="shared" si="36"/>
        <v>711.48</v>
      </c>
      <c r="R319" s="40">
        <f t="shared" si="37"/>
        <v>-32.999999999999886</v>
      </c>
      <c r="S319" s="40">
        <f t="shared" si="38"/>
        <v>-32.999999999999886</v>
      </c>
      <c r="T319" s="42">
        <f t="shared" si="39"/>
        <v>-4.4326241134751587E-2</v>
      </c>
      <c r="AA319" s="35"/>
    </row>
    <row r="320" spans="1:27">
      <c r="A320" s="36">
        <v>237</v>
      </c>
      <c r="B320" s="29">
        <v>2</v>
      </c>
      <c r="C320" s="29" t="s">
        <v>76</v>
      </c>
      <c r="D320" s="105">
        <v>245</v>
      </c>
      <c r="E320" s="105" t="s">
        <v>388</v>
      </c>
      <c r="F320" s="106" t="s">
        <v>223</v>
      </c>
      <c r="G320" s="105" t="s">
        <v>212</v>
      </c>
      <c r="H320" s="104">
        <v>0</v>
      </c>
      <c r="I320" s="103">
        <v>4.33</v>
      </c>
      <c r="J320" s="102">
        <f>H320*I320</f>
        <v>0</v>
      </c>
      <c r="K320" s="45">
        <v>14.12</v>
      </c>
      <c r="L320" s="45">
        <v>16.194200000000002</v>
      </c>
      <c r="M320" s="45">
        <f t="shared" si="42"/>
        <v>16.194200000000002</v>
      </c>
      <c r="N320" s="44">
        <f t="shared" si="33"/>
        <v>2.0742000000000029</v>
      </c>
      <c r="O320" s="43">
        <f t="shared" si="34"/>
        <v>0</v>
      </c>
      <c r="P320" s="40">
        <f t="shared" si="35"/>
        <v>0</v>
      </c>
      <c r="Q320" s="40">
        <f t="shared" si="36"/>
        <v>0</v>
      </c>
      <c r="R320" s="40">
        <f t="shared" si="37"/>
        <v>0</v>
      </c>
      <c r="S320" s="40">
        <f t="shared" si="38"/>
        <v>0</v>
      </c>
      <c r="T320" s="42">
        <f t="shared" si="39"/>
        <v>0.14689801699716742</v>
      </c>
      <c r="AA320" s="35"/>
    </row>
    <row r="321" spans="1:27">
      <c r="A321" s="36">
        <v>239</v>
      </c>
      <c r="B321" s="29">
        <v>2</v>
      </c>
      <c r="C321" s="29" t="s">
        <v>76</v>
      </c>
      <c r="D321" s="105">
        <v>245</v>
      </c>
      <c r="E321" s="105" t="s">
        <v>388</v>
      </c>
      <c r="F321" s="106" t="s">
        <v>222</v>
      </c>
      <c r="G321" s="105" t="s">
        <v>160</v>
      </c>
      <c r="H321" s="104">
        <v>0</v>
      </c>
      <c r="I321" s="103">
        <v>1</v>
      </c>
      <c r="J321" s="102">
        <f>H321*I321</f>
        <v>0</v>
      </c>
      <c r="K321" s="45">
        <v>13.29</v>
      </c>
      <c r="L321" s="45">
        <v>11.55</v>
      </c>
      <c r="M321" s="45">
        <f t="shared" si="42"/>
        <v>11.55</v>
      </c>
      <c r="N321" s="44">
        <f t="shared" si="33"/>
        <v>-1.7399999999999984</v>
      </c>
      <c r="O321" s="43">
        <f t="shared" si="34"/>
        <v>0</v>
      </c>
      <c r="P321" s="40">
        <f t="shared" si="35"/>
        <v>0</v>
      </c>
      <c r="Q321" s="40">
        <f t="shared" si="36"/>
        <v>0</v>
      </c>
      <c r="R321" s="40">
        <f t="shared" si="37"/>
        <v>0</v>
      </c>
      <c r="S321" s="40">
        <f t="shared" si="38"/>
        <v>0</v>
      </c>
      <c r="T321" s="42">
        <f t="shared" si="39"/>
        <v>-0.13092550790067714</v>
      </c>
      <c r="AA321" s="35"/>
    </row>
    <row r="322" spans="1:27">
      <c r="A322" s="36">
        <v>240</v>
      </c>
      <c r="B322" s="29">
        <v>2</v>
      </c>
      <c r="C322" s="29" t="s">
        <v>76</v>
      </c>
      <c r="D322" s="31">
        <v>250</v>
      </c>
      <c r="E322" s="31" t="s">
        <v>388</v>
      </c>
      <c r="F322" s="73" t="s">
        <v>412</v>
      </c>
      <c r="G322" s="31" t="s">
        <v>212</v>
      </c>
      <c r="H322" s="30">
        <v>0</v>
      </c>
      <c r="I322" s="103"/>
      <c r="J322" s="102"/>
      <c r="K322" s="45">
        <v>131.07</v>
      </c>
      <c r="L322" s="45">
        <v>131.07</v>
      </c>
      <c r="M322" s="45">
        <f t="shared" si="42"/>
        <v>131.07</v>
      </c>
      <c r="N322" s="44">
        <f t="shared" si="33"/>
        <v>0</v>
      </c>
      <c r="O322" s="43">
        <f t="shared" si="34"/>
        <v>0</v>
      </c>
      <c r="P322" s="40">
        <f t="shared" si="35"/>
        <v>0</v>
      </c>
      <c r="Q322" s="40">
        <f t="shared" si="36"/>
        <v>0</v>
      </c>
      <c r="R322" s="40">
        <f t="shared" si="37"/>
        <v>0</v>
      </c>
      <c r="S322" s="40">
        <f t="shared" si="38"/>
        <v>0</v>
      </c>
      <c r="T322" s="42">
        <f t="shared" si="39"/>
        <v>0</v>
      </c>
      <c r="U322" s="29" t="s">
        <v>398</v>
      </c>
      <c r="AA322" s="35"/>
    </row>
    <row r="323" spans="1:27">
      <c r="A323" s="36">
        <v>241</v>
      </c>
      <c r="B323" s="29">
        <v>2</v>
      </c>
      <c r="C323" s="29" t="s">
        <v>76</v>
      </c>
      <c r="D323" s="31">
        <v>250</v>
      </c>
      <c r="E323" s="31" t="s">
        <v>388</v>
      </c>
      <c r="F323" s="73" t="s">
        <v>411</v>
      </c>
      <c r="G323" s="31" t="s">
        <v>160</v>
      </c>
      <c r="H323" s="30">
        <v>0</v>
      </c>
      <c r="I323" s="103"/>
      <c r="J323" s="102"/>
      <c r="K323" s="45">
        <v>52.83</v>
      </c>
      <c r="L323" s="45">
        <v>38.080207852193993</v>
      </c>
      <c r="M323" s="45">
        <f t="shared" si="42"/>
        <v>38.080207852193993</v>
      </c>
      <c r="N323" s="44">
        <f t="shared" ref="N323:N387" si="43">IF(K323="N/A","-",IFERROR(L323-K323,"New"))</f>
        <v>-14.749792147806005</v>
      </c>
      <c r="O323" s="43">
        <f t="shared" ref="O323:O387" si="44">IFERROR(H323*K323,0)</f>
        <v>0</v>
      </c>
      <c r="P323" s="40">
        <f t="shared" ref="P323:P387" si="45">L323*H323</f>
        <v>0</v>
      </c>
      <c r="Q323" s="40">
        <f t="shared" ref="Q323:Q387" si="46">M323*H323</f>
        <v>0</v>
      </c>
      <c r="R323" s="40">
        <f t="shared" ref="R323:R387" si="47">P323-O323</f>
        <v>0</v>
      </c>
      <c r="S323" s="40">
        <f t="shared" ref="S323:S387" si="48">Q323-O323</f>
        <v>0</v>
      </c>
      <c r="T323" s="42">
        <f t="shared" ref="T323:T387" si="49">IFERROR(M323/K323-1,0)</f>
        <v>-0.27919349134593996</v>
      </c>
      <c r="U323" s="29" t="s">
        <v>398</v>
      </c>
      <c r="AA323" s="35"/>
    </row>
    <row r="324" spans="1:27">
      <c r="A324" s="36">
        <v>242</v>
      </c>
      <c r="B324" s="29">
        <v>2</v>
      </c>
      <c r="C324" s="29" t="s">
        <v>76</v>
      </c>
      <c r="D324" s="31">
        <v>250</v>
      </c>
      <c r="E324" s="31" t="s">
        <v>388</v>
      </c>
      <c r="F324" s="73" t="s">
        <v>410</v>
      </c>
      <c r="G324" s="31" t="s">
        <v>212</v>
      </c>
      <c r="H324" s="30">
        <v>0</v>
      </c>
      <c r="I324" s="103"/>
      <c r="J324" s="102"/>
      <c r="K324" s="45">
        <v>238.06</v>
      </c>
      <c r="L324" s="45">
        <v>238.06</v>
      </c>
      <c r="M324" s="45">
        <f t="shared" si="42"/>
        <v>238.06</v>
      </c>
      <c r="N324" s="44">
        <f t="shared" si="43"/>
        <v>0</v>
      </c>
      <c r="O324" s="43">
        <f t="shared" si="44"/>
        <v>0</v>
      </c>
      <c r="P324" s="40">
        <f t="shared" si="45"/>
        <v>0</v>
      </c>
      <c r="Q324" s="40">
        <f t="shared" si="46"/>
        <v>0</v>
      </c>
      <c r="R324" s="40">
        <f t="shared" si="47"/>
        <v>0</v>
      </c>
      <c r="S324" s="40">
        <f t="shared" si="48"/>
        <v>0</v>
      </c>
      <c r="T324" s="42">
        <f t="shared" si="49"/>
        <v>0</v>
      </c>
      <c r="U324" s="29" t="s">
        <v>398</v>
      </c>
      <c r="AA324" s="35"/>
    </row>
    <row r="325" spans="1:27">
      <c r="A325" s="36">
        <v>243</v>
      </c>
      <c r="B325" s="29">
        <v>2</v>
      </c>
      <c r="C325" s="29" t="s">
        <v>76</v>
      </c>
      <c r="D325" s="31">
        <v>250</v>
      </c>
      <c r="E325" s="31" t="s">
        <v>388</v>
      </c>
      <c r="F325" s="73" t="s">
        <v>409</v>
      </c>
      <c r="G325" s="31" t="s">
        <v>160</v>
      </c>
      <c r="H325" s="30">
        <v>0</v>
      </c>
      <c r="I325" s="103"/>
      <c r="J325" s="102"/>
      <c r="K325" s="45">
        <v>77.540000000000006</v>
      </c>
      <c r="L325" s="45">
        <v>62.789214780600467</v>
      </c>
      <c r="M325" s="45">
        <f t="shared" si="42"/>
        <v>62.789214780600467</v>
      </c>
      <c r="N325" s="44">
        <f t="shared" si="43"/>
        <v>-14.750785219399539</v>
      </c>
      <c r="O325" s="43">
        <f t="shared" si="44"/>
        <v>0</v>
      </c>
      <c r="P325" s="40">
        <f t="shared" si="45"/>
        <v>0</v>
      </c>
      <c r="Q325" s="40">
        <f t="shared" si="46"/>
        <v>0</v>
      </c>
      <c r="R325" s="40">
        <f t="shared" si="47"/>
        <v>0</v>
      </c>
      <c r="S325" s="40">
        <f t="shared" si="48"/>
        <v>0</v>
      </c>
      <c r="T325" s="42">
        <f t="shared" si="49"/>
        <v>-0.19023452694608634</v>
      </c>
      <c r="U325" s="29" t="s">
        <v>398</v>
      </c>
      <c r="AA325" s="35"/>
    </row>
    <row r="326" spans="1:27">
      <c r="A326" s="36">
        <v>244</v>
      </c>
      <c r="B326" s="29">
        <v>2</v>
      </c>
      <c r="C326" s="29" t="s">
        <v>76</v>
      </c>
      <c r="D326" s="31">
        <v>250</v>
      </c>
      <c r="E326" s="31" t="s">
        <v>388</v>
      </c>
      <c r="F326" s="73" t="s">
        <v>408</v>
      </c>
      <c r="G326" s="31" t="s">
        <v>212</v>
      </c>
      <c r="H326" s="30">
        <v>0</v>
      </c>
      <c r="I326" s="103"/>
      <c r="J326" s="102"/>
      <c r="K326" s="45">
        <v>343.8</v>
      </c>
      <c r="L326" s="45">
        <v>343.8</v>
      </c>
      <c r="M326" s="45">
        <f t="shared" si="42"/>
        <v>343.8</v>
      </c>
      <c r="N326" s="44">
        <f t="shared" si="43"/>
        <v>0</v>
      </c>
      <c r="O326" s="43">
        <f t="shared" si="44"/>
        <v>0</v>
      </c>
      <c r="P326" s="40">
        <f t="shared" si="45"/>
        <v>0</v>
      </c>
      <c r="Q326" s="40">
        <f t="shared" si="46"/>
        <v>0</v>
      </c>
      <c r="R326" s="40">
        <f t="shared" si="47"/>
        <v>0</v>
      </c>
      <c r="S326" s="40">
        <f t="shared" si="48"/>
        <v>0</v>
      </c>
      <c r="T326" s="42">
        <f t="shared" si="49"/>
        <v>0</v>
      </c>
      <c r="U326" s="29" t="s">
        <v>398</v>
      </c>
      <c r="AA326" s="35"/>
    </row>
    <row r="327" spans="1:27">
      <c r="A327" s="36">
        <v>245</v>
      </c>
      <c r="B327" s="29">
        <v>2</v>
      </c>
      <c r="C327" s="29" t="s">
        <v>76</v>
      </c>
      <c r="D327" s="31">
        <v>250</v>
      </c>
      <c r="E327" s="31" t="s">
        <v>388</v>
      </c>
      <c r="F327" s="73" t="s">
        <v>407</v>
      </c>
      <c r="G327" s="31" t="s">
        <v>160</v>
      </c>
      <c r="H327" s="30">
        <v>0</v>
      </c>
      <c r="I327" s="103"/>
      <c r="J327" s="102"/>
      <c r="K327" s="45">
        <v>101.96</v>
      </c>
      <c r="L327" s="45">
        <v>87.20953810623557</v>
      </c>
      <c r="M327" s="45">
        <f t="shared" si="42"/>
        <v>87.20953810623557</v>
      </c>
      <c r="N327" s="44">
        <f t="shared" si="43"/>
        <v>-14.750461893764424</v>
      </c>
      <c r="O327" s="43">
        <f t="shared" si="44"/>
        <v>0</v>
      </c>
      <c r="P327" s="40">
        <f t="shared" si="45"/>
        <v>0</v>
      </c>
      <c r="Q327" s="40">
        <f t="shared" si="46"/>
        <v>0</v>
      </c>
      <c r="R327" s="40">
        <f t="shared" si="47"/>
        <v>0</v>
      </c>
      <c r="S327" s="40">
        <f t="shared" si="48"/>
        <v>0</v>
      </c>
      <c r="T327" s="42">
        <f t="shared" si="49"/>
        <v>-0.1446691044896472</v>
      </c>
      <c r="AA327" s="35"/>
    </row>
    <row r="328" spans="1:27">
      <c r="A328" s="36">
        <v>246</v>
      </c>
      <c r="B328" s="29">
        <v>2</v>
      </c>
      <c r="C328" s="29" t="s">
        <v>76</v>
      </c>
      <c r="D328" s="31">
        <v>250</v>
      </c>
      <c r="E328" s="31" t="s">
        <v>388</v>
      </c>
      <c r="F328" s="73" t="s">
        <v>406</v>
      </c>
      <c r="G328" s="31" t="s">
        <v>212</v>
      </c>
      <c r="H328" s="30">
        <v>0</v>
      </c>
      <c r="I328" s="103"/>
      <c r="J328" s="102"/>
      <c r="K328" s="45">
        <v>432.13</v>
      </c>
      <c r="L328" s="45">
        <v>432.13</v>
      </c>
      <c r="M328" s="45">
        <f t="shared" si="42"/>
        <v>432.13</v>
      </c>
      <c r="N328" s="44">
        <f t="shared" si="43"/>
        <v>0</v>
      </c>
      <c r="O328" s="43">
        <f t="shared" si="44"/>
        <v>0</v>
      </c>
      <c r="P328" s="40">
        <f t="shared" si="45"/>
        <v>0</v>
      </c>
      <c r="Q328" s="40">
        <f t="shared" si="46"/>
        <v>0</v>
      </c>
      <c r="R328" s="40">
        <f t="shared" si="47"/>
        <v>0</v>
      </c>
      <c r="S328" s="40">
        <f t="shared" si="48"/>
        <v>0</v>
      </c>
      <c r="T328" s="42">
        <f t="shared" si="49"/>
        <v>0</v>
      </c>
      <c r="AA328" s="35"/>
    </row>
    <row r="329" spans="1:27">
      <c r="A329" s="36">
        <v>247</v>
      </c>
      <c r="B329" s="29">
        <v>2</v>
      </c>
      <c r="C329" s="29" t="s">
        <v>76</v>
      </c>
      <c r="D329" s="31">
        <v>250</v>
      </c>
      <c r="E329" s="31" t="s">
        <v>388</v>
      </c>
      <c r="F329" s="73" t="s">
        <v>405</v>
      </c>
      <c r="G329" s="31" t="s">
        <v>160</v>
      </c>
      <c r="H329" s="30">
        <v>0</v>
      </c>
      <c r="I329" s="103"/>
      <c r="J329" s="102"/>
      <c r="K329" s="45">
        <v>122.36</v>
      </c>
      <c r="L329" s="45">
        <v>107.60907621247114</v>
      </c>
      <c r="M329" s="45">
        <f t="shared" si="42"/>
        <v>107.60907621247114</v>
      </c>
      <c r="N329" s="44">
        <f t="shared" si="43"/>
        <v>-14.750923787528862</v>
      </c>
      <c r="O329" s="43">
        <f t="shared" si="44"/>
        <v>0</v>
      </c>
      <c r="P329" s="40">
        <f t="shared" si="45"/>
        <v>0</v>
      </c>
      <c r="Q329" s="40">
        <f t="shared" si="46"/>
        <v>0</v>
      </c>
      <c r="R329" s="40">
        <f t="shared" si="47"/>
        <v>0</v>
      </c>
      <c r="S329" s="40">
        <f t="shared" si="48"/>
        <v>0</v>
      </c>
      <c r="T329" s="42">
        <f t="shared" si="49"/>
        <v>-0.12055347979346898</v>
      </c>
      <c r="AA329" s="35"/>
    </row>
    <row r="330" spans="1:27">
      <c r="A330" s="36">
        <v>248</v>
      </c>
      <c r="B330" s="29">
        <v>2</v>
      </c>
      <c r="C330" s="29" t="s">
        <v>76</v>
      </c>
      <c r="D330" s="31">
        <v>250</v>
      </c>
      <c r="E330" s="31" t="s">
        <v>388</v>
      </c>
      <c r="F330" s="73" t="s">
        <v>404</v>
      </c>
      <c r="G330" s="31" t="s">
        <v>212</v>
      </c>
      <c r="H330" s="30">
        <v>0</v>
      </c>
      <c r="I330" s="103"/>
      <c r="J330" s="102"/>
      <c r="K330" s="45">
        <v>631.1</v>
      </c>
      <c r="L330" s="45">
        <v>631.1</v>
      </c>
      <c r="M330" s="45">
        <f t="shared" si="42"/>
        <v>631.1</v>
      </c>
      <c r="N330" s="44">
        <f t="shared" si="43"/>
        <v>0</v>
      </c>
      <c r="O330" s="43">
        <f t="shared" si="44"/>
        <v>0</v>
      </c>
      <c r="P330" s="40">
        <f t="shared" si="45"/>
        <v>0</v>
      </c>
      <c r="Q330" s="40">
        <f t="shared" si="46"/>
        <v>0</v>
      </c>
      <c r="R330" s="40">
        <f t="shared" si="47"/>
        <v>0</v>
      </c>
      <c r="S330" s="40">
        <f t="shared" si="48"/>
        <v>0</v>
      </c>
      <c r="T330" s="42">
        <f t="shared" si="49"/>
        <v>0</v>
      </c>
      <c r="AA330" s="35"/>
    </row>
    <row r="331" spans="1:27">
      <c r="A331" s="36">
        <v>249</v>
      </c>
      <c r="B331" s="29">
        <v>2</v>
      </c>
      <c r="C331" s="29" t="s">
        <v>76</v>
      </c>
      <c r="D331" s="31">
        <v>250</v>
      </c>
      <c r="E331" s="31" t="s">
        <v>388</v>
      </c>
      <c r="F331" s="73" t="s">
        <v>403</v>
      </c>
      <c r="G331" s="31" t="s">
        <v>160</v>
      </c>
      <c r="H331" s="30">
        <v>0</v>
      </c>
      <c r="I331" s="103"/>
      <c r="J331" s="102"/>
      <c r="K331" s="45">
        <v>168.31</v>
      </c>
      <c r="L331" s="45">
        <v>153.56057736720555</v>
      </c>
      <c r="M331" s="45">
        <f t="shared" si="42"/>
        <v>153.56057736720555</v>
      </c>
      <c r="N331" s="44">
        <f t="shared" si="43"/>
        <v>-14.749422632794449</v>
      </c>
      <c r="O331" s="43">
        <f t="shared" si="44"/>
        <v>0</v>
      </c>
      <c r="P331" s="40">
        <f t="shared" si="45"/>
        <v>0</v>
      </c>
      <c r="Q331" s="40">
        <f t="shared" si="46"/>
        <v>0</v>
      </c>
      <c r="R331" s="40">
        <f t="shared" si="47"/>
        <v>0</v>
      </c>
      <c r="S331" s="40">
        <f t="shared" si="48"/>
        <v>0</v>
      </c>
      <c r="T331" s="42">
        <f t="shared" si="49"/>
        <v>-8.763247954841924E-2</v>
      </c>
      <c r="AA331" s="35"/>
    </row>
    <row r="332" spans="1:27">
      <c r="A332" s="36">
        <v>250</v>
      </c>
      <c r="B332" s="29">
        <v>2</v>
      </c>
      <c r="C332" s="29" t="s">
        <v>76</v>
      </c>
      <c r="D332" s="31">
        <v>250</v>
      </c>
      <c r="E332" s="31" t="s">
        <v>388</v>
      </c>
      <c r="F332" s="73" t="s">
        <v>402</v>
      </c>
      <c r="G332" s="31" t="s">
        <v>212</v>
      </c>
      <c r="H332" s="30">
        <v>0</v>
      </c>
      <c r="I332" s="103"/>
      <c r="J332" s="102"/>
      <c r="K332" s="45">
        <v>180.95</v>
      </c>
      <c r="L332" s="45">
        <v>180.95</v>
      </c>
      <c r="M332" s="45">
        <f t="shared" si="42"/>
        <v>180.95</v>
      </c>
      <c r="N332" s="44">
        <f t="shared" si="43"/>
        <v>0</v>
      </c>
      <c r="O332" s="43">
        <f t="shared" si="44"/>
        <v>0</v>
      </c>
      <c r="P332" s="40">
        <f t="shared" si="45"/>
        <v>0</v>
      </c>
      <c r="Q332" s="40">
        <f t="shared" si="46"/>
        <v>0</v>
      </c>
      <c r="R332" s="40">
        <f t="shared" si="47"/>
        <v>0</v>
      </c>
      <c r="S332" s="40">
        <f t="shared" si="48"/>
        <v>0</v>
      </c>
      <c r="T332" s="42">
        <f t="shared" si="49"/>
        <v>0</v>
      </c>
      <c r="AA332" s="35"/>
    </row>
    <row r="333" spans="1:27">
      <c r="A333" s="36">
        <v>251</v>
      </c>
      <c r="B333" s="29">
        <v>2</v>
      </c>
      <c r="C333" s="29" t="s">
        <v>76</v>
      </c>
      <c r="D333" s="31">
        <v>250</v>
      </c>
      <c r="E333" s="31" t="s">
        <v>388</v>
      </c>
      <c r="F333" s="73" t="s">
        <v>401</v>
      </c>
      <c r="G333" s="31" t="s">
        <v>160</v>
      </c>
      <c r="H333" s="30">
        <v>0</v>
      </c>
      <c r="I333" s="103"/>
      <c r="J333" s="102"/>
      <c r="K333" s="45">
        <v>64.349999999999994</v>
      </c>
      <c r="L333" s="45">
        <v>49.599838337182447</v>
      </c>
      <c r="M333" s="45">
        <f t="shared" si="42"/>
        <v>49.599838337182447</v>
      </c>
      <c r="N333" s="44">
        <f t="shared" si="43"/>
        <v>-14.750161662817547</v>
      </c>
      <c r="O333" s="43">
        <f t="shared" si="44"/>
        <v>0</v>
      </c>
      <c r="P333" s="40">
        <f t="shared" si="45"/>
        <v>0</v>
      </c>
      <c r="Q333" s="40">
        <f t="shared" si="46"/>
        <v>0</v>
      </c>
      <c r="R333" s="40">
        <f t="shared" si="47"/>
        <v>0</v>
      </c>
      <c r="S333" s="40">
        <f t="shared" si="48"/>
        <v>0</v>
      </c>
      <c r="T333" s="42">
        <f t="shared" si="49"/>
        <v>-0.22921774145792617</v>
      </c>
      <c r="AA333" s="35"/>
    </row>
    <row r="334" spans="1:27">
      <c r="A334" s="36">
        <v>253</v>
      </c>
      <c r="B334" s="29">
        <v>2</v>
      </c>
      <c r="C334" s="29" t="s">
        <v>76</v>
      </c>
      <c r="D334" s="31">
        <v>255</v>
      </c>
      <c r="E334" s="31" t="s">
        <v>388</v>
      </c>
      <c r="F334" s="32" t="s">
        <v>221</v>
      </c>
      <c r="G334" s="31" t="s">
        <v>212</v>
      </c>
      <c r="H334" s="30">
        <v>0</v>
      </c>
      <c r="I334" s="103"/>
      <c r="J334" s="102"/>
      <c r="K334" s="45">
        <v>245.08</v>
      </c>
      <c r="L334" s="45">
        <v>175.51655000000002</v>
      </c>
      <c r="M334" s="45">
        <f t="shared" si="42"/>
        <v>175.51655000000002</v>
      </c>
      <c r="N334" s="44">
        <f t="shared" si="43"/>
        <v>-69.563449999999989</v>
      </c>
      <c r="O334" s="43">
        <f t="shared" si="44"/>
        <v>0</v>
      </c>
      <c r="P334" s="40">
        <f t="shared" si="45"/>
        <v>0</v>
      </c>
      <c r="Q334" s="40">
        <f t="shared" si="46"/>
        <v>0</v>
      </c>
      <c r="R334" s="40">
        <f t="shared" si="47"/>
        <v>0</v>
      </c>
      <c r="S334" s="40">
        <f t="shared" si="48"/>
        <v>0</v>
      </c>
      <c r="T334" s="42">
        <f t="shared" si="49"/>
        <v>-0.2838397666068222</v>
      </c>
      <c r="AA334" s="35"/>
    </row>
    <row r="335" spans="1:27">
      <c r="A335" s="36">
        <v>255</v>
      </c>
      <c r="B335" s="29">
        <v>2</v>
      </c>
      <c r="C335" s="29" t="s">
        <v>76</v>
      </c>
      <c r="D335" s="31">
        <v>255</v>
      </c>
      <c r="E335" s="31" t="s">
        <v>388</v>
      </c>
      <c r="F335" s="32" t="s">
        <v>220</v>
      </c>
      <c r="G335" s="31" t="s">
        <v>160</v>
      </c>
      <c r="H335" s="30">
        <v>0</v>
      </c>
      <c r="I335" s="103"/>
      <c r="J335" s="102"/>
      <c r="K335" s="45">
        <v>79.16</v>
      </c>
      <c r="L335" s="45">
        <v>48.345000000000006</v>
      </c>
      <c r="M335" s="72">
        <f>M334</f>
        <v>175.51655000000002</v>
      </c>
      <c r="N335" s="44">
        <f t="shared" si="43"/>
        <v>-30.814999999999991</v>
      </c>
      <c r="O335" s="43">
        <f t="shared" si="44"/>
        <v>0</v>
      </c>
      <c r="P335" s="40">
        <f t="shared" si="45"/>
        <v>0</v>
      </c>
      <c r="Q335" s="40">
        <f t="shared" si="46"/>
        <v>0</v>
      </c>
      <c r="R335" s="40">
        <f t="shared" si="47"/>
        <v>0</v>
      </c>
      <c r="S335" s="40">
        <f t="shared" si="48"/>
        <v>0</v>
      </c>
      <c r="T335" s="42">
        <f t="shared" si="49"/>
        <v>1.2172378726629614</v>
      </c>
      <c r="AA335" s="35"/>
    </row>
    <row r="336" spans="1:27">
      <c r="A336" s="36">
        <v>257</v>
      </c>
      <c r="B336" s="29">
        <v>2</v>
      </c>
      <c r="C336" s="29" t="s">
        <v>76</v>
      </c>
      <c r="D336" s="31">
        <v>255</v>
      </c>
      <c r="E336" s="31" t="s">
        <v>388</v>
      </c>
      <c r="F336" s="32" t="s">
        <v>219</v>
      </c>
      <c r="G336" s="31" t="s">
        <v>212</v>
      </c>
      <c r="H336" s="30">
        <v>0</v>
      </c>
      <c r="I336" s="103"/>
      <c r="J336" s="102"/>
      <c r="K336" s="45">
        <v>344.71</v>
      </c>
      <c r="L336" s="45">
        <v>256</v>
      </c>
      <c r="M336" s="45">
        <f>L336*(1+$W$16)</f>
        <v>256</v>
      </c>
      <c r="N336" s="44">
        <f t="shared" si="43"/>
        <v>-88.70999999999998</v>
      </c>
      <c r="O336" s="43">
        <f t="shared" si="44"/>
        <v>0</v>
      </c>
      <c r="P336" s="40">
        <f t="shared" si="45"/>
        <v>0</v>
      </c>
      <c r="Q336" s="40">
        <f t="shared" si="46"/>
        <v>0</v>
      </c>
      <c r="R336" s="40">
        <f t="shared" si="47"/>
        <v>0</v>
      </c>
      <c r="S336" s="40">
        <f t="shared" si="48"/>
        <v>0</v>
      </c>
      <c r="T336" s="42">
        <f t="shared" si="49"/>
        <v>-0.25734675524353801</v>
      </c>
      <c r="AA336" s="35"/>
    </row>
    <row r="337" spans="1:27">
      <c r="A337" s="36">
        <v>259</v>
      </c>
      <c r="B337" s="29">
        <v>2</v>
      </c>
      <c r="C337" s="29" t="s">
        <v>76</v>
      </c>
      <c r="D337" s="31">
        <v>255</v>
      </c>
      <c r="E337" s="31" t="s">
        <v>388</v>
      </c>
      <c r="F337" s="32" t="s">
        <v>218</v>
      </c>
      <c r="G337" s="31" t="s">
        <v>160</v>
      </c>
      <c r="H337" s="30">
        <v>0</v>
      </c>
      <c r="I337" s="103"/>
      <c r="J337" s="102"/>
      <c r="K337" s="45">
        <v>102.17</v>
      </c>
      <c r="L337" s="45">
        <v>66.932401847575051</v>
      </c>
      <c r="M337" s="72">
        <f>M336</f>
        <v>256</v>
      </c>
      <c r="N337" s="44">
        <f t="shared" si="43"/>
        <v>-35.237598152424951</v>
      </c>
      <c r="O337" s="43">
        <f t="shared" si="44"/>
        <v>0</v>
      </c>
      <c r="P337" s="40">
        <f t="shared" si="45"/>
        <v>0</v>
      </c>
      <c r="Q337" s="40">
        <f t="shared" si="46"/>
        <v>0</v>
      </c>
      <c r="R337" s="40">
        <f t="shared" si="47"/>
        <v>0</v>
      </c>
      <c r="S337" s="40">
        <f t="shared" si="48"/>
        <v>0</v>
      </c>
      <c r="T337" s="42">
        <f t="shared" si="49"/>
        <v>1.5056278751101106</v>
      </c>
      <c r="AA337" s="35"/>
    </row>
    <row r="338" spans="1:27">
      <c r="A338" s="36">
        <v>261</v>
      </c>
      <c r="B338" s="29">
        <v>2</v>
      </c>
      <c r="C338" s="29" t="s">
        <v>76</v>
      </c>
      <c r="D338" s="31">
        <v>255</v>
      </c>
      <c r="E338" s="31" t="s">
        <v>388</v>
      </c>
      <c r="F338" s="32" t="s">
        <v>217</v>
      </c>
      <c r="G338" s="31" t="s">
        <v>212</v>
      </c>
      <c r="H338" s="30">
        <v>0</v>
      </c>
      <c r="I338" s="103"/>
      <c r="J338" s="102"/>
      <c r="K338" s="45">
        <v>474.48</v>
      </c>
      <c r="L338" s="45">
        <v>331.76</v>
      </c>
      <c r="M338" s="45">
        <f>L338*(1+$W$16)</f>
        <v>331.76</v>
      </c>
      <c r="N338" s="44">
        <f t="shared" si="43"/>
        <v>-142.72000000000003</v>
      </c>
      <c r="O338" s="43">
        <f t="shared" si="44"/>
        <v>0</v>
      </c>
      <c r="P338" s="40">
        <f t="shared" si="45"/>
        <v>0</v>
      </c>
      <c r="Q338" s="40">
        <f t="shared" si="46"/>
        <v>0</v>
      </c>
      <c r="R338" s="40">
        <f t="shared" si="47"/>
        <v>0</v>
      </c>
      <c r="S338" s="40">
        <f t="shared" si="48"/>
        <v>0</v>
      </c>
      <c r="T338" s="42">
        <f t="shared" si="49"/>
        <v>-0.30079244646771208</v>
      </c>
      <c r="AA338" s="35"/>
    </row>
    <row r="339" spans="1:27">
      <c r="A339" s="36">
        <v>263</v>
      </c>
      <c r="B339" s="29">
        <v>2</v>
      </c>
      <c r="C339" s="29" t="s">
        <v>76</v>
      </c>
      <c r="D339" s="31">
        <v>255</v>
      </c>
      <c r="E339" s="31" t="s">
        <v>388</v>
      </c>
      <c r="F339" s="32" t="s">
        <v>216</v>
      </c>
      <c r="G339" s="31" t="s">
        <v>160</v>
      </c>
      <c r="H339" s="30">
        <v>0</v>
      </c>
      <c r="I339" s="103"/>
      <c r="J339" s="102"/>
      <c r="K339" s="45">
        <v>132.13999999999999</v>
      </c>
      <c r="L339" s="45">
        <v>84.428937644341801</v>
      </c>
      <c r="M339" s="72">
        <f>M338</f>
        <v>331.76</v>
      </c>
      <c r="N339" s="44">
        <f t="shared" si="43"/>
        <v>-47.711062355658186</v>
      </c>
      <c r="O339" s="43">
        <f t="shared" si="44"/>
        <v>0</v>
      </c>
      <c r="P339" s="40">
        <f t="shared" si="45"/>
        <v>0</v>
      </c>
      <c r="Q339" s="40">
        <f t="shared" si="46"/>
        <v>0</v>
      </c>
      <c r="R339" s="40">
        <f t="shared" si="47"/>
        <v>0</v>
      </c>
      <c r="S339" s="40">
        <f t="shared" si="48"/>
        <v>0</v>
      </c>
      <c r="T339" s="42">
        <f t="shared" si="49"/>
        <v>1.5106705009838053</v>
      </c>
      <c r="AA339" s="35"/>
    </row>
    <row r="340" spans="1:27">
      <c r="A340" s="36">
        <v>265</v>
      </c>
      <c r="B340" s="29">
        <v>2</v>
      </c>
      <c r="C340" s="29" t="s">
        <v>76</v>
      </c>
      <c r="D340" s="31">
        <v>255</v>
      </c>
      <c r="E340" s="31" t="s">
        <v>388</v>
      </c>
      <c r="F340" s="32" t="s">
        <v>215</v>
      </c>
      <c r="G340" s="31" t="s">
        <v>212</v>
      </c>
      <c r="H340" s="30">
        <v>0</v>
      </c>
      <c r="I340" s="103"/>
      <c r="J340" s="102"/>
      <c r="K340" s="45">
        <v>611.4</v>
      </c>
      <c r="L340" s="45">
        <v>453.91390000000001</v>
      </c>
      <c r="M340" s="45">
        <f>L340*(1+$W$16)</f>
        <v>453.91390000000001</v>
      </c>
      <c r="N340" s="44">
        <f t="shared" si="43"/>
        <v>-157.48609999999996</v>
      </c>
      <c r="O340" s="43">
        <f t="shared" si="44"/>
        <v>0</v>
      </c>
      <c r="P340" s="40">
        <f t="shared" si="45"/>
        <v>0</v>
      </c>
      <c r="Q340" s="40">
        <f t="shared" si="46"/>
        <v>0</v>
      </c>
      <c r="R340" s="40">
        <f t="shared" si="47"/>
        <v>0</v>
      </c>
      <c r="S340" s="40">
        <f t="shared" si="48"/>
        <v>0</v>
      </c>
      <c r="T340" s="42">
        <f t="shared" si="49"/>
        <v>-0.25758276087667642</v>
      </c>
      <c r="AA340" s="35"/>
    </row>
    <row r="341" spans="1:27">
      <c r="A341" s="36">
        <v>267</v>
      </c>
      <c r="B341" s="29">
        <v>2</v>
      </c>
      <c r="C341" s="29" t="s">
        <v>76</v>
      </c>
      <c r="D341" s="31">
        <v>255</v>
      </c>
      <c r="E341" s="31" t="s">
        <v>388</v>
      </c>
      <c r="F341" s="32" t="s">
        <v>214</v>
      </c>
      <c r="G341" s="31" t="s">
        <v>160</v>
      </c>
      <c r="H341" s="30">
        <v>0</v>
      </c>
      <c r="I341" s="103"/>
      <c r="J341" s="102"/>
      <c r="K341" s="45">
        <v>163.76</v>
      </c>
      <c r="L341" s="45">
        <v>112.64</v>
      </c>
      <c r="M341" s="72">
        <f>M340</f>
        <v>453.91390000000001</v>
      </c>
      <c r="N341" s="44">
        <f t="shared" si="43"/>
        <v>-51.11999999999999</v>
      </c>
      <c r="O341" s="43">
        <f t="shared" si="44"/>
        <v>0</v>
      </c>
      <c r="P341" s="40">
        <f t="shared" si="45"/>
        <v>0</v>
      </c>
      <c r="Q341" s="40">
        <f t="shared" si="46"/>
        <v>0</v>
      </c>
      <c r="R341" s="40">
        <f t="shared" si="47"/>
        <v>0</v>
      </c>
      <c r="S341" s="40">
        <f t="shared" si="48"/>
        <v>0</v>
      </c>
      <c r="T341" s="42">
        <f t="shared" si="49"/>
        <v>1.7718240107474355</v>
      </c>
      <c r="AA341" s="35"/>
    </row>
    <row r="342" spans="1:27">
      <c r="A342" s="36">
        <v>270</v>
      </c>
      <c r="B342" s="29">
        <v>3</v>
      </c>
      <c r="C342" s="29" t="s">
        <v>76</v>
      </c>
      <c r="D342" s="31">
        <v>260</v>
      </c>
      <c r="E342" s="31" t="s">
        <v>388</v>
      </c>
      <c r="F342" s="32" t="s">
        <v>182</v>
      </c>
      <c r="G342" s="31" t="s">
        <v>181</v>
      </c>
      <c r="H342" s="30">
        <v>15950</v>
      </c>
      <c r="I342" s="103"/>
      <c r="J342" s="102"/>
      <c r="K342" s="45">
        <v>3.21</v>
      </c>
      <c r="L342" s="45">
        <v>3.4929999999999999</v>
      </c>
      <c r="M342" s="45">
        <f>L342*(1+$W$16)</f>
        <v>3.4929999999999999</v>
      </c>
      <c r="N342" s="44">
        <f t="shared" si="43"/>
        <v>0.28299999999999992</v>
      </c>
      <c r="O342" s="43">
        <f t="shared" si="44"/>
        <v>51199.5</v>
      </c>
      <c r="P342" s="40">
        <f t="shared" si="45"/>
        <v>55713.35</v>
      </c>
      <c r="Q342" s="40">
        <f t="shared" si="46"/>
        <v>55713.35</v>
      </c>
      <c r="R342" s="40">
        <f t="shared" si="47"/>
        <v>4513.8499999999985</v>
      </c>
      <c r="S342" s="40">
        <f t="shared" si="48"/>
        <v>4513.8499999999985</v>
      </c>
      <c r="T342" s="42">
        <f t="shared" si="49"/>
        <v>8.8161993769470426E-2</v>
      </c>
      <c r="AA342" s="35"/>
    </row>
    <row r="343" spans="1:27">
      <c r="A343" s="36">
        <v>345</v>
      </c>
      <c r="B343" s="29">
        <v>3</v>
      </c>
      <c r="C343" s="29" t="s">
        <v>76</v>
      </c>
      <c r="D343" s="31">
        <v>260</v>
      </c>
      <c r="E343" s="31" t="s">
        <v>388</v>
      </c>
      <c r="F343" s="32" t="s">
        <v>400</v>
      </c>
      <c r="G343" s="31" t="s">
        <v>212</v>
      </c>
      <c r="H343" s="30">
        <v>0</v>
      </c>
      <c r="I343" s="103"/>
      <c r="J343" s="102"/>
      <c r="K343" s="45">
        <v>14.04</v>
      </c>
      <c r="L343" s="45">
        <v>17.814300000000003</v>
      </c>
      <c r="M343" s="45">
        <f>L343*(1+$W$16)</f>
        <v>17.814300000000003</v>
      </c>
      <c r="N343" s="44">
        <f t="shared" si="43"/>
        <v>3.7743000000000038</v>
      </c>
      <c r="O343" s="43">
        <f t="shared" si="44"/>
        <v>0</v>
      </c>
      <c r="P343" s="40">
        <f t="shared" si="45"/>
        <v>0</v>
      </c>
      <c r="Q343" s="40">
        <f t="shared" si="46"/>
        <v>0</v>
      </c>
      <c r="R343" s="40">
        <f t="shared" si="47"/>
        <v>0</v>
      </c>
      <c r="S343" s="40">
        <f t="shared" si="48"/>
        <v>0</v>
      </c>
      <c r="T343" s="42">
        <f t="shared" si="49"/>
        <v>0.26882478632478657</v>
      </c>
      <c r="AA343" s="35"/>
    </row>
    <row r="344" spans="1:27">
      <c r="A344" s="36">
        <v>308</v>
      </c>
      <c r="B344" s="29">
        <v>3</v>
      </c>
      <c r="C344" s="29" t="s">
        <v>76</v>
      </c>
      <c r="D344" s="31">
        <v>260</v>
      </c>
      <c r="E344" s="31" t="s">
        <v>388</v>
      </c>
      <c r="F344" s="32" t="s">
        <v>208</v>
      </c>
      <c r="G344" s="31" t="s">
        <v>166</v>
      </c>
      <c r="H344" s="30">
        <v>172</v>
      </c>
      <c r="I344" s="103"/>
      <c r="J344" s="102"/>
      <c r="K344" s="45">
        <v>4</v>
      </c>
      <c r="L344" s="45">
        <v>3.6926000000000001</v>
      </c>
      <c r="M344" s="41">
        <v>3.69</v>
      </c>
      <c r="N344" s="44">
        <f t="shared" si="43"/>
        <v>-0.3073999999999999</v>
      </c>
      <c r="O344" s="43">
        <f t="shared" si="44"/>
        <v>688</v>
      </c>
      <c r="P344" s="40">
        <f t="shared" si="45"/>
        <v>635.12720000000002</v>
      </c>
      <c r="Q344" s="40">
        <f t="shared" si="46"/>
        <v>634.67999999999995</v>
      </c>
      <c r="R344" s="40">
        <f t="shared" si="47"/>
        <v>-52.872799999999984</v>
      </c>
      <c r="S344" s="40">
        <f t="shared" si="48"/>
        <v>-53.32000000000005</v>
      </c>
      <c r="T344" s="42">
        <f t="shared" si="49"/>
        <v>-7.7500000000000013E-2</v>
      </c>
      <c r="AA344" s="35"/>
    </row>
    <row r="345" spans="1:27">
      <c r="A345" s="36">
        <v>293</v>
      </c>
      <c r="B345" s="29">
        <v>3</v>
      </c>
      <c r="C345" s="29" t="s">
        <v>76</v>
      </c>
      <c r="D345" s="31">
        <v>260</v>
      </c>
      <c r="E345" s="31" t="s">
        <v>388</v>
      </c>
      <c r="F345" s="32" t="s">
        <v>207</v>
      </c>
      <c r="G345" s="31" t="s">
        <v>160</v>
      </c>
      <c r="H345" s="30">
        <v>22</v>
      </c>
      <c r="I345" s="103"/>
      <c r="J345" s="102"/>
      <c r="K345" s="45">
        <v>100.25</v>
      </c>
      <c r="L345" s="45">
        <v>113.273</v>
      </c>
      <c r="M345" s="41">
        <v>113.27</v>
      </c>
      <c r="N345" s="44">
        <f t="shared" si="43"/>
        <v>13.022999999999996</v>
      </c>
      <c r="O345" s="43">
        <f t="shared" si="44"/>
        <v>2205.5</v>
      </c>
      <c r="P345" s="40">
        <f t="shared" si="45"/>
        <v>2492.0059999999999</v>
      </c>
      <c r="Q345" s="40">
        <f t="shared" si="46"/>
        <v>2491.94</v>
      </c>
      <c r="R345" s="40">
        <f t="shared" si="47"/>
        <v>286.50599999999986</v>
      </c>
      <c r="S345" s="40">
        <f t="shared" si="48"/>
        <v>286.44000000000005</v>
      </c>
      <c r="T345" s="42">
        <f t="shared" si="49"/>
        <v>0.12987531172069811</v>
      </c>
      <c r="AA345" s="35"/>
    </row>
    <row r="346" spans="1:27">
      <c r="A346" s="36">
        <v>346</v>
      </c>
      <c r="B346" s="29">
        <v>3</v>
      </c>
      <c r="C346" s="29" t="s">
        <v>76</v>
      </c>
      <c r="D346" s="31">
        <v>260</v>
      </c>
      <c r="E346" s="31" t="s">
        <v>388</v>
      </c>
      <c r="F346" s="32" t="s">
        <v>171</v>
      </c>
      <c r="G346" s="31" t="s">
        <v>160</v>
      </c>
      <c r="H346" s="30">
        <v>0</v>
      </c>
      <c r="I346" s="103"/>
      <c r="J346" s="102"/>
      <c r="K346" s="45">
        <v>50</v>
      </c>
      <c r="L346" s="45">
        <v>42.514800000000001</v>
      </c>
      <c r="M346" s="41">
        <v>42.51</v>
      </c>
      <c r="N346" s="44">
        <f t="shared" si="43"/>
        <v>-7.485199999999999</v>
      </c>
      <c r="O346" s="43">
        <f t="shared" si="44"/>
        <v>0</v>
      </c>
      <c r="P346" s="40">
        <f t="shared" si="45"/>
        <v>0</v>
      </c>
      <c r="Q346" s="40">
        <f t="shared" si="46"/>
        <v>0</v>
      </c>
      <c r="R346" s="40">
        <f t="shared" si="47"/>
        <v>0</v>
      </c>
      <c r="S346" s="40">
        <f t="shared" si="48"/>
        <v>0</v>
      </c>
      <c r="T346" s="42">
        <f t="shared" si="49"/>
        <v>-0.14980000000000004</v>
      </c>
      <c r="AA346" s="35"/>
    </row>
    <row r="347" spans="1:27">
      <c r="A347" s="36">
        <v>348</v>
      </c>
      <c r="B347" s="29">
        <v>3</v>
      </c>
      <c r="C347" s="29" t="s">
        <v>76</v>
      </c>
      <c r="D347" s="31">
        <v>260</v>
      </c>
      <c r="E347" s="31" t="s">
        <v>388</v>
      </c>
      <c r="F347" s="32" t="s">
        <v>205</v>
      </c>
      <c r="G347" s="31" t="s">
        <v>160</v>
      </c>
      <c r="H347" s="30">
        <v>0</v>
      </c>
      <c r="I347" s="103"/>
      <c r="J347" s="102"/>
      <c r="K347" s="45">
        <v>100.25</v>
      </c>
      <c r="L347" s="45">
        <v>113.273</v>
      </c>
      <c r="M347" s="41">
        <v>113.27</v>
      </c>
      <c r="N347" s="44">
        <f t="shared" si="43"/>
        <v>13.022999999999996</v>
      </c>
      <c r="O347" s="43">
        <f t="shared" si="44"/>
        <v>0</v>
      </c>
      <c r="P347" s="40">
        <f t="shared" si="45"/>
        <v>0</v>
      </c>
      <c r="Q347" s="40">
        <f t="shared" si="46"/>
        <v>0</v>
      </c>
      <c r="R347" s="40">
        <f t="shared" si="47"/>
        <v>0</v>
      </c>
      <c r="S347" s="40">
        <f t="shared" si="48"/>
        <v>0</v>
      </c>
      <c r="T347" s="42">
        <f t="shared" si="49"/>
        <v>0.12987531172069811</v>
      </c>
      <c r="AA347" s="35"/>
    </row>
    <row r="348" spans="1:27">
      <c r="A348" s="36">
        <v>317</v>
      </c>
      <c r="B348" s="29">
        <v>3</v>
      </c>
      <c r="C348" s="29" t="s">
        <v>76</v>
      </c>
      <c r="D348" s="31">
        <v>260</v>
      </c>
      <c r="E348" s="31" t="s">
        <v>388</v>
      </c>
      <c r="F348" s="32" t="s">
        <v>204</v>
      </c>
      <c r="G348" s="31" t="s">
        <v>160</v>
      </c>
      <c r="H348" s="30">
        <v>8</v>
      </c>
      <c r="I348" s="103"/>
      <c r="J348" s="102"/>
      <c r="K348" s="45">
        <v>50</v>
      </c>
      <c r="L348" s="45">
        <v>53.093600000000002</v>
      </c>
      <c r="M348" s="41">
        <v>53.09</v>
      </c>
      <c r="N348" s="44">
        <f t="shared" si="43"/>
        <v>3.0936000000000021</v>
      </c>
      <c r="O348" s="43">
        <f t="shared" si="44"/>
        <v>400</v>
      </c>
      <c r="P348" s="40">
        <f t="shared" si="45"/>
        <v>424.74880000000002</v>
      </c>
      <c r="Q348" s="40">
        <f t="shared" si="46"/>
        <v>424.72</v>
      </c>
      <c r="R348" s="40">
        <f t="shared" si="47"/>
        <v>24.748800000000017</v>
      </c>
      <c r="S348" s="40">
        <f t="shared" si="48"/>
        <v>24.720000000000027</v>
      </c>
      <c r="T348" s="42">
        <f t="shared" si="49"/>
        <v>6.1800000000000077E-2</v>
      </c>
      <c r="AA348" s="35"/>
    </row>
    <row r="349" spans="1:27">
      <c r="A349" s="36">
        <v>283</v>
      </c>
      <c r="B349" s="29">
        <v>3</v>
      </c>
      <c r="C349" s="29" t="s">
        <v>76</v>
      </c>
      <c r="D349" s="31">
        <v>260</v>
      </c>
      <c r="E349" s="31" t="s">
        <v>388</v>
      </c>
      <c r="F349" s="32" t="s">
        <v>177</v>
      </c>
      <c r="G349" s="31" t="s">
        <v>160</v>
      </c>
      <c r="H349" s="30">
        <v>75</v>
      </c>
      <c r="I349" s="103"/>
      <c r="J349" s="102"/>
      <c r="K349" s="45">
        <v>110.28</v>
      </c>
      <c r="L349" s="45">
        <v>113.273</v>
      </c>
      <c r="M349" s="41">
        <v>113.27</v>
      </c>
      <c r="N349" s="44">
        <f t="shared" si="43"/>
        <v>2.992999999999995</v>
      </c>
      <c r="O349" s="43">
        <f t="shared" si="44"/>
        <v>8271</v>
      </c>
      <c r="P349" s="40">
        <f t="shared" si="45"/>
        <v>8495.4750000000004</v>
      </c>
      <c r="Q349" s="40">
        <f t="shared" si="46"/>
        <v>8495.25</v>
      </c>
      <c r="R349" s="40">
        <f t="shared" si="47"/>
        <v>224.47500000000036</v>
      </c>
      <c r="S349" s="40">
        <f t="shared" si="48"/>
        <v>224.25</v>
      </c>
      <c r="T349" s="42">
        <f t="shared" si="49"/>
        <v>2.7112803772216143E-2</v>
      </c>
      <c r="AA349" s="35"/>
    </row>
    <row r="350" spans="1:27">
      <c r="A350" s="36">
        <v>291</v>
      </c>
      <c r="B350" s="29">
        <v>3</v>
      </c>
      <c r="C350" s="29" t="s">
        <v>76</v>
      </c>
      <c r="D350" s="31">
        <v>260</v>
      </c>
      <c r="E350" s="31" t="s">
        <v>388</v>
      </c>
      <c r="F350" s="32" t="s">
        <v>176</v>
      </c>
      <c r="G350" s="31" t="s">
        <v>160</v>
      </c>
      <c r="H350" s="30">
        <v>43</v>
      </c>
      <c r="I350" s="103"/>
      <c r="J350" s="102"/>
      <c r="K350" s="45">
        <v>55</v>
      </c>
      <c r="L350" s="45">
        <v>63.672399999999996</v>
      </c>
      <c r="M350" s="41">
        <v>63.67</v>
      </c>
      <c r="N350" s="44">
        <f t="shared" si="43"/>
        <v>8.6723999999999961</v>
      </c>
      <c r="O350" s="43">
        <f t="shared" si="44"/>
        <v>2365</v>
      </c>
      <c r="P350" s="40">
        <f t="shared" si="45"/>
        <v>2737.9132</v>
      </c>
      <c r="Q350" s="40">
        <f t="shared" si="46"/>
        <v>2737.81</v>
      </c>
      <c r="R350" s="40">
        <f t="shared" si="47"/>
        <v>372.91319999999996</v>
      </c>
      <c r="S350" s="40">
        <f t="shared" si="48"/>
        <v>372.80999999999995</v>
      </c>
      <c r="T350" s="42">
        <f t="shared" si="49"/>
        <v>0.15763636363636357</v>
      </c>
      <c r="AA350" s="35"/>
    </row>
    <row r="351" spans="1:27">
      <c r="A351" s="36">
        <v>272</v>
      </c>
      <c r="B351" s="29">
        <v>3</v>
      </c>
      <c r="C351" s="29" t="s">
        <v>76</v>
      </c>
      <c r="D351" s="31">
        <v>260</v>
      </c>
      <c r="E351" s="31" t="s">
        <v>388</v>
      </c>
      <c r="F351" s="32" t="s">
        <v>178</v>
      </c>
      <c r="G351" s="31" t="s">
        <v>160</v>
      </c>
      <c r="H351" s="30">
        <v>364</v>
      </c>
      <c r="I351" s="103"/>
      <c r="J351" s="102"/>
      <c r="K351" s="45">
        <v>110.28</v>
      </c>
      <c r="L351" s="45">
        <v>113.273</v>
      </c>
      <c r="M351" s="41">
        <v>113.27</v>
      </c>
      <c r="N351" s="44">
        <f t="shared" si="43"/>
        <v>2.992999999999995</v>
      </c>
      <c r="O351" s="43">
        <f t="shared" si="44"/>
        <v>40141.919999999998</v>
      </c>
      <c r="P351" s="40">
        <f t="shared" si="45"/>
        <v>41231.371999999996</v>
      </c>
      <c r="Q351" s="40">
        <f t="shared" si="46"/>
        <v>41230.28</v>
      </c>
      <c r="R351" s="40">
        <f t="shared" si="47"/>
        <v>1089.4519999999975</v>
      </c>
      <c r="S351" s="40">
        <f t="shared" si="48"/>
        <v>1088.3600000000006</v>
      </c>
      <c r="T351" s="42">
        <f t="shared" si="49"/>
        <v>2.7112803772216143E-2</v>
      </c>
      <c r="AA351" s="35"/>
    </row>
    <row r="352" spans="1:27">
      <c r="A352" s="36">
        <v>284</v>
      </c>
      <c r="B352" s="29">
        <v>3</v>
      </c>
      <c r="C352" s="29" t="s">
        <v>76</v>
      </c>
      <c r="D352" s="31">
        <v>260</v>
      </c>
      <c r="E352" s="31" t="s">
        <v>388</v>
      </c>
      <c r="F352" s="32" t="s">
        <v>179</v>
      </c>
      <c r="G352" s="31" t="s">
        <v>160</v>
      </c>
      <c r="H352" s="30">
        <v>110</v>
      </c>
      <c r="I352" s="103"/>
      <c r="J352" s="102"/>
      <c r="K352" s="45">
        <v>60</v>
      </c>
      <c r="L352" s="45">
        <v>84.9298</v>
      </c>
      <c r="M352" s="41">
        <v>84.93</v>
      </c>
      <c r="N352" s="44">
        <f t="shared" si="43"/>
        <v>24.9298</v>
      </c>
      <c r="O352" s="43">
        <f t="shared" si="44"/>
        <v>6600</v>
      </c>
      <c r="P352" s="40">
        <f t="shared" si="45"/>
        <v>9342.2780000000002</v>
      </c>
      <c r="Q352" s="40">
        <f t="shared" si="46"/>
        <v>9342.3000000000011</v>
      </c>
      <c r="R352" s="40">
        <f t="shared" si="47"/>
        <v>2742.2780000000002</v>
      </c>
      <c r="S352" s="40">
        <f t="shared" si="48"/>
        <v>2742.3000000000011</v>
      </c>
      <c r="T352" s="42">
        <f t="shared" si="49"/>
        <v>0.4155000000000002</v>
      </c>
      <c r="AA352" s="35"/>
    </row>
    <row r="353" spans="1:27">
      <c r="A353" s="36">
        <v>282</v>
      </c>
      <c r="B353" s="29">
        <v>3</v>
      </c>
      <c r="C353" s="29" t="s">
        <v>76</v>
      </c>
      <c r="D353" s="31">
        <v>260</v>
      </c>
      <c r="E353" s="31" t="s">
        <v>388</v>
      </c>
      <c r="F353" s="32" t="s">
        <v>180</v>
      </c>
      <c r="G353" s="31" t="s">
        <v>160</v>
      </c>
      <c r="H353" s="30">
        <v>66</v>
      </c>
      <c r="I353" s="103"/>
      <c r="J353" s="102"/>
      <c r="K353" s="45">
        <v>130.33000000000001</v>
      </c>
      <c r="L353" s="45">
        <v>130.33000000000001</v>
      </c>
      <c r="M353" s="41">
        <v>130.33000000000001</v>
      </c>
      <c r="N353" s="44">
        <f t="shared" si="43"/>
        <v>0</v>
      </c>
      <c r="O353" s="43">
        <f t="shared" si="44"/>
        <v>8601.7800000000007</v>
      </c>
      <c r="P353" s="40">
        <f t="shared" si="45"/>
        <v>8601.7800000000007</v>
      </c>
      <c r="Q353" s="40">
        <f t="shared" si="46"/>
        <v>8601.7800000000007</v>
      </c>
      <c r="R353" s="40">
        <f t="shared" si="47"/>
        <v>0</v>
      </c>
      <c r="S353" s="40">
        <f t="shared" si="48"/>
        <v>0</v>
      </c>
      <c r="T353" s="42">
        <f t="shared" si="49"/>
        <v>0</v>
      </c>
      <c r="AA353" s="35"/>
    </row>
    <row r="354" spans="1:27">
      <c r="A354" s="36">
        <v>290</v>
      </c>
      <c r="B354" s="29">
        <v>3</v>
      </c>
      <c r="C354" s="29" t="s">
        <v>76</v>
      </c>
      <c r="D354" s="31">
        <v>260</v>
      </c>
      <c r="E354" s="31" t="s">
        <v>388</v>
      </c>
      <c r="F354" s="32" t="s">
        <v>175</v>
      </c>
      <c r="G354" s="31" t="s">
        <v>160</v>
      </c>
      <c r="H354" s="30">
        <v>40</v>
      </c>
      <c r="I354" s="103"/>
      <c r="J354" s="102"/>
      <c r="K354" s="45">
        <v>70</v>
      </c>
      <c r="L354" s="45">
        <v>95</v>
      </c>
      <c r="M354" s="41">
        <v>95</v>
      </c>
      <c r="N354" s="44">
        <f t="shared" si="43"/>
        <v>25</v>
      </c>
      <c r="O354" s="43">
        <f t="shared" si="44"/>
        <v>2800</v>
      </c>
      <c r="P354" s="40">
        <f t="shared" si="45"/>
        <v>3800</v>
      </c>
      <c r="Q354" s="40">
        <f t="shared" si="46"/>
        <v>3800</v>
      </c>
      <c r="R354" s="40">
        <f t="shared" si="47"/>
        <v>1000</v>
      </c>
      <c r="S354" s="40">
        <f t="shared" si="48"/>
        <v>1000</v>
      </c>
      <c r="T354" s="42">
        <f t="shared" si="49"/>
        <v>0.35714285714285721</v>
      </c>
      <c r="AA354" s="35"/>
    </row>
    <row r="355" spans="1:27">
      <c r="A355" s="36">
        <v>351</v>
      </c>
      <c r="B355" s="29">
        <v>3</v>
      </c>
      <c r="C355" s="29" t="s">
        <v>76</v>
      </c>
      <c r="D355" s="31">
        <v>260</v>
      </c>
      <c r="E355" s="31" t="s">
        <v>388</v>
      </c>
      <c r="F355" s="32" t="s">
        <v>199</v>
      </c>
      <c r="G355" s="31" t="s">
        <v>166</v>
      </c>
      <c r="H355" s="30">
        <v>0</v>
      </c>
      <c r="I355" s="103"/>
      <c r="J355" s="102"/>
      <c r="K355" s="45">
        <v>130.33000000000001</v>
      </c>
      <c r="L355" s="45">
        <v>130.33000000000001</v>
      </c>
      <c r="M355" s="41">
        <v>130.33000000000001</v>
      </c>
      <c r="N355" s="44">
        <f t="shared" si="43"/>
        <v>0</v>
      </c>
      <c r="O355" s="43">
        <f t="shared" si="44"/>
        <v>0</v>
      </c>
      <c r="P355" s="40">
        <f t="shared" si="45"/>
        <v>0</v>
      </c>
      <c r="Q355" s="40">
        <f t="shared" si="46"/>
        <v>0</v>
      </c>
      <c r="R355" s="40">
        <f t="shared" si="47"/>
        <v>0</v>
      </c>
      <c r="S355" s="40">
        <f t="shared" si="48"/>
        <v>0</v>
      </c>
      <c r="T355" s="42">
        <f t="shared" si="49"/>
        <v>0</v>
      </c>
      <c r="AA355" s="35"/>
    </row>
    <row r="356" spans="1:27">
      <c r="A356" s="36">
        <v>353</v>
      </c>
      <c r="B356" s="29">
        <v>3</v>
      </c>
      <c r="C356" s="29" t="s">
        <v>76</v>
      </c>
      <c r="D356" s="31">
        <v>260</v>
      </c>
      <c r="E356" s="31" t="s">
        <v>388</v>
      </c>
      <c r="F356" s="32" t="s">
        <v>198</v>
      </c>
      <c r="G356" s="31" t="s">
        <v>160</v>
      </c>
      <c r="H356" s="30">
        <v>0</v>
      </c>
      <c r="I356" s="103"/>
      <c r="J356" s="102"/>
      <c r="K356" s="45">
        <v>80</v>
      </c>
      <c r="L356" s="45">
        <v>80</v>
      </c>
      <c r="M356" s="41">
        <v>80</v>
      </c>
      <c r="N356" s="44">
        <f t="shared" si="43"/>
        <v>0</v>
      </c>
      <c r="O356" s="43">
        <f t="shared" si="44"/>
        <v>0</v>
      </c>
      <c r="P356" s="40">
        <f t="shared" si="45"/>
        <v>0</v>
      </c>
      <c r="Q356" s="40">
        <f t="shared" si="46"/>
        <v>0</v>
      </c>
      <c r="R356" s="40">
        <f t="shared" si="47"/>
        <v>0</v>
      </c>
      <c r="S356" s="40">
        <f t="shared" si="48"/>
        <v>0</v>
      </c>
      <c r="T356" s="42">
        <f t="shared" si="49"/>
        <v>0</v>
      </c>
      <c r="AA356" s="35"/>
    </row>
    <row r="357" spans="1:27">
      <c r="A357" s="36">
        <v>314</v>
      </c>
      <c r="B357" s="29">
        <v>3</v>
      </c>
      <c r="C357" s="29" t="s">
        <v>76</v>
      </c>
      <c r="D357" s="31">
        <v>260</v>
      </c>
      <c r="E357" s="31" t="s">
        <v>388</v>
      </c>
      <c r="F357" s="32" t="s">
        <v>399</v>
      </c>
      <c r="G357" s="31" t="s">
        <v>160</v>
      </c>
      <c r="H357" s="30">
        <v>9</v>
      </c>
      <c r="I357" s="103"/>
      <c r="J357" s="102"/>
      <c r="K357" s="45">
        <v>56.64</v>
      </c>
      <c r="L357" s="45">
        <v>52.395000000000003</v>
      </c>
      <c r="M357" s="45">
        <f>L357*(1+$W$16)</f>
        <v>52.395000000000003</v>
      </c>
      <c r="N357" s="44">
        <f t="shared" si="43"/>
        <v>-4.2449999999999974</v>
      </c>
      <c r="O357" s="43">
        <f t="shared" si="44"/>
        <v>509.76</v>
      </c>
      <c r="P357" s="40">
        <f t="shared" si="45"/>
        <v>471.55500000000001</v>
      </c>
      <c r="Q357" s="40">
        <f t="shared" si="46"/>
        <v>471.55500000000001</v>
      </c>
      <c r="R357" s="40">
        <f t="shared" si="47"/>
        <v>-38.204999999999984</v>
      </c>
      <c r="S357" s="40">
        <f t="shared" si="48"/>
        <v>-38.204999999999984</v>
      </c>
      <c r="T357" s="42">
        <f t="shared" si="49"/>
        <v>-7.4947033898305038E-2</v>
      </c>
      <c r="AA357" s="35"/>
    </row>
    <row r="358" spans="1:27">
      <c r="A358" s="36">
        <v>302</v>
      </c>
      <c r="B358" s="29">
        <v>3</v>
      </c>
      <c r="C358" s="29" t="s">
        <v>76</v>
      </c>
      <c r="D358" s="31">
        <v>260</v>
      </c>
      <c r="E358" s="31" t="s">
        <v>388</v>
      </c>
      <c r="F358" s="32" t="s">
        <v>197</v>
      </c>
      <c r="G358" s="31" t="s">
        <v>160</v>
      </c>
      <c r="H358" s="30">
        <v>8</v>
      </c>
      <c r="I358" s="103"/>
      <c r="J358" s="102"/>
      <c r="K358" s="45">
        <v>120.3</v>
      </c>
      <c r="L358" s="45">
        <v>133.0334</v>
      </c>
      <c r="M358" s="41">
        <v>133.03</v>
      </c>
      <c r="N358" s="44">
        <f t="shared" si="43"/>
        <v>12.733400000000003</v>
      </c>
      <c r="O358" s="43">
        <f t="shared" si="44"/>
        <v>962.4</v>
      </c>
      <c r="P358" s="40">
        <f t="shared" si="45"/>
        <v>1064.2672</v>
      </c>
      <c r="Q358" s="40">
        <f t="shared" si="46"/>
        <v>1064.24</v>
      </c>
      <c r="R358" s="40">
        <f t="shared" si="47"/>
        <v>101.86720000000003</v>
      </c>
      <c r="S358" s="40">
        <f t="shared" si="48"/>
        <v>101.84000000000003</v>
      </c>
      <c r="T358" s="42">
        <f t="shared" si="49"/>
        <v>0.10581878636741493</v>
      </c>
      <c r="AA358" s="35"/>
    </row>
    <row r="359" spans="1:27">
      <c r="A359" s="36">
        <v>356</v>
      </c>
      <c r="B359" s="29">
        <v>3</v>
      </c>
      <c r="C359" s="29" t="s">
        <v>76</v>
      </c>
      <c r="D359" s="31">
        <v>260</v>
      </c>
      <c r="E359" s="31" t="s">
        <v>388</v>
      </c>
      <c r="F359" s="32" t="s">
        <v>195</v>
      </c>
      <c r="G359" s="31" t="s">
        <v>166</v>
      </c>
      <c r="H359" s="30">
        <v>0</v>
      </c>
      <c r="I359" s="103"/>
      <c r="J359" s="102"/>
      <c r="K359" s="45">
        <v>4</v>
      </c>
      <c r="L359" s="45">
        <v>4.2913999999999994</v>
      </c>
      <c r="M359" s="41">
        <v>4.29</v>
      </c>
      <c r="N359" s="44">
        <f t="shared" si="43"/>
        <v>0.29139999999999944</v>
      </c>
      <c r="O359" s="43">
        <f t="shared" si="44"/>
        <v>0</v>
      </c>
      <c r="P359" s="40">
        <f t="shared" si="45"/>
        <v>0</v>
      </c>
      <c r="Q359" s="40">
        <f t="shared" si="46"/>
        <v>0</v>
      </c>
      <c r="R359" s="40">
        <f t="shared" si="47"/>
        <v>0</v>
      </c>
      <c r="S359" s="40">
        <f t="shared" si="48"/>
        <v>0</v>
      </c>
      <c r="T359" s="42">
        <f t="shared" si="49"/>
        <v>7.2500000000000009E-2</v>
      </c>
      <c r="AA359" s="35"/>
    </row>
    <row r="360" spans="1:27">
      <c r="A360" s="36">
        <v>358</v>
      </c>
      <c r="B360" s="29">
        <v>3</v>
      </c>
      <c r="C360" s="29" t="s">
        <v>76</v>
      </c>
      <c r="D360" s="31">
        <v>260</v>
      </c>
      <c r="E360" s="31" t="s">
        <v>388</v>
      </c>
      <c r="F360" s="32" t="s">
        <v>194</v>
      </c>
      <c r="G360" s="31" t="s">
        <v>160</v>
      </c>
      <c r="H360" s="30">
        <v>0</v>
      </c>
      <c r="I360" s="103"/>
      <c r="J360" s="102"/>
      <c r="K360" s="45">
        <v>56.64</v>
      </c>
      <c r="L360" s="45">
        <v>52.395000000000003</v>
      </c>
      <c r="M360" s="45">
        <f>L360*(1+$W$16)</f>
        <v>52.395000000000003</v>
      </c>
      <c r="N360" s="44">
        <f t="shared" si="43"/>
        <v>-4.2449999999999974</v>
      </c>
      <c r="O360" s="43">
        <f t="shared" si="44"/>
        <v>0</v>
      </c>
      <c r="P360" s="40">
        <f t="shared" si="45"/>
        <v>0</v>
      </c>
      <c r="Q360" s="40">
        <f t="shared" si="46"/>
        <v>0</v>
      </c>
      <c r="R360" s="40">
        <f t="shared" si="47"/>
        <v>0</v>
      </c>
      <c r="S360" s="40">
        <f t="shared" si="48"/>
        <v>0</v>
      </c>
      <c r="T360" s="42">
        <f t="shared" si="49"/>
        <v>-7.4947033898305038E-2</v>
      </c>
      <c r="U360" s="29" t="s">
        <v>398</v>
      </c>
      <c r="AA360" s="35"/>
    </row>
    <row r="361" spans="1:27">
      <c r="A361" s="36">
        <v>360</v>
      </c>
      <c r="B361" s="29">
        <v>3</v>
      </c>
      <c r="C361" s="29" t="s">
        <v>76</v>
      </c>
      <c r="D361" s="31">
        <v>260</v>
      </c>
      <c r="E361" s="31" t="s">
        <v>388</v>
      </c>
      <c r="F361" s="32" t="s">
        <v>193</v>
      </c>
      <c r="G361" s="31" t="s">
        <v>160</v>
      </c>
      <c r="H361" s="30">
        <v>0</v>
      </c>
      <c r="I361" s="103"/>
      <c r="J361" s="102"/>
      <c r="K361" s="45">
        <v>120.3</v>
      </c>
      <c r="L361" s="45">
        <v>133.0334</v>
      </c>
      <c r="M361" s="41">
        <v>133.03</v>
      </c>
      <c r="N361" s="44">
        <f t="shared" si="43"/>
        <v>12.733400000000003</v>
      </c>
      <c r="O361" s="43">
        <f t="shared" si="44"/>
        <v>0</v>
      </c>
      <c r="P361" s="40">
        <f t="shared" si="45"/>
        <v>0</v>
      </c>
      <c r="Q361" s="40">
        <f t="shared" si="46"/>
        <v>0</v>
      </c>
      <c r="R361" s="40">
        <f t="shared" si="47"/>
        <v>0</v>
      </c>
      <c r="S361" s="40">
        <f t="shared" si="48"/>
        <v>0</v>
      </c>
      <c r="T361" s="42">
        <f t="shared" si="49"/>
        <v>0.10581878636741493</v>
      </c>
      <c r="U361" s="29" t="s">
        <v>398</v>
      </c>
      <c r="AA361" s="35"/>
    </row>
    <row r="362" spans="1:27">
      <c r="A362" s="36">
        <v>288</v>
      </c>
      <c r="B362" s="29">
        <v>3</v>
      </c>
      <c r="C362" s="29" t="s">
        <v>76</v>
      </c>
      <c r="D362" s="31">
        <v>260</v>
      </c>
      <c r="E362" s="31" t="s">
        <v>388</v>
      </c>
      <c r="F362" s="32" t="s">
        <v>174</v>
      </c>
      <c r="G362" s="31" t="s">
        <v>166</v>
      </c>
      <c r="H362" s="30">
        <v>863</v>
      </c>
      <c r="I362" s="103"/>
      <c r="J362" s="102"/>
      <c r="K362" s="45">
        <v>5</v>
      </c>
      <c r="L362" s="45">
        <v>4.7904</v>
      </c>
      <c r="M362" s="41">
        <v>4.79</v>
      </c>
      <c r="N362" s="44">
        <f t="shared" si="43"/>
        <v>-0.20960000000000001</v>
      </c>
      <c r="O362" s="43">
        <f t="shared" si="44"/>
        <v>4315</v>
      </c>
      <c r="P362" s="40">
        <f t="shared" si="45"/>
        <v>4134.1152000000002</v>
      </c>
      <c r="Q362" s="40">
        <f t="shared" si="46"/>
        <v>4133.7700000000004</v>
      </c>
      <c r="R362" s="40">
        <f t="shared" si="47"/>
        <v>-180.88479999999981</v>
      </c>
      <c r="S362" s="40">
        <f t="shared" si="48"/>
        <v>-181.22999999999956</v>
      </c>
      <c r="T362" s="42">
        <f t="shared" si="49"/>
        <v>-4.2000000000000037E-2</v>
      </c>
      <c r="U362" s="29" t="s">
        <v>398</v>
      </c>
      <c r="AA362" s="35"/>
    </row>
    <row r="363" spans="1:27">
      <c r="A363" s="36">
        <v>294</v>
      </c>
      <c r="B363" s="29">
        <v>3</v>
      </c>
      <c r="C363" s="29" t="s">
        <v>76</v>
      </c>
      <c r="D363" s="31">
        <v>260</v>
      </c>
      <c r="E363" s="31" t="s">
        <v>388</v>
      </c>
      <c r="F363" s="32" t="s">
        <v>172</v>
      </c>
      <c r="G363" s="31" t="s">
        <v>160</v>
      </c>
      <c r="H363" s="30">
        <v>38</v>
      </c>
      <c r="I363" s="103"/>
      <c r="J363" s="102"/>
      <c r="K363" s="45">
        <v>56.64</v>
      </c>
      <c r="L363" s="45">
        <v>52.395000000000003</v>
      </c>
      <c r="M363" s="45">
        <f>L363*(1+$W$16)</f>
        <v>52.395000000000003</v>
      </c>
      <c r="N363" s="44">
        <f t="shared" si="43"/>
        <v>-4.2449999999999974</v>
      </c>
      <c r="O363" s="43">
        <f t="shared" si="44"/>
        <v>2152.3200000000002</v>
      </c>
      <c r="P363" s="40">
        <f t="shared" si="45"/>
        <v>1991.0100000000002</v>
      </c>
      <c r="Q363" s="40">
        <f t="shared" si="46"/>
        <v>1991.0100000000002</v>
      </c>
      <c r="R363" s="40">
        <f t="shared" si="47"/>
        <v>-161.30999999999995</v>
      </c>
      <c r="S363" s="40">
        <f t="shared" si="48"/>
        <v>-161.30999999999995</v>
      </c>
      <c r="T363" s="42">
        <f t="shared" si="49"/>
        <v>-7.4947033898305038E-2</v>
      </c>
      <c r="U363" s="29" t="s">
        <v>398</v>
      </c>
      <c r="AA363" s="35"/>
    </row>
    <row r="364" spans="1:27">
      <c r="A364" s="36">
        <v>281</v>
      </c>
      <c r="B364" s="29">
        <v>3</v>
      </c>
      <c r="C364" s="29" t="s">
        <v>76</v>
      </c>
      <c r="D364" s="31">
        <v>260</v>
      </c>
      <c r="E364" s="31" t="s">
        <v>388</v>
      </c>
      <c r="F364" s="32" t="s">
        <v>173</v>
      </c>
      <c r="G364" s="31" t="s">
        <v>160</v>
      </c>
      <c r="H364" s="30">
        <v>72</v>
      </c>
      <c r="I364" s="103"/>
      <c r="J364" s="102"/>
      <c r="K364" s="45">
        <v>130.33000000000001</v>
      </c>
      <c r="L364" s="45">
        <v>133.0334</v>
      </c>
      <c r="M364" s="41">
        <v>133.03</v>
      </c>
      <c r="N364" s="44">
        <f t="shared" si="43"/>
        <v>2.7033999999999878</v>
      </c>
      <c r="O364" s="43">
        <f t="shared" si="44"/>
        <v>9383.76</v>
      </c>
      <c r="P364" s="40">
        <f t="shared" si="45"/>
        <v>9578.4048000000003</v>
      </c>
      <c r="Q364" s="40">
        <f t="shared" si="46"/>
        <v>9578.16</v>
      </c>
      <c r="R364" s="40">
        <f t="shared" si="47"/>
        <v>194.64480000000003</v>
      </c>
      <c r="S364" s="40">
        <f t="shared" si="48"/>
        <v>194.39999999999964</v>
      </c>
      <c r="T364" s="42">
        <f t="shared" si="49"/>
        <v>2.0716642369369875E-2</v>
      </c>
      <c r="U364" s="29" t="s">
        <v>398</v>
      </c>
      <c r="AA364" s="35"/>
    </row>
    <row r="365" spans="1:27">
      <c r="A365" s="36">
        <v>287</v>
      </c>
      <c r="B365" s="29">
        <v>3</v>
      </c>
      <c r="C365" s="29" t="s">
        <v>76</v>
      </c>
      <c r="D365" s="31">
        <v>260</v>
      </c>
      <c r="E365" s="31" t="s">
        <v>388</v>
      </c>
      <c r="F365" s="32" t="s">
        <v>190</v>
      </c>
      <c r="G365" s="31" t="s">
        <v>166</v>
      </c>
      <c r="H365" s="30">
        <v>823</v>
      </c>
      <c r="I365" s="103"/>
      <c r="J365" s="102"/>
      <c r="K365" s="45">
        <v>5.75</v>
      </c>
      <c r="L365" s="45">
        <v>5.7884000000000002</v>
      </c>
      <c r="M365" s="41">
        <v>5.79</v>
      </c>
      <c r="N365" s="44">
        <f t="shared" si="43"/>
        <v>3.8400000000000212E-2</v>
      </c>
      <c r="O365" s="43">
        <f t="shared" si="44"/>
        <v>4732.25</v>
      </c>
      <c r="P365" s="40">
        <f t="shared" si="45"/>
        <v>4763.8532000000005</v>
      </c>
      <c r="Q365" s="40">
        <f t="shared" si="46"/>
        <v>4765.17</v>
      </c>
      <c r="R365" s="40">
        <f t="shared" si="47"/>
        <v>31.60320000000047</v>
      </c>
      <c r="S365" s="40">
        <f t="shared" si="48"/>
        <v>32.920000000000073</v>
      </c>
      <c r="T365" s="42">
        <f t="shared" si="49"/>
        <v>6.9565217391305278E-3</v>
      </c>
      <c r="U365" s="29" t="s">
        <v>398</v>
      </c>
      <c r="AA365" s="35"/>
    </row>
    <row r="366" spans="1:27">
      <c r="A366" s="36">
        <v>296</v>
      </c>
      <c r="B366" s="29">
        <v>3</v>
      </c>
      <c r="C366" s="29" t="s">
        <v>76</v>
      </c>
      <c r="D366" s="31">
        <v>260</v>
      </c>
      <c r="E366" s="31" t="s">
        <v>388</v>
      </c>
      <c r="F366" s="32" t="s">
        <v>189</v>
      </c>
      <c r="G366" s="31" t="s">
        <v>160</v>
      </c>
      <c r="H366" s="30">
        <v>36</v>
      </c>
      <c r="I366" s="103"/>
      <c r="J366" s="102"/>
      <c r="K366" s="45">
        <v>56.64</v>
      </c>
      <c r="L366" s="45">
        <v>52.395000000000003</v>
      </c>
      <c r="M366" s="45">
        <f>L366*(1+$W$16)</f>
        <v>52.395000000000003</v>
      </c>
      <c r="N366" s="44">
        <f t="shared" si="43"/>
        <v>-4.2449999999999974</v>
      </c>
      <c r="O366" s="43">
        <f t="shared" si="44"/>
        <v>2039.04</v>
      </c>
      <c r="P366" s="40">
        <f t="shared" si="45"/>
        <v>1886.22</v>
      </c>
      <c r="Q366" s="40">
        <f t="shared" si="46"/>
        <v>1886.22</v>
      </c>
      <c r="R366" s="40">
        <f t="shared" si="47"/>
        <v>-152.81999999999994</v>
      </c>
      <c r="S366" s="40">
        <f t="shared" si="48"/>
        <v>-152.81999999999994</v>
      </c>
      <c r="T366" s="42">
        <f t="shared" si="49"/>
        <v>-7.4947033898305038E-2</v>
      </c>
      <c r="U366" s="29" t="s">
        <v>398</v>
      </c>
      <c r="AA366" s="35"/>
    </row>
    <row r="367" spans="1:27">
      <c r="A367" s="36">
        <v>280</v>
      </c>
      <c r="B367" s="29">
        <v>3</v>
      </c>
      <c r="C367" s="29" t="s">
        <v>76</v>
      </c>
      <c r="D367" s="31">
        <v>260</v>
      </c>
      <c r="E367" s="31" t="s">
        <v>388</v>
      </c>
      <c r="F367" s="32" t="s">
        <v>188</v>
      </c>
      <c r="G367" s="31" t="s">
        <v>160</v>
      </c>
      <c r="H367" s="30">
        <v>91</v>
      </c>
      <c r="I367" s="103"/>
      <c r="J367" s="102"/>
      <c r="K367" s="45">
        <v>130.33000000000001</v>
      </c>
      <c r="L367" s="45">
        <v>133.0334</v>
      </c>
      <c r="M367" s="41">
        <v>133.03</v>
      </c>
      <c r="N367" s="44">
        <f t="shared" si="43"/>
        <v>2.7033999999999878</v>
      </c>
      <c r="O367" s="43">
        <f t="shared" si="44"/>
        <v>11860.03</v>
      </c>
      <c r="P367" s="40">
        <f t="shared" si="45"/>
        <v>12106.0394</v>
      </c>
      <c r="Q367" s="40">
        <f t="shared" si="46"/>
        <v>12105.73</v>
      </c>
      <c r="R367" s="40">
        <f t="shared" si="47"/>
        <v>246.009399999999</v>
      </c>
      <c r="S367" s="40">
        <f t="shared" si="48"/>
        <v>245.69999999999891</v>
      </c>
      <c r="T367" s="42">
        <f t="shared" si="49"/>
        <v>2.0716642369369875E-2</v>
      </c>
      <c r="AA367" s="35"/>
    </row>
    <row r="368" spans="1:27">
      <c r="A368" s="36">
        <v>312</v>
      </c>
      <c r="B368" s="29">
        <v>3</v>
      </c>
      <c r="C368" s="29" t="s">
        <v>76</v>
      </c>
      <c r="D368" s="31">
        <v>260</v>
      </c>
      <c r="E368" s="31" t="s">
        <v>388</v>
      </c>
      <c r="F368" s="32" t="s">
        <v>169</v>
      </c>
      <c r="G368" s="31" t="s">
        <v>166</v>
      </c>
      <c r="H368" s="30">
        <v>97</v>
      </c>
      <c r="I368" s="103"/>
      <c r="J368" s="102"/>
      <c r="K368" s="45">
        <v>6</v>
      </c>
      <c r="L368" s="45">
        <v>6</v>
      </c>
      <c r="M368" s="41">
        <v>6</v>
      </c>
      <c r="N368" s="44">
        <f t="shared" si="43"/>
        <v>0</v>
      </c>
      <c r="O368" s="43">
        <f t="shared" si="44"/>
        <v>582</v>
      </c>
      <c r="P368" s="40">
        <f t="shared" si="45"/>
        <v>582</v>
      </c>
      <c r="Q368" s="40">
        <f t="shared" si="46"/>
        <v>582</v>
      </c>
      <c r="R368" s="40">
        <f t="shared" si="47"/>
        <v>0</v>
      </c>
      <c r="S368" s="40">
        <f t="shared" si="48"/>
        <v>0</v>
      </c>
      <c r="T368" s="42">
        <f t="shared" si="49"/>
        <v>0</v>
      </c>
      <c r="AA368" s="35"/>
    </row>
    <row r="369" spans="1:27">
      <c r="A369" s="36">
        <v>328</v>
      </c>
      <c r="B369" s="29">
        <v>3</v>
      </c>
      <c r="C369" s="29" t="s">
        <v>76</v>
      </c>
      <c r="D369" s="31">
        <v>260</v>
      </c>
      <c r="E369" s="31" t="s">
        <v>388</v>
      </c>
      <c r="F369" s="32" t="s">
        <v>168</v>
      </c>
      <c r="G369" s="31" t="s">
        <v>160</v>
      </c>
      <c r="H369" s="30">
        <v>2</v>
      </c>
      <c r="I369" s="103"/>
      <c r="J369" s="102"/>
      <c r="K369" s="45">
        <v>56.64</v>
      </c>
      <c r="L369" s="45">
        <v>52.395000000000003</v>
      </c>
      <c r="M369" s="45">
        <f>L369*(1+$W$16)</f>
        <v>52.395000000000003</v>
      </c>
      <c r="N369" s="44">
        <f t="shared" si="43"/>
        <v>-4.2449999999999974</v>
      </c>
      <c r="O369" s="43">
        <f t="shared" si="44"/>
        <v>113.28</v>
      </c>
      <c r="P369" s="40">
        <f t="shared" si="45"/>
        <v>104.79</v>
      </c>
      <c r="Q369" s="40">
        <f t="shared" si="46"/>
        <v>104.79</v>
      </c>
      <c r="R369" s="40">
        <f t="shared" si="47"/>
        <v>-8.4899999999999949</v>
      </c>
      <c r="S369" s="40">
        <f t="shared" si="48"/>
        <v>-8.4899999999999949</v>
      </c>
      <c r="T369" s="42">
        <f t="shared" si="49"/>
        <v>-7.4947033898305038E-2</v>
      </c>
      <c r="AA369" s="35"/>
    </row>
    <row r="370" spans="1:27">
      <c r="A370" s="36">
        <v>297</v>
      </c>
      <c r="B370" s="29">
        <v>3</v>
      </c>
      <c r="C370" s="29" t="s">
        <v>76</v>
      </c>
      <c r="D370" s="31">
        <v>260</v>
      </c>
      <c r="E370" s="31" t="s">
        <v>388</v>
      </c>
      <c r="F370" s="32" t="s">
        <v>170</v>
      </c>
      <c r="G370" s="31" t="s">
        <v>160</v>
      </c>
      <c r="H370" s="30">
        <v>11</v>
      </c>
      <c r="I370" s="103"/>
      <c r="J370" s="102"/>
      <c r="K370" s="45">
        <v>160.4</v>
      </c>
      <c r="L370" s="45">
        <v>160.4</v>
      </c>
      <c r="M370" s="41">
        <v>160.4</v>
      </c>
      <c r="N370" s="44">
        <f t="shared" si="43"/>
        <v>0</v>
      </c>
      <c r="O370" s="43">
        <f t="shared" si="44"/>
        <v>1764.4</v>
      </c>
      <c r="P370" s="40">
        <f t="shared" si="45"/>
        <v>1764.4</v>
      </c>
      <c r="Q370" s="40">
        <f t="shared" si="46"/>
        <v>1764.4</v>
      </c>
      <c r="R370" s="40">
        <f t="shared" si="47"/>
        <v>0</v>
      </c>
      <c r="S370" s="40">
        <f t="shared" si="48"/>
        <v>0</v>
      </c>
      <c r="T370" s="42">
        <f t="shared" si="49"/>
        <v>0</v>
      </c>
      <c r="AA370" s="35"/>
    </row>
    <row r="371" spans="1:27">
      <c r="A371" s="36">
        <v>363</v>
      </c>
      <c r="B371" s="29">
        <v>3</v>
      </c>
      <c r="C371" s="29" t="s">
        <v>76</v>
      </c>
      <c r="D371" s="31">
        <v>260</v>
      </c>
      <c r="E371" s="31" t="s">
        <v>388</v>
      </c>
      <c r="F371" s="32" t="s">
        <v>185</v>
      </c>
      <c r="G371" s="31" t="s">
        <v>166</v>
      </c>
      <c r="H371" s="30">
        <v>0</v>
      </c>
      <c r="I371" s="103"/>
      <c r="J371" s="102"/>
      <c r="K371" s="45">
        <v>6.5</v>
      </c>
      <c r="L371" s="45">
        <v>6.5</v>
      </c>
      <c r="M371" s="41">
        <v>6.5</v>
      </c>
      <c r="N371" s="44">
        <f t="shared" si="43"/>
        <v>0</v>
      </c>
      <c r="O371" s="43">
        <f t="shared" si="44"/>
        <v>0</v>
      </c>
      <c r="P371" s="40">
        <f t="shared" si="45"/>
        <v>0</v>
      </c>
      <c r="Q371" s="40">
        <f t="shared" si="46"/>
        <v>0</v>
      </c>
      <c r="R371" s="40">
        <f t="shared" si="47"/>
        <v>0</v>
      </c>
      <c r="S371" s="40">
        <f t="shared" si="48"/>
        <v>0</v>
      </c>
      <c r="T371" s="42">
        <f t="shared" si="49"/>
        <v>0</v>
      </c>
      <c r="AA371" s="35"/>
    </row>
    <row r="372" spans="1:27">
      <c r="A372" s="36">
        <v>365</v>
      </c>
      <c r="B372" s="29">
        <v>3</v>
      </c>
      <c r="C372" s="29" t="s">
        <v>76</v>
      </c>
      <c r="D372" s="31">
        <v>260</v>
      </c>
      <c r="E372" s="31" t="s">
        <v>388</v>
      </c>
      <c r="F372" s="32" t="s">
        <v>184</v>
      </c>
      <c r="G372" s="31" t="s">
        <v>160</v>
      </c>
      <c r="H372" s="30">
        <v>0</v>
      </c>
      <c r="I372" s="103"/>
      <c r="J372" s="102"/>
      <c r="K372" s="45">
        <v>56.64</v>
      </c>
      <c r="L372" s="45">
        <v>52.395000000000003</v>
      </c>
      <c r="M372" s="45">
        <f>L372*(1+$W$16)</f>
        <v>52.395000000000003</v>
      </c>
      <c r="N372" s="44">
        <f t="shared" si="43"/>
        <v>-4.2449999999999974</v>
      </c>
      <c r="O372" s="43">
        <f t="shared" si="44"/>
        <v>0</v>
      </c>
      <c r="P372" s="40">
        <f t="shared" si="45"/>
        <v>0</v>
      </c>
      <c r="Q372" s="40">
        <f t="shared" si="46"/>
        <v>0</v>
      </c>
      <c r="R372" s="40">
        <f t="shared" si="47"/>
        <v>0</v>
      </c>
      <c r="S372" s="40">
        <f t="shared" si="48"/>
        <v>0</v>
      </c>
      <c r="T372" s="42">
        <f t="shared" si="49"/>
        <v>-7.4947033898305038E-2</v>
      </c>
      <c r="AA372" s="35"/>
    </row>
    <row r="373" spans="1:27">
      <c r="A373" s="36">
        <v>367</v>
      </c>
      <c r="B373" s="29">
        <v>3</v>
      </c>
      <c r="C373" s="29" t="s">
        <v>76</v>
      </c>
      <c r="D373" s="31">
        <v>260</v>
      </c>
      <c r="E373" s="31" t="s">
        <v>388</v>
      </c>
      <c r="F373" s="32" t="s">
        <v>183</v>
      </c>
      <c r="G373" s="31" t="s">
        <v>160</v>
      </c>
      <c r="H373" s="30">
        <v>0</v>
      </c>
      <c r="I373" s="103"/>
      <c r="J373" s="102"/>
      <c r="K373" s="45">
        <v>160.4</v>
      </c>
      <c r="L373" s="45">
        <v>160.4</v>
      </c>
      <c r="M373" s="41">
        <v>160.4</v>
      </c>
      <c r="N373" s="44">
        <f t="shared" si="43"/>
        <v>0</v>
      </c>
      <c r="O373" s="43">
        <f t="shared" si="44"/>
        <v>0</v>
      </c>
      <c r="P373" s="40">
        <f t="shared" si="45"/>
        <v>0</v>
      </c>
      <c r="Q373" s="40">
        <f t="shared" si="46"/>
        <v>0</v>
      </c>
      <c r="R373" s="40">
        <f t="shared" si="47"/>
        <v>0</v>
      </c>
      <c r="S373" s="40">
        <f t="shared" si="48"/>
        <v>0</v>
      </c>
      <c r="T373" s="42">
        <f t="shared" si="49"/>
        <v>0</v>
      </c>
      <c r="AA373" s="35"/>
    </row>
    <row r="374" spans="1:27">
      <c r="A374" s="36">
        <v>369</v>
      </c>
      <c r="B374" s="29">
        <v>3</v>
      </c>
      <c r="C374" s="29" t="s">
        <v>76</v>
      </c>
      <c r="D374" s="31">
        <v>270</v>
      </c>
      <c r="E374" s="31" t="s">
        <v>388</v>
      </c>
      <c r="F374" s="32" t="s">
        <v>167</v>
      </c>
      <c r="G374" s="31" t="s">
        <v>210</v>
      </c>
      <c r="H374" s="30">
        <v>0</v>
      </c>
      <c r="I374" s="103"/>
      <c r="J374" s="102"/>
      <c r="K374" s="45">
        <v>22.56</v>
      </c>
      <c r="L374" s="45">
        <v>33.133600000000001</v>
      </c>
      <c r="M374" s="41">
        <v>33.130000000000003</v>
      </c>
      <c r="N374" s="44">
        <f t="shared" si="43"/>
        <v>10.573600000000003</v>
      </c>
      <c r="O374" s="43">
        <f t="shared" si="44"/>
        <v>0</v>
      </c>
      <c r="P374" s="40">
        <f t="shared" si="45"/>
        <v>0</v>
      </c>
      <c r="Q374" s="40">
        <f t="shared" si="46"/>
        <v>0</v>
      </c>
      <c r="R374" s="40">
        <f t="shared" si="47"/>
        <v>0</v>
      </c>
      <c r="S374" s="40">
        <f t="shared" si="48"/>
        <v>0</v>
      </c>
      <c r="T374" s="42">
        <f t="shared" si="49"/>
        <v>0.46852836879432647</v>
      </c>
      <c r="AA374" s="35"/>
    </row>
    <row r="375" spans="1:27">
      <c r="A375" s="36">
        <v>370</v>
      </c>
      <c r="B375" s="29">
        <v>3</v>
      </c>
      <c r="C375" s="29" t="s">
        <v>76</v>
      </c>
      <c r="D375" s="31">
        <v>270</v>
      </c>
      <c r="E375" s="31" t="s">
        <v>388</v>
      </c>
      <c r="F375" s="32" t="s">
        <v>397</v>
      </c>
      <c r="G375" s="31" t="s">
        <v>160</v>
      </c>
      <c r="H375" s="30">
        <v>0</v>
      </c>
      <c r="I375" s="103"/>
      <c r="J375" s="102"/>
      <c r="K375" s="45">
        <v>85</v>
      </c>
      <c r="L375" s="45">
        <v>85</v>
      </c>
      <c r="M375" s="41">
        <v>85</v>
      </c>
      <c r="N375" s="44">
        <f t="shared" si="43"/>
        <v>0</v>
      </c>
      <c r="O375" s="43">
        <f t="shared" si="44"/>
        <v>0</v>
      </c>
      <c r="P375" s="40">
        <f t="shared" si="45"/>
        <v>0</v>
      </c>
      <c r="Q375" s="40">
        <f t="shared" si="46"/>
        <v>0</v>
      </c>
      <c r="R375" s="40">
        <f t="shared" si="47"/>
        <v>0</v>
      </c>
      <c r="S375" s="40">
        <f t="shared" si="48"/>
        <v>0</v>
      </c>
      <c r="T375" s="42">
        <f t="shared" si="49"/>
        <v>0</v>
      </c>
      <c r="AA375" s="35"/>
    </row>
    <row r="376" spans="1:27">
      <c r="A376" s="36">
        <v>371</v>
      </c>
      <c r="B376" s="29">
        <v>3</v>
      </c>
      <c r="C376" s="29" t="s">
        <v>76</v>
      </c>
      <c r="D376" s="31">
        <v>270</v>
      </c>
      <c r="E376" s="31" t="s">
        <v>388</v>
      </c>
      <c r="F376" s="32" t="s">
        <v>397</v>
      </c>
      <c r="G376" s="31" t="s">
        <v>160</v>
      </c>
      <c r="H376" s="30">
        <v>0</v>
      </c>
      <c r="I376" s="103"/>
      <c r="J376" s="102"/>
      <c r="K376" s="45">
        <v>135.34</v>
      </c>
      <c r="L376" s="45">
        <v>135.34</v>
      </c>
      <c r="M376" s="41">
        <v>135.34</v>
      </c>
      <c r="N376" s="44">
        <f t="shared" si="43"/>
        <v>0</v>
      </c>
      <c r="O376" s="43">
        <f t="shared" si="44"/>
        <v>0</v>
      </c>
      <c r="P376" s="40">
        <f t="shared" si="45"/>
        <v>0</v>
      </c>
      <c r="Q376" s="40">
        <f t="shared" si="46"/>
        <v>0</v>
      </c>
      <c r="R376" s="40">
        <f t="shared" si="47"/>
        <v>0</v>
      </c>
      <c r="S376" s="40">
        <f t="shared" si="48"/>
        <v>0</v>
      </c>
      <c r="T376" s="42">
        <f t="shared" si="49"/>
        <v>0</v>
      </c>
      <c r="AA376" s="35"/>
    </row>
    <row r="377" spans="1:27">
      <c r="A377" s="36">
        <v>373</v>
      </c>
      <c r="B377" s="29">
        <v>3</v>
      </c>
      <c r="C377" s="29" t="s">
        <v>76</v>
      </c>
      <c r="D377" s="31">
        <v>270</v>
      </c>
      <c r="E377" s="31" t="s">
        <v>388</v>
      </c>
      <c r="F377" s="32" t="s">
        <v>396</v>
      </c>
      <c r="G377" s="31" t="s">
        <v>160</v>
      </c>
      <c r="H377" s="30">
        <v>0</v>
      </c>
      <c r="I377" s="103"/>
      <c r="J377" s="102"/>
      <c r="K377" s="45">
        <v>85</v>
      </c>
      <c r="L377" s="45">
        <v>85</v>
      </c>
      <c r="M377" s="41">
        <v>85</v>
      </c>
      <c r="N377" s="44">
        <f t="shared" si="43"/>
        <v>0</v>
      </c>
      <c r="O377" s="43">
        <f t="shared" si="44"/>
        <v>0</v>
      </c>
      <c r="P377" s="40">
        <f t="shared" si="45"/>
        <v>0</v>
      </c>
      <c r="Q377" s="40">
        <f t="shared" si="46"/>
        <v>0</v>
      </c>
      <c r="R377" s="40">
        <f t="shared" si="47"/>
        <v>0</v>
      </c>
      <c r="S377" s="40">
        <f t="shared" si="48"/>
        <v>0</v>
      </c>
      <c r="T377" s="42">
        <f t="shared" si="49"/>
        <v>0</v>
      </c>
      <c r="AA377" s="35"/>
    </row>
    <row r="378" spans="1:27">
      <c r="A378" s="36">
        <v>374</v>
      </c>
      <c r="B378" s="29">
        <v>3</v>
      </c>
      <c r="C378" s="29" t="s">
        <v>76</v>
      </c>
      <c r="D378" s="31">
        <v>270</v>
      </c>
      <c r="E378" s="31" t="s">
        <v>388</v>
      </c>
      <c r="F378" s="32" t="s">
        <v>396</v>
      </c>
      <c r="G378" s="31" t="s">
        <v>160</v>
      </c>
      <c r="H378" s="30">
        <v>0</v>
      </c>
      <c r="I378" s="103"/>
      <c r="J378" s="102"/>
      <c r="K378" s="45">
        <v>135.34</v>
      </c>
      <c r="L378" s="45">
        <v>135.34</v>
      </c>
      <c r="M378" s="41">
        <v>135.34</v>
      </c>
      <c r="N378" s="44">
        <f t="shared" si="43"/>
        <v>0</v>
      </c>
      <c r="O378" s="43">
        <f t="shared" si="44"/>
        <v>0</v>
      </c>
      <c r="P378" s="40">
        <f t="shared" si="45"/>
        <v>0</v>
      </c>
      <c r="Q378" s="40">
        <f t="shared" si="46"/>
        <v>0</v>
      </c>
      <c r="R378" s="40">
        <f t="shared" si="47"/>
        <v>0</v>
      </c>
      <c r="S378" s="40">
        <f t="shared" si="48"/>
        <v>0</v>
      </c>
      <c r="T378" s="42">
        <f t="shared" si="49"/>
        <v>0</v>
      </c>
      <c r="AA378" s="35"/>
    </row>
    <row r="379" spans="1:27">
      <c r="A379" s="36">
        <v>376</v>
      </c>
      <c r="B379" s="29">
        <v>3</v>
      </c>
      <c r="C379" s="29" t="s">
        <v>76</v>
      </c>
      <c r="D379" s="31">
        <v>270</v>
      </c>
      <c r="E379" s="31" t="s">
        <v>388</v>
      </c>
      <c r="F379" s="32" t="s">
        <v>395</v>
      </c>
      <c r="G379" s="31" t="s">
        <v>160</v>
      </c>
      <c r="H379" s="30">
        <v>0</v>
      </c>
      <c r="I379" s="103"/>
      <c r="J379" s="102"/>
      <c r="K379" s="45">
        <v>85</v>
      </c>
      <c r="L379" s="45">
        <v>85</v>
      </c>
      <c r="M379" s="41">
        <v>85</v>
      </c>
      <c r="N379" s="44">
        <f t="shared" si="43"/>
        <v>0</v>
      </c>
      <c r="O379" s="43">
        <f t="shared" si="44"/>
        <v>0</v>
      </c>
      <c r="P379" s="40">
        <f t="shared" si="45"/>
        <v>0</v>
      </c>
      <c r="Q379" s="40">
        <f t="shared" si="46"/>
        <v>0</v>
      </c>
      <c r="R379" s="40">
        <f t="shared" si="47"/>
        <v>0</v>
      </c>
      <c r="S379" s="40">
        <f t="shared" si="48"/>
        <v>0</v>
      </c>
      <c r="T379" s="42">
        <f t="shared" si="49"/>
        <v>0</v>
      </c>
      <c r="AA379" s="35"/>
    </row>
    <row r="380" spans="1:27">
      <c r="A380" s="36">
        <v>377</v>
      </c>
      <c r="B380" s="29">
        <v>3</v>
      </c>
      <c r="C380" s="29" t="s">
        <v>76</v>
      </c>
      <c r="D380" s="31">
        <v>270</v>
      </c>
      <c r="E380" s="31" t="s">
        <v>388</v>
      </c>
      <c r="F380" s="32" t="s">
        <v>395</v>
      </c>
      <c r="G380" s="31" t="s">
        <v>160</v>
      </c>
      <c r="H380" s="30">
        <v>0</v>
      </c>
      <c r="I380" s="103"/>
      <c r="J380" s="102"/>
      <c r="K380" s="45">
        <v>135.34</v>
      </c>
      <c r="L380" s="45">
        <v>135.34</v>
      </c>
      <c r="M380" s="41">
        <v>135.34</v>
      </c>
      <c r="N380" s="44">
        <f t="shared" si="43"/>
        <v>0</v>
      </c>
      <c r="O380" s="43">
        <f t="shared" si="44"/>
        <v>0</v>
      </c>
      <c r="P380" s="40">
        <f t="shared" si="45"/>
        <v>0</v>
      </c>
      <c r="Q380" s="40">
        <f t="shared" si="46"/>
        <v>0</v>
      </c>
      <c r="R380" s="40">
        <f t="shared" si="47"/>
        <v>0</v>
      </c>
      <c r="S380" s="40">
        <f t="shared" si="48"/>
        <v>0</v>
      </c>
      <c r="T380" s="42">
        <f t="shared" si="49"/>
        <v>0</v>
      </c>
      <c r="AA380" s="35"/>
    </row>
    <row r="381" spans="1:27">
      <c r="A381" s="36">
        <v>378</v>
      </c>
      <c r="B381" s="29">
        <v>3</v>
      </c>
      <c r="C381" s="29" t="s">
        <v>76</v>
      </c>
      <c r="D381" s="31">
        <v>270</v>
      </c>
      <c r="E381" s="31" t="s">
        <v>388</v>
      </c>
      <c r="F381" s="32" t="s">
        <v>394</v>
      </c>
      <c r="G381" s="31" t="s">
        <v>160</v>
      </c>
      <c r="H381" s="30">
        <v>0</v>
      </c>
      <c r="I381" s="103"/>
      <c r="J381" s="102"/>
      <c r="K381" s="45">
        <v>85</v>
      </c>
      <c r="L381" s="45">
        <v>85</v>
      </c>
      <c r="M381" s="41">
        <v>85</v>
      </c>
      <c r="N381" s="44">
        <f t="shared" si="43"/>
        <v>0</v>
      </c>
      <c r="O381" s="43">
        <f t="shared" si="44"/>
        <v>0</v>
      </c>
      <c r="P381" s="40">
        <f t="shared" si="45"/>
        <v>0</v>
      </c>
      <c r="Q381" s="40">
        <f t="shared" si="46"/>
        <v>0</v>
      </c>
      <c r="R381" s="40">
        <f t="shared" si="47"/>
        <v>0</v>
      </c>
      <c r="S381" s="40">
        <f t="shared" si="48"/>
        <v>0</v>
      </c>
      <c r="T381" s="42">
        <f t="shared" si="49"/>
        <v>0</v>
      </c>
      <c r="AA381" s="35"/>
    </row>
    <row r="382" spans="1:27">
      <c r="A382" s="36">
        <v>379</v>
      </c>
      <c r="B382" s="29">
        <v>3</v>
      </c>
      <c r="C382" s="29" t="s">
        <v>76</v>
      </c>
      <c r="D382" s="31">
        <v>270</v>
      </c>
      <c r="E382" s="31" t="s">
        <v>388</v>
      </c>
      <c r="F382" s="32" t="s">
        <v>393</v>
      </c>
      <c r="G382" s="31" t="s">
        <v>160</v>
      </c>
      <c r="H382" s="30">
        <v>0</v>
      </c>
      <c r="I382" s="103"/>
      <c r="J382" s="102"/>
      <c r="K382" s="45">
        <v>135.34</v>
      </c>
      <c r="L382" s="45">
        <v>135.34</v>
      </c>
      <c r="M382" s="41">
        <v>135.34</v>
      </c>
      <c r="N382" s="44">
        <f t="shared" si="43"/>
        <v>0</v>
      </c>
      <c r="O382" s="43">
        <f t="shared" si="44"/>
        <v>0</v>
      </c>
      <c r="P382" s="40">
        <f t="shared" si="45"/>
        <v>0</v>
      </c>
      <c r="Q382" s="40">
        <f t="shared" si="46"/>
        <v>0</v>
      </c>
      <c r="R382" s="40">
        <f t="shared" si="47"/>
        <v>0</v>
      </c>
      <c r="S382" s="40">
        <f t="shared" si="48"/>
        <v>0</v>
      </c>
      <c r="T382" s="42">
        <f t="shared" si="49"/>
        <v>0</v>
      </c>
      <c r="AA382" s="35"/>
    </row>
    <row r="383" spans="1:27">
      <c r="A383" s="36">
        <v>380</v>
      </c>
      <c r="B383" s="29">
        <v>3</v>
      </c>
      <c r="C383" s="29" t="s">
        <v>76</v>
      </c>
      <c r="D383" s="31">
        <v>275</v>
      </c>
      <c r="E383" s="31" t="s">
        <v>388</v>
      </c>
      <c r="F383" s="32" t="s">
        <v>392</v>
      </c>
      <c r="G383" s="31" t="s">
        <v>160</v>
      </c>
      <c r="H383" s="30">
        <v>0</v>
      </c>
      <c r="I383" s="103"/>
      <c r="J383" s="102"/>
      <c r="K383" s="45">
        <v>135.34</v>
      </c>
      <c r="L383" s="45">
        <v>137.32479999999998</v>
      </c>
      <c r="M383" s="41">
        <v>137.32479999999998</v>
      </c>
      <c r="N383" s="44">
        <f t="shared" si="43"/>
        <v>1.9847999999999786</v>
      </c>
      <c r="O383" s="43">
        <f t="shared" si="44"/>
        <v>0</v>
      </c>
      <c r="P383" s="40">
        <f t="shared" si="45"/>
        <v>0</v>
      </c>
      <c r="Q383" s="40">
        <f t="shared" si="46"/>
        <v>0</v>
      </c>
      <c r="R383" s="40">
        <f t="shared" si="47"/>
        <v>0</v>
      </c>
      <c r="S383" s="40">
        <f t="shared" si="48"/>
        <v>0</v>
      </c>
      <c r="T383" s="42">
        <f t="shared" si="49"/>
        <v>1.4665287424264761E-2</v>
      </c>
      <c r="AA383" s="35"/>
    </row>
    <row r="384" spans="1:27">
      <c r="A384" s="36">
        <v>381</v>
      </c>
      <c r="B384" s="29">
        <v>3</v>
      </c>
      <c r="C384" s="29" t="s">
        <v>76</v>
      </c>
      <c r="D384" s="31">
        <v>275</v>
      </c>
      <c r="E384" s="31" t="s">
        <v>388</v>
      </c>
      <c r="F384" s="32" t="s">
        <v>391</v>
      </c>
      <c r="G384" s="31" t="s">
        <v>160</v>
      </c>
      <c r="H384" s="30">
        <v>0</v>
      </c>
      <c r="I384" s="103"/>
      <c r="J384" s="102"/>
      <c r="K384" s="45">
        <v>135.34</v>
      </c>
      <c r="L384" s="45">
        <v>137.32479999999998</v>
      </c>
      <c r="M384" s="41">
        <v>137.32479999999998</v>
      </c>
      <c r="N384" s="44">
        <f t="shared" si="43"/>
        <v>1.9847999999999786</v>
      </c>
      <c r="O384" s="43">
        <f t="shared" si="44"/>
        <v>0</v>
      </c>
      <c r="P384" s="40">
        <f t="shared" si="45"/>
        <v>0</v>
      </c>
      <c r="Q384" s="40">
        <f t="shared" si="46"/>
        <v>0</v>
      </c>
      <c r="R384" s="40">
        <f t="shared" si="47"/>
        <v>0</v>
      </c>
      <c r="S384" s="40">
        <f t="shared" si="48"/>
        <v>0</v>
      </c>
      <c r="T384" s="42">
        <f t="shared" si="49"/>
        <v>1.4665287424264761E-2</v>
      </c>
      <c r="AA384" s="35"/>
    </row>
    <row r="385" spans="1:27">
      <c r="A385" s="36">
        <v>382</v>
      </c>
      <c r="B385" s="29">
        <v>3</v>
      </c>
      <c r="C385" s="29" t="s">
        <v>76</v>
      </c>
      <c r="D385" s="31">
        <v>275</v>
      </c>
      <c r="E385" s="31" t="s">
        <v>388</v>
      </c>
      <c r="F385" s="32" t="s">
        <v>390</v>
      </c>
      <c r="G385" s="31" t="s">
        <v>160</v>
      </c>
      <c r="H385" s="30">
        <v>0</v>
      </c>
      <c r="I385" s="103"/>
      <c r="J385" s="102"/>
      <c r="K385" s="45">
        <v>135.34</v>
      </c>
      <c r="L385" s="45">
        <v>137.32479999999998</v>
      </c>
      <c r="M385" s="41">
        <v>137.32479999999998</v>
      </c>
      <c r="N385" s="44">
        <f t="shared" si="43"/>
        <v>1.9847999999999786</v>
      </c>
      <c r="O385" s="43">
        <f t="shared" si="44"/>
        <v>0</v>
      </c>
      <c r="P385" s="40">
        <f t="shared" si="45"/>
        <v>0</v>
      </c>
      <c r="Q385" s="40">
        <f t="shared" si="46"/>
        <v>0</v>
      </c>
      <c r="R385" s="40">
        <f t="shared" si="47"/>
        <v>0</v>
      </c>
      <c r="S385" s="40">
        <f t="shared" si="48"/>
        <v>0</v>
      </c>
      <c r="T385" s="42">
        <f t="shared" si="49"/>
        <v>1.4665287424264761E-2</v>
      </c>
      <c r="AA385" s="35"/>
    </row>
    <row r="386" spans="1:27">
      <c r="A386" s="36">
        <v>383</v>
      </c>
      <c r="B386" s="29">
        <v>3</v>
      </c>
      <c r="C386" s="29" t="s">
        <v>76</v>
      </c>
      <c r="D386" s="31">
        <v>275</v>
      </c>
      <c r="E386" s="31" t="s">
        <v>388</v>
      </c>
      <c r="F386" s="32" t="s">
        <v>389</v>
      </c>
      <c r="G386" s="31" t="s">
        <v>160</v>
      </c>
      <c r="H386" s="30">
        <v>0</v>
      </c>
      <c r="I386" s="103"/>
      <c r="J386" s="102"/>
      <c r="K386" s="45">
        <v>135.34</v>
      </c>
      <c r="L386" s="45">
        <v>137.32479999999998</v>
      </c>
      <c r="M386" s="41">
        <v>137.32479999999998</v>
      </c>
      <c r="N386" s="44">
        <f t="shared" si="43"/>
        <v>1.9847999999999786</v>
      </c>
      <c r="O386" s="43">
        <f t="shared" si="44"/>
        <v>0</v>
      </c>
      <c r="P386" s="40">
        <f t="shared" si="45"/>
        <v>0</v>
      </c>
      <c r="Q386" s="40">
        <f t="shared" si="46"/>
        <v>0</v>
      </c>
      <c r="R386" s="40">
        <f t="shared" si="47"/>
        <v>0</v>
      </c>
      <c r="S386" s="40">
        <f t="shared" si="48"/>
        <v>0</v>
      </c>
      <c r="T386" s="42">
        <f t="shared" si="49"/>
        <v>1.4665287424264761E-2</v>
      </c>
      <c r="AA386" s="35"/>
    </row>
    <row r="387" spans="1:27">
      <c r="A387" s="36">
        <v>384</v>
      </c>
      <c r="B387" s="29">
        <v>3</v>
      </c>
      <c r="C387" s="29" t="s">
        <v>76</v>
      </c>
      <c r="D387" s="31">
        <v>275</v>
      </c>
      <c r="E387" s="31" t="s">
        <v>388</v>
      </c>
      <c r="F387" s="32" t="s">
        <v>387</v>
      </c>
      <c r="G387" s="31" t="s">
        <v>160</v>
      </c>
      <c r="H387" s="30">
        <v>0</v>
      </c>
      <c r="I387" s="103"/>
      <c r="J387" s="102"/>
      <c r="K387" s="45">
        <v>135.34</v>
      </c>
      <c r="L387" s="45">
        <v>137.32479999999998</v>
      </c>
      <c r="M387" s="41">
        <v>137.32479999999998</v>
      </c>
      <c r="N387" s="44">
        <f t="shared" si="43"/>
        <v>1.9847999999999786</v>
      </c>
      <c r="O387" s="43">
        <f t="shared" si="44"/>
        <v>0</v>
      </c>
      <c r="P387" s="40">
        <f t="shared" si="45"/>
        <v>0</v>
      </c>
      <c r="Q387" s="40">
        <f t="shared" si="46"/>
        <v>0</v>
      </c>
      <c r="R387" s="40">
        <f t="shared" si="47"/>
        <v>0</v>
      </c>
      <c r="S387" s="40">
        <f t="shared" si="48"/>
        <v>0</v>
      </c>
      <c r="T387" s="42">
        <f t="shared" si="49"/>
        <v>1.4665287424264761E-2</v>
      </c>
      <c r="AA387" s="35"/>
    </row>
    <row r="388" spans="1:27" ht="16.5" thickBot="1">
      <c r="A388" s="36"/>
      <c r="E388" s="34"/>
      <c r="F388" s="36"/>
      <c r="I388" s="117"/>
      <c r="J388" s="158"/>
      <c r="AA388" s="35"/>
    </row>
    <row r="389" spans="1:27" ht="17.25" thickTop="1" thickBot="1">
      <c r="A389" s="159"/>
      <c r="B389" s="160"/>
      <c r="C389" s="160"/>
      <c r="D389" s="160"/>
      <c r="E389" s="71"/>
      <c r="F389" s="161" t="s">
        <v>9</v>
      </c>
      <c r="G389" s="160"/>
      <c r="H389" s="160"/>
      <c r="I389" s="162"/>
      <c r="J389" s="163"/>
      <c r="K389" s="164"/>
      <c r="L389" s="164"/>
      <c r="M389" s="164"/>
      <c r="N389" s="160"/>
      <c r="O389" s="165">
        <f>SUM(O2:O388)</f>
        <v>2626538.5176145732</v>
      </c>
      <c r="P389" s="165">
        <f>SUM(P2:P388)</f>
        <v>2535302.4919482605</v>
      </c>
      <c r="Q389" s="165" t="e">
        <f>SUM(Q2:Q388)</f>
        <v>#REF!</v>
      </c>
      <c r="R389" s="165">
        <f>SUM(R2:R388)</f>
        <v>-91236.025666314134</v>
      </c>
      <c r="S389" s="165" t="e">
        <f>SUM(S2:S388)</f>
        <v>#REF!</v>
      </c>
      <c r="T389" s="160"/>
      <c r="U389" s="34"/>
      <c r="V389" s="34"/>
      <c r="W389" s="34"/>
      <c r="X389" s="34"/>
      <c r="Y389" s="34"/>
      <c r="Z389" s="34"/>
      <c r="AA389" s="33"/>
    </row>
    <row r="390" spans="1:27" ht="16.5" thickTop="1">
      <c r="R390" s="70">
        <f>R389/O389</f>
        <v>-3.4736222238680454E-2</v>
      </c>
      <c r="S390" s="70"/>
    </row>
    <row r="391" spans="1:27">
      <c r="O391" s="69"/>
      <c r="P391" s="39"/>
      <c r="Q391" s="39"/>
      <c r="R391" s="101"/>
      <c r="S391" s="101"/>
      <c r="T391" s="59"/>
    </row>
    <row r="392" spans="1:27">
      <c r="O392" s="37"/>
    </row>
    <row r="393" spans="1:27">
      <c r="O393" s="68"/>
    </row>
  </sheetData>
  <autoFilter ref="A2:T387" xr:uid="{B94CF684-CFCA-477C-8290-DC50E1112557}">
    <filterColumn colId="2">
      <filters>
        <filter val="EDS"/>
      </filters>
    </filterColumn>
    <sortState xmlns:xlrd2="http://schemas.microsoft.com/office/spreadsheetml/2017/richdata2" ref="A3:T387">
      <sortCondition ref="C3:C387"/>
      <sortCondition ref="D3:D387"/>
    </sortState>
  </autoFilter>
  <conditionalFormatting sqref="L3:M387">
    <cfRule type="expression" dxfId="3" priority="1">
      <formula>L3&lt;#REF!</formula>
    </cfRule>
    <cfRule type="expression" dxfId="2" priority="2">
      <formula>AND(L3&gt;#REF!,L3&lt;#REF!*0.9)</formula>
    </cfRule>
    <cfRule type="expression" dxfId="1" priority="3">
      <formula>L3&lt;#REF!*0.96</formula>
    </cfRule>
    <cfRule type="expression" dxfId="0" priority="4">
      <formula>L3&gt;#REF!*0.9</formula>
    </cfRule>
  </conditionalFormatting>
  <pageMargins left="0.7" right="0.7" top="0.75" bottom="0.75" header="0.3" footer="0.3"/>
  <pageSetup scale="27" fitToHeight="2" orientation="landscape" r:id="rId1"/>
  <headerFooter>
    <oddHeader>&amp;C&amp;"Tahoma,Bold"&amp;KFF0000INFORMATION RED OUTLINED AND/OR IN REDACTED AREA IS CONFIDENTIAL PER WAC 480-07-160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FE56E5CBD67CBB4DA9479D2124E10346" ma:contentTypeVersion="19" ma:contentTypeDescription="" ma:contentTypeScope="" ma:versionID="17db33aed33a2bed43b1aed8f2539cb3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2025-10-13T07:00:00+00:00</OpenedDate>
    <SignificantOrder xmlns="dc463f71-b30c-4ab2-9473-d307f9d35888">false</SignificantOrder>
    <Date1 xmlns="dc463f71-b30c-4ab2-9473-d307f9d35888">2025-10-13T07:00:00+00:00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Ed's Disposal, Inc</CaseCompanyNames>
    <Nickname xmlns="http://schemas.microsoft.com/sharepoint/v3" xsi:nil="true"/>
    <DocketNumber xmlns="dc463f71-b30c-4ab2-9473-d307f9d35888">250784</DocketNumber>
    <DelegatedOrder xmlns="dc463f71-b30c-4ab2-9473-d307f9d35888">false</DelegatedOrder>
  </documentManagement>
</p:properties>
</file>

<file path=customXml/item4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Props1.xml><?xml version="1.0" encoding="utf-8"?>
<ds:datastoreItem xmlns:ds="http://schemas.openxmlformats.org/officeDocument/2006/customXml" ds:itemID="{07F71FB8-CD16-4C85-AC16-8EB0ECEBC2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48ED3E-9EF6-404F-80DC-E06BD51C22B9}"/>
</file>

<file path=customXml/itemProps3.xml><?xml version="1.0" encoding="utf-8"?>
<ds:datastoreItem xmlns:ds="http://schemas.openxmlformats.org/officeDocument/2006/customXml" ds:itemID="{EA191A19-BF4A-45AB-8D10-6F212F01E0CB}">
  <ds:schemaRefs>
    <ds:schemaRef ds:uri="http://schemas.microsoft.com/office/2006/metadata/properties"/>
    <ds:schemaRef ds:uri="http://schemas.microsoft.com/office/infopath/2007/PartnerControls"/>
    <ds:schemaRef ds:uri="7a94ced8-ded3-4532-8ef9-e1b8815bc4a2"/>
    <ds:schemaRef ds:uri="2b02f8af-9ba6-47d7-a7c8-b9c1de8868f8"/>
    <ds:schemaRef ds:uri="4834c795-5f77-423c-905b-324365c6c65c"/>
    <ds:schemaRef ds:uri="ba486871-9202-44bf-b452-127d5122aef0"/>
  </ds:schemaRefs>
</ds:datastoreItem>
</file>

<file path=customXml/itemProps4.xml><?xml version="1.0" encoding="utf-8"?>
<ds:datastoreItem xmlns:ds="http://schemas.openxmlformats.org/officeDocument/2006/customXml" ds:itemID="{7DD1CA82-0604-45E4-8912-050F413E0087}"/>
</file>

<file path=docMetadata/LabelInfo.xml><?xml version="1.0" encoding="utf-8"?>
<clbl:labelList xmlns:clbl="http://schemas.microsoft.com/office/2020/mipLabelMetadata">
  <clbl:label id="{11d0e217-264e-400a-8ba0-57dcc127d72d}" enabled="0" method="" siteId="{11d0e217-264e-400a-8ba0-57dcc127d7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EDS_RevenueIncrease</vt:lpstr>
      <vt:lpstr>Rate Sheet</vt:lpstr>
      <vt:lpstr>B&amp;O Tax Increase Calculations</vt:lpstr>
      <vt:lpstr>PriceOut-Benton-TG-230189</vt:lpstr>
      <vt:lpstr>'PriceOut-Benton-TG-230189'!Print_Area</vt:lpstr>
      <vt:lpstr>'Rate Sheet'!Print_Area</vt:lpstr>
      <vt:lpstr>'PriceOut-Benton-TG-230189'!Print_Titles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Atwell</dc:creator>
  <cp:keywords/>
  <dc:description/>
  <cp:lastModifiedBy>Booth, Avery (UTC)</cp:lastModifiedBy>
  <cp:revision/>
  <cp:lastPrinted>2025-10-13T21:10:34Z</cp:lastPrinted>
  <dcterms:created xsi:type="dcterms:W3CDTF">2018-10-09T22:34:20Z</dcterms:created>
  <dcterms:modified xsi:type="dcterms:W3CDTF">2025-10-16T15:45:48Z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0x0101006E56B4D1795A2E4DB2F0B01679ED314A00FE56E5CBD67CBB4DA9479D2124E10346</vt:lpwstr>
  </property>
  <property fmtid="{D5CDD505-2E9C-101B-9397-08002B2CF9AE}" pid="3" name="MediaServiceImageTags">
    <vt:lpwstr/>
  </property>
</Properties>
</file>