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J:\Regulatory Filings\2025 Regulatory Filings\EIA Annual Filings\Annual EIA Filing\"/>
    </mc:Choice>
  </mc:AlternateContent>
  <xr:revisionPtr revIDLastSave="0" documentId="13_ncr:1_{24C0A5F8-7D9B-4CFF-8AB0-6FC034602EF8}" xr6:coauthVersionLast="47" xr6:coauthVersionMax="47" xr10:uidLastSave="{00000000-0000-0000-0000-000000000000}"/>
  <bookViews>
    <workbookView xWindow="-120" yWindow="-120" windowWidth="25335" windowHeight="14340" xr2:uid="{00000000-000D-0000-FFFF-FFFF00000000}"/>
  </bookViews>
  <sheets>
    <sheet name="(2)(a)(i) One Time (all)" sheetId="4" r:id="rId1"/>
    <sheet name="(2)(a)(ii)Annual-2025, estimate" sheetId="10" r:id="rId2"/>
    <sheet name="(2)(a)(ii)Annual-2024 actual" sheetId="6" r:id="rId3"/>
    <sheet name="(2)(a)(iii)(A) and (B)" sheetId="9" r:id="rId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2" i="4" l="1"/>
  <c r="B59" i="10" l="1"/>
  <c r="B40" i="9" l="1"/>
  <c r="B41" i="9"/>
  <c r="B42" i="9"/>
  <c r="B43" i="9"/>
  <c r="B44" i="9"/>
  <c r="B45" i="9"/>
  <c r="B46" i="9"/>
  <c r="B23" i="9"/>
  <c r="B22" i="9"/>
  <c r="B21" i="9"/>
  <c r="B20" i="9"/>
  <c r="B19" i="9"/>
  <c r="B18" i="9"/>
  <c r="B17" i="9"/>
  <c r="E71" i="4" l="1"/>
  <c r="D71" i="4"/>
  <c r="B71" i="4"/>
  <c r="B65" i="4"/>
  <c r="B80" i="4"/>
  <c r="E86" i="4"/>
  <c r="D86" i="4"/>
  <c r="B86" i="4"/>
  <c r="B78" i="4"/>
  <c r="B77" i="4"/>
  <c r="C86" i="4" l="1"/>
  <c r="F86" i="4"/>
  <c r="G86" i="4" s="1"/>
  <c r="H86" i="4" s="1"/>
  <c r="D33" i="10"/>
  <c r="E33" i="10"/>
  <c r="H34" i="4"/>
  <c r="H33" i="4"/>
  <c r="F34" i="10" l="1"/>
  <c r="C34" i="10"/>
  <c r="F35" i="4" l="1"/>
  <c r="C35" i="4"/>
  <c r="C38" i="6" l="1"/>
  <c r="F38" i="6" s="1"/>
  <c r="B32" i="6"/>
  <c r="B60" i="10" l="1"/>
  <c r="C60" i="10" s="1"/>
  <c r="C39" i="10" l="1"/>
  <c r="F39" i="10" s="1"/>
  <c r="D46" i="9"/>
  <c r="F46" i="9" s="1"/>
  <c r="B57" i="6"/>
  <c r="B56" i="6"/>
  <c r="B55" i="6"/>
  <c r="C41" i="6"/>
  <c r="C42" i="6"/>
  <c r="F18" i="9"/>
  <c r="F19" i="9"/>
  <c r="F20" i="9"/>
  <c r="F21" i="9"/>
  <c r="D63" i="6"/>
  <c r="F56" i="10"/>
  <c r="F41" i="6" l="1"/>
  <c r="B44" i="4"/>
  <c r="B67" i="4" l="1"/>
  <c r="C58" i="10" s="1"/>
  <c r="C42" i="10" s="1"/>
  <c r="B62" i="4"/>
  <c r="B63" i="4" l="1"/>
  <c r="C71" i="4" l="1"/>
  <c r="F71" i="4"/>
  <c r="B58" i="10"/>
  <c r="F42" i="10" s="1"/>
  <c r="B56" i="10"/>
  <c r="G71" i="4" l="1"/>
  <c r="H71" i="4" s="1"/>
  <c r="D22" i="9"/>
  <c r="F22" i="9" s="1"/>
  <c r="E25" i="10" l="1"/>
  <c r="E32" i="10"/>
  <c r="B32" i="10"/>
  <c r="E29" i="10"/>
  <c r="B29" i="10"/>
  <c r="D32" i="10" l="1"/>
  <c r="C44" i="9"/>
  <c r="D45" i="9" l="1"/>
  <c r="F45" i="9" s="1"/>
  <c r="B46" i="4" l="1"/>
  <c r="B47" i="4"/>
  <c r="B49" i="4"/>
  <c r="B51" i="4"/>
  <c r="B55" i="4"/>
  <c r="D55" i="4"/>
  <c r="E55" i="4"/>
  <c r="F55" i="4" l="1"/>
  <c r="C55" i="4"/>
  <c r="G55" i="4"/>
  <c r="H55" i="4" s="1"/>
  <c r="E25" i="6" l="1"/>
  <c r="E33" i="6" s="1"/>
  <c r="D28" i="10" l="1"/>
  <c r="D25" i="10"/>
  <c r="G29" i="4"/>
  <c r="H29" i="4" s="1"/>
  <c r="B29" i="4"/>
  <c r="G25" i="10" l="1"/>
  <c r="D34" i="10"/>
  <c r="C57" i="10"/>
  <c r="C39" i="6"/>
  <c r="F39" i="6" s="1"/>
  <c r="B57" i="10"/>
  <c r="G25" i="6" l="1"/>
  <c r="F33" i="6" l="1"/>
  <c r="C33" i="6"/>
  <c r="C40" i="6" l="1"/>
  <c r="G48" i="10"/>
  <c r="F57" i="10"/>
  <c r="B25" i="10" s="1"/>
  <c r="F40" i="6" l="1"/>
  <c r="C43" i="6"/>
  <c r="D62" i="6"/>
  <c r="B25" i="6" s="1"/>
  <c r="F40" i="9" l="1"/>
  <c r="D28" i="6" l="1"/>
  <c r="D33" i="6" s="1"/>
  <c r="G27" i="4"/>
  <c r="B27" i="6" s="1"/>
  <c r="G26" i="4"/>
  <c r="B26" i="6" s="1"/>
  <c r="G28" i="6" l="1"/>
  <c r="G33" i="6" s="1"/>
  <c r="B16" i="9"/>
  <c r="D16" i="9" s="1"/>
  <c r="F16" i="9" s="1"/>
  <c r="H27" i="4"/>
  <c r="B39" i="9"/>
  <c r="D39" i="9" s="1"/>
  <c r="F39" i="9" s="1"/>
  <c r="H26" i="4"/>
  <c r="B38" i="9"/>
  <c r="D38" i="9" s="1"/>
  <c r="F38" i="9" s="1"/>
  <c r="B15" i="9"/>
  <c r="D17" i="9"/>
  <c r="F17" i="9" s="1"/>
  <c r="B28" i="6"/>
  <c r="D15" i="9" l="1"/>
  <c r="F15" i="9" s="1"/>
  <c r="C40" i="10"/>
  <c r="F40" i="10" s="1"/>
  <c r="D34" i="6"/>
  <c r="D45" i="6" s="1"/>
  <c r="G28" i="10" l="1"/>
  <c r="G34" i="10" s="1"/>
  <c r="C41" i="10"/>
  <c r="F41" i="10" l="1"/>
  <c r="C44" i="10"/>
  <c r="F38" i="10" l="1"/>
  <c r="F44" i="10" s="1"/>
  <c r="E43" i="6" l="1"/>
  <c r="E45" i="6" s="1"/>
  <c r="F43" i="6"/>
  <c r="E28" i="10"/>
  <c r="E26" i="10"/>
  <c r="E27" i="10"/>
  <c r="B26" i="10"/>
  <c r="B27" i="10"/>
  <c r="B28" i="10"/>
  <c r="G44" i="10"/>
  <c r="E44" i="10"/>
  <c r="D44" i="10"/>
  <c r="B44" i="10"/>
  <c r="G35" i="10"/>
  <c r="G46" i="10" s="1"/>
  <c r="F35" i="10"/>
  <c r="D35" i="10"/>
  <c r="D46" i="10" s="1"/>
  <c r="C35" i="10"/>
  <c r="C46" i="10" s="1"/>
  <c r="G43" i="6"/>
  <c r="D43" i="6"/>
  <c r="B43" i="6"/>
  <c r="F46" i="10" l="1"/>
  <c r="H28" i="4" l="1"/>
  <c r="G45" i="6"/>
  <c r="F45" i="6"/>
  <c r="C34" i="6" l="1"/>
  <c r="C45" i="6" s="1"/>
  <c r="G16" i="4"/>
  <c r="G24" i="4"/>
  <c r="G23" i="4"/>
  <c r="G22" i="4"/>
  <c r="B11" i="9" s="1"/>
  <c r="G21" i="4"/>
  <c r="G20" i="4"/>
  <c r="G19" i="4"/>
  <c r="B19" i="6" s="1"/>
  <c r="G18" i="4"/>
  <c r="B18" i="6" s="1"/>
  <c r="G17" i="4"/>
  <c r="B17" i="6" s="1"/>
  <c r="G35" i="4" l="1"/>
  <c r="E16" i="10"/>
  <c r="B16" i="10"/>
  <c r="H16" i="4"/>
  <c r="B28" i="9"/>
  <c r="D28" i="9" s="1"/>
  <c r="F28" i="9" s="1"/>
  <c r="B5" i="9"/>
  <c r="D5" i="9" s="1"/>
  <c r="F5" i="9" s="1"/>
  <c r="B16" i="6"/>
  <c r="H25" i="4"/>
  <c r="B37" i="9"/>
  <c r="D37" i="9" s="1"/>
  <c r="F37" i="9" s="1"/>
  <c r="B20" i="10"/>
  <c r="E20" i="10"/>
  <c r="H20" i="4"/>
  <c r="B32" i="9"/>
  <c r="D32" i="9" s="1"/>
  <c r="F32" i="9" s="1"/>
  <c r="B9" i="9"/>
  <c r="D9" i="9" s="1"/>
  <c r="F9" i="9" s="1"/>
  <c r="E21" i="10"/>
  <c r="B21" i="10"/>
  <c r="H21" i="4"/>
  <c r="B33" i="9"/>
  <c r="D33" i="9" s="1"/>
  <c r="F33" i="9" s="1"/>
  <c r="B10" i="9"/>
  <c r="D10" i="9" s="1"/>
  <c r="F10" i="9" s="1"/>
  <c r="E22" i="10"/>
  <c r="B22" i="10"/>
  <c r="H22" i="4"/>
  <c r="B34" i="9"/>
  <c r="D34" i="9" s="1"/>
  <c r="F34" i="9" s="1"/>
  <c r="D11" i="9"/>
  <c r="F11" i="9" s="1"/>
  <c r="B23" i="10"/>
  <c r="E23" i="10"/>
  <c r="H23" i="4"/>
  <c r="B35" i="9"/>
  <c r="D35" i="9" s="1"/>
  <c r="F35" i="9" s="1"/>
  <c r="B12" i="9"/>
  <c r="D12" i="9" s="1"/>
  <c r="F12" i="9" s="1"/>
  <c r="B20" i="6"/>
  <c r="B24" i="10"/>
  <c r="E24" i="10"/>
  <c r="H24" i="4"/>
  <c r="B36" i="9"/>
  <c r="D36" i="9" s="1"/>
  <c r="F36" i="9" s="1"/>
  <c r="B13" i="9"/>
  <c r="D13" i="9" s="1"/>
  <c r="F13" i="9" s="1"/>
  <c r="B21" i="6"/>
  <c r="E17" i="10"/>
  <c r="B17" i="10"/>
  <c r="H17" i="4"/>
  <c r="B6" i="9"/>
  <c r="D6" i="9" s="1"/>
  <c r="F6" i="9" s="1"/>
  <c r="B29" i="9"/>
  <c r="D29" i="9" s="1"/>
  <c r="F29" i="9" s="1"/>
  <c r="B22" i="6"/>
  <c r="B18" i="10"/>
  <c r="E18" i="10"/>
  <c r="H18" i="4"/>
  <c r="B7" i="9"/>
  <c r="D7" i="9" s="1"/>
  <c r="F7" i="9" s="1"/>
  <c r="B30" i="9"/>
  <c r="D30" i="9" s="1"/>
  <c r="F30" i="9" s="1"/>
  <c r="B23" i="6"/>
  <c r="E19" i="10"/>
  <c r="B19" i="10"/>
  <c r="H19" i="4"/>
  <c r="B31" i="9"/>
  <c r="D31" i="9" s="1"/>
  <c r="F31" i="9" s="1"/>
  <c r="B8" i="9"/>
  <c r="D8" i="9" s="1"/>
  <c r="F8" i="9" s="1"/>
  <c r="B24" i="6"/>
  <c r="H35" i="4" l="1"/>
  <c r="B34" i="10"/>
  <c r="B35" i="10" s="1"/>
  <c r="B46" i="10" s="1"/>
  <c r="D49" i="10" s="1"/>
  <c r="B50" i="10" s="1"/>
  <c r="E34" i="10"/>
  <c r="B33" i="6"/>
  <c r="B34" i="6" s="1"/>
  <c r="B45" i="6" s="1"/>
  <c r="D48" i="6" s="1"/>
  <c r="B49" i="6" s="1"/>
  <c r="G38" i="4"/>
  <c r="B14" i="9"/>
  <c r="D14" i="9" s="1"/>
  <c r="G48" i="6"/>
  <c r="E49" i="6" s="1"/>
  <c r="F14" i="9" l="1"/>
  <c r="E35" i="10"/>
  <c r="E46" i="10" s="1"/>
  <c r="G49" i="10" s="1"/>
  <c r="E50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 Gall</author>
    <author>jwg3596</author>
    <author>Gall, James</author>
  </authors>
  <commentList>
    <comment ref="A2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These costs represent the cost per qualifing MWh, rather than the incremental MWh from the project</t>
        </r>
      </text>
    </comment>
    <comment ref="A28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WAC 480-109-210 (2) (G): Legacy resources. Any eligible resource that the utility acquired prior to March 31, 1999, is deemed to have an incremental cost of zero.</t>
        </r>
      </text>
    </comment>
    <comment ref="A29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100% allocated to WA State customers
</t>
        </r>
      </text>
    </comment>
    <comment ref="A30" authorId="2" shapeId="0" xr:uid="{00000000-0006-0000-0000-000004000000}">
      <text>
        <r>
          <rPr>
            <b/>
            <sz val="9"/>
            <color indexed="81"/>
            <rFont val="Tahoma"/>
            <family val="2"/>
          </rPr>
          <t>Incremental cost to be calculated if/when becomes an asset/REC to serve general load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1" authorId="2" shapeId="0" xr:uid="{00000000-0006-0000-0000-000005000000}">
      <text>
        <r>
          <rPr>
            <b/>
            <sz val="9"/>
            <color indexed="81"/>
            <rFont val="Tahoma"/>
            <family val="2"/>
          </rPr>
          <t>Incremental cost to be calculated if/when becomes an asset/REC to serve general load</t>
        </r>
      </text>
    </comment>
    <comment ref="A32" authorId="2" shapeId="0" xr:uid="{00000000-0006-0000-0000-000006000000}">
      <text>
        <r>
          <rPr>
            <b/>
            <sz val="9"/>
            <color indexed="81"/>
            <rFont val="Tahoma"/>
            <family val="2"/>
          </rPr>
          <t>Incremental cost to be calculated if/when becomes an asset/REC to serve general load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7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The Production/Transmission Ratio (“P/T Ratio”) is a jurisdictional allocation used to allocate production and transmission costs between the Company’s Washington and Idaho electric service territories.  The Company files its P/T Ratio annually with the WUTC within its annual required Commission Basis Report.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Avista</author>
    <author>Gall, James</author>
    <author>James Gall</author>
    <author>Lyons, John</author>
  </authors>
  <commentList>
    <comment ref="B2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Avista:</t>
        </r>
        <r>
          <rPr>
            <sz val="9"/>
            <color indexed="81"/>
            <rFont val="Tahoma"/>
            <family val="2"/>
          </rPr>
          <t xml:space="preserve">
Adjusted for expected production</t>
        </r>
      </text>
    </comment>
    <comment ref="A2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Incremental cost to be calculated if/when becomes an asset/REC to serve general load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0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Incremental cost to be calculated if/when becomes an asset/REC to serve general load</t>
        </r>
      </text>
    </comment>
    <comment ref="A31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Incremental cost to be calculated if/when becomes an asset/REC to serve general load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9" authorId="2" shapeId="0" xr:uid="{00000000-0006-0000-0100-000005000000}">
      <text>
        <r>
          <rPr>
            <b/>
            <sz val="9"/>
            <color indexed="81"/>
            <rFont val="Tahoma"/>
            <family val="2"/>
          </rPr>
          <t>REC Value for transfering REC's entitled to Idaho to Washington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0" authorId="2" shapeId="0" xr:uid="{00000000-0006-0000-0100-000006000000}">
      <text>
        <r>
          <rPr>
            <b/>
            <sz val="9"/>
            <color indexed="81"/>
            <rFont val="Tahoma"/>
            <family val="2"/>
          </rPr>
          <t>REC Value for transfering Kettle Falls RECs entitled to Idaho to Washington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1" authorId="2" shapeId="0" xr:uid="{00000000-0006-0000-0100-000007000000}">
      <text>
        <r>
          <rPr>
            <b/>
            <sz val="9"/>
            <color indexed="81"/>
            <rFont val="Tahoma"/>
            <family val="2"/>
          </rPr>
          <t>REC Value for transfering Palouse Wind RECs entitled to Idaho to Washington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2" authorId="2" shapeId="0" xr:uid="{5358E689-CC9B-4C6F-ADEE-DF72269C2FA4}">
      <text>
        <r>
          <rPr>
            <b/>
            <sz val="9"/>
            <color indexed="81"/>
            <rFont val="Tahoma"/>
            <family val="2"/>
          </rPr>
          <t>REC Value for transfering Rattlesnake Flat Wind RECs entitled to Idaho to Washington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9" authorId="2" shapeId="0" xr:uid="{00000000-0006-0000-0100-000008000000}">
      <text>
        <r>
          <rPr>
            <b/>
            <sz val="9"/>
            <color indexed="81"/>
            <rFont val="Tahoma"/>
            <family val="2"/>
          </rPr>
          <t>To calcualte revenue requirements all costs/revenues are multiplied by 1.029768 to account for Washington's share Excise Tax, Uncollectibles and Comission Fees</t>
        </r>
      </text>
    </comment>
    <comment ref="E55" authorId="3" shapeId="0" xr:uid="{1BF5FF23-AF42-43DE-8763-844178405127}">
      <text>
        <r>
          <rPr>
            <b/>
            <sz val="9"/>
            <color indexed="81"/>
            <rFont val="Tahoma"/>
            <family val="2"/>
          </rPr>
          <t>Lyons, John:</t>
        </r>
        <r>
          <rPr>
            <sz val="9"/>
            <color indexed="81"/>
            <rFont val="Tahoma"/>
            <family val="2"/>
          </rPr>
          <t xml:space="preserve">
Used 2023 REC prices from Chris Drake in Wholesale Marketing.</t>
        </r>
      </text>
    </comment>
    <comment ref="F59" authorId="3" shapeId="0" xr:uid="{D1E920D8-278D-43A1-922D-DF47BD03BA8C}">
      <text>
        <r>
          <rPr>
            <b/>
            <sz val="9"/>
            <color indexed="81"/>
            <rFont val="Tahoma"/>
            <family val="2"/>
          </rPr>
          <t>Lyons, John:</t>
        </r>
        <r>
          <rPr>
            <sz val="9"/>
            <color indexed="81"/>
            <rFont val="Tahoma"/>
            <family val="2"/>
          </rPr>
          <t xml:space="preserve">
Partial year Sept - Dec in 2024, will change to full year in 2025 report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Gall, James</author>
    <author>James Gall</author>
    <author>Lyons, John</author>
  </authors>
  <commentList>
    <comment ref="E1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Columns E through G are values from the 2017 filing estimate as a comparison to this year's actual</t>
        </r>
      </text>
    </comment>
    <comment ref="B25" authorId="1" shapeId="0" xr:uid="{00000000-0006-0000-0200-000002000000}">
      <text>
        <r>
          <rPr>
            <sz val="9"/>
            <color indexed="81"/>
            <rFont val="Tahoma"/>
            <family val="2"/>
          </rPr>
          <t xml:space="preserve">
adjusted for actual production</t>
        </r>
      </text>
    </comment>
    <comment ref="A29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Incremental cost to be calculated if/when becomes an asset/REC to serve general load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Incremental cost to be calculated if/when becomes an asset/REC to serve general load</t>
        </r>
      </text>
    </comment>
    <comment ref="A31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Incremental cost to be calculated if/when becomes an asset/REC to serve general load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8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REC Value for transfering REC's entitled to Idaho to Washington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9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>REC Value for transfering Kettle Falls RECs entitled to Idaho to Washington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0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REC Value for transfering Palouse Wind RECs entitled to Idaho to Washington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1" authorId="2" shapeId="0" xr:uid="{0CB08BF0-1487-4EED-9BEA-BBAD882A0812}">
      <text>
        <r>
          <rPr>
            <sz val="9"/>
            <color indexed="81"/>
            <rFont val="Tahoma"/>
            <family val="2"/>
          </rPr>
          <t>REC Value for transfering Rattlesnake Flat Wind RECs entitled to Idaho to Washington</t>
        </r>
      </text>
    </comment>
    <comment ref="B48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To calcualte revenue requirements all costs/revenues are multiplied by 1.029768 to account for Washington's share Excise Tax, Uncollectibles and Comission Fees</t>
        </r>
      </text>
    </comment>
  </commentList>
</comments>
</file>

<file path=xl/sharedStrings.xml><?xml version="1.0" encoding="utf-8"?>
<sst xmlns="http://schemas.openxmlformats.org/spreadsheetml/2006/main" count="263" uniqueCount="121">
  <si>
    <t>480-109-210(2)(a)(i) Utility must make a one-time calculation of incremental cost for each eligible resource at the time of acquisition or, for historic acquisitions, the best information available at the time of acquistion</t>
  </si>
  <si>
    <t>(A)</t>
  </si>
  <si>
    <t>Resource</t>
  </si>
  <si>
    <t>ENERGY</t>
  </si>
  <si>
    <t>Kettle Falls</t>
  </si>
  <si>
    <t xml:space="preserve">ALL RESOURCES TOTAL INCREMENTAL COST =                 ENERGY + CAPACITY                                        </t>
  </si>
  <si>
    <r>
      <t xml:space="preserve">Formula </t>
    </r>
    <r>
      <rPr>
        <b/>
        <u/>
        <sz val="12"/>
        <color theme="1"/>
        <rFont val="Calibri"/>
        <family val="2"/>
        <scheme val="minor"/>
      </rPr>
      <t>One Time Calculation</t>
    </r>
    <r>
      <rPr>
        <sz val="12"/>
        <color theme="1"/>
        <rFont val="Calibri"/>
        <family val="2"/>
        <scheme val="minor"/>
      </rPr>
      <t xml:space="preserve"> of Incremental Cost:
Energy-Levelized Incremental Cost:
[Levelized Cost Eligible Renewable Resource – Levelized Cost Alternative]
Capacity-Levelized Incremental Cost:
[Levelized Cost Eligible Renewable Resource – Levelized Cost Alternative]
Energy + Capacity = Incremental Cost
</t>
    </r>
  </si>
  <si>
    <t>One Time Calculation of Incremental Cost for Each (All) Eligible Resource(s)</t>
  </si>
  <si>
    <t>480-109-210(2)(a)(ii) Utility must annually calculate its revenue requirement ratio for 1) All Resources 2) Required Resources Target Year</t>
  </si>
  <si>
    <r>
      <t xml:space="preserve">Formula </t>
    </r>
    <r>
      <rPr>
        <b/>
        <u/>
        <sz val="12"/>
        <color theme="1"/>
        <rFont val="Calibri"/>
        <family val="2"/>
        <scheme val="minor"/>
      </rPr>
      <t>Annual Calculation</t>
    </r>
    <r>
      <rPr>
        <sz val="12"/>
        <color theme="1"/>
        <rFont val="Calibri"/>
        <family val="2"/>
        <scheme val="minor"/>
      </rPr>
      <t xml:space="preserve"> of Incremental Cost (Revenue Requirement Ratio):
1) Total Incremental Cost All* Resources:
{[sum of incremental costs of All* eligible resources + cost of unbundled RECs] - [revenue RECs]} / annual revenue requirement
</t>
    </r>
    <r>
      <rPr>
        <i/>
        <sz val="12"/>
        <color theme="1"/>
        <rFont val="Calibri"/>
        <family val="2"/>
        <scheme val="minor"/>
      </rPr>
      <t xml:space="preserve"> *required because of excess generation, Avista needs to report 2 incremental costs </t>
    </r>
    <r>
      <rPr>
        <sz val="12"/>
        <color theme="1"/>
        <rFont val="Calibri"/>
        <family val="2"/>
        <scheme val="minor"/>
      </rPr>
      <t xml:space="preserve">
2) Total Incremental Cost Required Resources for Target Year:
{[sum of incremental costs of Target Year* eligible resources used for target year compliance + cost of unbundled RECs] - [revenue RECs]} / annual revenue requirement
</t>
    </r>
  </si>
  <si>
    <t>sum of incremental costs of all eligible resources</t>
  </si>
  <si>
    <t>Annual Revenue Requirement (most recent rate case)</t>
  </si>
  <si>
    <t>Total Incremental Cost (as dollar $ amt.)</t>
  </si>
  <si>
    <t>MWh</t>
  </si>
  <si>
    <t>Number of Megawatt-hours Needed for Target Year Compliance</t>
  </si>
  <si>
    <t>(B)</t>
  </si>
  <si>
    <t>Total Incremental Cost ($/MWh)</t>
  </si>
  <si>
    <t>Utility must (A) report its total incremental cost as a dollar amount and in dollars per megawatt-hour of renewable energy generated by all eligible renewable resources in the calcualtion (a)(i) of this subsection; and (B) multiply the dollars per megawatt-hour cost calculated in (a)(iii)(A) of this subsection by the number of megawatt-hours needed for target year compliance.</t>
  </si>
  <si>
    <t>RECs purchased</t>
  </si>
  <si>
    <t>revenue from REC sales</t>
  </si>
  <si>
    <t>Total Incremental Cost ($/MWh) Multiplied by Number of Megawatt-hours Needed for Target Year Compliance</t>
  </si>
  <si>
    <t>Little Falls 4</t>
  </si>
  <si>
    <t>Long Lake 3</t>
  </si>
  <si>
    <t>Cabinet Gorge 2</t>
  </si>
  <si>
    <t>Cabinet Gorge 3</t>
  </si>
  <si>
    <t>Cabinet Gorge 4</t>
  </si>
  <si>
    <t>Noxon Rapids 1</t>
  </si>
  <si>
    <t>Noxon Rapids 2</t>
  </si>
  <si>
    <t>Noxon Rapids 3</t>
  </si>
  <si>
    <t>Noxon Rapids 4</t>
  </si>
  <si>
    <t>Palouse Wind</t>
  </si>
  <si>
    <t>Levelized Cost Alternative ($/MWh)</t>
  </si>
  <si>
    <t>Levelized Cost Alternative ($/kW-yr)</t>
  </si>
  <si>
    <t>Energy</t>
  </si>
  <si>
    <t>Capacity</t>
  </si>
  <si>
    <t>Levelized Cost Eligible Renewable Resource ($/REC/MWh)</t>
  </si>
  <si>
    <t>Total Alternative Cost ($)</t>
  </si>
  <si>
    <t>Incremental Cost ($)</t>
  </si>
  <si>
    <t>Total Renewable Resource Cost</t>
  </si>
  <si>
    <t>Washington Share:</t>
  </si>
  <si>
    <t>$</t>
  </si>
  <si>
    <t>Total</t>
  </si>
  <si>
    <t>Nine Mile Falls 1</t>
  </si>
  <si>
    <t>Nine Mile Falls 2</t>
  </si>
  <si>
    <t>Washington Share</t>
  </si>
  <si>
    <t>Total Annual Cost ($)</t>
  </si>
  <si>
    <t>EWEB/Stateline</t>
  </si>
  <si>
    <t>ALL AVAILABLE RESOURCES BASED ON ACTUAL RESULTS</t>
  </si>
  <si>
    <t>TARGET YEAR: BASED ON EXPECTED COMPLIANCE RESOURCES</t>
  </si>
  <si>
    <t>WA Share of WA/ID Resources</t>
  </si>
  <si>
    <t>Washington Only Resources</t>
  </si>
  <si>
    <t>Total WA Only Resources</t>
  </si>
  <si>
    <t>Total WA Share of Costs</t>
  </si>
  <si>
    <t>Revenue from REC sales</t>
  </si>
  <si>
    <t xml:space="preserve">CALCULATION 1: </t>
  </si>
  <si>
    <t>CALCULATION 2:</t>
  </si>
  <si>
    <t>Palouse</t>
  </si>
  <si>
    <t xml:space="preserve">Idaho Transferred REC Value Hydro </t>
  </si>
  <si>
    <t>Idaho Transferred REC Value Palouse</t>
  </si>
  <si>
    <t>Idaho Transferred REC Value Kettle Falls</t>
  </si>
  <si>
    <t>NOTES</t>
  </si>
  <si>
    <t>RECS Already Sold</t>
  </si>
  <si>
    <t>REC Price</t>
  </si>
  <si>
    <t>TARGET YEAR: FORCAST SUBJECT TO CHANGE</t>
  </si>
  <si>
    <t>ALL AVAILABLE RESOURCES ESTIMATED</t>
  </si>
  <si>
    <t>Resources</t>
  </si>
  <si>
    <t>Palouse Generation</t>
  </si>
  <si>
    <t>Avg REC Price</t>
  </si>
  <si>
    <t>RECs in one time calculation</t>
  </si>
  <si>
    <t>palouse scenarios</t>
  </si>
  <si>
    <t>Developer estimated MWh</t>
  </si>
  <si>
    <t>Developer estimated MWh w/ A.C.</t>
  </si>
  <si>
    <t>notes</t>
  </si>
  <si>
    <t>(this is the amount cell b25 is based on)</t>
  </si>
  <si>
    <t>Adjustment to cost if included curtailed gen adjusted for A.C.</t>
  </si>
  <si>
    <t>RECS Expected</t>
  </si>
  <si>
    <t>Boulder Community Solar</t>
  </si>
  <si>
    <t>Rathdrum Solar</t>
  </si>
  <si>
    <t>Adams-Neilson Solar Farm</t>
  </si>
  <si>
    <t>(used for c25 &amp; F25 calculation)</t>
  </si>
  <si>
    <t>Rattlesnake Flat Wind</t>
  </si>
  <si>
    <t>Rattlesnake</t>
  </si>
  <si>
    <t>Rattlesnake Flat</t>
  </si>
  <si>
    <t>Rattlesnake Flat scenarios</t>
  </si>
  <si>
    <t>(this is the amount cell b33 is based on)</t>
  </si>
  <si>
    <t>(used for c33 &amp; F33 calculation)</t>
  </si>
  <si>
    <t>Idaho Transferred REC Value Rattlesnake Flat</t>
  </si>
  <si>
    <t>Idaho Transferred REC Value New Resource Holding Place</t>
  </si>
  <si>
    <t xml:space="preserve">Hydro </t>
  </si>
  <si>
    <t>Hydro</t>
  </si>
  <si>
    <t>Clearwater Wind</t>
  </si>
  <si>
    <t>Clearwater</t>
  </si>
  <si>
    <t>RECS Assumed used for 2024 Compliance</t>
  </si>
  <si>
    <t>2024 Estimated Data: Annual Calculation of Revenue Requirement Ratio</t>
  </si>
  <si>
    <t xml:space="preserve">  </t>
  </si>
  <si>
    <t>2023 Actual gen</t>
  </si>
  <si>
    <t>2023 Curtailed Gen</t>
  </si>
  <si>
    <t>2023 WA Rec's w/ Apprentice credits (A.C.)</t>
  </si>
  <si>
    <t>2023 WA Rec's w/ A.C. &amp; Curtailed gen</t>
  </si>
  <si>
    <t>2024 Expected Gen</t>
  </si>
  <si>
    <t>2024 Expected RECs</t>
  </si>
  <si>
    <t>Clearwater Wind scenarios</t>
  </si>
  <si>
    <t>(this is the amount cell b34 is based on)</t>
  </si>
  <si>
    <t>Developer estimated MWh w/out A.C.</t>
  </si>
  <si>
    <t>(used for c34 &amp; F34 calculation)</t>
  </si>
  <si>
    <t>Zero Palouse Wind curtailments in 2023</t>
  </si>
  <si>
    <t>2024 Actual Data: Annual Calculation of Revenue Requirement Ratio</t>
  </si>
  <si>
    <t>(iii)(A) &amp; (B) Annual Reporting Summary Data: 2024 and 2025</t>
  </si>
  <si>
    <t>2024 Actual</t>
  </si>
  <si>
    <t>Clearwater Wind 246.053 MWh in 2024 for $17,068.71</t>
  </si>
  <si>
    <t>Clearwater Wind 261.991 MWh in 2025 for $18,174.32</t>
  </si>
  <si>
    <t>Rattlesnake Flat Wind 716.9 MWh in 2024 for $46,081.68</t>
  </si>
  <si>
    <t>Rattlesnake Flat Wind 0 MWh in 2025</t>
  </si>
  <si>
    <t>2025 Expected Gen</t>
  </si>
  <si>
    <t>2025 Expected RECs</t>
  </si>
  <si>
    <t>2024 Actual gen</t>
  </si>
  <si>
    <t>2024 Curtailed Gen</t>
  </si>
  <si>
    <t>2024 WA Rec's w/out Apprentice credits (A.C.)</t>
  </si>
  <si>
    <t>2024 WA Rec's w/out A.C. &amp; Curtailed gen</t>
  </si>
  <si>
    <t>2024 WA Rec's w/ Apprentice credits (A.C.)</t>
  </si>
  <si>
    <t>2024 WA Rec's w/ A.C. &amp; Curtailed 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</si>
</sst>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00%"/>
    <numFmt numFmtId="167" formatCode="_(* #,##0.0000_);_(* \(#,##0.0000\);_(* &quot;-&quot;??_);_(@_)"/>
    <numFmt numFmtId="168" formatCode="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207">
    <xf numFmtId="0" fontId="0" fillId="0" borderId="0" xfId="0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0" fillId="0" borderId="15" xfId="0" applyBorder="1"/>
    <xf numFmtId="0" fontId="0" fillId="0" borderId="16" xfId="0" applyBorder="1"/>
    <xf numFmtId="0" fontId="6" fillId="0" borderId="0" xfId="0" applyFont="1"/>
    <xf numFmtId="0" fontId="3" fillId="0" borderId="0" xfId="0" applyFont="1"/>
    <xf numFmtId="165" fontId="0" fillId="0" borderId="15" xfId="1" applyNumberFormat="1" applyFont="1" applyBorder="1"/>
    <xf numFmtId="0" fontId="2" fillId="0" borderId="0" xfId="0" applyFont="1"/>
    <xf numFmtId="0" fontId="1" fillId="0" borderId="18" xfId="0" applyFont="1" applyBorder="1"/>
    <xf numFmtId="165" fontId="0" fillId="0" borderId="4" xfId="0" applyNumberFormat="1" applyBorder="1"/>
    <xf numFmtId="0" fontId="0" fillId="0" borderId="18" xfId="0" applyBorder="1"/>
    <xf numFmtId="0" fontId="0" fillId="0" borderId="21" xfId="0" applyBorder="1"/>
    <xf numFmtId="165" fontId="3" fillId="0" borderId="15" xfId="1" applyNumberFormat="1" applyFont="1" applyBorder="1"/>
    <xf numFmtId="165" fontId="3" fillId="0" borderId="15" xfId="1" applyNumberFormat="1" applyFont="1" applyFill="1" applyBorder="1"/>
    <xf numFmtId="0" fontId="3" fillId="0" borderId="15" xfId="0" applyFont="1" applyBorder="1" applyAlignment="1">
      <alignment wrapText="1"/>
    </xf>
    <xf numFmtId="0" fontId="3" fillId="0" borderId="17" xfId="0" applyFont="1" applyBorder="1" applyAlignment="1">
      <alignment wrapText="1"/>
    </xf>
    <xf numFmtId="16" fontId="3" fillId="0" borderId="15" xfId="0" applyNumberFormat="1" applyFont="1" applyBorder="1"/>
    <xf numFmtId="165" fontId="3" fillId="0" borderId="15" xfId="1" applyNumberFormat="1" applyFont="1" applyBorder="1" applyAlignment="1">
      <alignment wrapText="1"/>
    </xf>
    <xf numFmtId="0" fontId="3" fillId="0" borderId="15" xfId="0" applyFont="1" applyBorder="1"/>
    <xf numFmtId="0" fontId="0" fillId="0" borderId="27" xfId="0" applyBorder="1"/>
    <xf numFmtId="165" fontId="0" fillId="0" borderId="31" xfId="1" applyNumberFormat="1" applyFont="1" applyBorder="1"/>
    <xf numFmtId="0" fontId="0" fillId="0" borderId="23" xfId="0" applyBorder="1" applyAlignment="1">
      <alignment horizontal="right" wrapText="1"/>
    </xf>
    <xf numFmtId="0" fontId="0" fillId="0" borderId="28" xfId="0" applyBorder="1" applyAlignment="1">
      <alignment horizontal="right" wrapText="1"/>
    </xf>
    <xf numFmtId="0" fontId="0" fillId="0" borderId="24" xfId="0" applyBorder="1" applyAlignment="1">
      <alignment horizontal="right"/>
    </xf>
    <xf numFmtId="16" fontId="0" fillId="0" borderId="25" xfId="0" applyNumberFormat="1" applyBorder="1"/>
    <xf numFmtId="165" fontId="0" fillId="0" borderId="26" xfId="0" applyNumberFormat="1" applyBorder="1" applyAlignment="1">
      <alignment horizontal="right"/>
    </xf>
    <xf numFmtId="0" fontId="0" fillId="0" borderId="25" xfId="0" applyBorder="1"/>
    <xf numFmtId="165" fontId="0" fillId="0" borderId="20" xfId="0" applyNumberFormat="1" applyBorder="1"/>
    <xf numFmtId="0" fontId="0" fillId="0" borderId="20" xfId="0" applyBorder="1"/>
    <xf numFmtId="0" fontId="12" fillId="0" borderId="0" xfId="0" applyFont="1"/>
    <xf numFmtId="10" fontId="13" fillId="0" borderId="19" xfId="0" applyNumberFormat="1" applyFont="1" applyBorder="1"/>
    <xf numFmtId="0" fontId="1" fillId="0" borderId="18" xfId="0" applyFont="1" applyBorder="1" applyAlignment="1">
      <alignment horizontal="left" indent="1"/>
    </xf>
    <xf numFmtId="0" fontId="0" fillId="0" borderId="7" xfId="0" applyBorder="1"/>
    <xf numFmtId="165" fontId="0" fillId="0" borderId="8" xfId="0" applyNumberFormat="1" applyBorder="1"/>
    <xf numFmtId="165" fontId="0" fillId="0" borderId="0" xfId="0" applyNumberFormat="1"/>
    <xf numFmtId="16" fontId="0" fillId="0" borderId="17" xfId="0" applyNumberFormat="1" applyBorder="1"/>
    <xf numFmtId="37" fontId="0" fillId="0" borderId="17" xfId="1" applyNumberFormat="1" applyFont="1" applyBorder="1"/>
    <xf numFmtId="37" fontId="0" fillId="0" borderId="17" xfId="0" applyNumberFormat="1" applyBorder="1"/>
    <xf numFmtId="37" fontId="0" fillId="0" borderId="15" xfId="1" applyNumberFormat="1" applyFont="1" applyBorder="1"/>
    <xf numFmtId="37" fontId="0" fillId="0" borderId="15" xfId="0" applyNumberFormat="1" applyBorder="1"/>
    <xf numFmtId="37" fontId="0" fillId="0" borderId="16" xfId="0" applyNumberFormat="1" applyBorder="1"/>
    <xf numFmtId="37" fontId="0" fillId="0" borderId="20" xfId="0" applyNumberFormat="1" applyBorder="1"/>
    <xf numFmtId="37" fontId="0" fillId="0" borderId="19" xfId="0" applyNumberFormat="1" applyBorder="1"/>
    <xf numFmtId="37" fontId="1" fillId="0" borderId="20" xfId="0" applyNumberFormat="1" applyFont="1" applyBorder="1"/>
    <xf numFmtId="37" fontId="1" fillId="0" borderId="19" xfId="0" applyNumberFormat="1" applyFont="1" applyBorder="1"/>
    <xf numFmtId="37" fontId="0" fillId="0" borderId="16" xfId="1" applyNumberFormat="1" applyFont="1" applyBorder="1"/>
    <xf numFmtId="37" fontId="0" fillId="0" borderId="22" xfId="0" applyNumberFormat="1" applyBorder="1"/>
    <xf numFmtId="37" fontId="0" fillId="0" borderId="15" xfId="1" applyNumberFormat="1" applyFont="1" applyBorder="1" applyAlignment="1">
      <alignment horizontal="right"/>
    </xf>
    <xf numFmtId="165" fontId="0" fillId="0" borderId="0" xfId="1" applyNumberFormat="1" applyFont="1"/>
    <xf numFmtId="0" fontId="14" fillId="0" borderId="0" xfId="0" applyFont="1"/>
    <xf numFmtId="0" fontId="0" fillId="0" borderId="0" xfId="0" applyAlignment="1">
      <alignment wrapText="1"/>
    </xf>
    <xf numFmtId="37" fontId="0" fillId="0" borderId="0" xfId="0" applyNumberFormat="1"/>
    <xf numFmtId="37" fontId="0" fillId="0" borderId="3" xfId="0" applyNumberFormat="1" applyBorder="1"/>
    <xf numFmtId="0" fontId="1" fillId="0" borderId="32" xfId="0" applyFont="1" applyBorder="1"/>
    <xf numFmtId="37" fontId="0" fillId="0" borderId="32" xfId="0" applyNumberFormat="1" applyBorder="1"/>
    <xf numFmtId="165" fontId="0" fillId="0" borderId="0" xfId="1" applyNumberFormat="1" applyFont="1" applyAlignment="1">
      <alignment horizontal="right"/>
    </xf>
    <xf numFmtId="43" fontId="0" fillId="0" borderId="15" xfId="0" applyNumberFormat="1" applyBorder="1"/>
    <xf numFmtId="0" fontId="15" fillId="0" borderId="0" xfId="0" applyFont="1"/>
    <xf numFmtId="0" fontId="0" fillId="0" borderId="34" xfId="0" applyBorder="1"/>
    <xf numFmtId="37" fontId="0" fillId="0" borderId="33" xfId="1" applyNumberFormat="1" applyFont="1" applyBorder="1"/>
    <xf numFmtId="37" fontId="0" fillId="0" borderId="33" xfId="0" applyNumberFormat="1" applyBorder="1"/>
    <xf numFmtId="37" fontId="0" fillId="0" borderId="33" xfId="1" applyNumberFormat="1" applyFont="1" applyBorder="1" applyAlignment="1">
      <alignment horizontal="right"/>
    </xf>
    <xf numFmtId="37" fontId="0" fillId="0" borderId="16" xfId="1" applyNumberFormat="1" applyFont="1" applyBorder="1" applyAlignment="1">
      <alignment horizontal="right"/>
    </xf>
    <xf numFmtId="165" fontId="0" fillId="0" borderId="15" xfId="0" applyNumberFormat="1" applyBorder="1"/>
    <xf numFmtId="16" fontId="0" fillId="0" borderId="0" xfId="0" applyNumberFormat="1"/>
    <xf numFmtId="164" fontId="0" fillId="0" borderId="0" xfId="1" applyNumberFormat="1" applyFont="1"/>
    <xf numFmtId="3" fontId="0" fillId="0" borderId="15" xfId="1" applyNumberFormat="1" applyFont="1" applyFill="1" applyBorder="1"/>
    <xf numFmtId="3" fontId="0" fillId="0" borderId="16" xfId="1" applyNumberFormat="1" applyFont="1" applyFill="1" applyBorder="1" applyAlignment="1">
      <alignment horizontal="right"/>
    </xf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6" xfId="1" applyNumberFormat="1" applyFont="1" applyFill="1" applyBorder="1" applyAlignment="1">
      <alignment horizontal="right"/>
    </xf>
    <xf numFmtId="3" fontId="0" fillId="0" borderId="31" xfId="1" applyNumberFormat="1" applyFont="1" applyBorder="1"/>
    <xf numFmtId="3" fontId="0" fillId="0" borderId="26" xfId="0" applyNumberFormat="1" applyBorder="1" applyAlignment="1">
      <alignment horizontal="right"/>
    </xf>
    <xf numFmtId="3" fontId="0" fillId="0" borderId="31" xfId="0" applyNumberFormat="1" applyBorder="1"/>
    <xf numFmtId="3" fontId="0" fillId="0" borderId="20" xfId="0" applyNumberFormat="1" applyBorder="1" applyAlignment="1">
      <alignment wrapText="1"/>
    </xf>
    <xf numFmtId="3" fontId="0" fillId="0" borderId="19" xfId="0" applyNumberFormat="1" applyBorder="1" applyAlignment="1">
      <alignment horizontal="right"/>
    </xf>
    <xf numFmtId="165" fontId="3" fillId="0" borderId="15" xfId="1" applyNumberFormat="1" applyFont="1" applyFill="1" applyBorder="1" applyAlignment="1">
      <alignment wrapText="1"/>
    </xf>
    <xf numFmtId="164" fontId="3" fillId="0" borderId="15" xfId="1" applyNumberFormat="1" applyFont="1" applyFill="1" applyBorder="1" applyAlignment="1">
      <alignment wrapText="1"/>
    </xf>
    <xf numFmtId="165" fontId="3" fillId="0" borderId="15" xfId="1" applyNumberFormat="1" applyFont="1" applyFill="1" applyBorder="1" applyAlignment="1">
      <alignment horizontal="right"/>
    </xf>
    <xf numFmtId="167" fontId="0" fillId="0" borderId="0" xfId="0" applyNumberFormat="1"/>
    <xf numFmtId="165" fontId="0" fillId="0" borderId="13" xfId="1" applyNumberFormat="1" applyFont="1" applyFill="1" applyBorder="1"/>
    <xf numFmtId="165" fontId="3" fillId="0" borderId="0" xfId="0" applyNumberFormat="1" applyFont="1"/>
    <xf numFmtId="0" fontId="0" fillId="0" borderId="0" xfId="0" applyAlignment="1">
      <alignment horizontal="right" wrapText="1"/>
    </xf>
    <xf numFmtId="165" fontId="3" fillId="2" borderId="15" xfId="1" applyNumberFormat="1" applyFont="1" applyFill="1" applyBorder="1"/>
    <xf numFmtId="0" fontId="2" fillId="2" borderId="0" xfId="0" applyFont="1" applyFill="1"/>
    <xf numFmtId="0" fontId="0" fillId="2" borderId="0" xfId="0" applyFill="1"/>
    <xf numFmtId="165" fontId="0" fillId="2" borderId="0" xfId="1" applyNumberFormat="1" applyFont="1" applyFill="1"/>
    <xf numFmtId="3" fontId="0" fillId="0" borderId="35" xfId="0" applyNumberFormat="1" applyBorder="1"/>
    <xf numFmtId="3" fontId="0" fillId="0" borderId="36" xfId="0" applyNumberFormat="1" applyBorder="1" applyAlignment="1">
      <alignment horizontal="right"/>
    </xf>
    <xf numFmtId="165" fontId="3" fillId="0" borderId="15" xfId="0" applyNumberFormat="1" applyFont="1" applyBorder="1"/>
    <xf numFmtId="44" fontId="0" fillId="0" borderId="15" xfId="3" applyFont="1" applyFill="1" applyBorder="1"/>
    <xf numFmtId="44" fontId="0" fillId="0" borderId="16" xfId="3" applyFont="1" applyFill="1" applyBorder="1"/>
    <xf numFmtId="44" fontId="0" fillId="0" borderId="16" xfId="3" applyFont="1" applyFill="1" applyBorder="1" applyAlignment="1">
      <alignment horizontal="right"/>
    </xf>
    <xf numFmtId="44" fontId="0" fillId="0" borderId="15" xfId="3" applyFont="1" applyBorder="1"/>
    <xf numFmtId="44" fontId="0" fillId="0" borderId="33" xfId="3" applyFont="1" applyBorder="1"/>
    <xf numFmtId="0" fontId="0" fillId="0" borderId="38" xfId="0" applyBorder="1"/>
    <xf numFmtId="0" fontId="0" fillId="0" borderId="37" xfId="0" applyBorder="1"/>
    <xf numFmtId="37" fontId="0" fillId="0" borderId="39" xfId="1" applyNumberFormat="1" applyFont="1" applyBorder="1"/>
    <xf numFmtId="37" fontId="0" fillId="0" borderId="39" xfId="0" applyNumberFormat="1" applyBorder="1"/>
    <xf numFmtId="37" fontId="0" fillId="0" borderId="39" xfId="1" applyNumberFormat="1" applyFont="1" applyBorder="1" applyAlignment="1">
      <alignment horizontal="right"/>
    </xf>
    <xf numFmtId="168" fontId="3" fillId="0" borderId="15" xfId="0" applyNumberFormat="1" applyFont="1" applyBorder="1"/>
    <xf numFmtId="43" fontId="0" fillId="0" borderId="0" xfId="0" applyNumberFormat="1"/>
    <xf numFmtId="165" fontId="0" fillId="3" borderId="15" xfId="1" applyNumberFormat="1" applyFont="1" applyFill="1" applyBorder="1"/>
    <xf numFmtId="43" fontId="0" fillId="3" borderId="15" xfId="1" applyFont="1" applyFill="1" applyBorder="1"/>
    <xf numFmtId="165" fontId="0" fillId="3" borderId="15" xfId="0" applyNumberFormat="1" applyFill="1" applyBorder="1"/>
    <xf numFmtId="0" fontId="0" fillId="3" borderId="15" xfId="0" applyFill="1" applyBorder="1"/>
    <xf numFmtId="37" fontId="1" fillId="0" borderId="40" xfId="0" applyNumberFormat="1" applyFont="1" applyBorder="1"/>
    <xf numFmtId="37" fontId="1" fillId="0" borderId="41" xfId="0" applyNumberFormat="1" applyFont="1" applyBorder="1"/>
    <xf numFmtId="0" fontId="1" fillId="0" borderId="38" xfId="0" applyFont="1" applyBorder="1" applyAlignment="1">
      <alignment horizontal="left" indent="1"/>
    </xf>
    <xf numFmtId="37" fontId="1" fillId="0" borderId="33" xfId="0" applyNumberFormat="1" applyFont="1" applyBorder="1"/>
    <xf numFmtId="37" fontId="1" fillId="0" borderId="36" xfId="0" applyNumberFormat="1" applyFont="1" applyBorder="1"/>
    <xf numFmtId="37" fontId="1" fillId="0" borderId="15" xfId="0" applyNumberFormat="1" applyFont="1" applyBorder="1"/>
    <xf numFmtId="0" fontId="0" fillId="0" borderId="15" xfId="0" applyBorder="1" applyAlignment="1">
      <alignment horizontal="right"/>
    </xf>
    <xf numFmtId="0" fontId="0" fillId="0" borderId="15" xfId="0" applyBorder="1" applyAlignment="1">
      <alignment wrapText="1"/>
    </xf>
    <xf numFmtId="165" fontId="0" fillId="3" borderId="15" xfId="1" applyNumberFormat="1" applyFont="1" applyFill="1" applyBorder="1" applyAlignment="1">
      <alignment horizontal="right"/>
    </xf>
    <xf numFmtId="0" fontId="0" fillId="0" borderId="15" xfId="0" applyBorder="1" applyAlignment="1">
      <alignment horizontal="right" wrapText="1"/>
    </xf>
    <xf numFmtId="43" fontId="0" fillId="3" borderId="15" xfId="0" applyNumberFormat="1" applyFill="1" applyBorder="1"/>
    <xf numFmtId="37" fontId="0" fillId="0" borderId="40" xfId="0" applyNumberFormat="1" applyBorder="1"/>
    <xf numFmtId="37" fontId="0" fillId="0" borderId="42" xfId="0" applyNumberFormat="1" applyBorder="1"/>
    <xf numFmtId="165" fontId="3" fillId="0" borderId="0" xfId="1" applyNumberFormat="1" applyFont="1" applyBorder="1"/>
    <xf numFmtId="164" fontId="3" fillId="0" borderId="0" xfId="1" applyNumberFormat="1" applyFont="1" applyFill="1" applyBorder="1" applyAlignment="1">
      <alignment wrapText="1"/>
    </xf>
    <xf numFmtId="165" fontId="3" fillId="2" borderId="0" xfId="1" applyNumberFormat="1" applyFont="1" applyFill="1" applyBorder="1"/>
    <xf numFmtId="165" fontId="3" fillId="0" borderId="0" xfId="1" applyNumberFormat="1" applyFont="1" applyBorder="1" applyAlignment="1">
      <alignment wrapText="1"/>
    </xf>
    <xf numFmtId="44" fontId="0" fillId="0" borderId="33" xfId="3" applyFont="1" applyFill="1" applyBorder="1"/>
    <xf numFmtId="37" fontId="0" fillId="0" borderId="39" xfId="1" applyNumberFormat="1" applyFont="1" applyFill="1" applyBorder="1"/>
    <xf numFmtId="4" fontId="0" fillId="0" borderId="15" xfId="0" applyNumberFormat="1" applyBorder="1"/>
    <xf numFmtId="165" fontId="0" fillId="0" borderId="15" xfId="1" applyNumberFormat="1" applyFont="1" applyFill="1" applyBorder="1"/>
    <xf numFmtId="4" fontId="0" fillId="0" borderId="33" xfId="0" applyNumberFormat="1" applyBorder="1"/>
    <xf numFmtId="0" fontId="0" fillId="0" borderId="18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6" fillId="0" borderId="12" xfId="0" applyFont="1" applyBorder="1" applyAlignment="1">
      <alignment wrapText="1" shrinkToFit="1"/>
    </xf>
    <xf numFmtId="0" fontId="6" fillId="0" borderId="13" xfId="0" applyFont="1" applyBorder="1" applyAlignment="1">
      <alignment wrapText="1" shrinkToFit="1"/>
    </xf>
    <xf numFmtId="165" fontId="0" fillId="0" borderId="6" xfId="0" applyNumberForma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6" xfId="0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0" fillId="0" borderId="26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5" xfId="0" applyBorder="1" applyAlignment="1">
      <alignment horizontal="right" wrapText="1"/>
    </xf>
    <xf numFmtId="0" fontId="0" fillId="0" borderId="16" xfId="0" applyBorder="1" applyAlignment="1">
      <alignment horizontal="right" wrapText="1"/>
    </xf>
    <xf numFmtId="0" fontId="0" fillId="0" borderId="17" xfId="0" applyBorder="1" applyAlignment="1">
      <alignment horizontal="right" wrapText="1"/>
    </xf>
    <xf numFmtId="0" fontId="0" fillId="0" borderId="29" xfId="0" applyBorder="1" applyAlignment="1">
      <alignment horizontal="right" wrapText="1"/>
    </xf>
    <xf numFmtId="0" fontId="0" fillId="0" borderId="30" xfId="0" applyBorder="1" applyAlignment="1">
      <alignment horizontal="right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166" fontId="0" fillId="0" borderId="5" xfId="2" applyNumberFormat="1" applyFont="1" applyFill="1" applyBorder="1" applyAlignment="1">
      <alignment wrapText="1"/>
    </xf>
    <xf numFmtId="166" fontId="0" fillId="0" borderId="0" xfId="2" applyNumberFormat="1" applyFont="1" applyFill="1" applyBorder="1" applyAlignment="1">
      <alignment wrapText="1"/>
    </xf>
    <xf numFmtId="166" fontId="0" fillId="0" borderId="6" xfId="2" applyNumberFormat="1" applyFont="1" applyFill="1" applyBorder="1" applyAlignment="1">
      <alignment wrapText="1"/>
    </xf>
    <xf numFmtId="166" fontId="0" fillId="0" borderId="7" xfId="2" applyNumberFormat="1" applyFont="1" applyFill="1" applyBorder="1" applyAlignment="1">
      <alignment wrapText="1"/>
    </xf>
    <xf numFmtId="166" fontId="0" fillId="0" borderId="8" xfId="2" applyNumberFormat="1" applyFont="1" applyFill="1" applyBorder="1" applyAlignment="1">
      <alignment wrapText="1"/>
    </xf>
    <xf numFmtId="166" fontId="0" fillId="0" borderId="9" xfId="2" applyNumberFormat="1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2" fillId="2" borderId="8" xfId="0" applyFont="1" applyFill="1" applyBorder="1" applyAlignment="1">
      <alignment wrapText="1"/>
    </xf>
    <xf numFmtId="0" fontId="0" fillId="2" borderId="8" xfId="0" applyFill="1" applyBorder="1" applyAlignment="1">
      <alignment wrapText="1"/>
    </xf>
    <xf numFmtId="166" fontId="0" fillId="0" borderId="5" xfId="2" applyNumberFormat="1" applyFont="1" applyBorder="1" applyAlignment="1">
      <alignment wrapText="1"/>
    </xf>
    <xf numFmtId="166" fontId="0" fillId="0" borderId="0" xfId="2" applyNumberFormat="1" applyFont="1" applyBorder="1" applyAlignment="1">
      <alignment wrapText="1"/>
    </xf>
    <xf numFmtId="166" fontId="0" fillId="0" borderId="6" xfId="2" applyNumberFormat="1" applyFont="1" applyBorder="1" applyAlignment="1">
      <alignment wrapText="1"/>
    </xf>
    <xf numFmtId="166" fontId="0" fillId="0" borderId="7" xfId="2" applyNumberFormat="1" applyFont="1" applyBorder="1" applyAlignment="1">
      <alignment wrapText="1"/>
    </xf>
    <xf numFmtId="166" fontId="0" fillId="0" borderId="8" xfId="2" applyNumberFormat="1" applyFont="1" applyBorder="1" applyAlignment="1">
      <alignment wrapText="1"/>
    </xf>
    <xf numFmtId="166" fontId="0" fillId="0" borderId="9" xfId="2" applyNumberFormat="1" applyFont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0" borderId="10" xfId="0" applyFont="1" applyBorder="1" applyAlignment="1">
      <alignment horizontal="center" wrapText="1"/>
    </xf>
    <xf numFmtId="0" fontId="3" fillId="0" borderId="14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11" fillId="0" borderId="8" xfId="0" applyFont="1" applyBorder="1" applyAlignment="1">
      <alignment wrapText="1"/>
    </xf>
    <xf numFmtId="2" fontId="0" fillId="0" borderId="15" xfId="1" applyNumberFormat="1" applyFont="1" applyFill="1" applyBorder="1"/>
    <xf numFmtId="2" fontId="0" fillId="0" borderId="16" xfId="1" applyNumberFormat="1" applyFont="1" applyFill="1" applyBorder="1"/>
    <xf numFmtId="2" fontId="0" fillId="0" borderId="16" xfId="1" applyNumberFormat="1" applyFont="1" applyFill="1" applyBorder="1" applyAlignment="1">
      <alignment horizontal="right"/>
    </xf>
    <xf numFmtId="2" fontId="0" fillId="0" borderId="15" xfId="0" applyNumberFormat="1" applyFill="1" applyBorder="1"/>
    <xf numFmtId="43" fontId="0" fillId="0" borderId="15" xfId="0" applyNumberFormat="1" applyFill="1" applyBorder="1"/>
    <xf numFmtId="2" fontId="0" fillId="0" borderId="33" xfId="0" applyNumberFormat="1" applyFill="1" applyBorder="1"/>
    <xf numFmtId="3" fontId="0" fillId="0" borderId="16" xfId="1" applyNumberFormat="1" applyFont="1" applyFill="1" applyBorder="1"/>
    <xf numFmtId="3" fontId="0" fillId="0" borderId="15" xfId="0" applyNumberFormat="1" applyFill="1" applyBorder="1"/>
    <xf numFmtId="3" fontId="0" fillId="0" borderId="33" xfId="0" applyNumberFormat="1" applyFill="1" applyBorder="1"/>
    <xf numFmtId="3" fontId="0" fillId="0" borderId="33" xfId="1" applyNumberFormat="1" applyFont="1" applyFill="1" applyBorder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238124</xdr:colOff>
      <xdr:row>6</xdr:row>
      <xdr:rowOff>0</xdr:rowOff>
    </xdr:from>
    <xdr:to>
      <xdr:col>4</xdr:col>
      <xdr:colOff>1504949</xdr:colOff>
      <xdr:row>10</xdr:row>
      <xdr:rowOff>571500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34074" y="1000125"/>
          <a:ext cx="1266825" cy="1333500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 i="1"/>
            <a:t>Note:                Levelized cost of eligible renewable resource should include integration costs, where applicable.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8"/>
  <sheetViews>
    <sheetView tabSelected="1" zoomScaleNormal="100" workbookViewId="0">
      <selection activeCell="B67" sqref="B67"/>
    </sheetView>
  </sheetViews>
  <sheetFormatPr defaultRowHeight="15" x14ac:dyDescent="0.25"/>
  <cols>
    <col min="1" max="1" width="38.42578125" customWidth="1"/>
    <col min="2" max="7" width="18.85546875" customWidth="1"/>
    <col min="8" max="8" width="18" customWidth="1"/>
    <col min="9" max="9" width="17.28515625" customWidth="1"/>
    <col min="10" max="10" width="10.5703125" bestFit="1" customWidth="1"/>
    <col min="11" max="11" width="9.28515625" bestFit="1" customWidth="1"/>
  </cols>
  <sheetData>
    <row r="1" spans="1:12" ht="33" customHeight="1" thickBot="1" x14ac:dyDescent="0.45">
      <c r="A1" s="31" t="s">
        <v>7</v>
      </c>
    </row>
    <row r="2" spans="1:12" ht="15" customHeight="1" x14ac:dyDescent="0.25">
      <c r="A2" s="137" t="s">
        <v>0</v>
      </c>
      <c r="B2" s="138"/>
      <c r="C2" s="138"/>
      <c r="D2" s="138"/>
      <c r="E2" s="138"/>
      <c r="F2" s="138"/>
      <c r="G2" s="138"/>
      <c r="H2" s="139"/>
    </row>
    <row r="3" spans="1:12" x14ac:dyDescent="0.25">
      <c r="A3" s="140"/>
      <c r="B3" s="141"/>
      <c r="C3" s="141"/>
      <c r="D3" s="141"/>
      <c r="E3" s="141"/>
      <c r="F3" s="141"/>
      <c r="G3" s="141"/>
      <c r="H3" s="142"/>
    </row>
    <row r="4" spans="1:12" ht="0.75" customHeight="1" thickBot="1" x14ac:dyDescent="0.3">
      <c r="A4" s="140"/>
      <c r="B4" s="141"/>
      <c r="C4" s="141"/>
      <c r="D4" s="141"/>
      <c r="E4" s="141"/>
      <c r="F4" s="141"/>
      <c r="G4" s="141"/>
      <c r="H4" s="142"/>
    </row>
    <row r="5" spans="1:12" ht="15.75" hidden="1" customHeight="1" thickBot="1" x14ac:dyDescent="0.3">
      <c r="A5" s="140"/>
      <c r="B5" s="141"/>
      <c r="C5" s="141"/>
      <c r="D5" s="141"/>
      <c r="E5" s="141"/>
      <c r="F5" s="141"/>
      <c r="G5" s="141"/>
      <c r="H5" s="142"/>
    </row>
    <row r="6" spans="1:12" ht="15" customHeight="1" x14ac:dyDescent="0.25">
      <c r="A6" s="143" t="s">
        <v>6</v>
      </c>
      <c r="B6" s="144"/>
      <c r="C6" s="144"/>
      <c r="D6" s="144"/>
      <c r="E6" s="144"/>
      <c r="F6" s="144"/>
      <c r="G6" s="144"/>
      <c r="H6" s="145"/>
    </row>
    <row r="7" spans="1:12" x14ac:dyDescent="0.25">
      <c r="A7" s="146"/>
      <c r="B7" s="147"/>
      <c r="C7" s="147"/>
      <c r="D7" s="147"/>
      <c r="E7" s="147"/>
      <c r="F7" s="147"/>
      <c r="G7" s="147"/>
      <c r="H7" s="148"/>
    </row>
    <row r="8" spans="1:12" x14ac:dyDescent="0.25">
      <c r="A8" s="146"/>
      <c r="B8" s="147"/>
      <c r="C8" s="147"/>
      <c r="D8" s="147"/>
      <c r="E8" s="147"/>
      <c r="F8" s="147"/>
      <c r="G8" s="147"/>
      <c r="H8" s="148"/>
    </row>
    <row r="9" spans="1:12" x14ac:dyDescent="0.25">
      <c r="A9" s="146"/>
      <c r="B9" s="147"/>
      <c r="C9" s="147"/>
      <c r="D9" s="147"/>
      <c r="E9" s="147"/>
      <c r="F9" s="147"/>
      <c r="G9" s="147"/>
      <c r="H9" s="148"/>
    </row>
    <row r="10" spans="1:12" x14ac:dyDescent="0.25">
      <c r="A10" s="146"/>
      <c r="B10" s="147"/>
      <c r="C10" s="147"/>
      <c r="D10" s="147"/>
      <c r="E10" s="147"/>
      <c r="F10" s="147"/>
      <c r="G10" s="147"/>
      <c r="H10" s="148"/>
    </row>
    <row r="11" spans="1:12" ht="86.25" customHeight="1" thickBot="1" x14ac:dyDescent="0.3">
      <c r="A11" s="149"/>
      <c r="B11" s="150"/>
      <c r="C11" s="150"/>
      <c r="D11" s="150"/>
      <c r="E11" s="150"/>
      <c r="F11" s="150"/>
      <c r="G11" s="150"/>
      <c r="H11" s="151"/>
    </row>
    <row r="12" spans="1:12" ht="15.75" thickBot="1" x14ac:dyDescent="0.3"/>
    <row r="13" spans="1:12" x14ac:dyDescent="0.25">
      <c r="A13" s="153" t="s">
        <v>2</v>
      </c>
      <c r="B13" s="23" t="s">
        <v>3</v>
      </c>
      <c r="C13" s="23" t="s">
        <v>40</v>
      </c>
      <c r="D13" s="23" t="s">
        <v>33</v>
      </c>
      <c r="E13" s="23" t="s">
        <v>34</v>
      </c>
      <c r="F13" s="23" t="s">
        <v>34</v>
      </c>
      <c r="G13" s="24" t="s">
        <v>40</v>
      </c>
      <c r="H13" s="25" t="s">
        <v>40</v>
      </c>
    </row>
    <row r="14" spans="1:12" ht="15" customHeight="1" x14ac:dyDescent="0.25">
      <c r="A14" s="154"/>
      <c r="B14" s="155" t="s">
        <v>35</v>
      </c>
      <c r="C14" s="155" t="s">
        <v>45</v>
      </c>
      <c r="D14" s="156" t="s">
        <v>31</v>
      </c>
      <c r="E14" s="156" t="s">
        <v>32</v>
      </c>
      <c r="F14" s="156" t="s">
        <v>36</v>
      </c>
      <c r="G14" s="158" t="s">
        <v>37</v>
      </c>
      <c r="H14" s="152" t="s">
        <v>44</v>
      </c>
    </row>
    <row r="15" spans="1:12" ht="32.25" customHeight="1" x14ac:dyDescent="0.25">
      <c r="A15" s="154"/>
      <c r="B15" s="155"/>
      <c r="C15" s="155"/>
      <c r="D15" s="157"/>
      <c r="E15" s="157"/>
      <c r="F15" s="157"/>
      <c r="G15" s="159"/>
      <c r="H15" s="152"/>
    </row>
    <row r="16" spans="1:12" x14ac:dyDescent="0.25">
      <c r="A16" s="26" t="s">
        <v>21</v>
      </c>
      <c r="B16" s="197">
        <v>51.820005654635274</v>
      </c>
      <c r="C16" s="68">
        <v>111931.21221401219</v>
      </c>
      <c r="D16" s="70">
        <v>24.886676209781058</v>
      </c>
      <c r="E16" s="92">
        <v>141.72989845153248</v>
      </c>
      <c r="F16" s="68">
        <v>195485.11906465955</v>
      </c>
      <c r="G16" s="73">
        <f>C16-F16</f>
        <v>-83553.906850647356</v>
      </c>
      <c r="H16" s="74">
        <f t="shared" ref="H16:H28" si="0">G16*$G$37</f>
        <v>-54435.370313196749</v>
      </c>
      <c r="J16" s="67"/>
      <c r="K16" s="67"/>
      <c r="L16" s="66"/>
    </row>
    <row r="17" spans="1:15" x14ac:dyDescent="0.25">
      <c r="A17" s="28" t="s">
        <v>22</v>
      </c>
      <c r="B17" s="197">
        <v>6.6575955647971998</v>
      </c>
      <c r="C17" s="68">
        <v>88293.032380340461</v>
      </c>
      <c r="D17" s="70">
        <v>30.470651307883529</v>
      </c>
      <c r="E17" s="92">
        <v>149.48024651906192</v>
      </c>
      <c r="F17" s="68">
        <v>1076762.8869809299</v>
      </c>
      <c r="G17" s="73">
        <f t="shared" ref="G17:G27" si="1">C17-F17</f>
        <v>-988469.85460058937</v>
      </c>
      <c r="H17" s="74">
        <f t="shared" si="0"/>
        <v>-643988.1102722839</v>
      </c>
      <c r="J17" s="67"/>
      <c r="K17" s="67"/>
    </row>
    <row r="18" spans="1:15" x14ac:dyDescent="0.25">
      <c r="A18" s="28" t="s">
        <v>23</v>
      </c>
      <c r="B18" s="197">
        <v>42.720304312384428</v>
      </c>
      <c r="C18" s="68">
        <v>610900.3516670973</v>
      </c>
      <c r="D18" s="70">
        <v>35.439629398556704</v>
      </c>
      <c r="E18" s="92">
        <v>125.58040328426377</v>
      </c>
      <c r="F18" s="68">
        <v>2641653.5562318452</v>
      </c>
      <c r="G18" s="73">
        <f t="shared" si="1"/>
        <v>-2030753.2045647479</v>
      </c>
      <c r="H18" s="74">
        <f t="shared" si="0"/>
        <v>-1323035.7127739331</v>
      </c>
      <c r="J18" s="67"/>
      <c r="K18" s="67"/>
    </row>
    <row r="19" spans="1:15" x14ac:dyDescent="0.25">
      <c r="A19" s="28" t="s">
        <v>24</v>
      </c>
      <c r="B19" s="197">
        <v>76.530163532466744</v>
      </c>
      <c r="C19" s="68">
        <v>727648.79486669379</v>
      </c>
      <c r="D19" s="70">
        <v>24.886676209781058</v>
      </c>
      <c r="E19" s="92">
        <v>141.72989845153248</v>
      </c>
      <c r="F19" s="68">
        <v>2646030.7910786499</v>
      </c>
      <c r="G19" s="73">
        <f t="shared" si="1"/>
        <v>-1918381.9962119563</v>
      </c>
      <c r="H19" s="74">
        <f t="shared" si="0"/>
        <v>-1249825.8705320894</v>
      </c>
      <c r="J19" s="67"/>
      <c r="K19" s="67"/>
    </row>
    <row r="20" spans="1:15" x14ac:dyDescent="0.25">
      <c r="A20" s="28" t="s">
        <v>25</v>
      </c>
      <c r="B20" s="197">
        <v>32.558117314236753</v>
      </c>
      <c r="C20" s="68">
        <v>487297.34184218151</v>
      </c>
      <c r="D20" s="70">
        <v>59.174526475501438</v>
      </c>
      <c r="E20" s="92">
        <v>127.97436322695806</v>
      </c>
      <c r="F20" s="68">
        <v>2037434.4068014524</v>
      </c>
      <c r="G20" s="73">
        <f t="shared" si="1"/>
        <v>-1550137.0649592709</v>
      </c>
      <c r="H20" s="74">
        <f t="shared" si="0"/>
        <v>-1009914.2978209649</v>
      </c>
      <c r="J20" s="67"/>
      <c r="K20" s="67"/>
    </row>
    <row r="21" spans="1:15" x14ac:dyDescent="0.25">
      <c r="A21" s="28" t="s">
        <v>26</v>
      </c>
      <c r="B21" s="197">
        <v>78.760714672718279</v>
      </c>
      <c r="C21" s="68">
        <v>1725804.7799086028</v>
      </c>
      <c r="D21" s="70">
        <v>62.936688211664844</v>
      </c>
      <c r="E21" s="92">
        <v>133.30170384463446</v>
      </c>
      <c r="F21" s="68">
        <v>2312180.6390064415</v>
      </c>
      <c r="G21" s="73">
        <f t="shared" si="1"/>
        <v>-586375.85909783863</v>
      </c>
      <c r="H21" s="74">
        <f t="shared" si="0"/>
        <v>-382023.87220224185</v>
      </c>
      <c r="J21" s="67"/>
      <c r="K21" s="67"/>
    </row>
    <row r="22" spans="1:15" x14ac:dyDescent="0.25">
      <c r="A22" s="28" t="s">
        <v>27</v>
      </c>
      <c r="B22" s="197">
        <v>131.53836853490918</v>
      </c>
      <c r="C22" s="68">
        <v>783837.13809952384</v>
      </c>
      <c r="D22" s="70">
        <v>68.65780585105162</v>
      </c>
      <c r="E22" s="92">
        <v>139.56138875325837</v>
      </c>
      <c r="F22" s="68">
        <v>1386061.5863392253</v>
      </c>
      <c r="G22" s="73">
        <f t="shared" si="1"/>
        <v>-602224.44823970145</v>
      </c>
      <c r="H22" s="74">
        <f t="shared" si="0"/>
        <v>-392349.22802816547</v>
      </c>
      <c r="J22" s="67"/>
      <c r="K22" s="67"/>
    </row>
    <row r="23" spans="1:15" x14ac:dyDescent="0.25">
      <c r="A23" s="28" t="s">
        <v>28</v>
      </c>
      <c r="B23" s="197">
        <v>39.187549413811915</v>
      </c>
      <c r="C23" s="68">
        <v>988074.87091985368</v>
      </c>
      <c r="D23" s="70">
        <v>65.536449480721032</v>
      </c>
      <c r="E23" s="92">
        <v>136.25894839012483</v>
      </c>
      <c r="F23" s="68">
        <v>2606248.6759377737</v>
      </c>
      <c r="G23" s="73">
        <f t="shared" si="1"/>
        <v>-1618173.80501792</v>
      </c>
      <c r="H23" s="74">
        <f t="shared" si="0"/>
        <v>-1054240.2339691748</v>
      </c>
      <c r="J23" s="67"/>
      <c r="K23" s="67"/>
    </row>
    <row r="24" spans="1:15" x14ac:dyDescent="0.25">
      <c r="A24" s="28" t="s">
        <v>29</v>
      </c>
      <c r="B24" s="197">
        <v>55.85333011064391</v>
      </c>
      <c r="C24" s="68">
        <v>700009.78627670009</v>
      </c>
      <c r="D24" s="70">
        <v>72.251623994533105</v>
      </c>
      <c r="E24" s="92">
        <v>143.17128574843883</v>
      </c>
      <c r="F24" s="68">
        <v>1907728.6037625554</v>
      </c>
      <c r="G24" s="73">
        <f t="shared" si="1"/>
        <v>-1207718.8174858554</v>
      </c>
      <c r="H24" s="74">
        <f t="shared" si="0"/>
        <v>-786828.80959203478</v>
      </c>
      <c r="J24" s="67"/>
      <c r="K24" s="67"/>
    </row>
    <row r="25" spans="1:15" x14ac:dyDescent="0.25">
      <c r="A25" s="21" t="s">
        <v>30</v>
      </c>
      <c r="B25" s="198">
        <v>64.443246961558401</v>
      </c>
      <c r="C25" s="203">
        <v>22766252.513591506</v>
      </c>
      <c r="D25" s="71">
        <v>57.257693640773439</v>
      </c>
      <c r="E25" s="93">
        <v>202.7250461898401</v>
      </c>
      <c r="F25" s="68">
        <v>20227768.978637878</v>
      </c>
      <c r="G25" s="73">
        <v>2998445.1741237156</v>
      </c>
      <c r="H25" s="74">
        <f t="shared" si="0"/>
        <v>1953487.0309416007</v>
      </c>
      <c r="J25" s="67"/>
      <c r="K25" s="67"/>
      <c r="O25" s="81"/>
    </row>
    <row r="26" spans="1:15" x14ac:dyDescent="0.25">
      <c r="A26" s="21" t="s">
        <v>42</v>
      </c>
      <c r="B26" s="199">
        <v>264.68534703908637</v>
      </c>
      <c r="C26" s="69">
        <v>4280491.4323161049</v>
      </c>
      <c r="D26" s="72">
        <v>62.503855753996319</v>
      </c>
      <c r="E26" s="94">
        <v>205.97224819897124</v>
      </c>
      <c r="F26" s="68">
        <v>1121391.7178034759</v>
      </c>
      <c r="G26" s="73">
        <f t="shared" si="1"/>
        <v>3159099.714512629</v>
      </c>
      <c r="H26" s="74">
        <f t="shared" si="0"/>
        <v>2058153.4640049776</v>
      </c>
      <c r="J26" s="67"/>
      <c r="K26" s="67"/>
    </row>
    <row r="27" spans="1:15" x14ac:dyDescent="0.25">
      <c r="A27" s="21" t="s">
        <v>43</v>
      </c>
      <c r="B27" s="199">
        <v>264.68534703908637</v>
      </c>
      <c r="C27" s="69">
        <v>4116915.8878459493</v>
      </c>
      <c r="D27" s="72">
        <v>62.503855753996319</v>
      </c>
      <c r="E27" s="94">
        <v>205.97224819897124</v>
      </c>
      <c r="F27" s="68">
        <v>1082764.3349475064</v>
      </c>
      <c r="G27" s="73">
        <f t="shared" si="1"/>
        <v>3034151.5528984428</v>
      </c>
      <c r="H27" s="74">
        <f t="shared" si="0"/>
        <v>1976749.7367133354</v>
      </c>
      <c r="J27" s="67"/>
      <c r="K27" s="67"/>
    </row>
    <row r="28" spans="1:15" x14ac:dyDescent="0.25">
      <c r="A28" s="28" t="s">
        <v>4</v>
      </c>
      <c r="B28" s="200">
        <v>0</v>
      </c>
      <c r="C28" s="204">
        <v>0</v>
      </c>
      <c r="D28" s="127">
        <v>0</v>
      </c>
      <c r="E28" s="92">
        <v>0</v>
      </c>
      <c r="F28" s="68">
        <v>0</v>
      </c>
      <c r="G28" s="75">
        <v>0</v>
      </c>
      <c r="H28" s="74">
        <f t="shared" si="0"/>
        <v>0</v>
      </c>
    </row>
    <row r="29" spans="1:15" x14ac:dyDescent="0.25">
      <c r="A29" s="28" t="s">
        <v>46</v>
      </c>
      <c r="B29" s="201">
        <f>C29/50000</f>
        <v>14.5</v>
      </c>
      <c r="C29" s="128">
        <v>725000</v>
      </c>
      <c r="D29" s="128">
        <v>0</v>
      </c>
      <c r="E29" s="95">
        <v>0</v>
      </c>
      <c r="F29" s="128">
        <v>0</v>
      </c>
      <c r="G29" s="22">
        <f t="shared" ref="G29" si="2">C29-F29</f>
        <v>725000</v>
      </c>
      <c r="H29" s="27">
        <f>G29</f>
        <v>725000</v>
      </c>
    </row>
    <row r="30" spans="1:15" x14ac:dyDescent="0.25">
      <c r="A30" s="28" t="s">
        <v>76</v>
      </c>
      <c r="B30" s="200">
        <v>32.697570655107128</v>
      </c>
      <c r="C30" s="204">
        <v>33024.546361658198</v>
      </c>
      <c r="D30" s="127">
        <v>42.424156288060182</v>
      </c>
      <c r="E30" s="92">
        <v>163.37431679865247</v>
      </c>
      <c r="F30" s="68">
        <v>0</v>
      </c>
      <c r="G30" s="75">
        <v>-11668.011026964456</v>
      </c>
      <c r="H30" s="74">
        <v>0</v>
      </c>
    </row>
    <row r="31" spans="1:15" x14ac:dyDescent="0.25">
      <c r="A31" s="28" t="s">
        <v>77</v>
      </c>
      <c r="B31" s="200">
        <v>0</v>
      </c>
      <c r="C31" s="204">
        <v>0</v>
      </c>
      <c r="D31" s="127">
        <v>0</v>
      </c>
      <c r="E31" s="95">
        <v>0</v>
      </c>
      <c r="F31" s="68">
        <v>0</v>
      </c>
      <c r="G31" s="75">
        <v>0</v>
      </c>
      <c r="H31" s="74">
        <v>0</v>
      </c>
    </row>
    <row r="32" spans="1:15" x14ac:dyDescent="0.25">
      <c r="A32" s="97" t="s">
        <v>78</v>
      </c>
      <c r="B32" s="200">
        <v>0</v>
      </c>
      <c r="C32" s="204">
        <v>0</v>
      </c>
      <c r="D32" s="127">
        <v>0</v>
      </c>
      <c r="E32" s="95">
        <v>0</v>
      </c>
      <c r="F32" s="68">
        <v>0</v>
      </c>
      <c r="G32" s="75">
        <v>0</v>
      </c>
      <c r="H32" s="74">
        <v>0</v>
      </c>
    </row>
    <row r="33" spans="1:8" ht="15.75" thickBot="1" x14ac:dyDescent="0.3">
      <c r="A33" s="98" t="s">
        <v>80</v>
      </c>
      <c r="B33" s="202">
        <v>32.073869623091724</v>
      </c>
      <c r="C33" s="205">
        <v>16687598.160267746</v>
      </c>
      <c r="D33" s="129">
        <v>38.644814678994116</v>
      </c>
      <c r="E33" s="96">
        <v>170.63502182611117</v>
      </c>
      <c r="F33" s="206">
        <v>17983881.747148838</v>
      </c>
      <c r="G33" s="89">
        <v>-1315852.6417208656</v>
      </c>
      <c r="H33" s="90">
        <f>G33*$G$37</f>
        <v>-857277.99608114397</v>
      </c>
    </row>
    <row r="34" spans="1:8" ht="15.75" thickBot="1" x14ac:dyDescent="0.3">
      <c r="A34" s="60" t="s">
        <v>90</v>
      </c>
      <c r="B34" s="202">
        <v>54.855756609455618</v>
      </c>
      <c r="C34" s="205">
        <v>21385736.137222711</v>
      </c>
      <c r="D34" s="129">
        <v>56.49</v>
      </c>
      <c r="E34" s="125">
        <v>132.5</v>
      </c>
      <c r="F34" s="206">
        <v>25732511.686216902</v>
      </c>
      <c r="G34" s="89">
        <v>-4309469</v>
      </c>
      <c r="H34" s="90">
        <f>G34*$G$37</f>
        <v>-2807619.0534999999</v>
      </c>
    </row>
    <row r="35" spans="1:8" ht="15.75" customHeight="1" thickBot="1" x14ac:dyDescent="0.3">
      <c r="A35" s="130" t="s">
        <v>38</v>
      </c>
      <c r="B35" s="131"/>
      <c r="C35" s="29">
        <f>SUM(C16:C34)</f>
        <v>76218815.985780686</v>
      </c>
      <c r="D35" s="30"/>
      <c r="E35" s="76"/>
      <c r="F35" s="76">
        <f>SUM(F16:F34)</f>
        <v>82957904.729958132</v>
      </c>
      <c r="G35" s="76">
        <f>SUM(G16:G34)</f>
        <v>-6306082.1682415688</v>
      </c>
      <c r="H35" s="77">
        <f>SUM(H16:H34)</f>
        <v>-3848148.3234253149</v>
      </c>
    </row>
    <row r="36" spans="1:8" ht="15.75" thickBot="1" x14ac:dyDescent="0.3"/>
    <row r="37" spans="1:8" ht="15.75" thickBot="1" x14ac:dyDescent="0.3">
      <c r="D37" s="3"/>
      <c r="E37" s="3"/>
      <c r="F37" s="10" t="s">
        <v>39</v>
      </c>
      <c r="G37" s="32">
        <v>0.65149999999999997</v>
      </c>
    </row>
    <row r="38" spans="1:8" x14ac:dyDescent="0.25">
      <c r="F38" s="132" t="s">
        <v>5</v>
      </c>
      <c r="G38" s="134">
        <f>H35</f>
        <v>-3848148.3234253149</v>
      </c>
    </row>
    <row r="39" spans="1:8" x14ac:dyDescent="0.25">
      <c r="F39" s="132"/>
      <c r="G39" s="135"/>
    </row>
    <row r="40" spans="1:8" ht="15.75" thickBot="1" x14ac:dyDescent="0.3">
      <c r="F40" s="133"/>
      <c r="G40" s="136"/>
    </row>
    <row r="43" spans="1:8" x14ac:dyDescent="0.25">
      <c r="A43" t="s">
        <v>69</v>
      </c>
      <c r="B43" s="57" t="s">
        <v>13</v>
      </c>
      <c r="C43" t="s">
        <v>72</v>
      </c>
    </row>
    <row r="44" spans="1:8" x14ac:dyDescent="0.25">
      <c r="A44" s="87" t="s">
        <v>95</v>
      </c>
      <c r="B44" s="88">
        <f>315410-5453</f>
        <v>309957</v>
      </c>
    </row>
    <row r="45" spans="1:8" x14ac:dyDescent="0.25">
      <c r="A45" s="87" t="s">
        <v>96</v>
      </c>
      <c r="B45" s="88">
        <v>0</v>
      </c>
    </row>
    <row r="46" spans="1:8" x14ac:dyDescent="0.25">
      <c r="A46" s="87" t="s">
        <v>97</v>
      </c>
      <c r="B46" s="88">
        <f>B44*1.2</f>
        <v>371948.39999999997</v>
      </c>
      <c r="C46" t="s">
        <v>79</v>
      </c>
    </row>
    <row r="47" spans="1:8" x14ac:dyDescent="0.25">
      <c r="A47" s="87" t="s">
        <v>98</v>
      </c>
      <c r="B47" s="88">
        <f>(B44+B45)*1.2</f>
        <v>371948.39999999997</v>
      </c>
    </row>
    <row r="48" spans="1:8" x14ac:dyDescent="0.25">
      <c r="A48" s="87" t="s">
        <v>70</v>
      </c>
      <c r="B48" s="88">
        <v>349726.17979242501</v>
      </c>
    </row>
    <row r="49" spans="1:8" x14ac:dyDescent="0.25">
      <c r="A49" s="87" t="s">
        <v>71</v>
      </c>
      <c r="B49" s="88">
        <f>B48*1.2</f>
        <v>419671.41575091</v>
      </c>
      <c r="C49" t="s">
        <v>73</v>
      </c>
    </row>
    <row r="50" spans="1:8" x14ac:dyDescent="0.25">
      <c r="A50" s="87" t="s">
        <v>99</v>
      </c>
      <c r="B50" s="88">
        <v>322379</v>
      </c>
    </row>
    <row r="51" spans="1:8" x14ac:dyDescent="0.25">
      <c r="A51" s="87" t="s">
        <v>100</v>
      </c>
      <c r="B51" s="88">
        <f>B50*1.2</f>
        <v>386854.8</v>
      </c>
    </row>
    <row r="54" spans="1:8" x14ac:dyDescent="0.25">
      <c r="A54" s="59" t="s">
        <v>74</v>
      </c>
    </row>
    <row r="55" spans="1:8" x14ac:dyDescent="0.25">
      <c r="A55" s="4" t="s">
        <v>56</v>
      </c>
      <c r="B55" s="58">
        <f>B25</f>
        <v>64.443246961558401</v>
      </c>
      <c r="C55" s="8">
        <f>B55*B47</f>
        <v>23969562.598156508</v>
      </c>
      <c r="D55" s="58">
        <f>D25</f>
        <v>57.257693640773439</v>
      </c>
      <c r="E55" s="58">
        <f>E25</f>
        <v>202.7250461898401</v>
      </c>
      <c r="F55" s="65">
        <f>D55*B47</f>
        <v>21296907.537375852</v>
      </c>
      <c r="G55" s="8">
        <f t="shared" ref="G55" si="3">C55-F55</f>
        <v>2672655.0607806556</v>
      </c>
      <c r="H55" s="27">
        <f>G55*$G$37</f>
        <v>1741234.7720985971</v>
      </c>
    </row>
    <row r="56" spans="1:8" x14ac:dyDescent="0.25">
      <c r="A56" t="s">
        <v>105</v>
      </c>
    </row>
    <row r="59" spans="1:8" x14ac:dyDescent="0.25">
      <c r="A59" t="s">
        <v>83</v>
      </c>
      <c r="B59" s="57" t="s">
        <v>13</v>
      </c>
      <c r="C59" t="s">
        <v>72</v>
      </c>
    </row>
    <row r="60" spans="1:8" x14ac:dyDescent="0.25">
      <c r="A60" s="87" t="s">
        <v>115</v>
      </c>
      <c r="B60" s="88">
        <v>415513</v>
      </c>
    </row>
    <row r="61" spans="1:8" x14ac:dyDescent="0.25">
      <c r="A61" s="87" t="s">
        <v>116</v>
      </c>
      <c r="B61" s="88">
        <v>716.9</v>
      </c>
    </row>
    <row r="62" spans="1:8" x14ac:dyDescent="0.25">
      <c r="A62" s="87" t="s">
        <v>119</v>
      </c>
      <c r="B62" s="88">
        <f>B60*1.2</f>
        <v>498615.6</v>
      </c>
      <c r="C62" t="s">
        <v>85</v>
      </c>
    </row>
    <row r="63" spans="1:8" x14ac:dyDescent="0.25">
      <c r="A63" s="87" t="s">
        <v>120</v>
      </c>
      <c r="B63" s="88">
        <f>(B60+B61)*1.2</f>
        <v>499475.88</v>
      </c>
    </row>
    <row r="64" spans="1:8" x14ac:dyDescent="0.25">
      <c r="A64" s="87" t="s">
        <v>70</v>
      </c>
      <c r="B64" s="88">
        <v>465731</v>
      </c>
    </row>
    <row r="65" spans="1:8" x14ac:dyDescent="0.25">
      <c r="A65" s="87" t="s">
        <v>71</v>
      </c>
      <c r="B65" s="88">
        <f>B64*1.2</f>
        <v>558877.19999999995</v>
      </c>
      <c r="C65" t="s">
        <v>84</v>
      </c>
    </row>
    <row r="66" spans="1:8" x14ac:dyDescent="0.25">
      <c r="A66" s="87" t="s">
        <v>113</v>
      </c>
      <c r="B66" s="88">
        <v>361310</v>
      </c>
    </row>
    <row r="67" spans="1:8" x14ac:dyDescent="0.25">
      <c r="A67" s="87" t="s">
        <v>114</v>
      </c>
      <c r="B67" s="88">
        <f>B66*1.2</f>
        <v>433572</v>
      </c>
    </row>
    <row r="70" spans="1:8" x14ac:dyDescent="0.25">
      <c r="A70" s="59" t="s">
        <v>74</v>
      </c>
    </row>
    <row r="71" spans="1:8" x14ac:dyDescent="0.25">
      <c r="A71" s="4" t="s">
        <v>82</v>
      </c>
      <c r="B71" s="58">
        <f>B33</f>
        <v>32.073869623091724</v>
      </c>
      <c r="C71" s="8">
        <f>B71*B63</f>
        <v>16020124.254999008</v>
      </c>
      <c r="D71" s="58">
        <f>D33</f>
        <v>38.644814678994116</v>
      </c>
      <c r="E71" s="58">
        <f>E33</f>
        <v>170.63502182611117</v>
      </c>
      <c r="F71" s="65">
        <f>D71*B63</f>
        <v>19302152.819227505</v>
      </c>
      <c r="G71" s="8">
        <f t="shared" ref="G71" si="4">C71-F71</f>
        <v>-3282028.5642284974</v>
      </c>
      <c r="H71" s="27">
        <f>G71*$G$37</f>
        <v>-2138241.6095948662</v>
      </c>
    </row>
    <row r="72" spans="1:8" x14ac:dyDescent="0.25">
      <c r="A72" t="s">
        <v>111</v>
      </c>
    </row>
    <row r="73" spans="1:8" x14ac:dyDescent="0.25">
      <c r="A73" t="s">
        <v>112</v>
      </c>
    </row>
    <row r="74" spans="1:8" x14ac:dyDescent="0.25">
      <c r="A74" t="s">
        <v>101</v>
      </c>
      <c r="B74" s="57" t="s">
        <v>13</v>
      </c>
      <c r="C74" t="s">
        <v>72</v>
      </c>
    </row>
    <row r="75" spans="1:8" x14ac:dyDescent="0.25">
      <c r="A75" s="87" t="s">
        <v>115</v>
      </c>
      <c r="B75" s="88">
        <v>153354</v>
      </c>
    </row>
    <row r="76" spans="1:8" x14ac:dyDescent="0.25">
      <c r="A76" s="87" t="s">
        <v>116</v>
      </c>
      <c r="B76" s="88">
        <v>246.053</v>
      </c>
    </row>
    <row r="77" spans="1:8" x14ac:dyDescent="0.25">
      <c r="A77" s="87" t="s">
        <v>117</v>
      </c>
      <c r="B77" s="88">
        <f>B75*1.2</f>
        <v>184024.8</v>
      </c>
      <c r="C77" t="s">
        <v>104</v>
      </c>
    </row>
    <row r="78" spans="1:8" x14ac:dyDescent="0.25">
      <c r="A78" s="87" t="s">
        <v>118</v>
      </c>
      <c r="B78" s="88">
        <f>(B75+B76)*1.2</f>
        <v>184320.06360000002</v>
      </c>
    </row>
    <row r="79" spans="1:8" x14ac:dyDescent="0.25">
      <c r="A79" s="87" t="s">
        <v>70</v>
      </c>
      <c r="B79" s="88">
        <v>467825</v>
      </c>
    </row>
    <row r="80" spans="1:8" x14ac:dyDescent="0.25">
      <c r="A80" s="87" t="s">
        <v>103</v>
      </c>
      <c r="B80" s="88">
        <f>B79</f>
        <v>467825</v>
      </c>
      <c r="C80" t="s">
        <v>102</v>
      </c>
    </row>
    <row r="81" spans="1:8" x14ac:dyDescent="0.25">
      <c r="A81" s="87" t="s">
        <v>113</v>
      </c>
      <c r="B81" s="88">
        <v>389854</v>
      </c>
    </row>
    <row r="82" spans="1:8" x14ac:dyDescent="0.25">
      <c r="A82" s="87" t="s">
        <v>114</v>
      </c>
      <c r="B82" s="88">
        <f>B81*1.2</f>
        <v>467824.8</v>
      </c>
    </row>
    <row r="85" spans="1:8" x14ac:dyDescent="0.25">
      <c r="A85" s="59" t="s">
        <v>74</v>
      </c>
    </row>
    <row r="86" spans="1:8" x14ac:dyDescent="0.25">
      <c r="A86" s="4" t="s">
        <v>90</v>
      </c>
      <c r="B86" s="58">
        <f>B56</f>
        <v>0</v>
      </c>
      <c r="C86" s="8">
        <f>B86*B78</f>
        <v>0</v>
      </c>
      <c r="D86" s="58">
        <f>D56</f>
        <v>0</v>
      </c>
      <c r="E86" s="58">
        <f>E56</f>
        <v>0</v>
      </c>
      <c r="F86" s="65">
        <f>D86*B78</f>
        <v>0</v>
      </c>
      <c r="G86" s="8">
        <f t="shared" ref="G86" si="5">C86-F86</f>
        <v>0</v>
      </c>
      <c r="H86" s="27">
        <f>G86*$G$37</f>
        <v>0</v>
      </c>
    </row>
    <row r="87" spans="1:8" x14ac:dyDescent="0.25">
      <c r="A87" t="s">
        <v>109</v>
      </c>
    </row>
    <row r="88" spans="1:8" x14ac:dyDescent="0.25">
      <c r="A88" t="s">
        <v>110</v>
      </c>
    </row>
  </sheetData>
  <mergeCells count="13">
    <mergeCell ref="A35:B35"/>
    <mergeCell ref="F38:F40"/>
    <mergeCell ref="G38:G40"/>
    <mergeCell ref="A2:H5"/>
    <mergeCell ref="A6:H11"/>
    <mergeCell ref="H14:H15"/>
    <mergeCell ref="A13:A15"/>
    <mergeCell ref="B14:B15"/>
    <mergeCell ref="C14:C15"/>
    <mergeCell ref="D14:D15"/>
    <mergeCell ref="E14:E15"/>
    <mergeCell ref="F14:F15"/>
    <mergeCell ref="G14:G15"/>
  </mergeCells>
  <phoneticPr fontId="16" type="noConversion"/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0"/>
  <sheetViews>
    <sheetView workbookViewId="0">
      <selection activeCell="B58" sqref="B58"/>
    </sheetView>
  </sheetViews>
  <sheetFormatPr defaultRowHeight="15" x14ac:dyDescent="0.25"/>
  <cols>
    <col min="1" max="1" width="38.140625" customWidth="1"/>
    <col min="2" max="2" width="24" customWidth="1"/>
    <col min="3" max="3" width="23.42578125" customWidth="1"/>
    <col min="4" max="4" width="22.85546875" customWidth="1"/>
    <col min="5" max="5" width="24.28515625" customWidth="1"/>
    <col min="6" max="6" width="19.42578125" customWidth="1"/>
    <col min="7" max="7" width="31.140625" customWidth="1"/>
    <col min="8" max="8" width="18" customWidth="1"/>
  </cols>
  <sheetData>
    <row r="1" spans="1:7" ht="32.25" customHeight="1" thickBot="1" x14ac:dyDescent="0.4">
      <c r="A1" s="168" t="s">
        <v>93</v>
      </c>
      <c r="B1" s="161"/>
      <c r="C1" s="161"/>
      <c r="D1" s="161"/>
      <c r="E1" s="161"/>
      <c r="F1" s="161"/>
      <c r="G1" s="161"/>
    </row>
    <row r="2" spans="1:7" x14ac:dyDescent="0.25">
      <c r="A2" s="169" t="s">
        <v>8</v>
      </c>
      <c r="B2" s="138"/>
      <c r="C2" s="138"/>
      <c r="D2" s="138"/>
      <c r="E2" s="138"/>
      <c r="F2" s="138"/>
      <c r="G2" s="139"/>
    </row>
    <row r="3" spans="1:7" x14ac:dyDescent="0.25">
      <c r="A3" s="140"/>
      <c r="B3" s="141"/>
      <c r="C3" s="141"/>
      <c r="D3" s="141"/>
      <c r="E3" s="141"/>
      <c r="F3" s="141"/>
      <c r="G3" s="142"/>
    </row>
    <row r="4" spans="1:7" ht="0.75" customHeight="1" thickBot="1" x14ac:dyDescent="0.3">
      <c r="A4" s="140"/>
      <c r="B4" s="141"/>
      <c r="C4" s="141"/>
      <c r="D4" s="141"/>
      <c r="E4" s="141"/>
      <c r="F4" s="141"/>
      <c r="G4" s="142"/>
    </row>
    <row r="5" spans="1:7" ht="15.75" hidden="1" thickBot="1" x14ac:dyDescent="0.3">
      <c r="A5" s="170"/>
      <c r="B5" s="171"/>
      <c r="C5" s="171"/>
      <c r="D5" s="171"/>
      <c r="E5" s="171"/>
      <c r="F5" s="171"/>
      <c r="G5" s="172"/>
    </row>
    <row r="6" spans="1:7" x14ac:dyDescent="0.25">
      <c r="A6" s="173" t="s">
        <v>9</v>
      </c>
      <c r="B6" s="174"/>
      <c r="C6" s="174"/>
      <c r="D6" s="174"/>
      <c r="E6" s="174"/>
      <c r="F6" s="174"/>
      <c r="G6" s="175"/>
    </row>
    <row r="7" spans="1:7" x14ac:dyDescent="0.25">
      <c r="A7" s="154"/>
      <c r="B7" s="176"/>
      <c r="C7" s="176"/>
      <c r="D7" s="176"/>
      <c r="E7" s="176"/>
      <c r="F7" s="176"/>
      <c r="G7" s="135"/>
    </row>
    <row r="8" spans="1:7" x14ac:dyDescent="0.25">
      <c r="A8" s="154"/>
      <c r="B8" s="176"/>
      <c r="C8" s="176"/>
      <c r="D8" s="176"/>
      <c r="E8" s="176"/>
      <c r="F8" s="176"/>
      <c r="G8" s="135"/>
    </row>
    <row r="9" spans="1:7" x14ac:dyDescent="0.25">
      <c r="A9" s="154"/>
      <c r="B9" s="176"/>
      <c r="C9" s="176"/>
      <c r="D9" s="176"/>
      <c r="E9" s="176"/>
      <c r="F9" s="176"/>
      <c r="G9" s="135"/>
    </row>
    <row r="10" spans="1:7" x14ac:dyDescent="0.25">
      <c r="A10" s="154"/>
      <c r="B10" s="176"/>
      <c r="C10" s="176"/>
      <c r="D10" s="176"/>
      <c r="E10" s="176"/>
      <c r="F10" s="176"/>
      <c r="G10" s="135"/>
    </row>
    <row r="11" spans="1:7" ht="86.25" customHeight="1" thickBot="1" x14ac:dyDescent="0.3">
      <c r="A11" s="160"/>
      <c r="B11" s="161"/>
      <c r="C11" s="161"/>
      <c r="D11" s="161"/>
      <c r="E11" s="161"/>
      <c r="F11" s="161"/>
      <c r="G11" s="136"/>
    </row>
    <row r="12" spans="1:7" ht="15.75" thickBot="1" x14ac:dyDescent="0.3"/>
    <row r="13" spans="1:7" ht="15.75" thickBot="1" x14ac:dyDescent="0.3">
      <c r="A13" s="177" t="s">
        <v>2</v>
      </c>
      <c r="B13" s="178" t="s">
        <v>64</v>
      </c>
      <c r="C13" s="178"/>
      <c r="D13" s="178"/>
      <c r="E13" s="178" t="s">
        <v>63</v>
      </c>
      <c r="F13" s="178"/>
      <c r="G13" s="178"/>
    </row>
    <row r="14" spans="1:7" ht="15" customHeight="1" thickBot="1" x14ac:dyDescent="0.3">
      <c r="A14" s="177"/>
      <c r="B14" s="179" t="s">
        <v>10</v>
      </c>
      <c r="C14" s="179" t="s">
        <v>18</v>
      </c>
      <c r="D14" s="179" t="s">
        <v>53</v>
      </c>
      <c r="E14" s="179" t="s">
        <v>10</v>
      </c>
      <c r="F14" s="179" t="s">
        <v>18</v>
      </c>
      <c r="G14" s="179" t="s">
        <v>19</v>
      </c>
    </row>
    <row r="15" spans="1:7" ht="15.75" thickBot="1" x14ac:dyDescent="0.3">
      <c r="A15" s="177"/>
      <c r="B15" s="179"/>
      <c r="C15" s="179"/>
      <c r="D15" s="179"/>
      <c r="E15" s="179"/>
      <c r="F15" s="179"/>
      <c r="G15" s="179"/>
    </row>
    <row r="16" spans="1:7" x14ac:dyDescent="0.25">
      <c r="A16" s="37" t="s">
        <v>21</v>
      </c>
      <c r="B16" s="38">
        <f>'(2)(a)(i) One Time (all)'!G16</f>
        <v>-83553.906850647356</v>
      </c>
      <c r="C16" s="39"/>
      <c r="D16" s="39"/>
      <c r="E16" s="38">
        <f>'(2)(a)(i) One Time (all)'!G16</f>
        <v>-83553.906850647356</v>
      </c>
      <c r="F16" s="39"/>
      <c r="G16" s="39"/>
    </row>
    <row r="17" spans="1:7" x14ac:dyDescent="0.25">
      <c r="A17" s="4" t="s">
        <v>22</v>
      </c>
      <c r="B17" s="40">
        <f>'(2)(a)(i) One Time (all)'!G17</f>
        <v>-988469.85460058937</v>
      </c>
      <c r="C17" s="41"/>
      <c r="D17" s="41"/>
      <c r="E17" s="40">
        <f>'(2)(a)(i) One Time (all)'!G17</f>
        <v>-988469.85460058937</v>
      </c>
      <c r="F17" s="41"/>
      <c r="G17" s="41"/>
    </row>
    <row r="18" spans="1:7" x14ac:dyDescent="0.25">
      <c r="A18" s="4" t="s">
        <v>23</v>
      </c>
      <c r="B18" s="40">
        <f>'(2)(a)(i) One Time (all)'!G18</f>
        <v>-2030753.2045647479</v>
      </c>
      <c r="C18" s="41"/>
      <c r="D18" s="41"/>
      <c r="E18" s="40">
        <f>'(2)(a)(i) One Time (all)'!G18</f>
        <v>-2030753.2045647479</v>
      </c>
      <c r="F18" s="41"/>
      <c r="G18" s="41"/>
    </row>
    <row r="19" spans="1:7" x14ac:dyDescent="0.25">
      <c r="A19" s="4" t="s">
        <v>24</v>
      </c>
      <c r="B19" s="40">
        <f>'(2)(a)(i) One Time (all)'!G19</f>
        <v>-1918381.9962119563</v>
      </c>
      <c r="C19" s="41"/>
      <c r="D19" s="41"/>
      <c r="E19" s="40">
        <f>'(2)(a)(i) One Time (all)'!G19</f>
        <v>-1918381.9962119563</v>
      </c>
      <c r="F19" s="41"/>
      <c r="G19" s="41"/>
    </row>
    <row r="20" spans="1:7" x14ac:dyDescent="0.25">
      <c r="A20" s="4" t="s">
        <v>25</v>
      </c>
      <c r="B20" s="40">
        <f>'(2)(a)(i) One Time (all)'!G20</f>
        <v>-1550137.0649592709</v>
      </c>
      <c r="C20" s="41"/>
      <c r="D20" s="41"/>
      <c r="E20" s="40">
        <f>'(2)(a)(i) One Time (all)'!G20</f>
        <v>-1550137.0649592709</v>
      </c>
      <c r="F20" s="41"/>
      <c r="G20" s="41"/>
    </row>
    <row r="21" spans="1:7" x14ac:dyDescent="0.25">
      <c r="A21" s="4" t="s">
        <v>26</v>
      </c>
      <c r="B21" s="40">
        <f>'(2)(a)(i) One Time (all)'!G21</f>
        <v>-586375.85909783863</v>
      </c>
      <c r="C21" s="41"/>
      <c r="D21" s="41"/>
      <c r="E21" s="40">
        <f>'(2)(a)(i) One Time (all)'!G21</f>
        <v>-586375.85909783863</v>
      </c>
      <c r="F21" s="41"/>
      <c r="G21" s="41"/>
    </row>
    <row r="22" spans="1:7" x14ac:dyDescent="0.25">
      <c r="A22" s="4" t="s">
        <v>27</v>
      </c>
      <c r="B22" s="40">
        <f>'(2)(a)(i) One Time (all)'!G22</f>
        <v>-602224.44823970145</v>
      </c>
      <c r="C22" s="41"/>
      <c r="D22" s="41"/>
      <c r="E22" s="40">
        <f>'(2)(a)(i) One Time (all)'!G22</f>
        <v>-602224.44823970145</v>
      </c>
      <c r="F22" s="41"/>
      <c r="G22" s="41"/>
    </row>
    <row r="23" spans="1:7" x14ac:dyDescent="0.25">
      <c r="A23" s="4" t="s">
        <v>28</v>
      </c>
      <c r="B23" s="40">
        <f>'(2)(a)(i) One Time (all)'!G23</f>
        <v>-1618173.80501792</v>
      </c>
      <c r="C23" s="41"/>
      <c r="D23" s="41"/>
      <c r="E23" s="40">
        <f>'(2)(a)(i) One Time (all)'!G23</f>
        <v>-1618173.80501792</v>
      </c>
      <c r="F23" s="41"/>
      <c r="G23" s="41"/>
    </row>
    <row r="24" spans="1:7" x14ac:dyDescent="0.25">
      <c r="A24" s="4" t="s">
        <v>29</v>
      </c>
      <c r="B24" s="40">
        <f>'(2)(a)(i) One Time (all)'!G24</f>
        <v>-1207718.8174858554</v>
      </c>
      <c r="C24" s="41"/>
      <c r="D24" s="41"/>
      <c r="E24" s="40">
        <f>'(2)(a)(i) One Time (all)'!G24</f>
        <v>-1207718.8174858554</v>
      </c>
      <c r="F24" s="41"/>
      <c r="G24" s="41"/>
    </row>
    <row r="25" spans="1:7" x14ac:dyDescent="0.25">
      <c r="A25" s="4" t="s">
        <v>30</v>
      </c>
      <c r="B25" s="40">
        <f>'(2)(a)(i) One Time (all)'!G25*(C57/F57)</f>
        <v>2763978.8287012489</v>
      </c>
      <c r="C25" s="41"/>
      <c r="D25" s="40">
        <f>D57*E57</f>
        <v>0</v>
      </c>
      <c r="E25" s="41">
        <f>'(2)(a)(i) One Time (all)'!G25</f>
        <v>2998445.1741237156</v>
      </c>
      <c r="F25" s="41"/>
      <c r="G25" s="41">
        <f>D25</f>
        <v>0</v>
      </c>
    </row>
    <row r="26" spans="1:7" x14ac:dyDescent="0.25">
      <c r="A26" s="21" t="s">
        <v>42</v>
      </c>
      <c r="B26" s="49">
        <f>'(2)(a)(i) One Time (all)'!G26</f>
        <v>3159099.714512629</v>
      </c>
      <c r="C26" s="42"/>
      <c r="D26" s="47"/>
      <c r="E26" s="49">
        <f>'(2)(a)(i) One Time (all)'!G26</f>
        <v>3159099.714512629</v>
      </c>
      <c r="F26" s="42"/>
      <c r="G26" s="42"/>
    </row>
    <row r="27" spans="1:7" x14ac:dyDescent="0.25">
      <c r="A27" s="21" t="s">
        <v>43</v>
      </c>
      <c r="B27" s="49">
        <f>'(2)(a)(i) One Time (all)'!G27</f>
        <v>3034151.5528984428</v>
      </c>
      <c r="C27" s="42"/>
      <c r="D27" s="47"/>
      <c r="E27" s="49">
        <f>'(2)(a)(i) One Time (all)'!G27</f>
        <v>3034151.5528984428</v>
      </c>
      <c r="F27" s="42"/>
      <c r="G27" s="42"/>
    </row>
    <row r="28" spans="1:7" x14ac:dyDescent="0.25">
      <c r="A28" s="5" t="s">
        <v>4</v>
      </c>
      <c r="B28" s="47">
        <f>'(2)(a)(i) One Time (all)'!G28</f>
        <v>0</v>
      </c>
      <c r="C28" s="42"/>
      <c r="D28" s="42">
        <f>D56*E56</f>
        <v>0</v>
      </c>
      <c r="E28" s="64">
        <f>'(2)(a)(i) One Time (all)'!G28</f>
        <v>0</v>
      </c>
      <c r="F28" s="42"/>
      <c r="G28" s="42">
        <f>D28</f>
        <v>0</v>
      </c>
    </row>
    <row r="29" spans="1:7" x14ac:dyDescent="0.25">
      <c r="A29" s="28" t="s">
        <v>76</v>
      </c>
      <c r="B29" s="40">
        <f>'(2)(a)(i) One Time (all)'!G30</f>
        <v>-11668.011026964456</v>
      </c>
      <c r="C29" s="41"/>
      <c r="D29" s="41"/>
      <c r="E29" s="49">
        <f>'(2)(a)(i) One Time (all)'!G30</f>
        <v>-11668.011026964456</v>
      </c>
      <c r="F29" s="41"/>
      <c r="G29" s="41"/>
    </row>
    <row r="30" spans="1:7" x14ac:dyDescent="0.25">
      <c r="A30" s="28" t="s">
        <v>77</v>
      </c>
      <c r="B30" s="40"/>
      <c r="C30" s="41"/>
      <c r="D30" s="41"/>
      <c r="E30" s="49"/>
      <c r="F30" s="41"/>
      <c r="G30" s="41"/>
    </row>
    <row r="31" spans="1:7" x14ac:dyDescent="0.25">
      <c r="A31" s="4" t="s">
        <v>78</v>
      </c>
      <c r="B31" s="47"/>
      <c r="C31" s="62"/>
      <c r="D31" s="62"/>
      <c r="E31" s="63"/>
      <c r="F31" s="62"/>
      <c r="G31" s="62"/>
    </row>
    <row r="32" spans="1:7" ht="15.75" thickBot="1" x14ac:dyDescent="0.3">
      <c r="A32" s="60" t="s">
        <v>80</v>
      </c>
      <c r="B32" s="99">
        <f>'(2)(a)(i) One Time (all)'!G33*(C58/F58)</f>
        <v>-1224992.2413929913</v>
      </c>
      <c r="C32" s="100"/>
      <c r="D32" s="100">
        <f>D58*E58</f>
        <v>0</v>
      </c>
      <c r="E32" s="101">
        <f>'(2)(a)(i) One Time (all)'!G33*(C58/F58)</f>
        <v>-1224992.2413929913</v>
      </c>
      <c r="F32" s="100"/>
      <c r="G32" s="100">
        <v>0</v>
      </c>
    </row>
    <row r="33" spans="1:7" ht="15.75" thickBot="1" x14ac:dyDescent="0.3">
      <c r="A33" s="60" t="s">
        <v>90</v>
      </c>
      <c r="B33" s="126" t="s">
        <v>94</v>
      </c>
      <c r="C33" s="119"/>
      <c r="D33" s="100">
        <f>D59*E59</f>
        <v>0</v>
      </c>
      <c r="E33" s="101">
        <f>'(2)(a)(i) One Time (all)'!G34*(C59/F59)</f>
        <v>-1355604.697288516</v>
      </c>
      <c r="F33" s="119"/>
      <c r="G33" s="120"/>
    </row>
    <row r="34" spans="1:7" ht="15.75" thickBot="1" x14ac:dyDescent="0.3">
      <c r="A34" s="12" t="s">
        <v>41</v>
      </c>
      <c r="B34" s="43">
        <f t="shared" ref="B34:G34" si="0">SUM(B16:B33)</f>
        <v>-2865219.1133361617</v>
      </c>
      <c r="C34" s="43">
        <f t="shared" si="0"/>
        <v>0</v>
      </c>
      <c r="D34" s="43">
        <f t="shared" si="0"/>
        <v>0</v>
      </c>
      <c r="E34" s="43">
        <f t="shared" si="0"/>
        <v>-3986357.4652022105</v>
      </c>
      <c r="F34" s="43">
        <f t="shared" si="0"/>
        <v>0</v>
      </c>
      <c r="G34" s="44">
        <f t="shared" si="0"/>
        <v>0</v>
      </c>
    </row>
    <row r="35" spans="1:7" ht="15.75" thickBot="1" x14ac:dyDescent="0.3">
      <c r="A35" s="33" t="s">
        <v>49</v>
      </c>
      <c r="B35" s="45">
        <f>B34*'(2)(a)(i) One Time (all)'!$G$37</f>
        <v>-1866690.2523385093</v>
      </c>
      <c r="C35" s="45">
        <f>C34*'(2)(a)(i) One Time (all)'!$G$37</f>
        <v>0</v>
      </c>
      <c r="D35" s="45">
        <f>D34*'(2)(a)(i) One Time (all)'!$G$37</f>
        <v>0</v>
      </c>
      <c r="E35" s="45">
        <f>E34*'(2)(a)(i) One Time (all)'!$G$37</f>
        <v>-2597111.8885792401</v>
      </c>
      <c r="F35" s="45">
        <f>F34*'(2)(a)(i) One Time (all)'!$G$37</f>
        <v>0</v>
      </c>
      <c r="G35" s="46">
        <f>G34*'(2)(a)(i) One Time (all)'!$G$37</f>
        <v>0</v>
      </c>
    </row>
    <row r="36" spans="1:7" x14ac:dyDescent="0.25">
      <c r="A36" s="2"/>
      <c r="B36" s="54"/>
      <c r="C36" s="54"/>
      <c r="D36" s="54"/>
      <c r="E36" s="54"/>
      <c r="F36" s="54"/>
      <c r="G36" s="53"/>
    </row>
    <row r="37" spans="1:7" x14ac:dyDescent="0.25">
      <c r="A37" s="55" t="s">
        <v>50</v>
      </c>
      <c r="B37" s="56"/>
      <c r="C37" s="56"/>
      <c r="D37" s="56"/>
      <c r="E37" s="56"/>
      <c r="F37" s="56"/>
      <c r="G37" s="53"/>
    </row>
    <row r="38" spans="1:7" x14ac:dyDescent="0.25">
      <c r="A38" s="4" t="s">
        <v>46</v>
      </c>
      <c r="B38" s="40"/>
      <c r="C38" s="40">
        <v>0</v>
      </c>
      <c r="D38" s="40"/>
      <c r="E38" s="41"/>
      <c r="F38" s="41">
        <f>C38</f>
        <v>0</v>
      </c>
      <c r="G38" s="41"/>
    </row>
    <row r="39" spans="1:7" x14ac:dyDescent="0.25">
      <c r="A39" s="21" t="s">
        <v>57</v>
      </c>
      <c r="B39" s="47"/>
      <c r="C39" s="47">
        <f>(C60*(1-'(2)(a)(i) One Time (all)'!G37)*E60)</f>
        <v>61999.822800000009</v>
      </c>
      <c r="D39" s="47"/>
      <c r="E39" s="42"/>
      <c r="F39" s="42">
        <f>B60/C60*C39</f>
        <v>61999.822800000009</v>
      </c>
      <c r="G39" s="42"/>
    </row>
    <row r="40" spans="1:7" x14ac:dyDescent="0.25">
      <c r="A40" s="21" t="s">
        <v>59</v>
      </c>
      <c r="B40" s="47"/>
      <c r="C40" s="47">
        <f>(C56*(1-'(2)(a)(i) One Time (all)'!$G$37))*E56</f>
        <v>881476.73250000004</v>
      </c>
      <c r="D40" s="47"/>
      <c r="E40" s="42"/>
      <c r="F40" s="42">
        <f>B56/C56*C40</f>
        <v>836868.20975000004</v>
      </c>
      <c r="G40" s="42"/>
    </row>
    <row r="41" spans="1:7" x14ac:dyDescent="0.25">
      <c r="A41" s="21" t="s">
        <v>58</v>
      </c>
      <c r="B41" s="41"/>
      <c r="C41" s="47">
        <f>(C57*(1-'(2)(a)(i) One Time (all)'!$G$37))*E57</f>
        <v>1145960.6313</v>
      </c>
      <c r="D41" s="41"/>
      <c r="E41" s="40"/>
      <c r="F41" s="42">
        <f>B57/C57*C41</f>
        <v>1046491.831</v>
      </c>
      <c r="G41" s="42"/>
    </row>
    <row r="42" spans="1:7" x14ac:dyDescent="0.25">
      <c r="A42" s="21" t="s">
        <v>86</v>
      </c>
      <c r="B42" s="41"/>
      <c r="C42" s="47">
        <f>(C58*(1-'(2)(a)(i) One Time (all)'!$G$37))*E58</f>
        <v>1284348.6570000001</v>
      </c>
      <c r="D42" s="41"/>
      <c r="E42" s="40"/>
      <c r="F42" s="42">
        <f>B58/C58*C42</f>
        <v>246340.71000000002</v>
      </c>
      <c r="G42" s="41"/>
    </row>
    <row r="43" spans="1:7" ht="15.75" thickBot="1" x14ac:dyDescent="0.3">
      <c r="A43" s="21" t="s">
        <v>87</v>
      </c>
      <c r="B43" s="62"/>
      <c r="C43" s="47">
        <v>0</v>
      </c>
      <c r="D43" s="41"/>
      <c r="E43" s="40"/>
      <c r="F43" s="42">
        <v>0</v>
      </c>
      <c r="G43" s="41"/>
    </row>
    <row r="44" spans="1:7" ht="15.75" thickBot="1" x14ac:dyDescent="0.3">
      <c r="A44" s="33" t="s">
        <v>51</v>
      </c>
      <c r="B44" s="45">
        <f>SUM(B38:B41)</f>
        <v>0</v>
      </c>
      <c r="C44" s="45">
        <f>SUM(C38:C41)</f>
        <v>2089437.1866000001</v>
      </c>
      <c r="D44" s="108">
        <f t="shared" ref="D44:G44" si="1">SUM(D38:D41)</f>
        <v>0</v>
      </c>
      <c r="E44" s="108">
        <f t="shared" si="1"/>
        <v>0</v>
      </c>
      <c r="F44" s="45">
        <f>SUM(F38:F41)</f>
        <v>1945359.8635499999</v>
      </c>
      <c r="G44" s="109">
        <f t="shared" si="1"/>
        <v>0</v>
      </c>
    </row>
    <row r="45" spans="1:7" ht="15.75" thickBot="1" x14ac:dyDescent="0.3">
      <c r="A45" s="13"/>
      <c r="B45" s="48"/>
      <c r="C45" s="48"/>
      <c r="D45" s="48"/>
      <c r="E45" s="48"/>
      <c r="F45" s="48"/>
      <c r="G45" s="43"/>
    </row>
    <row r="46" spans="1:7" ht="15.75" thickBot="1" x14ac:dyDescent="0.3">
      <c r="A46" s="10" t="s">
        <v>52</v>
      </c>
      <c r="B46" s="45">
        <f t="shared" ref="B46:G46" si="2">B35+B44</f>
        <v>-1866690.2523385093</v>
      </c>
      <c r="C46" s="45">
        <f t="shared" si="2"/>
        <v>2089437.1866000001</v>
      </c>
      <c r="D46" s="45">
        <f t="shared" si="2"/>
        <v>0</v>
      </c>
      <c r="E46" s="45">
        <f t="shared" si="2"/>
        <v>-2597111.8885792401</v>
      </c>
      <c r="F46" s="45">
        <f t="shared" si="2"/>
        <v>1945359.8635499999</v>
      </c>
      <c r="G46" s="46">
        <f t="shared" si="2"/>
        <v>0</v>
      </c>
    </row>
    <row r="47" spans="1:7" ht="15.75" thickBot="1" x14ac:dyDescent="0.3">
      <c r="A47" s="34"/>
      <c r="B47" s="35"/>
      <c r="C47" s="35"/>
      <c r="D47" s="35"/>
      <c r="E47" s="36"/>
      <c r="F47" s="36"/>
      <c r="G47" s="35"/>
    </row>
    <row r="48" spans="1:7" ht="15.75" thickBot="1" x14ac:dyDescent="0.3">
      <c r="A48" s="160" t="s">
        <v>11</v>
      </c>
      <c r="B48" s="161"/>
      <c r="C48" s="136"/>
      <c r="D48" s="82">
        <v>602500000</v>
      </c>
      <c r="G48" s="82">
        <f>D48</f>
        <v>602500000</v>
      </c>
    </row>
    <row r="49" spans="1:7" x14ac:dyDescent="0.25">
      <c r="B49" s="1" t="s">
        <v>54</v>
      </c>
      <c r="C49" s="2"/>
      <c r="D49" s="11">
        <f>SUM(B46:D46)*1.029768</f>
        <v>229377.66500058689</v>
      </c>
      <c r="E49" s="1" t="s">
        <v>55</v>
      </c>
      <c r="F49" s="2"/>
      <c r="G49" s="11">
        <f>SUM(E46:G46)*1.029768</f>
        <v>-671153.37931031059</v>
      </c>
    </row>
    <row r="50" spans="1:7" ht="15" customHeight="1" x14ac:dyDescent="0.25">
      <c r="B50" s="162">
        <f>D49/D48</f>
        <v>3.8070981742835999E-4</v>
      </c>
      <c r="C50" s="163"/>
      <c r="D50" s="164"/>
      <c r="E50" s="162">
        <f>G49/G48</f>
        <v>-1.1139475175274865E-3</v>
      </c>
      <c r="F50" s="163"/>
      <c r="G50" s="164"/>
    </row>
    <row r="51" spans="1:7" ht="15.75" thickBot="1" x14ac:dyDescent="0.3">
      <c r="B51" s="165"/>
      <c r="C51" s="166"/>
      <c r="D51" s="167"/>
      <c r="E51" s="165"/>
      <c r="F51" s="166"/>
      <c r="G51" s="167"/>
    </row>
    <row r="52" spans="1:7" x14ac:dyDescent="0.25">
      <c r="F52" s="6"/>
    </row>
    <row r="53" spans="1:7" x14ac:dyDescent="0.25">
      <c r="F53" s="6"/>
    </row>
    <row r="54" spans="1:7" x14ac:dyDescent="0.25">
      <c r="A54" s="51" t="s">
        <v>60</v>
      </c>
      <c r="F54" s="6"/>
    </row>
    <row r="55" spans="1:7" s="52" customFormat="1" ht="30" x14ac:dyDescent="0.25">
      <c r="A55" s="52" t="s">
        <v>65</v>
      </c>
      <c r="B55" s="84" t="s">
        <v>92</v>
      </c>
      <c r="C55" s="84" t="s">
        <v>75</v>
      </c>
      <c r="D55" s="84" t="s">
        <v>61</v>
      </c>
      <c r="E55" s="84" t="s">
        <v>62</v>
      </c>
      <c r="F55" s="52" t="s">
        <v>68</v>
      </c>
    </row>
    <row r="56" spans="1:7" x14ac:dyDescent="0.25">
      <c r="A56" t="s">
        <v>4</v>
      </c>
      <c r="B56" s="104">
        <f>'(2)(a)(iii)(A) and (B)'!E40</f>
        <v>282511</v>
      </c>
      <c r="C56" s="104">
        <v>297570</v>
      </c>
      <c r="D56" s="104">
        <v>0</v>
      </c>
      <c r="E56" s="105">
        <v>8.5</v>
      </c>
      <c r="F56" s="106">
        <f>'(2)(a)(i) One Time (all)'!B65</f>
        <v>558877.19999999995</v>
      </c>
    </row>
    <row r="57" spans="1:7" x14ac:dyDescent="0.25">
      <c r="A57" t="s">
        <v>56</v>
      </c>
      <c r="B57" s="104">
        <f>'(2)(a)(iii)(A) and (B)'!E37</f>
        <v>353276</v>
      </c>
      <c r="C57" s="104">
        <f>'(2)(a)(i) One Time (all)'!B51</f>
        <v>386854.8</v>
      </c>
      <c r="D57" s="104">
        <v>0</v>
      </c>
      <c r="E57" s="105">
        <v>8.5</v>
      </c>
      <c r="F57" s="104">
        <f>'(2)(a)(i) One Time (all)'!B49</f>
        <v>419671.41575091</v>
      </c>
    </row>
    <row r="58" spans="1:7" x14ac:dyDescent="0.25">
      <c r="A58" t="s">
        <v>81</v>
      </c>
      <c r="B58" s="104">
        <f>'(2)(a)(iii)(A) and (B)'!E45</f>
        <v>83160</v>
      </c>
      <c r="C58" s="104">
        <f>'(2)(a)(i) One Time (all)'!B67</f>
        <v>433572</v>
      </c>
      <c r="D58" s="104">
        <v>0</v>
      </c>
      <c r="E58" s="105">
        <v>8.5</v>
      </c>
      <c r="F58" s="104">
        <v>465731</v>
      </c>
    </row>
    <row r="59" spans="1:7" x14ac:dyDescent="0.25">
      <c r="A59" t="s">
        <v>91</v>
      </c>
      <c r="B59" s="104">
        <f>'(2)(a)(iii)(A) and (B)'!E46</f>
        <v>0</v>
      </c>
      <c r="C59" s="104">
        <v>147161</v>
      </c>
      <c r="D59" s="104">
        <v>0</v>
      </c>
      <c r="E59" s="105">
        <v>8.5</v>
      </c>
      <c r="F59" s="104">
        <v>467825</v>
      </c>
    </row>
    <row r="60" spans="1:7" x14ac:dyDescent="0.25">
      <c r="A60" t="s">
        <v>88</v>
      </c>
      <c r="B60" s="106">
        <f>SUM('(2)(a)(iii)(A) and (B)'!E5:E13)+SUM('(2)(a)(iii)(A) and (B)'!E15:E16)</f>
        <v>148254</v>
      </c>
      <c r="C60" s="106">
        <f>B60</f>
        <v>148254</v>
      </c>
      <c r="D60" s="107">
        <v>0</v>
      </c>
      <c r="E60" s="105">
        <v>1.2</v>
      </c>
      <c r="F60" s="107"/>
    </row>
  </sheetData>
  <mergeCells count="15">
    <mergeCell ref="A48:C48"/>
    <mergeCell ref="B50:D51"/>
    <mergeCell ref="E50:G51"/>
    <mergeCell ref="A1:G1"/>
    <mergeCell ref="A2:G5"/>
    <mergeCell ref="A6:G11"/>
    <mergeCell ref="A13:A15"/>
    <mergeCell ref="B13:D13"/>
    <mergeCell ref="E13:G13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4"/>
  <sheetViews>
    <sheetView topLeftCell="A20" workbookViewId="0">
      <selection activeCell="D61" sqref="D61"/>
    </sheetView>
  </sheetViews>
  <sheetFormatPr defaultRowHeight="15" x14ac:dyDescent="0.25"/>
  <cols>
    <col min="1" max="1" width="37.140625" bestFit="1" customWidth="1"/>
    <col min="2" max="2" width="24" customWidth="1"/>
    <col min="3" max="3" width="23.42578125" customWidth="1"/>
    <col min="4" max="4" width="22.85546875" customWidth="1"/>
    <col min="5" max="5" width="24.28515625" customWidth="1"/>
    <col min="6" max="6" width="19.42578125" customWidth="1"/>
    <col min="7" max="7" width="31.140625" customWidth="1"/>
    <col min="8" max="8" width="18" customWidth="1"/>
    <col min="9" max="9" width="11.5703125" bestFit="1" customWidth="1"/>
  </cols>
  <sheetData>
    <row r="1" spans="1:7" ht="32.25" customHeight="1" thickBot="1" x14ac:dyDescent="0.4">
      <c r="A1" s="180" t="s">
        <v>106</v>
      </c>
      <c r="B1" s="181"/>
      <c r="C1" s="181"/>
      <c r="D1" s="181"/>
      <c r="E1" s="181"/>
      <c r="F1" s="181"/>
      <c r="G1" s="181"/>
    </row>
    <row r="2" spans="1:7" x14ac:dyDescent="0.25">
      <c r="A2" s="169" t="s">
        <v>8</v>
      </c>
      <c r="B2" s="138"/>
      <c r="C2" s="138"/>
      <c r="D2" s="138"/>
      <c r="E2" s="138"/>
      <c r="F2" s="138"/>
      <c r="G2" s="139"/>
    </row>
    <row r="3" spans="1:7" x14ac:dyDescent="0.25">
      <c r="A3" s="140"/>
      <c r="B3" s="141"/>
      <c r="C3" s="141"/>
      <c r="D3" s="141"/>
      <c r="E3" s="141"/>
      <c r="F3" s="141"/>
      <c r="G3" s="142"/>
    </row>
    <row r="4" spans="1:7" ht="0.75" customHeight="1" thickBot="1" x14ac:dyDescent="0.3">
      <c r="A4" s="140"/>
      <c r="B4" s="141"/>
      <c r="C4" s="141"/>
      <c r="D4" s="141"/>
      <c r="E4" s="141"/>
      <c r="F4" s="141"/>
      <c r="G4" s="142"/>
    </row>
    <row r="5" spans="1:7" ht="15.75" hidden="1" thickBot="1" x14ac:dyDescent="0.3">
      <c r="A5" s="170"/>
      <c r="B5" s="171"/>
      <c r="C5" s="171"/>
      <c r="D5" s="171"/>
      <c r="E5" s="171"/>
      <c r="F5" s="171"/>
      <c r="G5" s="172"/>
    </row>
    <row r="6" spans="1:7" x14ac:dyDescent="0.25">
      <c r="A6" s="173" t="s">
        <v>9</v>
      </c>
      <c r="B6" s="174"/>
      <c r="C6" s="174"/>
      <c r="D6" s="174"/>
      <c r="E6" s="174"/>
      <c r="F6" s="174"/>
      <c r="G6" s="175"/>
    </row>
    <row r="7" spans="1:7" x14ac:dyDescent="0.25">
      <c r="A7" s="154"/>
      <c r="B7" s="176"/>
      <c r="C7" s="176"/>
      <c r="D7" s="176"/>
      <c r="E7" s="176"/>
      <c r="F7" s="176"/>
      <c r="G7" s="135"/>
    </row>
    <row r="8" spans="1:7" x14ac:dyDescent="0.25">
      <c r="A8" s="154"/>
      <c r="B8" s="176"/>
      <c r="C8" s="176"/>
      <c r="D8" s="176"/>
      <c r="E8" s="176"/>
      <c r="F8" s="176"/>
      <c r="G8" s="135"/>
    </row>
    <row r="9" spans="1:7" x14ac:dyDescent="0.25">
      <c r="A9" s="154"/>
      <c r="B9" s="176"/>
      <c r="C9" s="176"/>
      <c r="D9" s="176"/>
      <c r="E9" s="176"/>
      <c r="F9" s="176"/>
      <c r="G9" s="135"/>
    </row>
    <row r="10" spans="1:7" x14ac:dyDescent="0.25">
      <c r="A10" s="154"/>
      <c r="B10" s="176"/>
      <c r="C10" s="176"/>
      <c r="D10" s="176"/>
      <c r="E10" s="176"/>
      <c r="F10" s="176"/>
      <c r="G10" s="135"/>
    </row>
    <row r="11" spans="1:7" ht="86.25" customHeight="1" thickBot="1" x14ac:dyDescent="0.3">
      <c r="A11" s="160"/>
      <c r="B11" s="161"/>
      <c r="C11" s="161"/>
      <c r="D11" s="161"/>
      <c r="E11" s="161"/>
      <c r="F11" s="161"/>
      <c r="G11" s="136"/>
    </row>
    <row r="12" spans="1:7" ht="15.75" thickBot="1" x14ac:dyDescent="0.3"/>
    <row r="13" spans="1:7" ht="15.75" thickBot="1" x14ac:dyDescent="0.3">
      <c r="A13" s="177" t="s">
        <v>2</v>
      </c>
      <c r="B13" s="178" t="s">
        <v>47</v>
      </c>
      <c r="C13" s="178"/>
      <c r="D13" s="178"/>
      <c r="E13" s="178" t="s">
        <v>48</v>
      </c>
      <c r="F13" s="178"/>
      <c r="G13" s="178"/>
    </row>
    <row r="14" spans="1:7" ht="15" customHeight="1" thickBot="1" x14ac:dyDescent="0.3">
      <c r="A14" s="177"/>
      <c r="B14" s="179" t="s">
        <v>10</v>
      </c>
      <c r="C14" s="179" t="s">
        <v>18</v>
      </c>
      <c r="D14" s="179" t="s">
        <v>53</v>
      </c>
      <c r="E14" s="179" t="s">
        <v>10</v>
      </c>
      <c r="F14" s="179" t="s">
        <v>18</v>
      </c>
      <c r="G14" s="179" t="s">
        <v>19</v>
      </c>
    </row>
    <row r="15" spans="1:7" ht="15.75" thickBot="1" x14ac:dyDescent="0.3">
      <c r="A15" s="177"/>
      <c r="B15" s="179"/>
      <c r="C15" s="179"/>
      <c r="D15" s="179"/>
      <c r="E15" s="179"/>
      <c r="F15" s="179"/>
      <c r="G15" s="179"/>
    </row>
    <row r="16" spans="1:7" x14ac:dyDescent="0.25">
      <c r="A16" s="37" t="s">
        <v>21</v>
      </c>
      <c r="B16" s="38">
        <f>'(2)(a)(i) One Time (all)'!G16</f>
        <v>-83553.906850647356</v>
      </c>
      <c r="C16" s="39"/>
      <c r="D16" s="39"/>
      <c r="E16" s="38">
        <v>-155825.32874060509</v>
      </c>
      <c r="F16" s="39"/>
      <c r="G16" s="39"/>
    </row>
    <row r="17" spans="1:9" x14ac:dyDescent="0.25">
      <c r="A17" s="4" t="s">
        <v>22</v>
      </c>
      <c r="B17" s="40">
        <f>'(2)(a)(i) One Time (all)'!G17</f>
        <v>-988469.85460058937</v>
      </c>
      <c r="C17" s="41"/>
      <c r="D17" s="41"/>
      <c r="E17" s="40">
        <v>-1017345.7078353526</v>
      </c>
      <c r="F17" s="41"/>
      <c r="G17" s="41"/>
    </row>
    <row r="18" spans="1:9" x14ac:dyDescent="0.25">
      <c r="A18" s="4" t="s">
        <v>23</v>
      </c>
      <c r="B18" s="40">
        <f>'(2)(a)(i) One Time (all)'!G18</f>
        <v>-2030753.2045647479</v>
      </c>
      <c r="C18" s="41"/>
      <c r="D18" s="41"/>
      <c r="E18" s="40">
        <v>-2527658.7871261169</v>
      </c>
      <c r="F18" s="41"/>
      <c r="G18" s="41"/>
    </row>
    <row r="19" spans="1:9" x14ac:dyDescent="0.25">
      <c r="A19" s="4" t="s">
        <v>24</v>
      </c>
      <c r="B19" s="40">
        <f>'(2)(a)(i) One Time (all)'!G19</f>
        <v>-1918381.9962119563</v>
      </c>
      <c r="C19" s="41"/>
      <c r="D19" s="41"/>
      <c r="E19" s="40">
        <v>-2728006.8917778786</v>
      </c>
      <c r="F19" s="41"/>
      <c r="G19" s="41"/>
    </row>
    <row r="20" spans="1:9" x14ac:dyDescent="0.25">
      <c r="A20" s="4" t="s">
        <v>25</v>
      </c>
      <c r="B20" s="40">
        <f>'(2)(a)(i) One Time (all)'!G20</f>
        <v>-1550137.0649592709</v>
      </c>
      <c r="C20" s="41"/>
      <c r="D20" s="41"/>
      <c r="E20" s="40">
        <v>-1899932.1023558602</v>
      </c>
      <c r="F20" s="41"/>
      <c r="G20" s="41"/>
    </row>
    <row r="21" spans="1:9" x14ac:dyDescent="0.25">
      <c r="A21" s="4" t="s">
        <v>26</v>
      </c>
      <c r="B21" s="40">
        <f>'(2)(a)(i) One Time (all)'!G21</f>
        <v>-586375.85909783863</v>
      </c>
      <c r="C21" s="41"/>
      <c r="D21" s="41"/>
      <c r="E21" s="40">
        <v>-603357.27530905697</v>
      </c>
      <c r="F21" s="41"/>
      <c r="G21" s="41"/>
    </row>
    <row r="22" spans="1:9" x14ac:dyDescent="0.25">
      <c r="A22" s="4" t="s">
        <v>27</v>
      </c>
      <c r="B22" s="40">
        <f>'(2)(a)(i) One Time (all)'!G22</f>
        <v>-602224.44823970145</v>
      </c>
      <c r="C22" s="41"/>
      <c r="D22" s="41"/>
      <c r="E22" s="40">
        <v>-671624.72600253532</v>
      </c>
      <c r="F22" s="41"/>
      <c r="G22" s="41"/>
    </row>
    <row r="23" spans="1:9" x14ac:dyDescent="0.25">
      <c r="A23" s="4" t="s">
        <v>28</v>
      </c>
      <c r="B23" s="40">
        <f>'(2)(a)(i) One Time (all)'!G23</f>
        <v>-1618173.80501792</v>
      </c>
      <c r="C23" s="41"/>
      <c r="D23" s="41"/>
      <c r="E23" s="40">
        <v>-1087924.942091349</v>
      </c>
      <c r="F23" s="41"/>
      <c r="G23" s="41"/>
    </row>
    <row r="24" spans="1:9" x14ac:dyDescent="0.25">
      <c r="A24" s="4" t="s">
        <v>29</v>
      </c>
      <c r="B24" s="40">
        <f>'(2)(a)(i) One Time (all)'!G24</f>
        <v>-1207718.8174858554</v>
      </c>
      <c r="C24" s="41"/>
      <c r="D24" s="41"/>
      <c r="E24" s="40">
        <v>-1133571.0805653024</v>
      </c>
      <c r="F24" s="41"/>
      <c r="G24" s="41"/>
    </row>
    <row r="25" spans="1:9" x14ac:dyDescent="0.25">
      <c r="A25" s="4" t="s">
        <v>30</v>
      </c>
      <c r="B25" s="40">
        <f>'(2)(a)(i) One Time (all)'!G25*($B$62/$D$62)</f>
        <v>2793981.0411527487</v>
      </c>
      <c r="C25" s="41"/>
      <c r="D25" s="40">
        <v>0</v>
      </c>
      <c r="E25" s="40">
        <f>'(2)(a)(i) One Time (all)'!G25</f>
        <v>2998445.1741237156</v>
      </c>
      <c r="F25" s="41"/>
      <c r="G25" s="41">
        <f>D25</f>
        <v>0</v>
      </c>
      <c r="I25" s="53"/>
    </row>
    <row r="26" spans="1:9" x14ac:dyDescent="0.25">
      <c r="A26" s="21" t="s">
        <v>42</v>
      </c>
      <c r="B26" s="40">
        <f>'(2)(a)(i) One Time (all)'!G26</f>
        <v>3159099.714512629</v>
      </c>
      <c r="C26" s="42"/>
      <c r="D26" s="40"/>
      <c r="E26" s="40">
        <v>1669354.461419527</v>
      </c>
      <c r="F26" s="42"/>
      <c r="G26" s="41"/>
    </row>
    <row r="27" spans="1:9" x14ac:dyDescent="0.25">
      <c r="A27" s="21" t="s">
        <v>43</v>
      </c>
      <c r="B27" s="40">
        <f>'(2)(a)(i) One Time (all)'!G27</f>
        <v>3034151.5528984428</v>
      </c>
      <c r="C27" s="42"/>
      <c r="D27" s="40"/>
      <c r="E27" s="40">
        <v>2547344.3177372161</v>
      </c>
      <c r="F27" s="42"/>
      <c r="G27" s="41"/>
      <c r="I27" s="53"/>
    </row>
    <row r="28" spans="1:9" x14ac:dyDescent="0.25">
      <c r="A28" s="5" t="s">
        <v>4</v>
      </c>
      <c r="B28" s="40">
        <f>'(2)(a)(i) One Time (all)'!G28</f>
        <v>0</v>
      </c>
      <c r="C28" s="42"/>
      <c r="D28" s="40">
        <f>-D55*E55</f>
        <v>-1801926</v>
      </c>
      <c r="E28" s="40">
        <v>0</v>
      </c>
      <c r="F28" s="42"/>
      <c r="G28" s="41">
        <f>D28</f>
        <v>-1801926</v>
      </c>
      <c r="I28" s="50"/>
    </row>
    <row r="29" spans="1:9" x14ac:dyDescent="0.25">
      <c r="A29" s="28" t="s">
        <v>76</v>
      </c>
      <c r="B29" s="40"/>
      <c r="C29" s="41"/>
      <c r="D29" s="41"/>
      <c r="E29" s="49"/>
      <c r="F29" s="41"/>
      <c r="G29" s="41"/>
      <c r="I29" s="50"/>
    </row>
    <row r="30" spans="1:9" x14ac:dyDescent="0.25">
      <c r="A30" s="28" t="s">
        <v>77</v>
      </c>
      <c r="B30" s="40"/>
      <c r="C30" s="41"/>
      <c r="D30" s="41"/>
      <c r="E30" s="49"/>
      <c r="F30" s="41"/>
      <c r="G30" s="41"/>
      <c r="I30" s="50"/>
    </row>
    <row r="31" spans="1:9" x14ac:dyDescent="0.25">
      <c r="A31" s="28" t="s">
        <v>78</v>
      </c>
      <c r="B31" s="40"/>
      <c r="C31" s="41"/>
      <c r="D31" s="41"/>
      <c r="E31" s="49"/>
      <c r="F31" s="41"/>
      <c r="G31" s="41"/>
      <c r="I31" s="50"/>
    </row>
    <row r="32" spans="1:9" ht="15.75" thickBot="1" x14ac:dyDescent="0.3">
      <c r="A32" s="60" t="s">
        <v>80</v>
      </c>
      <c r="B32" s="61">
        <f>'(2)(a)(i) One Time (all)'!G33</f>
        <v>-1315852.6417208656</v>
      </c>
      <c r="C32" s="62"/>
      <c r="D32" s="62"/>
      <c r="E32" s="63">
        <v>0</v>
      </c>
      <c r="F32" s="62"/>
      <c r="G32" s="100"/>
      <c r="I32" s="50"/>
    </row>
    <row r="33" spans="1:9" ht="15.75" thickBot="1" x14ac:dyDescent="0.3">
      <c r="A33" s="12" t="s">
        <v>41</v>
      </c>
      <c r="B33" s="43">
        <f>SUM(B16:B32)</f>
        <v>-2914409.2901855707</v>
      </c>
      <c r="C33" s="43">
        <f t="shared" ref="C33:F33" si="0">SUM(C16:C31)</f>
        <v>0</v>
      </c>
      <c r="D33" s="43">
        <f>SUM(D16:D32)</f>
        <v>-1801926</v>
      </c>
      <c r="E33" s="43">
        <f>SUM(E16:E32)</f>
        <v>-4610102.8885235991</v>
      </c>
      <c r="F33" s="43">
        <f t="shared" si="0"/>
        <v>0</v>
      </c>
      <c r="G33" s="43">
        <f>SUM(G16:G32)</f>
        <v>-1801926</v>
      </c>
      <c r="I33" s="50"/>
    </row>
    <row r="34" spans="1:9" ht="15.75" thickBot="1" x14ac:dyDescent="0.3">
      <c r="A34" s="33" t="s">
        <v>49</v>
      </c>
      <c r="B34" s="45">
        <f>B33*'(2)(a)(i) One Time (all)'!$G$37</f>
        <v>-1898737.6525558992</v>
      </c>
      <c r="C34" s="45">
        <f>C33*'(2)(a)(i) One Time (all)'!$G$37</f>
        <v>0</v>
      </c>
      <c r="D34" s="45">
        <f>D33*'(2)(a)(i) One Time (all)'!$G$37</f>
        <v>-1173954.7889999999</v>
      </c>
      <c r="E34" s="45">
        <v>-769620.81985370815</v>
      </c>
      <c r="F34" s="45">
        <v>0</v>
      </c>
      <c r="G34" s="46">
        <v>-1441310.0149770002</v>
      </c>
    </row>
    <row r="35" spans="1:9" x14ac:dyDescent="0.25">
      <c r="B35" s="54"/>
      <c r="C35" s="54"/>
      <c r="D35" s="54"/>
      <c r="E35" s="54"/>
      <c r="F35" s="54"/>
      <c r="G35" s="53"/>
    </row>
    <row r="36" spans="1:9" x14ac:dyDescent="0.25">
      <c r="A36" s="3" t="s">
        <v>50</v>
      </c>
      <c r="B36" s="56"/>
      <c r="C36" s="56"/>
      <c r="D36" s="56"/>
      <c r="E36" s="56"/>
      <c r="F36" s="56"/>
      <c r="G36" s="53"/>
    </row>
    <row r="37" spans="1:9" x14ac:dyDescent="0.25">
      <c r="A37" s="4" t="s">
        <v>46</v>
      </c>
      <c r="B37" s="40"/>
      <c r="C37" s="40">
        <v>0</v>
      </c>
      <c r="D37" s="40"/>
      <c r="E37" s="41"/>
      <c r="F37" s="42">
        <v>0</v>
      </c>
      <c r="G37" s="41"/>
    </row>
    <row r="38" spans="1:9" x14ac:dyDescent="0.25">
      <c r="A38" s="21" t="s">
        <v>57</v>
      </c>
      <c r="B38" s="47"/>
      <c r="C38" s="47">
        <f>B64*(1-'(2)(a)(i) One Time (all)'!G37)*E58</f>
        <v>0</v>
      </c>
      <c r="D38" s="47"/>
      <c r="E38" s="42"/>
      <c r="F38" s="41">
        <f>B58/C58*C38</f>
        <v>0</v>
      </c>
      <c r="G38" s="42"/>
    </row>
    <row r="39" spans="1:9" x14ac:dyDescent="0.25">
      <c r="A39" s="21" t="s">
        <v>59</v>
      </c>
      <c r="B39" s="47"/>
      <c r="C39" s="47">
        <f>B61*E55*(1-'(2)(a)(i) One Time (all)'!$G$37)</f>
        <v>1109141.6760000002</v>
      </c>
      <c r="D39" s="47"/>
      <c r="E39" s="42"/>
      <c r="F39" s="41">
        <f t="shared" ref="F39:F40" si="1">B55/C55*C39</f>
        <v>688251.02220795339</v>
      </c>
      <c r="G39" s="42"/>
      <c r="I39">
        <v>760974.22319999989</v>
      </c>
    </row>
    <row r="40" spans="1:9" x14ac:dyDescent="0.25">
      <c r="A40" s="4" t="s">
        <v>58</v>
      </c>
      <c r="B40" s="41"/>
      <c r="C40" s="47">
        <f>B62*E56*(1-'(2)(a)(i) One Time (all)'!$G$37)</f>
        <v>2725646.3800000004</v>
      </c>
      <c r="D40" s="41"/>
      <c r="E40" s="40"/>
      <c r="F40" s="41">
        <f t="shared" si="1"/>
        <v>2685628.486837415</v>
      </c>
      <c r="G40" s="41"/>
      <c r="I40">
        <v>1053309.3293875677</v>
      </c>
    </row>
    <row r="41" spans="1:9" x14ac:dyDescent="0.25">
      <c r="A41" s="4" t="s">
        <v>86</v>
      </c>
      <c r="B41" s="41"/>
      <c r="C41" s="47">
        <f>B63*E57*(1-'(2)(a)(i) One Time (all)'!$G$37)</f>
        <v>0</v>
      </c>
      <c r="D41" s="41"/>
      <c r="E41" s="40"/>
      <c r="F41" s="41">
        <f>B57/C57*C41</f>
        <v>0</v>
      </c>
      <c r="G41" s="41"/>
    </row>
    <row r="42" spans="1:9" x14ac:dyDescent="0.25">
      <c r="A42" s="4" t="s">
        <v>87</v>
      </c>
      <c r="B42" s="41"/>
      <c r="C42" s="40">
        <f>B64*E59*(1-'(2)(a)(i) One Time (all)'!$G$37)</f>
        <v>0</v>
      </c>
      <c r="D42" s="41"/>
      <c r="E42" s="40"/>
      <c r="F42" s="41"/>
      <c r="G42" s="41"/>
    </row>
    <row r="43" spans="1:9" x14ac:dyDescent="0.25">
      <c r="A43" s="110" t="s">
        <v>51</v>
      </c>
      <c r="B43" s="111">
        <f>SUM(B37:B40)</f>
        <v>0</v>
      </c>
      <c r="C43" s="113">
        <f>SUM(C37:C42)</f>
        <v>3834788.0560000008</v>
      </c>
      <c r="D43" s="111">
        <f t="shared" ref="D43:G43" si="2">SUM(D37:D40)</f>
        <v>0</v>
      </c>
      <c r="E43" s="111">
        <f t="shared" si="2"/>
        <v>0</v>
      </c>
      <c r="F43" s="111">
        <f t="shared" si="2"/>
        <v>3373879.5090453685</v>
      </c>
      <c r="G43" s="112">
        <f t="shared" si="2"/>
        <v>0</v>
      </c>
    </row>
    <row r="44" spans="1:9" ht="15.75" thickBot="1" x14ac:dyDescent="0.3">
      <c r="A44" s="5"/>
      <c r="B44" s="42"/>
      <c r="C44" s="42"/>
      <c r="D44" s="42"/>
      <c r="E44" s="42"/>
      <c r="F44" s="42"/>
      <c r="G44" s="42"/>
    </row>
    <row r="45" spans="1:9" ht="15.75" thickBot="1" x14ac:dyDescent="0.3">
      <c r="A45" s="10" t="s">
        <v>52</v>
      </c>
      <c r="B45" s="45">
        <f t="shared" ref="B45:G45" si="3">B34+B43</f>
        <v>-1898737.6525558992</v>
      </c>
      <c r="C45" s="45">
        <f>C34+C43</f>
        <v>3834788.0560000008</v>
      </c>
      <c r="D45" s="45">
        <f>D34+D43</f>
        <v>-1173954.7889999999</v>
      </c>
      <c r="E45" s="45">
        <f>E34+E43</f>
        <v>-769620.81985370815</v>
      </c>
      <c r="F45" s="45">
        <f t="shared" si="3"/>
        <v>3373879.5090453685</v>
      </c>
      <c r="G45" s="46">
        <f t="shared" si="3"/>
        <v>-1441310.0149770002</v>
      </c>
    </row>
    <row r="46" spans="1:9" ht="15.75" thickBot="1" x14ac:dyDescent="0.3">
      <c r="A46" s="34"/>
      <c r="B46" s="35"/>
      <c r="C46" s="35"/>
      <c r="D46" s="35"/>
      <c r="E46" s="36"/>
      <c r="F46" s="36"/>
      <c r="G46" s="35"/>
    </row>
    <row r="47" spans="1:9" ht="15.75" thickBot="1" x14ac:dyDescent="0.3">
      <c r="A47" s="160" t="s">
        <v>11</v>
      </c>
      <c r="B47" s="161"/>
      <c r="C47" s="136"/>
      <c r="D47" s="82">
        <v>602500000</v>
      </c>
      <c r="G47" s="82">
        <v>602500000</v>
      </c>
    </row>
    <row r="48" spans="1:9" x14ac:dyDescent="0.25">
      <c r="B48" s="1" t="s">
        <v>54</v>
      </c>
      <c r="C48" s="2"/>
      <c r="D48" s="11">
        <f>SUM(B45:D45)*1.029768</f>
        <v>784781.67669487372</v>
      </c>
      <c r="E48" s="1" t="s">
        <v>55</v>
      </c>
      <c r="F48" s="2"/>
      <c r="G48" s="11">
        <f>SUM(E45:G45)*1.029768</f>
        <v>1197567.3303486821</v>
      </c>
    </row>
    <row r="49" spans="1:7" ht="15" customHeight="1" x14ac:dyDescent="0.25">
      <c r="B49" s="182">
        <f>D48/D47</f>
        <v>1.3025422019831928E-3</v>
      </c>
      <c r="C49" s="183"/>
      <c r="D49" s="184"/>
      <c r="E49" s="182">
        <f>G48/G47</f>
        <v>1.987663618835987E-3</v>
      </c>
      <c r="F49" s="183"/>
      <c r="G49" s="184"/>
    </row>
    <row r="50" spans="1:7" ht="15.75" thickBot="1" x14ac:dyDescent="0.3">
      <c r="B50" s="185"/>
      <c r="C50" s="186"/>
      <c r="D50" s="187"/>
      <c r="E50" s="185"/>
      <c r="F50" s="186"/>
      <c r="G50" s="187"/>
    </row>
    <row r="51" spans="1:7" x14ac:dyDescent="0.25">
      <c r="F51" s="6"/>
    </row>
    <row r="52" spans="1:7" x14ac:dyDescent="0.25">
      <c r="F52" s="6"/>
    </row>
    <row r="53" spans="1:7" x14ac:dyDescent="0.25">
      <c r="A53" s="51" t="s">
        <v>60</v>
      </c>
    </row>
    <row r="54" spans="1:7" ht="30" x14ac:dyDescent="0.25">
      <c r="A54" s="115" t="s">
        <v>65</v>
      </c>
      <c r="B54" s="117" t="s">
        <v>92</v>
      </c>
      <c r="C54" s="117" t="s">
        <v>75</v>
      </c>
      <c r="D54" s="117" t="s">
        <v>61</v>
      </c>
      <c r="E54" s="117" t="s">
        <v>67</v>
      </c>
    </row>
    <row r="55" spans="1:7" x14ac:dyDescent="0.25">
      <c r="A55" s="4" t="s">
        <v>4</v>
      </c>
      <c r="B55" s="104">
        <f>'(2)(a)(iii)(A) and (B)'!E17</f>
        <v>176812</v>
      </c>
      <c r="C55" s="104">
        <v>284939</v>
      </c>
      <c r="D55" s="104">
        <v>100107</v>
      </c>
      <c r="E55" s="118">
        <v>18</v>
      </c>
      <c r="G55" s="103"/>
    </row>
    <row r="56" spans="1:7" x14ac:dyDescent="0.25">
      <c r="A56" s="4" t="s">
        <v>56</v>
      </c>
      <c r="B56" s="104">
        <f>'(2)(a)(iii)(A) and (B)'!E14</f>
        <v>391054</v>
      </c>
      <c r="C56" s="104">
        <v>396881</v>
      </c>
      <c r="D56" s="104">
        <v>5827</v>
      </c>
      <c r="E56" s="118">
        <v>20</v>
      </c>
      <c r="G56" s="103"/>
    </row>
    <row r="57" spans="1:7" x14ac:dyDescent="0.25">
      <c r="A57" s="4" t="s">
        <v>82</v>
      </c>
      <c r="B57" s="104">
        <f>'(2)(a)(iii)(A) and (B)'!E22</f>
        <v>155440</v>
      </c>
      <c r="C57" s="104">
        <v>498616</v>
      </c>
      <c r="D57" s="104">
        <v>0</v>
      </c>
      <c r="E57" s="118">
        <v>0</v>
      </c>
    </row>
    <row r="58" spans="1:7" x14ac:dyDescent="0.25">
      <c r="A58" s="4" t="s">
        <v>89</v>
      </c>
      <c r="B58" s="104">
        <v>188388</v>
      </c>
      <c r="C58" s="104">
        <v>148254</v>
      </c>
      <c r="D58" s="104">
        <v>0</v>
      </c>
      <c r="E58" s="118">
        <v>0</v>
      </c>
    </row>
    <row r="60" spans="1:7" ht="30" x14ac:dyDescent="0.25">
      <c r="A60" s="4"/>
      <c r="B60" s="114" t="s">
        <v>108</v>
      </c>
      <c r="C60" s="114"/>
      <c r="D60" s="115" t="s">
        <v>68</v>
      </c>
    </row>
    <row r="61" spans="1:7" x14ac:dyDescent="0.25">
      <c r="A61" s="4" t="s">
        <v>4</v>
      </c>
      <c r="B61" s="104">
        <v>176812</v>
      </c>
      <c r="C61" s="104"/>
      <c r="D61" s="104">
        <v>288953</v>
      </c>
    </row>
    <row r="62" spans="1:7" x14ac:dyDescent="0.25">
      <c r="A62" s="4" t="s">
        <v>66</v>
      </c>
      <c r="B62" s="116">
        <v>391054</v>
      </c>
      <c r="C62" s="116"/>
      <c r="D62" s="104">
        <f>'(2)(a)(i) One Time (all)'!B49</f>
        <v>419671.41575091</v>
      </c>
    </row>
    <row r="63" spans="1:7" x14ac:dyDescent="0.25">
      <c r="A63" s="4" t="s">
        <v>82</v>
      </c>
      <c r="B63" s="104">
        <v>498616</v>
      </c>
      <c r="C63" s="104"/>
      <c r="D63" s="104">
        <f>'(2)(a)(i) One Time (all)'!B65</f>
        <v>558877.19999999995</v>
      </c>
    </row>
    <row r="64" spans="1:7" x14ac:dyDescent="0.25">
      <c r="A64" s="4" t="s">
        <v>89</v>
      </c>
      <c r="B64" s="104">
        <v>148254</v>
      </c>
      <c r="C64" s="104"/>
      <c r="D64" s="104">
        <v>188388</v>
      </c>
    </row>
  </sheetData>
  <mergeCells count="15">
    <mergeCell ref="A1:G1"/>
    <mergeCell ref="G14:G15"/>
    <mergeCell ref="A47:C47"/>
    <mergeCell ref="B49:D50"/>
    <mergeCell ref="E49:G50"/>
    <mergeCell ref="A2:G5"/>
    <mergeCell ref="A6:G11"/>
    <mergeCell ref="A13:A15"/>
    <mergeCell ref="B13:D13"/>
    <mergeCell ref="E13:G13"/>
    <mergeCell ref="B14:B15"/>
    <mergeCell ref="C14:C15"/>
    <mergeCell ref="D14:D15"/>
    <mergeCell ref="E14:E15"/>
    <mergeCell ref="F14:F15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8"/>
  <sheetViews>
    <sheetView workbookViewId="0">
      <selection activeCell="E28" sqref="E28:E45"/>
    </sheetView>
  </sheetViews>
  <sheetFormatPr defaultRowHeight="15" x14ac:dyDescent="0.25"/>
  <cols>
    <col min="1" max="1" width="24.28515625" style="7" bestFit="1" customWidth="1"/>
    <col min="2" max="2" width="21.28515625" style="7" customWidth="1"/>
    <col min="3" max="3" width="18.28515625" style="7" customWidth="1"/>
    <col min="4" max="4" width="23.42578125" style="7" customWidth="1"/>
    <col min="5" max="5" width="32.28515625" style="7" customWidth="1"/>
    <col min="6" max="6" width="49.85546875" style="7" customWidth="1"/>
    <col min="7" max="16384" width="9.140625" style="7"/>
  </cols>
  <sheetData>
    <row r="1" spans="1:6" ht="31.5" customHeight="1" thickBot="1" x14ac:dyDescent="0.4">
      <c r="A1" s="180" t="s">
        <v>107</v>
      </c>
      <c r="B1" s="188"/>
      <c r="C1" s="188"/>
      <c r="D1" s="188"/>
      <c r="E1" s="188"/>
      <c r="F1" s="188"/>
    </row>
    <row r="2" spans="1:6" ht="50.25" customHeight="1" thickBot="1" x14ac:dyDescent="0.4">
      <c r="A2" s="9">
        <v>2024</v>
      </c>
      <c r="B2" s="195" t="s">
        <v>17</v>
      </c>
      <c r="C2" s="196"/>
      <c r="D2" s="196"/>
      <c r="E2" s="196"/>
      <c r="F2" s="196"/>
    </row>
    <row r="3" spans="1:6" ht="15.75" customHeight="1" thickBot="1" x14ac:dyDescent="0.4">
      <c r="A3" s="9"/>
      <c r="B3" s="189" t="s">
        <v>1</v>
      </c>
      <c r="C3" s="190"/>
      <c r="D3" s="191"/>
      <c r="E3" s="189" t="s">
        <v>15</v>
      </c>
      <c r="F3" s="191"/>
    </row>
    <row r="4" spans="1:6" ht="45" x14ac:dyDescent="0.25">
      <c r="A4" s="16" t="s">
        <v>2</v>
      </c>
      <c r="B4" s="17" t="s">
        <v>12</v>
      </c>
      <c r="C4" s="17" t="s">
        <v>13</v>
      </c>
      <c r="D4" s="17" t="s">
        <v>16</v>
      </c>
      <c r="E4" s="17" t="s">
        <v>14</v>
      </c>
      <c r="F4" s="17" t="s">
        <v>20</v>
      </c>
    </row>
    <row r="5" spans="1:6" x14ac:dyDescent="0.25">
      <c r="A5" s="18" t="s">
        <v>21</v>
      </c>
      <c r="B5" s="78">
        <f>'(2)(a)(i) One Time (all)'!G16</f>
        <v>-83553.906850647356</v>
      </c>
      <c r="C5" s="15">
        <v>2288</v>
      </c>
      <c r="D5" s="79">
        <f>B5/C5</f>
        <v>-36.518315931226994</v>
      </c>
      <c r="E5" s="85">
        <v>2288</v>
      </c>
      <c r="F5" s="19">
        <f>E5*D5</f>
        <v>-83553.906850647356</v>
      </c>
    </row>
    <row r="6" spans="1:6" x14ac:dyDescent="0.25">
      <c r="A6" s="20" t="s">
        <v>22</v>
      </c>
      <c r="B6" s="78">
        <f>'(2)(a)(i) One Time (all)'!G17</f>
        <v>-988469.85460058937</v>
      </c>
      <c r="C6" s="15">
        <v>13618</v>
      </c>
      <c r="D6" s="79">
        <f t="shared" ref="D6:D12" si="0">B6/C6</f>
        <v>-72.585537861696977</v>
      </c>
      <c r="E6" s="85">
        <v>13618</v>
      </c>
      <c r="F6" s="19">
        <f t="shared" ref="F6:F15" si="1">E6*D6</f>
        <v>-988469.85460058949</v>
      </c>
    </row>
    <row r="7" spans="1:6" x14ac:dyDescent="0.25">
      <c r="A7" s="20" t="s">
        <v>23</v>
      </c>
      <c r="B7" s="78">
        <f>'(2)(a)(i) One Time (all)'!G18</f>
        <v>-2030753.2045647479</v>
      </c>
      <c r="C7" s="15">
        <v>12929</v>
      </c>
      <c r="D7" s="79">
        <f t="shared" si="0"/>
        <v>-157.06962677428632</v>
      </c>
      <c r="E7" s="85">
        <v>12929</v>
      </c>
      <c r="F7" s="19">
        <f t="shared" si="1"/>
        <v>-2030753.2045647479</v>
      </c>
    </row>
    <row r="8" spans="1:6" x14ac:dyDescent="0.25">
      <c r="A8" s="20" t="s">
        <v>24</v>
      </c>
      <c r="B8" s="78">
        <f>'(2)(a)(i) One Time (all)'!G19</f>
        <v>-1918381.9962119563</v>
      </c>
      <c r="C8" s="15">
        <v>9019</v>
      </c>
      <c r="D8" s="79">
        <f t="shared" si="0"/>
        <v>-212.70451227541372</v>
      </c>
      <c r="E8" s="85">
        <v>9019</v>
      </c>
      <c r="F8" s="19">
        <f t="shared" si="1"/>
        <v>-1918381.9962119563</v>
      </c>
    </row>
    <row r="9" spans="1:6" x14ac:dyDescent="0.25">
      <c r="A9" s="20" t="s">
        <v>25</v>
      </c>
      <c r="B9" s="78">
        <f>'(2)(a)(i) One Time (all)'!G20</f>
        <v>-1550137.0649592709</v>
      </c>
      <c r="C9" s="15">
        <v>15024</v>
      </c>
      <c r="D9" s="79">
        <f t="shared" si="0"/>
        <v>-103.17738717780024</v>
      </c>
      <c r="E9" s="85">
        <v>15024</v>
      </c>
      <c r="F9" s="19">
        <f t="shared" si="1"/>
        <v>-1550137.0649592709</v>
      </c>
    </row>
    <row r="10" spans="1:6" x14ac:dyDescent="0.25">
      <c r="A10" s="20" t="s">
        <v>26</v>
      </c>
      <c r="B10" s="78">
        <f>'(2)(a)(i) One Time (all)'!G21</f>
        <v>-586375.85909783863</v>
      </c>
      <c r="C10" s="15">
        <v>21726</v>
      </c>
      <c r="D10" s="79">
        <f t="shared" si="0"/>
        <v>-26.989591231604468</v>
      </c>
      <c r="E10" s="85">
        <v>21726</v>
      </c>
      <c r="F10" s="19">
        <f t="shared" si="1"/>
        <v>-586375.85909783863</v>
      </c>
    </row>
    <row r="11" spans="1:6" x14ac:dyDescent="0.25">
      <c r="A11" s="20" t="s">
        <v>27</v>
      </c>
      <c r="B11" s="78">
        <f>'(2)(a)(i) One Time (all)'!G22</f>
        <v>-602224.44823970145</v>
      </c>
      <c r="C11" s="15">
        <v>5374</v>
      </c>
      <c r="D11" s="79">
        <f t="shared" si="0"/>
        <v>-112.06260666909219</v>
      </c>
      <c r="E11" s="85">
        <v>5374</v>
      </c>
      <c r="F11" s="19">
        <f t="shared" si="1"/>
        <v>-602224.44823970145</v>
      </c>
    </row>
    <row r="12" spans="1:6" x14ac:dyDescent="0.25">
      <c r="A12" s="20" t="s">
        <v>28</v>
      </c>
      <c r="B12" s="78">
        <f>'(2)(a)(i) One Time (all)'!G23</f>
        <v>-1618173.80501792</v>
      </c>
      <c r="C12" s="15">
        <v>22136</v>
      </c>
      <c r="D12" s="79">
        <f t="shared" si="0"/>
        <v>-73.101454870704728</v>
      </c>
      <c r="E12" s="85">
        <v>22136</v>
      </c>
      <c r="F12" s="19">
        <f t="shared" si="1"/>
        <v>-1618173.80501792</v>
      </c>
    </row>
    <row r="13" spans="1:6" x14ac:dyDescent="0.25">
      <c r="A13" s="20" t="s">
        <v>29</v>
      </c>
      <c r="B13" s="78">
        <f>'(2)(a)(i) One Time (all)'!G24</f>
        <v>-1207718.8174858554</v>
      </c>
      <c r="C13" s="15">
        <v>14627</v>
      </c>
      <c r="D13" s="79">
        <f>B13/C13</f>
        <v>-82.567773124075714</v>
      </c>
      <c r="E13" s="85">
        <v>14627</v>
      </c>
      <c r="F13" s="19">
        <f>E13*D13</f>
        <v>-1207718.8174858554</v>
      </c>
    </row>
    <row r="14" spans="1:6" x14ac:dyDescent="0.25">
      <c r="A14" s="20" t="s">
        <v>30</v>
      </c>
      <c r="B14" s="78">
        <f>'(2)(a)(ii)Annual-2024 actual'!B25</f>
        <v>2793981.0411527487</v>
      </c>
      <c r="C14" s="15">
        <v>391054</v>
      </c>
      <c r="D14" s="79">
        <f>B14/C14</f>
        <v>7.1447448207990423</v>
      </c>
      <c r="E14" s="85">
        <v>391054</v>
      </c>
      <c r="F14" s="19">
        <f>E14*D14</f>
        <v>2793981.0411527487</v>
      </c>
    </row>
    <row r="15" spans="1:6" x14ac:dyDescent="0.25">
      <c r="A15" s="20" t="s">
        <v>42</v>
      </c>
      <c r="B15" s="78">
        <f>'(2)(a)(i) One Time (all)'!G26</f>
        <v>3159099.714512629</v>
      </c>
      <c r="C15" s="15">
        <v>16062</v>
      </c>
      <c r="D15" s="79">
        <f>B15/C15</f>
        <v>196.68159099194551</v>
      </c>
      <c r="E15" s="85">
        <v>16062</v>
      </c>
      <c r="F15" s="19">
        <f t="shared" si="1"/>
        <v>3159099.714512629</v>
      </c>
    </row>
    <row r="16" spans="1:6" x14ac:dyDescent="0.25">
      <c r="A16" s="20" t="s">
        <v>43</v>
      </c>
      <c r="B16" s="78">
        <f>'(2)(a)(i) One Time (all)'!G27</f>
        <v>3034151.5528984428</v>
      </c>
      <c r="C16" s="15">
        <v>15451</v>
      </c>
      <c r="D16" s="79">
        <f t="shared" ref="D16:D22" si="2">B16/C16</f>
        <v>196.37250358542767</v>
      </c>
      <c r="E16" s="85">
        <v>15451</v>
      </c>
      <c r="F16" s="19">
        <f>E16*D16</f>
        <v>3034151.5528984428</v>
      </c>
    </row>
    <row r="17" spans="1:12" x14ac:dyDescent="0.25">
      <c r="A17" s="20" t="s">
        <v>4</v>
      </c>
      <c r="B17" s="78">
        <f>'(2)(a)(i) One Time (all)'!G28</f>
        <v>0</v>
      </c>
      <c r="C17" s="15">
        <v>176812</v>
      </c>
      <c r="D17" s="79">
        <f t="shared" si="2"/>
        <v>0</v>
      </c>
      <c r="E17" s="85">
        <v>176812</v>
      </c>
      <c r="F17" s="19">
        <f t="shared" ref="F17:F21" si="3">E17*D17</f>
        <v>0</v>
      </c>
    </row>
    <row r="18" spans="1:12" x14ac:dyDescent="0.25">
      <c r="A18" s="20" t="s">
        <v>46</v>
      </c>
      <c r="B18" s="78">
        <f>'(2)(a)(i) One Time (all)'!G29</f>
        <v>725000</v>
      </c>
      <c r="C18" s="14">
        <v>0</v>
      </c>
      <c r="D18" s="79"/>
      <c r="E18" s="85">
        <v>0</v>
      </c>
      <c r="F18" s="19">
        <f t="shared" si="3"/>
        <v>0</v>
      </c>
      <c r="K18" s="83"/>
      <c r="L18" s="83"/>
    </row>
    <row r="19" spans="1:12" x14ac:dyDescent="0.25">
      <c r="A19" s="20" t="s">
        <v>76</v>
      </c>
      <c r="B19" s="78">
        <f>'(2)(a)(i) One Time (all)'!G30</f>
        <v>-11668.011026964456</v>
      </c>
      <c r="C19" s="14">
        <v>894</v>
      </c>
      <c r="D19" s="79"/>
      <c r="E19" s="85">
        <v>0</v>
      </c>
      <c r="F19" s="19">
        <f t="shared" si="3"/>
        <v>0</v>
      </c>
    </row>
    <row r="20" spans="1:12" x14ac:dyDescent="0.25">
      <c r="A20" s="20" t="s">
        <v>77</v>
      </c>
      <c r="B20" s="78">
        <f>'(2)(a)(i) One Time (all)'!G31</f>
        <v>0</v>
      </c>
      <c r="C20" s="14">
        <v>0</v>
      </c>
      <c r="D20" s="79"/>
      <c r="E20" s="85">
        <v>1010</v>
      </c>
      <c r="F20" s="19">
        <f t="shared" si="3"/>
        <v>0</v>
      </c>
    </row>
    <row r="21" spans="1:12" x14ac:dyDescent="0.25">
      <c r="A21" s="20" t="s">
        <v>78</v>
      </c>
      <c r="B21" s="78">
        <f>'(2)(a)(i) One Time (all)'!G32</f>
        <v>0</v>
      </c>
      <c r="C21" s="14">
        <v>0</v>
      </c>
      <c r="D21" s="79"/>
      <c r="E21" s="85">
        <v>0</v>
      </c>
      <c r="F21" s="19">
        <f t="shared" si="3"/>
        <v>0</v>
      </c>
    </row>
    <row r="22" spans="1:12" x14ac:dyDescent="0.25">
      <c r="A22" s="20" t="s">
        <v>80</v>
      </c>
      <c r="B22" s="78">
        <f>'(2)(a)(i) One Time (all)'!G33</f>
        <v>-1315852.6417208656</v>
      </c>
      <c r="C22" s="14">
        <v>498616</v>
      </c>
      <c r="D22" s="79">
        <f t="shared" si="2"/>
        <v>-2.6390100632969373</v>
      </c>
      <c r="E22" s="85">
        <v>155440</v>
      </c>
      <c r="F22" s="19">
        <f>E22*D22</f>
        <v>-410207.72423887596</v>
      </c>
    </row>
    <row r="23" spans="1:12" x14ac:dyDescent="0.25">
      <c r="A23" s="7" t="s">
        <v>90</v>
      </c>
      <c r="B23" s="78">
        <f>'(2)(a)(i) One Time (all)'!G34</f>
        <v>-4309469</v>
      </c>
      <c r="C23" s="121">
        <v>153354</v>
      </c>
      <c r="D23" s="122"/>
      <c r="E23" s="123">
        <v>0</v>
      </c>
      <c r="F23" s="124"/>
    </row>
    <row r="25" spans="1:12" ht="52.5" customHeight="1" thickBot="1" x14ac:dyDescent="0.4">
      <c r="A25" s="86">
        <v>2025</v>
      </c>
      <c r="B25" s="195" t="s">
        <v>17</v>
      </c>
      <c r="C25" s="196"/>
      <c r="D25" s="196"/>
      <c r="E25" s="196"/>
      <c r="F25" s="196"/>
    </row>
    <row r="26" spans="1:12" ht="18" customHeight="1" x14ac:dyDescent="0.35">
      <c r="A26" s="9"/>
      <c r="B26" s="192" t="s">
        <v>1</v>
      </c>
      <c r="C26" s="193"/>
      <c r="D26" s="194"/>
      <c r="E26" s="192" t="s">
        <v>15</v>
      </c>
      <c r="F26" s="194"/>
    </row>
    <row r="27" spans="1:12" ht="45" x14ac:dyDescent="0.25">
      <c r="A27" s="16" t="s">
        <v>2</v>
      </c>
      <c r="B27" s="16" t="s">
        <v>12</v>
      </c>
      <c r="C27" s="16" t="s">
        <v>13</v>
      </c>
      <c r="D27" s="16" t="s">
        <v>16</v>
      </c>
      <c r="E27" s="16" t="s">
        <v>14</v>
      </c>
      <c r="F27" s="16" t="s">
        <v>20</v>
      </c>
    </row>
    <row r="28" spans="1:12" x14ac:dyDescent="0.25">
      <c r="A28" s="18" t="s">
        <v>21</v>
      </c>
      <c r="B28" s="15">
        <f>'(2)(a)(i) One Time (all)'!G16</f>
        <v>-83553.906850647356</v>
      </c>
      <c r="C28" s="15">
        <v>2160</v>
      </c>
      <c r="D28" s="78">
        <f>B28/C28</f>
        <v>-38.682364282707113</v>
      </c>
      <c r="E28" s="85">
        <v>2160</v>
      </c>
      <c r="F28" s="78">
        <f>E28*D28</f>
        <v>-83553.906850647356</v>
      </c>
    </row>
    <row r="29" spans="1:12" x14ac:dyDescent="0.25">
      <c r="A29" s="20" t="s">
        <v>22</v>
      </c>
      <c r="B29" s="15">
        <f>'(2)(a)(i) One Time (all)'!G17</f>
        <v>-988469.85460058937</v>
      </c>
      <c r="C29" s="15">
        <v>13262</v>
      </c>
      <c r="D29" s="78">
        <f t="shared" ref="D29:D39" si="4">B29/C29</f>
        <v>-74.533995973502442</v>
      </c>
      <c r="E29" s="85">
        <v>13262</v>
      </c>
      <c r="F29" s="78">
        <f t="shared" ref="F29:F40" si="5">E29*D29</f>
        <v>-988469.85460058937</v>
      </c>
    </row>
    <row r="30" spans="1:12" x14ac:dyDescent="0.25">
      <c r="A30" s="20" t="s">
        <v>23</v>
      </c>
      <c r="B30" s="15">
        <f>'(2)(a)(i) One Time (all)'!G18</f>
        <v>-2030753.2045647479</v>
      </c>
      <c r="C30" s="15">
        <v>14300</v>
      </c>
      <c r="D30" s="78">
        <f t="shared" si="4"/>
        <v>-142.01071360592641</v>
      </c>
      <c r="E30" s="85">
        <v>14300</v>
      </c>
      <c r="F30" s="78">
        <f>E30*D30</f>
        <v>-2030753.2045647476</v>
      </c>
    </row>
    <row r="31" spans="1:12" x14ac:dyDescent="0.25">
      <c r="A31" s="20" t="s">
        <v>24</v>
      </c>
      <c r="B31" s="15">
        <f>'(2)(a)(i) One Time (all)'!G19</f>
        <v>-1918381.9962119563</v>
      </c>
      <c r="C31" s="15">
        <v>9508</v>
      </c>
      <c r="D31" s="78">
        <f t="shared" si="4"/>
        <v>-201.76503956793817</v>
      </c>
      <c r="E31" s="85">
        <v>9508</v>
      </c>
      <c r="F31" s="78">
        <f t="shared" si="5"/>
        <v>-1918381.9962119563</v>
      </c>
    </row>
    <row r="32" spans="1:12" x14ac:dyDescent="0.25">
      <c r="A32" s="20" t="s">
        <v>25</v>
      </c>
      <c r="B32" s="15">
        <f>'(2)(a)(i) One Time (all)'!G20</f>
        <v>-1550137.0649592709</v>
      </c>
      <c r="C32" s="15">
        <v>14967</v>
      </c>
      <c r="D32" s="78">
        <f t="shared" si="4"/>
        <v>-103.57032571385521</v>
      </c>
      <c r="E32" s="85">
        <v>14967</v>
      </c>
      <c r="F32" s="78">
        <f t="shared" si="5"/>
        <v>-1550137.0649592709</v>
      </c>
    </row>
    <row r="33" spans="1:11" x14ac:dyDescent="0.25">
      <c r="A33" s="20" t="s">
        <v>26</v>
      </c>
      <c r="B33" s="15">
        <f>'(2)(a)(i) One Time (all)'!G21</f>
        <v>-586375.85909783863</v>
      </c>
      <c r="C33" s="15">
        <v>21912</v>
      </c>
      <c r="D33" s="78">
        <f t="shared" si="4"/>
        <v>-26.760490101215709</v>
      </c>
      <c r="E33" s="85">
        <v>21912</v>
      </c>
      <c r="F33" s="78">
        <f t="shared" si="5"/>
        <v>-586375.85909783863</v>
      </c>
    </row>
    <row r="34" spans="1:11" x14ac:dyDescent="0.25">
      <c r="A34" s="20" t="s">
        <v>27</v>
      </c>
      <c r="B34" s="15">
        <f>'(2)(a)(i) One Time (all)'!G22</f>
        <v>-602224.44823970145</v>
      </c>
      <c r="C34" s="15">
        <v>5959</v>
      </c>
      <c r="D34" s="78">
        <f t="shared" si="4"/>
        <v>-101.06132710852516</v>
      </c>
      <c r="E34" s="85">
        <v>5959</v>
      </c>
      <c r="F34" s="78">
        <f t="shared" si="5"/>
        <v>-602224.44823970145</v>
      </c>
    </row>
    <row r="35" spans="1:11" x14ac:dyDescent="0.25">
      <c r="A35" s="20" t="s">
        <v>28</v>
      </c>
      <c r="B35" s="15">
        <f>'(2)(a)(i) One Time (all)'!G23</f>
        <v>-1618173.80501792</v>
      </c>
      <c r="C35" s="15">
        <v>25214</v>
      </c>
      <c r="D35" s="78">
        <f t="shared" si="4"/>
        <v>-64.177592013084791</v>
      </c>
      <c r="E35" s="85">
        <v>25214</v>
      </c>
      <c r="F35" s="78">
        <f t="shared" si="5"/>
        <v>-1618173.80501792</v>
      </c>
    </row>
    <row r="36" spans="1:11" x14ac:dyDescent="0.25">
      <c r="A36" s="20" t="s">
        <v>29</v>
      </c>
      <c r="B36" s="15">
        <f>'(2)(a)(i) One Time (all)'!G24</f>
        <v>-1207718.8174858554</v>
      </c>
      <c r="C36" s="15">
        <v>12533</v>
      </c>
      <c r="D36" s="78">
        <f t="shared" si="4"/>
        <v>-96.363106796924555</v>
      </c>
      <c r="E36" s="85">
        <v>12533</v>
      </c>
      <c r="F36" s="78">
        <f t="shared" si="5"/>
        <v>-1207718.8174858554</v>
      </c>
    </row>
    <row r="37" spans="1:11" x14ac:dyDescent="0.25">
      <c r="A37" s="20" t="s">
        <v>30</v>
      </c>
      <c r="B37" s="15">
        <f>'(2)(a)(ii)Annual-2025, estimate'!B25</f>
        <v>2763978.8287012489</v>
      </c>
      <c r="C37" s="15">
        <v>353276</v>
      </c>
      <c r="D37" s="79">
        <f>B37/C37</f>
        <v>7.8238511212232043</v>
      </c>
      <c r="E37" s="85">
        <v>353276</v>
      </c>
      <c r="F37" s="78">
        <f>E37*D37</f>
        <v>2763978.8287012489</v>
      </c>
      <c r="J37" s="83"/>
      <c r="K37" s="83"/>
    </row>
    <row r="38" spans="1:11" x14ac:dyDescent="0.25">
      <c r="A38" s="20" t="s">
        <v>42</v>
      </c>
      <c r="B38" s="80">
        <f>'(2)(a)(i) One Time (all)'!G26</f>
        <v>3159099.714512629</v>
      </c>
      <c r="C38" s="15">
        <v>16172</v>
      </c>
      <c r="D38" s="78">
        <f t="shared" si="4"/>
        <v>195.34378645267307</v>
      </c>
      <c r="E38" s="85">
        <v>16172</v>
      </c>
      <c r="F38" s="78">
        <f t="shared" ref="F38:F39" si="6">E38*D38</f>
        <v>3159099.714512629</v>
      </c>
    </row>
    <row r="39" spans="1:11" x14ac:dyDescent="0.25">
      <c r="A39" s="20" t="s">
        <v>43</v>
      </c>
      <c r="B39" s="80">
        <f>'(2)(a)(i) One Time (all)'!G27</f>
        <v>3034151.5528984428</v>
      </c>
      <c r="C39" s="15">
        <v>15554</v>
      </c>
      <c r="D39" s="78">
        <f t="shared" si="4"/>
        <v>195.0721070398896</v>
      </c>
      <c r="E39" s="85">
        <v>15554</v>
      </c>
      <c r="F39" s="78">
        <f t="shared" si="6"/>
        <v>3034151.5528984428</v>
      </c>
    </row>
    <row r="40" spans="1:11" x14ac:dyDescent="0.25">
      <c r="A40" s="20" t="s">
        <v>4</v>
      </c>
      <c r="B40" s="80">
        <f>'(2)(a)(i) One Time (all)'!G28</f>
        <v>0</v>
      </c>
      <c r="C40" s="15">
        <v>282511</v>
      </c>
      <c r="D40" s="78">
        <v>0</v>
      </c>
      <c r="E40" s="85">
        <v>282511</v>
      </c>
      <c r="F40" s="78">
        <f t="shared" si="5"/>
        <v>0</v>
      </c>
    </row>
    <row r="41" spans="1:11" x14ac:dyDescent="0.25">
      <c r="A41" s="20" t="s">
        <v>46</v>
      </c>
      <c r="B41" s="80">
        <f>'(2)(a)(i) One Time (all)'!G29</f>
        <v>725000</v>
      </c>
      <c r="C41" s="15">
        <v>0</v>
      </c>
      <c r="D41" s="15">
        <v>0</v>
      </c>
      <c r="E41" s="85">
        <v>0</v>
      </c>
      <c r="F41" s="15">
        <v>0</v>
      </c>
    </row>
    <row r="42" spans="1:11" x14ac:dyDescent="0.25">
      <c r="A42" s="20" t="s">
        <v>76</v>
      </c>
      <c r="B42" s="80">
        <f>'(2)(a)(i) One Time (all)'!G30</f>
        <v>-11668.011026964456</v>
      </c>
      <c r="C42" s="15">
        <v>1010</v>
      </c>
      <c r="D42" s="15">
        <v>0</v>
      </c>
      <c r="E42" s="85">
        <v>1010</v>
      </c>
      <c r="F42" s="15">
        <v>0</v>
      </c>
    </row>
    <row r="43" spans="1:11" x14ac:dyDescent="0.25">
      <c r="A43" s="20" t="s">
        <v>77</v>
      </c>
      <c r="B43" s="80">
        <f>'(2)(a)(i) One Time (all)'!G31</f>
        <v>0</v>
      </c>
      <c r="C43" s="15">
        <v>0</v>
      </c>
      <c r="D43" s="15">
        <v>0</v>
      </c>
      <c r="E43" s="85">
        <v>0</v>
      </c>
      <c r="F43" s="15">
        <v>0</v>
      </c>
    </row>
    <row r="44" spans="1:11" x14ac:dyDescent="0.25">
      <c r="A44" s="20" t="s">
        <v>78</v>
      </c>
      <c r="B44" s="80">
        <f>'(2)(a)(i) One Time (all)'!G32</f>
        <v>0</v>
      </c>
      <c r="C44" s="15">
        <f>'(2)(a)(ii)Annual-2025, estimate'!C61</f>
        <v>0</v>
      </c>
      <c r="D44" s="15">
        <v>0</v>
      </c>
      <c r="E44" s="85">
        <v>0</v>
      </c>
      <c r="F44" s="15">
        <v>0</v>
      </c>
    </row>
    <row r="45" spans="1:11" x14ac:dyDescent="0.25">
      <c r="A45" s="20" t="s">
        <v>80</v>
      </c>
      <c r="B45" s="80">
        <f>'(2)(a)(i) One Time (all)'!G33</f>
        <v>-1315852.6417208656</v>
      </c>
      <c r="C45" s="15">
        <v>433572</v>
      </c>
      <c r="D45" s="102">
        <f>B45/C45</f>
        <v>-3.0349114834926278</v>
      </c>
      <c r="E45" s="85">
        <v>83160</v>
      </c>
      <c r="F45" s="91">
        <f>E45*D45</f>
        <v>-252383.23896724693</v>
      </c>
    </row>
    <row r="46" spans="1:11" x14ac:dyDescent="0.25">
      <c r="A46" s="20" t="s">
        <v>90</v>
      </c>
      <c r="B46" s="80">
        <f>'(2)(a)(i) One Time (all)'!G34</f>
        <v>-4309469</v>
      </c>
      <c r="C46" s="15">
        <v>389854</v>
      </c>
      <c r="D46" s="102">
        <f>B46/C46</f>
        <v>-11.054058698897537</v>
      </c>
      <c r="E46" s="85">
        <v>0</v>
      </c>
      <c r="F46" s="91">
        <f>E46*D46</f>
        <v>0</v>
      </c>
    </row>
    <row r="48" spans="1:11" x14ac:dyDescent="0.25">
      <c r="E48" s="83"/>
    </row>
  </sheetData>
  <mergeCells count="7">
    <mergeCell ref="A1:F1"/>
    <mergeCell ref="B3:D3"/>
    <mergeCell ref="E3:F3"/>
    <mergeCell ref="B26:D26"/>
    <mergeCell ref="E26:F26"/>
    <mergeCell ref="B2:F2"/>
    <mergeCell ref="B25:F2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2CB96142BC0162419F26E4CD39D2A30B" ma:contentTypeVersion="19" ma:contentTypeDescription="" ma:contentTypeScope="" ma:versionID="679cbdf10ff11072b4b00c63e58f845d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Initial Filing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140</IndustryCode>
    <CaseStatus xmlns="dc463f71-b30c-4ab2-9473-d307f9d35888">Closed</CaseStatus>
    <OpenedDate xmlns="dc463f71-b30c-4ab2-9473-d307f9d35888">2025-05-30T07:00:00+00:00</OpenedDate>
    <SignificantOrder xmlns="dc463f71-b30c-4ab2-9473-d307f9d35888">false</SignificantOrder>
    <Date1 xmlns="dc463f71-b30c-4ab2-9473-d307f9d35888">2025-05-30T07:00:00+00:00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250415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ED613089-6774-4E69-9562-714DF1A45819}"/>
</file>

<file path=customXml/itemProps2.xml><?xml version="1.0" encoding="utf-8"?>
<ds:datastoreItem xmlns:ds="http://schemas.openxmlformats.org/officeDocument/2006/customXml" ds:itemID="{66D144CD-64ED-467C-99E1-28706E632380}"/>
</file>

<file path=customXml/itemProps3.xml><?xml version="1.0" encoding="utf-8"?>
<ds:datastoreItem xmlns:ds="http://schemas.openxmlformats.org/officeDocument/2006/customXml" ds:itemID="{C39CA7D2-AB35-436A-9387-CDF339A01CBE}"/>
</file>

<file path=customXml/itemProps4.xml><?xml version="1.0" encoding="utf-8"?>
<ds:datastoreItem xmlns:ds="http://schemas.openxmlformats.org/officeDocument/2006/customXml" ds:itemID="{84F91CA8-C46B-46DA-865C-5E5D468655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(2)(a)(i) One Time (all)</vt:lpstr>
      <vt:lpstr>(2)(a)(ii)Annual-2025, estimate</vt:lpstr>
      <vt:lpstr>(2)(a)(ii)Annual-2024 actual</vt:lpstr>
      <vt:lpstr>(2)(a)(iii)(A) and (B)</vt:lpstr>
    </vt:vector>
  </TitlesOfParts>
  <Company>Washington Utilities and Transportation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Scanlan, Kathi (UTC)</dc:creator>
  <cp:lastModifiedBy>Lyons, John</cp:lastModifiedBy>
  <dcterms:created xsi:type="dcterms:W3CDTF">2016-07-07T17:22:29Z</dcterms:created>
  <dcterms:modified xsi:type="dcterms:W3CDTF">2025-05-29T00:16:00Z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{3AE1FDE3-8B20-4889-983C-824E00BFC41A}</vt:lpwstr>
  </property>
  <property fmtid="{D5CDD505-2E9C-101B-9397-08002B2CF9AE}" pid="3" name="ContentTypeId">
    <vt:lpwstr>0x0101006E56B4D1795A2E4DB2F0B01679ED314A002CB96142BC0162419F26E4CD39D2A30B</vt:lpwstr>
  </property>
  <property fmtid="{D5CDD505-2E9C-101B-9397-08002B2CF9AE}" pid="4" name="_docset_NoMedatataSyncRequired">
    <vt:lpwstr>False</vt:lpwstr>
  </property>
</Properties>
</file>