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Property Tax Tracker\2025\FILED\"/>
    </mc:Choice>
  </mc:AlternateContent>
  <bookViews>
    <workbookView xWindow="0" yWindow="0" windowWidth="22815" windowHeight="10470" tabRatio="850"/>
  </bookViews>
  <sheets>
    <sheet name="Sch. 140 Rates" sheetId="1" r:id="rId1"/>
    <sheet name="Allocation Factors" sheetId="34" r:id="rId2"/>
    <sheet name="Rate Impacts--&gt;" sheetId="19" r:id="rId3"/>
    <sheet name="Rate Impacts Sch 140" sheetId="70" r:id="rId4"/>
    <sheet name="Typical Res Bill Sch 140" sheetId="71" r:id="rId5"/>
    <sheet name="Sch. 140" sheetId="72" r:id="rId6"/>
    <sheet name="Workpapers--&gt;" sheetId="33" r:id="rId7"/>
    <sheet name="2025 FINAL Rev Req" sheetId="73" r:id="rId8"/>
    <sheet name="Therm Forecast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___________________six6" localSheetId="7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7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7" hidden="1">{#N/A,#N/A,FALSE,"schA"}</definedName>
    <definedName name="____________________www1" hidden="1">{#N/A,#N/A,FALSE,"schA"}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7" hidden="1">{#N/A,#N/A,FALSE,"schA"}</definedName>
    <definedName name="_______________www1" hidden="1">{#N/A,#N/A,FALSE,"schA"}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7" hidden="1">{#N/A,#N/A,FALSE,"schA"}</definedName>
    <definedName name="______________www1" hidden="1">{#N/A,#N/A,FALSE,"schA"}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7" hidden="1">{#N/A,#N/A,FALSE,"schA"}</definedName>
    <definedName name="_____________www1" hidden="1">{#N/A,#N/A,FALSE,"schA"}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7" hidden="1">{#N/A,#N/A,FALSE,"schA"}</definedName>
    <definedName name="____________www1" hidden="1">{#N/A,#N/A,FALSE,"schA"}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7" hidden="1">{#N/A,#N/A,FALSE,"schA"}</definedName>
    <definedName name="___________www1" hidden="1">{#N/A,#N/A,FALSE,"schA"}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7" hidden="1">{#N/A,#N/A,FALSE,"schA"}</definedName>
    <definedName name="__________www1" hidden="1">{#N/A,#N/A,FALSE,"schA"}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7" hidden="1">{#N/A,#N/A,FALSE,"schA"}</definedName>
    <definedName name="_________www1" hidden="1">{#N/A,#N/A,FALSE,"schA"}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7" hidden="1">{#N/A,#N/A,FALSE,"schA"}</definedName>
    <definedName name="________www1" hidden="1">{#N/A,#N/A,FALSE,"schA"}</definedName>
    <definedName name="_______ex1" localSheetId="7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hidden="1">{#N/A,#N/A,FALSE,"Summ";#N/A,#N/A,FALSE,"General"}</definedName>
    <definedName name="______Jun09">" BS!$AI$7:$AI$1643"</definedName>
    <definedName name="______new1" localSheetId="7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hidden="1">{#N/A,#N/A,FALSE,"schA"}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ex1" localSheetId="7" hidden="1">{#N/A,#N/A,FALSE,"Summ";#N/A,#N/A,FALSE,"General"}</definedName>
    <definedName name="_____ex1" hidden="1">{#N/A,#N/A,FALSE,"Summ";#N/A,#N/A,FALSE,"General"}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ew1" localSheetId="7" hidden="1">{#N/A,#N/A,FALSE,"Summ";#N/A,#N/A,FALSE,"General"}</definedName>
    <definedName name="_____new1" hidden="1">{#N/A,#N/A,FALSE,"Summ";#N/A,#N/A,FALSE,"General"}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hidden="1">{#N/A,#N/A,FALSE,"schA"}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ex1" localSheetId="7" hidden="1">{#N/A,#N/A,FALSE,"Summ";#N/A,#N/A,FALSE,"General"}</definedName>
    <definedName name="____ex1" hidden="1">{#N/A,#N/A,FALSE,"Summ";#N/A,#N/A,FALSE,"General"}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ew1" localSheetId="7" hidden="1">{#N/A,#N/A,FALSE,"Summ";#N/A,#N/A,FALSE,"General"}</definedName>
    <definedName name="____new1" hidden="1">{#N/A,#N/A,FALSE,"Summ";#N/A,#N/A,FALSE,"General"}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hidden="1">{#N/A,#N/A,FALSE,"schA"}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ex1" localSheetId="7" hidden="1">{#N/A,#N/A,FALSE,"Summ";#N/A,#N/A,FALSE,"General"}</definedName>
    <definedName name="___ex1" hidden="1">{#N/A,#N/A,FALSE,"Summ";#N/A,#N/A,FALSE,"General"}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ew1" localSheetId="7" hidden="1">{#N/A,#N/A,FALSE,"Summ";#N/A,#N/A,FALSE,"General"}</definedName>
    <definedName name="___new1" hidden="1">{#N/A,#N/A,FALSE,"Summ";#N/A,#N/A,FALSE,"General"}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hidden="1">{#N/A,#N/A,FALSE,"schA"}</definedName>
    <definedName name="__123Graph_A" hidden="1">[5]Quant!$D$71:$O$71</definedName>
    <definedName name="__123Graph_ABUDG6_DSCRPR">[5]Quant!$D$71:$O$71</definedName>
    <definedName name="__123Graph_ABUDG6_ESCRPR1">[5]Quant!$D$100:$O$100</definedName>
    <definedName name="__123Graph_B" hidden="1">[5]Quant!$D$72:$O$72</definedName>
    <definedName name="__123Graph_BBUDG6_DSCRPR">[5]Quant!$D$72:$O$72</definedName>
    <definedName name="__123Graph_BBUDG6_ESCRPR1">[5]Quant!$D$88:$O$88</definedName>
    <definedName name="__123Graph_D" localSheetId="7" hidden="1">#REF!</definedName>
    <definedName name="__123Graph_D" hidden="1">#REF!</definedName>
    <definedName name="__123Graph_ECURRENT" localSheetId="7" hidden="1">[6]ConsolidatingPL!#REF!</definedName>
    <definedName name="__123Graph_ECURRENT" hidden="1">[6]ConsolidatingPL!#REF!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ex1" localSheetId="7" hidden="1">{#N/A,#N/A,FALSE,"Summ";#N/A,#N/A,FALSE,"General"}</definedName>
    <definedName name="__ex1" hidden="1">{#N/A,#N/A,FALSE,"Summ";#N/A,#N/A,FALSE,"General"}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ew1" localSheetId="7" hidden="1">{#N/A,#N/A,FALSE,"Summ";#N/A,#N/A,FALSE,"General"}</definedName>
    <definedName name="__new1" hidden="1">{#N/A,#N/A,FALSE,"Summ";#N/A,#N/A,FALSE,"General"}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hidden="1">{#N/A,#N/A,FALSE,"schA"}</definedName>
    <definedName name="_1__123Graph_ABUDG6_D_ESCRPR">[5]Quant!$D$71:$O$71</definedName>
    <definedName name="_2__123Graph_ABUDG6_Dtons_inv" hidden="1">[7]Quant!#REF!</definedName>
    <definedName name="_3__123Graph_ABUDG6_Dtons_inv" hidden="1">[8]Quant!#REF!</definedName>
    <definedName name="_3__123Graph_BBUDG6_D_ESCRPR">[5]Quant!$D$72:$O$72</definedName>
    <definedName name="_4__123Graph_ABUDG6_Dtons_inv" hidden="1">'[9]Area D 2011'!#REF!</definedName>
    <definedName name="_4__123Graph_BBUDG6_Dtons_inv">[5]Quant!$D$9:$O$9</definedName>
    <definedName name="_5__123Graph_CBUDG6_D_ESCRPR">[5]Quant!$D$100:$O$100</definedName>
    <definedName name="_6__123Graph_CBUDG6_D_ESCRPR" hidden="1">'[10]2012 Area AB BudgetSummary'!#REF!</definedName>
    <definedName name="_6__123Graph_DBUDG6_D_ESCRPR">[5]Quant!$D$88:$O$88</definedName>
    <definedName name="_7__123Graph_CBUDG6_D_ESCRPR" hidden="1">'[9]Area D 2011'!#REF!</definedName>
    <definedName name="_7__123Graph_DBUDG6_D_ESCRPR" hidden="1">'[10]2012 Area AB BudgetSummary'!#REF!</definedName>
    <definedName name="_7__123Graph_XBUDG6_D_ESCRPR">[5]Quant!$D$5:$O$5</definedName>
    <definedName name="_8__123Graph_DBUDG6_D_ESCRPR" hidden="1">'[9]Area D 2011'!#REF!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ex1" localSheetId="7" hidden="1">{#N/A,#N/A,FALSE,"Summ";#N/A,#N/A,FALSE,"General"}</definedName>
    <definedName name="_ex1" hidden="1">{#N/A,#N/A,FALSE,"Summ";#N/A,#N/A,FALSE,"General"}</definedName>
    <definedName name="_Feb04">[1]BS!$S$7:$S$3582</definedName>
    <definedName name="_FEB09" xml:space="preserve"> [2]BS!$S$7:$S$1726</definedName>
    <definedName name="_FEDERAL_INCOME_TAX">'[11]MJS-7'!$N$21</definedName>
    <definedName name="_Fill" localSheetId="7" hidden="1">#REF!</definedName>
    <definedName name="_Fill" hidden="1">#REF!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ew1" localSheetId="7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arse_In" localSheetId="7" hidden="1">#REF!</definedName>
    <definedName name="_Parse_In" hidden="1">#REF!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Regression_Out" hidden="1">[12]FIA!#REF!</definedName>
    <definedName name="_SEC24">[4]EXTERNAL!$A$112:$IV$114</definedName>
    <definedName name="_Sep03">[3]BS!$Q$7:$Q$3582</definedName>
    <definedName name="_Sep04">[1]BS!$Z$7:$Z$3582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www1" localSheetId="7" hidden="1">{#N/A,#N/A,FALSE,"schA"}</definedName>
    <definedName name="_www1" hidden="1">{#N/A,#N/A,FALSE,"schA"}</definedName>
    <definedName name="a" localSheetId="7" hidden="1">{#N/A,#N/A,FALSE,"Coversheet";#N/A,#N/A,FALSE,"QA"}</definedName>
    <definedName name="a" hidden="1">{#N/A,#N/A,FALSE,"Coversheet";#N/A,#N/A,FALSE,"QA"}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7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2281SO">'[13]Func Study'!$H$2190</definedName>
    <definedName name="Acct2283SO">'[13]Func Study'!$H$2198</definedName>
    <definedName name="Acct228SO">'[13]Func Study'!$H$2194</definedName>
    <definedName name="Acct350">'[13]Func Study'!$H$1628</definedName>
    <definedName name="Acct352">'[13]Func Study'!$H$1635</definedName>
    <definedName name="Acct353">'[13]Func Study'!$H$1641</definedName>
    <definedName name="Acct354">'[13]Func Study'!$H$1647</definedName>
    <definedName name="Acct355">'[13]Func Study'!$H$1654</definedName>
    <definedName name="Acct356">'[13]Func Study'!$H$1660</definedName>
    <definedName name="Acct357">'[13]Func Study'!$H$1666</definedName>
    <definedName name="Acct358">'[13]Func Study'!$H$1672</definedName>
    <definedName name="Acct359">'[13]Func Study'!$H$1678</definedName>
    <definedName name="Acct360">'[13]Func Study'!$H$1698</definedName>
    <definedName name="Acct361">'[13]Func Study'!$H$1704</definedName>
    <definedName name="Acct362">'[13]Func Study'!$H$1710</definedName>
    <definedName name="Acct364">'[13]Func Study'!$H$1717</definedName>
    <definedName name="Acct365">'[13]Func Study'!$H$1724</definedName>
    <definedName name="Acct366">'[13]Func Study'!$H$1731</definedName>
    <definedName name="Acct367">'[13]Func Study'!$H$1738</definedName>
    <definedName name="Acct368">'[13]Func Study'!$H$1744</definedName>
    <definedName name="Acct369">'[13]Func Study'!$H$1751</definedName>
    <definedName name="Acct370">'[13]Func Study'!$H$1762</definedName>
    <definedName name="Acct371">'[13]Func Study'!$H$1769</definedName>
    <definedName name="Acct372">'[13]Func Study'!$H$1776</definedName>
    <definedName name="Acct372A">'[13]Func Study'!$H$1775</definedName>
    <definedName name="Acct372DP">'[13]Func Study'!$H$1773</definedName>
    <definedName name="Acct372DS">'[13]Func Study'!$H$1774</definedName>
    <definedName name="Acct373">'[13]Func Study'!$H$1782</definedName>
    <definedName name="Acct448S">'[13]Func Study'!$H$274</definedName>
    <definedName name="Acct450S">'[13]Func Study'!$H$302</definedName>
    <definedName name="Acct451S">'[13]Func Study'!$H$307</definedName>
    <definedName name="Acct454S">'[13]Func Study'!$H$318</definedName>
    <definedName name="Acct456S">'[13]Func Study'!$H$325</definedName>
    <definedName name="ACCT557CAGE">'[13]Func Study'!$H$683</definedName>
    <definedName name="Acct557CT">'[13]Func Study'!$H$681</definedName>
    <definedName name="Acct580">'[13]Func Study'!$H$791</definedName>
    <definedName name="Acct581">'[13]Func Study'!$H$796</definedName>
    <definedName name="Acct582">'[13]Func Study'!$H$801</definedName>
    <definedName name="Acct583">'[13]Func Study'!$H$806</definedName>
    <definedName name="Acct584">'[13]Func Study'!$H$811</definedName>
    <definedName name="Acct585">'[13]Func Study'!$H$816</definedName>
    <definedName name="Acct586">'[13]Func Study'!$H$821</definedName>
    <definedName name="Acct587">'[13]Func Study'!$H$826</definedName>
    <definedName name="Acct588">'[13]Func Study'!$H$831</definedName>
    <definedName name="Acct589">'[13]Func Study'!$H$836</definedName>
    <definedName name="Acct590">'[13]Func Study'!$H$841</definedName>
    <definedName name="Acct591">'[13]Func Study'!$H$846</definedName>
    <definedName name="Acct592">'[13]Func Study'!$H$851</definedName>
    <definedName name="Acct593">'[13]Func Study'!$H$856</definedName>
    <definedName name="Acct594">'[13]Func Study'!$H$861</definedName>
    <definedName name="Acct595">'[13]Func Study'!$H$866</definedName>
    <definedName name="Acct596">'[13]Func Study'!$H$876</definedName>
    <definedName name="Acct597">'[13]Func Study'!$H$881</definedName>
    <definedName name="Acct598">'[13]Func Study'!$H$886</definedName>
    <definedName name="AcctAGA">'[13]Func Study'!$H$296</definedName>
    <definedName name="AcctTable">[14]Variables!$AK$42:$AK$396</definedName>
    <definedName name="AcctTS0">'[13]Func Study'!$H$1686</definedName>
    <definedName name="Acq1Plant">'[15]Acquisition Inputs'!$C$8</definedName>
    <definedName name="Acq2Plant">'[15]Acquisition Inputs'!$C$70</definedName>
    <definedName name="ActualROR">'[16]G+T+D+R+M'!$H$61</definedName>
    <definedName name="ADJPTDCE.T">[4]INTERNAL!$A$31:$IV$33</definedName>
    <definedName name="Adjs2avg">[17]Inputs!$L$255:'[17]Inputs'!$T$505</definedName>
    <definedName name="After_Tax_Cash_Discount">'[18]Assumptions (Input)'!$D$37</definedName>
    <definedName name="afudc_flag">'[18]Assumptions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'[19]Cabot Gas Replacement'!$B$8:$F$16</definedName>
    <definedName name="AS2DocOpenMode">"AS2DocumentEdit"</definedName>
    <definedName name="Assessment_Rate">'[18]Assumptions (Input)'!$B$7</definedName>
    <definedName name="Asset_Class_Switch">[20]Assumptions!$D$5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[14]Factors!$B$3:$P$99</definedName>
    <definedName name="b" localSheetId="7" hidden="1">{#N/A,#N/A,FALSE,"Coversheet";#N/A,#N/A,FALSE,"QA"}</definedName>
    <definedName name="b" hidden="1">{#N/A,#N/A,FALSE,"Coversheet";#N/A,#N/A,FALSE,"QA"}</definedName>
    <definedName name="Beg_Unb_KWHs">[21]LeadSht!$L$10</definedName>
    <definedName name="BEm" localSheetId="7" hidden="1">#REF!</definedName>
    <definedName name="BEm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7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'[22]Lvl FCR'!$G$10</definedName>
    <definedName name="BPAX">[4]EXTERNAL!$A$121:$IV$123</definedName>
    <definedName name="Bum" localSheetId="7" hidden="1">#REF!</definedName>
    <definedName name="Bum" hidden="1">#REF!</definedName>
    <definedName name="Button_1">"TradeSummary_Ken_Finicle_List"</definedName>
    <definedName name="CAE.T">[4]INTERNAL!$A$34:$IV$36</definedName>
    <definedName name="CAES1.T">[4]INTERNAL!$A$37:$IV$39</definedName>
    <definedName name="cap">[23]Readings!$B$2</definedName>
    <definedName name="Capital_Inflation">'[18]Assumptions (Input)'!$B$11</definedName>
    <definedName name="CASE">[24]INPUTS!$C$11</definedName>
    <definedName name="CASE_GAS">'[25]Named Ranges G'!$C$4</definedName>
    <definedName name="Case_Name">'[26]KJB-6,13 Cmn Adj'!$B$8</definedName>
    <definedName name="CaseDescription">'[15]Dispatch Cases'!$C$11</definedName>
    <definedName name="CBWorkbookPriority">-2060790043</definedName>
    <definedName name="CCGT_HeatRate">[15]Assumptions!$H$23</definedName>
    <definedName name="CCGTPrice">[15]Assumptions!$H$22</definedName>
    <definedName name="CL_RT2">'[27]Transp Data'!$A$6:$C$81</definedName>
    <definedName name="Close_Date">'[18]Capital Projects(Input)'!$D$7:$D$53</definedName>
    <definedName name="Comp_GAS">'[25]Named Ranges G'!$C$8</definedName>
    <definedName name="Company">'[28]Named Ranges E'!$B$2</definedName>
    <definedName name="Construction_OH">'[29]Virtual 49 Back-Up'!$E$54</definedName>
    <definedName name="ConversionFactor">[15]Assumptions!$I$65</definedName>
    <definedName name="COSFacVal">[13]Inputs!$R$5</definedName>
    <definedName name="CurrQtr">'[30]Inc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'[31]Mix Variance'!$B$1:$N$31</definedName>
    <definedName name="Data.Avg">'[30]Avg Amts'!$A$5:$BP$34</definedName>
    <definedName name="Data.Qtrs.Avg">'[30]Avg Amts'!$A$5:$IV$5</definedName>
    <definedName name="data1">'[32]Mix Variance'!$O$5:$T$25</definedName>
    <definedName name="DebtPerc">[15]Assumptions!$I$58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[33]Inputs!$D$11</definedName>
    <definedName name="DES1.T">[4]INTERNAL!$A$40:$IV$42</definedName>
    <definedName name="DES2.T">[4]INTERNAL!$A$43:$IV$45</definedName>
    <definedName name="df" localSheetId="7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[15]Assumptions!$L$23</definedName>
    <definedName name="DFIT" localSheetId="7" hidden="1">{#N/A,#N/A,FALSE,"Coversheet";#N/A,#N/A,FALSE,"QA"}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'[13]Func Study'!$AB$250</definedName>
    <definedName name="Discount_for_Revenue_Reqmt">'[34]Assumptions of Purchase'!$B$45</definedName>
    <definedName name="DisFac">'[13]Func Dist Factor Table'!$A$11:$G$25</definedName>
    <definedName name="DocketNumber">'[35]JHS-4'!$AP$2</definedName>
    <definedName name="DP.T">[4]INTERNAL!$A$46:$IV$48</definedName>
    <definedName name="DUDE" localSheetId="7" hidden="1">#REF!</definedName>
    <definedName name="DUDE" hidden="1">#REF!</definedName>
    <definedName name="EBFIT.T">[4]INTERNAL!$A$88:$IV$90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ffTax">[24]INPUTS!$F$36</definedName>
    <definedName name="Electric_Prices">'[36]Monthly Price Summary'!$B$4:$E$27</definedName>
    <definedName name="ElRBLine">[1]BS!$AQ$7:$AQ$3303</definedName>
    <definedName name="EndDate">[15]Assumptions!$C$11</definedName>
    <definedName name="ENERGY_1">[4]EXTERNAL!$A$4:$IV$6</definedName>
    <definedName name="ENERGY_2">[4]EXTERNAL!$A$145:$IV$147</definedName>
    <definedName name="Engy">[16]Inputs!$D$9</definedName>
    <definedName name="Engy2">[33]Inputs!$D$12</definedName>
    <definedName name="EPIS.T">[4]INTERNAL!$A$49:$IV$51</definedName>
    <definedName name="error" localSheetId="7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hibit_No.______MJS_4">'[11]MJS-4'!$O$3</definedName>
    <definedName name="Exhibit_No.______MJS_5">'[11]MJS-5'!$E$3</definedName>
    <definedName name="Exhibit_No.______MJS_6">'[11]MJS-6'!$F$3</definedName>
    <definedName name="F" localSheetId="7" hidden="1">#REF!</definedName>
    <definedName name="F" hidden="1">#REF!</definedName>
    <definedName name="Factorck">'[13]COS Factor Table'!$O$15:$O$113</definedName>
    <definedName name="FactorType">[14]Variables!$AK$2:$AL$12</definedName>
    <definedName name="FactSum">'[13]COS Factor Table'!$A$14:$O$113</definedName>
    <definedName name="FCR">'[29]Virtual 49 Back-Up'!$B$20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[37]Inputs!$E$112</definedName>
    <definedName name="FedTaxRate">[15]Assumptions!$C$33</definedName>
    <definedName name="FERC_Lookup">'[38]Map Table'!$E$2:$F$58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IT">'[39]ROR &amp; CONV FACTOR'!$J$20</definedName>
    <definedName name="FIT_GAS">'[25]Named Ranges G'!$C$3</definedName>
    <definedName name="FIT_Tax_Rate">'[18]Assumptions (Input)'!$B$5</definedName>
    <definedName name="FranchiseTax">[17]Variables!$D$26</definedName>
    <definedName name="FTAX">[24]INPUTS!$F$35</definedName>
    <definedName name="Func">'[13]Func Factor Table'!$A$10:$H$77</definedName>
    <definedName name="Function">'[13]Func Study'!$AB$250</definedName>
    <definedName name="gary" localSheetId="7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[1]BS!$AS$7:$AS$3631</definedName>
    <definedName name="GasWC_LineItem">[1]BS!$AR$7:$AR$3631</definedName>
    <definedName name="GP.T">[4]INTERNAL!$A$52:$IV$54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'[18]Assumptions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jj">[40]Inputs!$N$18</definedName>
    <definedName name="JP_Bal">[41]ACCOUNTS!$AG$31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[14]Variables!$AK$15</definedName>
    <definedName name="JurisNumber">[14]Variables!$AL$15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>'[42]KJB-3 Sum'!$AQ$2</definedName>
    <definedName name="keep_FIT">'[42]KJB-7 Def'!$L$20</definedName>
    <definedName name="keep_KJB_3_Rate_Increase">'[42]KJB-7 Def'!$C$3</definedName>
    <definedName name="keep_KJB_4_Electric_Summary">'[42]KJB-3 Sum'!$AQ$3</definedName>
    <definedName name="keep_KJB_8_Common_Adjs">'[42]KJB-5 Cmn Adj'!$L$3</definedName>
    <definedName name="keep_KJB_9_Electric_Only">'[42]KJB-5 El Adj'!$E$3</definedName>
    <definedName name="keep_PSE">'[43]Gas Summary'!$I$5</definedName>
    <definedName name="keep_TESTYEAR">'[43]Gas Detail Pages'!$A$8</definedName>
    <definedName name="kp_DOCKET">'[43]Gas Detail Pages'!$A$9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7">IF([44]!Values_Entered,Header_Row+[44]!Number_of_Payments,Header_Row)</definedName>
    <definedName name="Last_Row">IF([44]!Values_Entered,Header_Row+[44]!Number_of_Payments,Header_Row)</definedName>
    <definedName name="Levy_Rate">'[18]Assumptions (Input)'!$B$6</definedName>
    <definedName name="limcount">1</definedName>
    <definedName name="LINE.T">[4]INTERNAL!$A$55:$IV$57</definedName>
    <definedName name="LinkCos">'[13]JAM Download'!$K$4</definedName>
    <definedName name="Load_Factor">[41]ACCOUNTS!$AG$167</definedName>
    <definedName name="LoadArray">'[45]Load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7" hidden="1">{#N/A,#N/A,FALSE,"Coversheet";#N/A,#N/A,FALSE,"QA"}</definedName>
    <definedName name="lookup" hidden="1">{#N/A,#N/A,FALSE,"Coversheet";#N/A,#N/A,FALSE,"QA"}</definedName>
    <definedName name="M9100F4_v4">[46]M9100F4!$A$1:$V$99</definedName>
    <definedName name="MACRS">'[18]MACRS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[47]!menu1_Button5_Click</definedName>
    <definedName name="menu1_Button6_Click">[47]!menu1_Button6_Click</definedName>
    <definedName name="MERGER_COST">[48]Sheet1!$AF$3:$AJ$28</definedName>
    <definedName name="METER">[4]EXTERNAL!$A$34:$IV$36</definedName>
    <definedName name="Method">[16]Inputs!$C$6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list">[49]Table!$R$2:$S$13</definedName>
    <definedName name="monthtotals">'[49]WA SBC'!$D$40:$O$40</definedName>
    <definedName name="MTD_Format">[50]Mthly!$B$11:$D$11,[50]Mthly!$B$32:$D$32</definedName>
    <definedName name="MTR_YR3">[51]Variables!$E$14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[13]Inputs!$G$8</definedName>
    <definedName name="NetToGross">[17]Variables!$D$23</definedName>
    <definedName name="new" localSheetId="7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[1]BS!$AN$7:$AN$3582</definedName>
    <definedName name="Nov09AMA">[2]BS!$AU$7:$AU$1726</definedName>
    <definedName name="NOYT" localSheetId="7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[52]Inputs!$N$18</definedName>
    <definedName name="NRG">[4]CLASSIFIERS!$A$5:$IV$5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'[18]MiscItems(Input)'!$B$5:$AO$8,'[18]MiscItems(Input)'!$B$13:$AO$13,'[18]MiscItems(Input)'!$B$15:$B$17,'[18]MiscItems(Input)'!$B$17:$AO$17,'[18]MiscItems(Input)'!$B$15:$AO$15</definedName>
    <definedName name="O_M_Rate">'[29]Virtual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'[53]Dist Misc'!$F$120</definedName>
    <definedName name="OthRCF">[54]INPUTS!$F$41</definedName>
    <definedName name="OthUnc">[4]INPUTS!$F$36</definedName>
    <definedName name="outlookdata">'[55]pivoted data'!$D$3:$Q$90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'[56]2008 Extreme Peaks - 080403'!$E$5:$AD$8</definedName>
    <definedName name="peak_table">'[56]Peaks-F01'!$C$5:$E$243</definedName>
    <definedName name="PeakMethod">[16]Inputs!$T$5</definedName>
    <definedName name="Percent_debt">[37]Inputs!$E$129</definedName>
    <definedName name="Plant_Input">'[18]Plant(Input)'!$B$7:$AP$9,'[18]Plant(Input)'!$B$11,'[18]Plant(Input)'!$B$15:$AP$15,'[18]Plant(Input)'!$B$18,'[18]Plant(Input)'!$B$20:$AP$20</definedName>
    <definedName name="POWER.T">[4]INTERNAL!$A$58:$IV$60</definedName>
    <definedName name="PP.T">[4]INTERNAL!$A$61:$IV$63</definedName>
    <definedName name="PreTaxDebtCost">[15]Assumptions!$I$56</definedName>
    <definedName name="PreTaxWACC">[15]Assumptions!$I$62</definedName>
    <definedName name="Prices_Aurora">'[36]Monthly Price Summary'!$C$4:$H$63</definedName>
    <definedName name="_xlnm.Print_Area" localSheetId="1">'Allocation Factors'!$A$1:$E$20</definedName>
    <definedName name="_xlnm.Print_Area" localSheetId="3">'Rate Impacts Sch 140'!$A$1:$X$39</definedName>
    <definedName name="_xlnm.Print_Area" localSheetId="5">'Sch. 140'!$A$1:$I$23</definedName>
    <definedName name="_xlnm.Print_Area" localSheetId="0">'Sch. 140 Rates'!$A$1:$N$26</definedName>
    <definedName name="_xlnm.Print_Area" localSheetId="8">'Therm Forecast'!$A$1:$N$26</definedName>
    <definedName name="_xlnm.Print_Area" localSheetId="4">'Typical Res Bill Sch 140'!$B$1:$H$43</definedName>
    <definedName name="Prior_Month">[57]Sch_120!$I$21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[58]Sheet1!$A$1147:$B$1887</definedName>
    <definedName name="Prov_Cap_Tax">[37]Inputs!$E$111</definedName>
    <definedName name="PSE">'[59]4.04'!$A$6</definedName>
    <definedName name="PSE_Pre_Tax_Equity_Rate">'[34]Assumptions of Purchase'!$B$42</definedName>
    <definedName name="PTDGP.T">[4]INTERNAL!$A$64:$IV$66</definedName>
    <definedName name="PTDP.T">[4]INTERNAL!$A$67:$IV$69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7" hidden="1">{#N/A,#N/A,FALSE,"schA"}</definedName>
    <definedName name="qqq" hidden="1">{#N/A,#N/A,FALSE,"schA"}</definedName>
    <definedName name="QTD_Format">[60]QTD!$B$11:$D$11,[60]QTD!$B$35:$D$35</definedName>
    <definedName name="RATE2">'[27]Transp Data'!$A$8:$I$112</definedName>
    <definedName name="RateCase">'[28]Named Ranges E'!$B$7</definedName>
    <definedName name="Rates">[61]Codes!$A$1:$C$500</definedName>
    <definedName name="RB.T">[4]INTERNAL!$A$70:$IV$72</definedName>
    <definedName name="RCF">[41]INPUTS!$F$48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qulated_scenario">'[18]Assumptions (Input)'!$B$12</definedName>
    <definedName name="ResExchCrRate">[62]Sch_194!$M$31</definedName>
    <definedName name="RESID">[4]EXTERNAL!$A$88:$IV$90</definedName>
    <definedName name="resource_lookup">'[63]#REF'!$B$3:$C$112</definedName>
    <definedName name="ResourceSupplier">[17]Variables!$D$28</definedName>
    <definedName name="ResRCF">[24]INPUTS!$F$44</definedName>
    <definedName name="ResUnc">[24]INPUTS!$F$39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Class">[61]Codes!$F$2:$G$10</definedName>
    <definedName name="revenue_flag">'[18]Assumptions (Input)'!$C$12</definedName>
    <definedName name="Revenue_Taxes">'[18]Assumptions (Input)'!$B$8</definedName>
    <definedName name="REVFAC1.T">[4]INTERNAL!$A$73:$IV$75</definedName>
    <definedName name="ROD">[24]INPUTS!$F$30</definedName>
    <definedName name="ROR">[24]INPUTS!$F$29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[54]INPUTS!$F$40</definedName>
    <definedName name="SbUnc">[4]INPUTS!$F$35</definedName>
    <definedName name="Sch194Rlfwd">'[64]Sch94 Rlfwd'!$B$11</definedName>
    <definedName name="Schedule">[52]Inputs!$N$14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p03AMA">[3]BS!$AG$7:$AG$3582</definedName>
    <definedName name="Sep04AMA">[1]BS!$AL$7:$AL$3582</definedName>
    <definedName name="Sep09AMA">[2]BS!$AS$7:$AS$1726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Date">[15]Assumptions!$C$9</definedName>
    <definedName name="STATE_UTILITY_TAX">'[11]MJS-7'!$N$16</definedName>
    <definedName name="STAX">[24]INPUTS!$F$34</definedName>
    <definedName name="sue" localSheetId="7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7" hidden="1">{"Plat Summary",#N/A,FALSE,"PLAT DESIGN"}</definedName>
    <definedName name="summary" hidden="1">{"Plat Summary",#N/A,FALSE,"PLAT DESIGN"}</definedName>
    <definedName name="susan" localSheetId="7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[4]INTERNAL!$A$76:$IV$78</definedName>
    <definedName name="SWPTD.T">[4]INTERNAL!$A$79:$IV$81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rgetROR">[16]Inputs!$G$29</definedName>
    <definedName name="TDP.T">[4]INTERNAL!$A$82:$IV$84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Period">[13]Inputs!$C$5</definedName>
    <definedName name="TESTYEAR">'[35]JHS-6'!$A$7</definedName>
    <definedName name="TESTYEAR_GAS">'[25]Named Ranges G'!$C$5</definedName>
    <definedName name="TFR">[4]CLASSIFIERS!$A$11:$IV$11</definedName>
    <definedName name="ThermalBookLife">[15]Assumptions!$C$25</definedName>
    <definedName name="Title">[15]Assumptions!$A$1</definedName>
    <definedName name="Total_Payment" localSheetId="7">Scheduled_Payment+Extra_Payment</definedName>
    <definedName name="Total_Payment">Scheduled_Payment+Extra_Payment</definedName>
    <definedName name="TotalRateBase">'[13]G+T+D+R+M'!$H$58</definedName>
    <definedName name="TP.T">[4]INTERNAL!$A$91:$IV$93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db">'[65]Transp Unbilled'!$A$8:$E$174</definedName>
    <definedName name="Transfer" localSheetId="7" hidden="1">#REF!</definedName>
    <definedName name="Transfer" hidden="1">#REF!</definedName>
    <definedName name="Transfers" localSheetId="7" hidden="1">#REF!</definedName>
    <definedName name="Transfers" hidden="1">#REF!</definedName>
    <definedName name="TRANSM_2">[66]Transm2!$A$1:$M$461:'[66]10 Yr FC'!$M$47</definedName>
    <definedName name="u" localSheetId="7" hidden="1">{#N/A,#N/A,FALSE,"Summ";#N/A,#N/A,FALSE,"General"}</definedName>
    <definedName name="u" hidden="1">{#N/A,#N/A,FALSE,"Summ";#N/A,#N/A,FALSE,"General"}</definedName>
    <definedName name="UAcct103">'[13]Func Study'!$AB$1613</definedName>
    <definedName name="UAcct105Dnpg">'[13]Func Study'!$AB$2010</definedName>
    <definedName name="UAcct105S">'[13]Func Study'!$AB$2005</definedName>
    <definedName name="UAcct105Seu">'[13]Func Study'!$AB$2009</definedName>
    <definedName name="UAcct105Snppo">'[13]Func Study'!$AB$2008</definedName>
    <definedName name="UAcct105Snpps">'[13]Func Study'!$AB$2006</definedName>
    <definedName name="UAcct105Snpt">'[13]Func Study'!$AB$2007</definedName>
    <definedName name="UAcct1081390">'[13]Func Study'!$AB$2451</definedName>
    <definedName name="UAcct1081390Rcl">'[13]Func Study'!$AB$2450</definedName>
    <definedName name="UAcct1081399">'[13]Func Study'!$AB$2459</definedName>
    <definedName name="UAcct1081399Rcl">'[13]Func Study'!$AB$2458</definedName>
    <definedName name="UAcct108360">'[13]Func Study'!$AB$2355</definedName>
    <definedName name="UAcct108361">'[13]Func Study'!$AB$2359</definedName>
    <definedName name="UAcct108362">'[13]Func Study'!$AB$2363</definedName>
    <definedName name="UAcct108364">'[13]Func Study'!$AB$2367</definedName>
    <definedName name="UAcct108365">'[13]Func Study'!$AB$2371</definedName>
    <definedName name="UAcct108366">'[13]Func Study'!$AB$2375</definedName>
    <definedName name="UAcct108367">'[13]Func Study'!$AB$2379</definedName>
    <definedName name="UAcct108368">'[13]Func Study'!$AB$2383</definedName>
    <definedName name="UAcct108369">'[13]Func Study'!$AB$2387</definedName>
    <definedName name="UAcct108370">'[13]Func Study'!$AB$2391</definedName>
    <definedName name="UAcct108371">'[13]Func Study'!$AB$2395</definedName>
    <definedName name="UAcct108372">'[13]Func Study'!$AB$2399</definedName>
    <definedName name="UAcct108373">'[13]Func Study'!$AB$2403</definedName>
    <definedName name="UAcct108D">'[13]Func Study'!$AB$2415</definedName>
    <definedName name="UAcct108D00">'[13]Func Study'!$AB$2407</definedName>
    <definedName name="UAcct108Ds">'[13]Func Study'!$AB$2411</definedName>
    <definedName name="UAcct108Ep">'[13]Func Study'!$AB$2327</definedName>
    <definedName name="UAcct108Gpcn">'[13]Func Study'!$AB$2429</definedName>
    <definedName name="UAcct108Gps">'[13]Func Study'!$AB$2425</definedName>
    <definedName name="UAcct108Gpse">'[13]Func Study'!$AB$2431</definedName>
    <definedName name="UAcct108Gpsg">'[13]Func Study'!$AB$2428</definedName>
    <definedName name="UAcct108Gpsgp">'[13]Func Study'!$AB$2426</definedName>
    <definedName name="UAcct108Gpsgu">'[13]Func Study'!$AB$2427</definedName>
    <definedName name="UAcct108Gpso">'[13]Func Study'!$AB$2430</definedName>
    <definedName name="UACCT108GPSSGCH">'[13]Func Study'!$AB$2434</definedName>
    <definedName name="UACCT108GPSSGCT">'[13]Func Study'!$AB$2433</definedName>
    <definedName name="UAcct108Hp">'[13]Func Study'!$AB$2313</definedName>
    <definedName name="UAcct108Mp">'[13]Func Study'!$AB$2444</definedName>
    <definedName name="UAcct108Np">'[13]Func Study'!$AB$2305</definedName>
    <definedName name="UAcct108Op">'[13]Func Study'!$AB$2322</definedName>
    <definedName name="UACCT108OPSSCCT">'[13]Func Study'!$AB$2321</definedName>
    <definedName name="UAcct108Sp">'[13]Func Study'!$AB$2299</definedName>
    <definedName name="UACCT108SPSSGCH">'[13]Func Study'!$AB$2298</definedName>
    <definedName name="UAcct108Tp">'[13]Func Study'!$AB$2346</definedName>
    <definedName name="UAcct111Clg">'[13]Func Study'!$AB$2487</definedName>
    <definedName name="UAcct111Clgsou">'[13]Func Study'!$AB$2485</definedName>
    <definedName name="UAcct111Clh">'[13]Func Study'!$AB$2493</definedName>
    <definedName name="UAcct111Cls">'[13]Func Study'!$AB$2478</definedName>
    <definedName name="UAcct111Ipcn">'[13]Func Study'!$AB$2502</definedName>
    <definedName name="UAcct111Ips">'[13]Func Study'!$AB$2497</definedName>
    <definedName name="UAcct111Ipse">'[13]Func Study'!$AB$2500</definedName>
    <definedName name="UAcct111Ipsg">'[13]Func Study'!$AB$2501</definedName>
    <definedName name="UAcct111Ipsgp">'[13]Func Study'!$AB$2498</definedName>
    <definedName name="UAcct111Ipsgu">'[13]Func Study'!$AB$2499</definedName>
    <definedName name="UAcct111Ipso">'[13]Func Study'!$AB$2506</definedName>
    <definedName name="UACCT111IPSSGCH">'[13]Func Study'!$AB$2505</definedName>
    <definedName name="UACCT111IPSSGCT">'[13]Func Study'!$AB$2504</definedName>
    <definedName name="UAcct114">'[13]Func Study'!$AB$2017</definedName>
    <definedName name="UAcct120">'[13]Func Study'!$AB$2021</definedName>
    <definedName name="UAcct124">'[13]Func Study'!$AB$2026</definedName>
    <definedName name="UAcct141">'[13]Func Study'!$AB$2173</definedName>
    <definedName name="UAcct151">'[13]Func Study'!$AB$2049</definedName>
    <definedName name="Uacct151SSECT">'[13]Func Study'!$AB$2047</definedName>
    <definedName name="UAcct154">'[13]Func Study'!$AB$2083</definedName>
    <definedName name="Uacct154SSGCT">'[13]Func Study'!$AB$2080</definedName>
    <definedName name="UAcct163">'[13]Func Study'!$AB$2093</definedName>
    <definedName name="UAcct165">'[13]Func Study'!$AB$2108</definedName>
    <definedName name="UAcct165Gps">'[13]Func Study'!$AB$2104</definedName>
    <definedName name="UAcct182">'[13]Func Study'!$AB$2033</definedName>
    <definedName name="UAcct18222">'[13]Func Study'!$AB$2163</definedName>
    <definedName name="UAcct182M">'[13]Func Study'!$AB$2118</definedName>
    <definedName name="UAcct182MSSGCH">'[13]Func Study'!$AB$2113</definedName>
    <definedName name="UAcct186">'[13]Func Study'!$AB$2041</definedName>
    <definedName name="UAcct1869">'[13]Func Study'!$AB$2168</definedName>
    <definedName name="UAcct186M">'[13]Func Study'!$AB$2129</definedName>
    <definedName name="UAcct190">'[13]Func Study'!$AB$2243</definedName>
    <definedName name="UAcct190Baddebt">'[13]Func Study'!$AB$2237</definedName>
    <definedName name="UAcct190Dop">'[13]Func Study'!$AB$2235</definedName>
    <definedName name="UAcct2281">'[13]Func Study'!$AB$2191</definedName>
    <definedName name="UAcct2282">'[13]Func Study'!$AB$2195</definedName>
    <definedName name="UAcct2283">'[13]Func Study'!$AB$2200</definedName>
    <definedName name="UACCT22841SG">'[13]Func Study'!$AB$2205</definedName>
    <definedName name="UAcct22842">'[13]Func Study'!$AB$2211</definedName>
    <definedName name="UAcct235">'[13]Func Study'!$AB$2187</definedName>
    <definedName name="UACCT235CN">'[13]Func Study'!$AB$2186</definedName>
    <definedName name="UAcct252">'[13]Func Study'!$AB$2219</definedName>
    <definedName name="UAcct25316">'[13]Func Study'!$AB$2057</definedName>
    <definedName name="UAcct25317">'[13]Func Study'!$AB$2061</definedName>
    <definedName name="UAcct25318">'[13]Func Study'!$AB$2098</definedName>
    <definedName name="UAcct25319">'[13]Func Study'!$AB$2065</definedName>
    <definedName name="uacct25398">'[13]Func Study'!$AB$2222</definedName>
    <definedName name="UAcct25399">'[13]Func Study'!$AB$2230</definedName>
    <definedName name="UACCT254SO">'[13]Func Study'!$AB$2202</definedName>
    <definedName name="UAcct255">'[13]Func Study'!$AB$2284</definedName>
    <definedName name="UAcct281">'[13]Func Study'!$AB$2249</definedName>
    <definedName name="UAcct282">'[13]Func Study'!$AB$2259</definedName>
    <definedName name="UAcct282Cn">'[13]Func Study'!$AB$2256</definedName>
    <definedName name="UAcct282So">'[13]Func Study'!$AB$2255</definedName>
    <definedName name="UAcct283">'[13]Func Study'!$AB$2271</definedName>
    <definedName name="UAcct283So">'[13]Func Study'!$AB$2265</definedName>
    <definedName name="UAcct301S">'[13]Func Study'!$AB$1964</definedName>
    <definedName name="UAcct301Sg">'[13]Func Study'!$AB$1966</definedName>
    <definedName name="UAcct301So">'[13]Func Study'!$AB$1965</definedName>
    <definedName name="UAcct302S">'[13]Func Study'!$AB$1969</definedName>
    <definedName name="UAcct302Sg">'[13]Func Study'!$AB$1970</definedName>
    <definedName name="UAcct302Sgp">'[13]Func Study'!$AB$1971</definedName>
    <definedName name="UAcct302Sgu">'[13]Func Study'!$AB$1972</definedName>
    <definedName name="UAcct303Cn">'[13]Func Study'!$AB$1980</definedName>
    <definedName name="UAcct303S">'[13]Func Study'!$AB$1976</definedName>
    <definedName name="UAcct303Se">'[13]Func Study'!$AB$1979</definedName>
    <definedName name="UAcct303Sg">'[13]Func Study'!$AB$1977</definedName>
    <definedName name="UAcct303Sgu">'[13]Func Study'!$AB$1981</definedName>
    <definedName name="UAcct303So">'[13]Func Study'!$AB$1978</definedName>
    <definedName name="UACCT303SSGCH">'[13]Func Study'!$AB$1983</definedName>
    <definedName name="UAcct310">'[13]Func Study'!$AB$1414</definedName>
    <definedName name="UAcct310JBG">'[13]Func Study'!$AB$1413</definedName>
    <definedName name="UAcct311">'[13]Func Study'!$AB$1421</definedName>
    <definedName name="UAcct311JBG">'[13]Func Study'!$AB$1420</definedName>
    <definedName name="UAcct312">'[13]Func Study'!$AB$1428</definedName>
    <definedName name="UAcct312JBG">'[13]Func Study'!$AB$1427</definedName>
    <definedName name="UAcct314">'[13]Func Study'!$AB$1435</definedName>
    <definedName name="UAcct314JBG">'[13]Func Study'!$AB$1434</definedName>
    <definedName name="UAcct315">'[13]Func Study'!$AB$1442</definedName>
    <definedName name="UAcct315JBG">'[13]Func Study'!$AB$1441</definedName>
    <definedName name="UAcct316">'[13]Func Study'!$AB$1450</definedName>
    <definedName name="UAcct316JBG">'[13]Func Study'!$AB$1449</definedName>
    <definedName name="UAcct320">'[13]Func Study'!$AB$1466</definedName>
    <definedName name="UAcct321">'[13]Func Study'!$AB$1471</definedName>
    <definedName name="UAcct322">'[13]Func Study'!$AB$1476</definedName>
    <definedName name="UAcct323">'[13]Func Study'!$AB$1481</definedName>
    <definedName name="UAcct324">'[13]Func Study'!$AB$1486</definedName>
    <definedName name="UAcct325">'[13]Func Study'!$AB$1491</definedName>
    <definedName name="UAcct33">'[13]Func Study'!$AB$295</definedName>
    <definedName name="UAcct330">'[13]Func Study'!$AB$1508</definedName>
    <definedName name="UAcct331">'[13]Func Study'!$AB$1513</definedName>
    <definedName name="UAcct332">'[13]Func Study'!$AB$1518</definedName>
    <definedName name="UAcct333">'[13]Func Study'!$AB$1523</definedName>
    <definedName name="UAcct334">'[13]Func Study'!$AB$1528</definedName>
    <definedName name="UAcct335">'[13]Func Study'!$AB$1533</definedName>
    <definedName name="UAcct336">'[13]Func Study'!$AB$1539</definedName>
    <definedName name="UAcct340Dgu">'[13]Func Study'!$AB$1564</definedName>
    <definedName name="UAcct340Sgu">'[13]Func Study'!$AB$1565</definedName>
    <definedName name="UAcct341Dgu">'[13]Func Study'!$AB$1569</definedName>
    <definedName name="UAcct341Sgu">'[13]Func Study'!$AB$1570</definedName>
    <definedName name="UAcct342Dgu">'[13]Func Study'!$AB$1574</definedName>
    <definedName name="UAcct342Sgu">'[13]Func Study'!$AB$1575</definedName>
    <definedName name="UAcct343">'[13]Func Study'!$AB$1584</definedName>
    <definedName name="UAcct344S">'[13]Func Study'!$AB$1587</definedName>
    <definedName name="UAcct344Sgp">'[13]Func Study'!$AB$1588</definedName>
    <definedName name="UAcct345Dgu">'[13]Func Study'!$AB$1594</definedName>
    <definedName name="UAcct345Sgu">'[13]Func Study'!$AB$1595</definedName>
    <definedName name="UAcct346">'[13]Func Study'!$AB$1601</definedName>
    <definedName name="UAcct350">'[13]Func Study'!$AB$1628</definedName>
    <definedName name="UAcct352">'[13]Func Study'!$AB$1635</definedName>
    <definedName name="UAcct353">'[13]Func Study'!$AB$1641</definedName>
    <definedName name="UAcct354">'[13]Func Study'!$AB$1647</definedName>
    <definedName name="UAcct355">'[13]Func Study'!$AB$1654</definedName>
    <definedName name="UAcct356">'[13]Func Study'!$AB$1660</definedName>
    <definedName name="UAcct357">'[13]Func Study'!$AB$1666</definedName>
    <definedName name="UAcct358">'[13]Func Study'!$AB$1672</definedName>
    <definedName name="UAcct359">'[13]Func Study'!$AB$1678</definedName>
    <definedName name="UAcct360">'[13]Func Study'!$AB$1698</definedName>
    <definedName name="UAcct361">'[13]Func Study'!$AB$1704</definedName>
    <definedName name="UAcct362">'[13]Func Study'!$AB$1710</definedName>
    <definedName name="UAcct368">'[13]Func Study'!$AB$1744</definedName>
    <definedName name="UAcct369">'[13]Func Study'!$AB$1751</definedName>
    <definedName name="UAcct370">'[13]Func Study'!$AB$1762</definedName>
    <definedName name="UAcct372A">'[13]Func Study'!$AB$1775</definedName>
    <definedName name="UAcct372Dp">'[13]Func Study'!$AB$1773</definedName>
    <definedName name="UAcct372Ds">'[13]Func Study'!$AB$1774</definedName>
    <definedName name="UAcct373">'[13]Func Study'!$AB$1782</definedName>
    <definedName name="UAcct389Cn">'[13]Func Study'!$AB$1800</definedName>
    <definedName name="UAcct389S">'[13]Func Study'!$AB$1799</definedName>
    <definedName name="UAcct389Sg">'[13]Func Study'!$AB$1802</definedName>
    <definedName name="UAcct389Sgu">'[13]Func Study'!$AB$1801</definedName>
    <definedName name="UAcct389So">'[13]Func Study'!$AB$1803</definedName>
    <definedName name="UAcct390Cn">'[13]Func Study'!$AB$1810</definedName>
    <definedName name="UAcct390JBG">'[13]Func Study'!$AB$1812</definedName>
    <definedName name="UAcct390L">'[13]Func Study'!$AB$1927</definedName>
    <definedName name="UACCT390LRCL">'[13]Func Study'!$AB$1929</definedName>
    <definedName name="UAcct390S">'[13]Func Study'!$AB$1807</definedName>
    <definedName name="UAcct390Sgp">'[13]Func Study'!$AB$1808</definedName>
    <definedName name="UAcct390Sgu">'[13]Func Study'!$AB$1809</definedName>
    <definedName name="UAcct390Sop">'[13]Func Study'!$AB$1811</definedName>
    <definedName name="UAcct390Sou">'[13]Func Study'!$AB$1813</definedName>
    <definedName name="UAcct391Cn">'[13]Func Study'!$AB$1820</definedName>
    <definedName name="UACCT391JBE">'[13]Func Study'!$AB$1825</definedName>
    <definedName name="UAcct391S">'[13]Func Study'!$AB$1817</definedName>
    <definedName name="UAcct391Sg">'[13]Func Study'!$AB$1821</definedName>
    <definedName name="UAcct391Sgp">'[13]Func Study'!$AB$1818</definedName>
    <definedName name="UAcct391Sgu">'[13]Func Study'!$AB$1819</definedName>
    <definedName name="UAcct391So">'[13]Func Study'!$AB$1823</definedName>
    <definedName name="UACCT391SSGCH">'[13]Func Study'!$AB$1824</definedName>
    <definedName name="UAcct392Cn">'[13]Func Study'!$AB$1832</definedName>
    <definedName name="UAcct392L">'[13]Func Study'!$AB$1935</definedName>
    <definedName name="UAcct392Lrcl">'[13]Func Study'!$AB$1937</definedName>
    <definedName name="UAcct392S">'[13]Func Study'!$AB$1829</definedName>
    <definedName name="UAcct392Se">'[13]Func Study'!$AB$1834</definedName>
    <definedName name="UAcct392Sg">'[13]Func Study'!$AB$1831</definedName>
    <definedName name="UAcct392Sgp">'[13]Func Study'!$AB$1835</definedName>
    <definedName name="UAcct392Sgu">'[13]Func Study'!$AB$1833</definedName>
    <definedName name="UAcct392So">'[13]Func Study'!$AB$1830</definedName>
    <definedName name="UACCT392SSGCH">'[13]Func Study'!$AB$1836</definedName>
    <definedName name="UAcct393S">'[13]Func Study'!$AB$1841</definedName>
    <definedName name="UAcct393Sg">'[13]Func Study'!$AB$1845</definedName>
    <definedName name="UAcct393Sgp">'[13]Func Study'!$AB$1842</definedName>
    <definedName name="UAcct393Sgu">'[13]Func Study'!$AB$1843</definedName>
    <definedName name="UAcct393So">'[13]Func Study'!$AB$1844</definedName>
    <definedName name="UACCT393SSGCT">'[13]Func Study'!$AB$1846</definedName>
    <definedName name="UAcct394S">'[13]Func Study'!$AB$1850</definedName>
    <definedName name="UAcct394Se">'[13]Func Study'!$AB$1854</definedName>
    <definedName name="UAcct394Sg">'[13]Func Study'!$AB$1855</definedName>
    <definedName name="UAcct394Sgp">'[13]Func Study'!$AB$1851</definedName>
    <definedName name="UAcct394Sgu">'[13]Func Study'!$AB$1852</definedName>
    <definedName name="UAcct394So">'[13]Func Study'!$AB$1853</definedName>
    <definedName name="UACCT394SSGCH">'[13]Func Study'!$AB$1856</definedName>
    <definedName name="UAcct395S">'[13]Func Study'!$AB$1861</definedName>
    <definedName name="UAcct395Se">'[13]Func Study'!$AB$1865</definedName>
    <definedName name="UAcct395Sg">'[13]Func Study'!$AB$1866</definedName>
    <definedName name="UAcct395Sgp">'[13]Func Study'!$AB$1862</definedName>
    <definedName name="UAcct395Sgu">'[13]Func Study'!$AB$1863</definedName>
    <definedName name="UAcct395So">'[13]Func Study'!$AB$1864</definedName>
    <definedName name="UACCT395SSGCH">'[13]Func Study'!$AB$1867</definedName>
    <definedName name="UAcct396S">'[13]Func Study'!$AB$1872</definedName>
    <definedName name="UAcct396Se">'[13]Func Study'!$AB$1877</definedName>
    <definedName name="UAcct396Sg">'[13]Func Study'!$AB$1874</definedName>
    <definedName name="UAcct396Sgp">'[13]Func Study'!$AB$1873</definedName>
    <definedName name="UAcct396Sgu">'[13]Func Study'!$AB$1876</definedName>
    <definedName name="UAcct396So">'[13]Func Study'!$AB$1875</definedName>
    <definedName name="UACCT396SSGCH">'[13]Func Study'!$AB$1879</definedName>
    <definedName name="UACCT396SSGCT">'[13]Func Study'!$AB$1878</definedName>
    <definedName name="UAcct397Cn">'[13]Func Study'!$AB$1890</definedName>
    <definedName name="UAcct397JBG">'[13]Func Study'!$AB$1893</definedName>
    <definedName name="UAcct397S">'[13]Func Study'!$AB$1886</definedName>
    <definedName name="UAcct397Se">'[13]Func Study'!$AB$1892</definedName>
    <definedName name="UAcct397Sg">'[13]Func Study'!$AB$1891</definedName>
    <definedName name="UAcct397Sgp">'[13]Func Study'!$AB$1887</definedName>
    <definedName name="UAcct397Sgu">'[13]Func Study'!$AB$1888</definedName>
    <definedName name="UAcct397So">'[13]Func Study'!$AB$1889</definedName>
    <definedName name="UAcct398Cn">'[13]Func Study'!$AB$1902</definedName>
    <definedName name="UAcct398S">'[13]Func Study'!$AB$1899</definedName>
    <definedName name="UAcct398Se">'[13]Func Study'!$AB$1904</definedName>
    <definedName name="UAcct398Sg">'[13]Func Study'!$AB$1905</definedName>
    <definedName name="UAcct398Sgp">'[13]Func Study'!$AB$1900</definedName>
    <definedName name="UAcct398Sgu">'[13]Func Study'!$AB$1901</definedName>
    <definedName name="UAcct398So">'[13]Func Study'!$AB$1903</definedName>
    <definedName name="UACCT398SSGCT">'[13]Func Study'!$AB$1906</definedName>
    <definedName name="UAcct399">'[13]Func Study'!$AB$1913</definedName>
    <definedName name="UAcct399G">'[13]Func Study'!$AB$1955</definedName>
    <definedName name="UAcct399L">'[13]Func Study'!$AB$1917</definedName>
    <definedName name="UAcct399Lrcl">'[13]Func Study'!$AB$1919</definedName>
    <definedName name="UAcct403360">'[13]Func Study'!$AB$1090</definedName>
    <definedName name="UAcct403361">'[13]Func Study'!$AB$1091</definedName>
    <definedName name="UAcct403362">'[13]Func Study'!$AB$1092</definedName>
    <definedName name="UAcct403364">'[13]Func Study'!$AB$1094</definedName>
    <definedName name="UAcct403365">'[13]Func Study'!$AB$1095</definedName>
    <definedName name="UAcct403366">'[13]Func Study'!$AB$1096</definedName>
    <definedName name="UAcct403367">'[13]Func Study'!$AB$1097</definedName>
    <definedName name="UAcct403368">'[13]Func Study'!$AB$1098</definedName>
    <definedName name="UAcct403369">'[13]Func Study'!$AB$1099</definedName>
    <definedName name="UAcct403370">'[13]Func Study'!$AB$1100</definedName>
    <definedName name="UAcct403371">'[13]Func Study'!$AB$1101</definedName>
    <definedName name="UAcct403372">'[13]Func Study'!$AB$1102</definedName>
    <definedName name="UAcct403373">'[13]Func Study'!$AB$1103</definedName>
    <definedName name="UAcct403Ep">'[13]Func Study'!$AB$1130</definedName>
    <definedName name="UAcct403Gpcn">'[13]Func Study'!$AB$1111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'[13]Func Study'!$AB$1107</definedName>
    <definedName name="UAcct403Gpsg">'[13]Func Study'!$AB$1112</definedName>
    <definedName name="UAcct403Gpso">'[13]Func Study'!$AB$1113</definedName>
    <definedName name="UAcct403Gv0">'[13]Func Study'!$AB$1121</definedName>
    <definedName name="UAcct403Hp">'[13]Func Study'!$AB$1072</definedName>
    <definedName name="UACCT403JBE">'[13]Func Study'!$AB$1116</definedName>
    <definedName name="UAcct403Mp">'[13]Func Study'!$AB$1125</definedName>
    <definedName name="UAcct403Np">'[13]Func Study'!$AB$1065</definedName>
    <definedName name="UAcct403Op">'[13]Func Study'!$AB$1080</definedName>
    <definedName name="UAcct403OPCAGE">'[13]Func Study'!$AB$1078</definedName>
    <definedName name="UAcct403Sp">'[13]Func Study'!$AB$1061</definedName>
    <definedName name="UAcct403SPJBG">'[13]Func Study'!$AB$1058</definedName>
    <definedName name="UAcct403Tp">'[13]Func Study'!$AB$1087</definedName>
    <definedName name="UAcct404330">'[13]Func Study'!$AB$1177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'[13]Func Study'!$AB$1158</definedName>
    <definedName name="UAcct404IPJBG">'[13]Func Study'!$AB$1163</definedName>
    <definedName name="UAcct404Ips">'[13]Func Study'!$AB$1154</definedName>
    <definedName name="UAcct404Ipse">'[13]Func Study'!$AB$1155</definedName>
    <definedName name="UAcct404Ipsg">'[13]Func Study'!$AB$1156</definedName>
    <definedName name="UAcct404Ipsg1">'[13]Func Study'!$AB$1159</definedName>
    <definedName name="UAcct404Ipsg2">'[13]Func Study'!$AB$1160</definedName>
    <definedName name="UAcct404Ipso">'[13]Func Study'!$AB$1157</definedName>
    <definedName name="UAcct404M">'[13]Func Study'!$AB$1168</definedName>
    <definedName name="UACCT404OP">'[13]Func Study'!$AB$1172</definedName>
    <definedName name="UACCT404SP">'[13]Func Study'!$AB$1151</definedName>
    <definedName name="UAcct405">'[13]Func Study'!$AB$1185</definedName>
    <definedName name="UAcct406">'[13]Func Study'!$AB$1193</definedName>
    <definedName name="UAcct407">'[13]Func Study'!$AB$1202</definedName>
    <definedName name="UAcct408">'[13]Func Study'!$AB$1221</definedName>
    <definedName name="UAcct408S">'[13]Func Study'!$AB$1213</definedName>
    <definedName name="UAcct41010">'[13]Func Study'!$AB$1294</definedName>
    <definedName name="UAcct41011">'[13]Func Study'!$AB$1309</definedName>
    <definedName name="UAcct41110">'[13]Func Study'!$AB$1325</definedName>
    <definedName name="UAcct41140">'[13]Func Study'!$AB$1232</definedName>
    <definedName name="UAcct41141">'[13]Func Study'!$AB$1237</definedName>
    <definedName name="UAcct41160">'[13]Func Study'!$AB$369</definedName>
    <definedName name="UAcct41170">'[13]Func Study'!$AB$374</definedName>
    <definedName name="UAcct4118">'[13]Func Study'!$AB$378</definedName>
    <definedName name="UAcct41181">'[13]Func Study'!$AB$381</definedName>
    <definedName name="UAcct4194">'[13]Func Study'!$AB$385</definedName>
    <definedName name="UAcct421">'[13]Func Study'!$AB$394</definedName>
    <definedName name="UAcct4311">'[13]Func Study'!$AB$401</definedName>
    <definedName name="UAcct442Se">'[13]Func Study'!$AB$259</definedName>
    <definedName name="UAcct442Sg">'[13]Func Study'!$AB$260</definedName>
    <definedName name="UAcct447">'[13]Func Study'!$AB$281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'[13]Func Study'!$AB$280</definedName>
    <definedName name="UAcct448S">'[13]Func Study'!$AB$274</definedName>
    <definedName name="UAcct448So">'[13]Func Study'!$AB$275</definedName>
    <definedName name="UAcct449">'[13]Func Study'!$AB$294</definedName>
    <definedName name="UAcct450">'[13]Func Study'!$AB$304</definedName>
    <definedName name="UAcct450S">'[13]Func Study'!$AB$302</definedName>
    <definedName name="UAcct450So">'[13]Func Study'!$AB$303</definedName>
    <definedName name="UAcct451S">'[13]Func Study'!$AB$307</definedName>
    <definedName name="UAcct451Sg">'[13]Func Study'!$AB$308</definedName>
    <definedName name="UAcct451So">'[13]Func Study'!$AB$309</definedName>
    <definedName name="UAcct453">'[13]Func Study'!$AB$315</definedName>
    <definedName name="UAcct454">'[13]Func Study'!$AB$322</definedName>
    <definedName name="UAcct454JBG">'[13]Func Study'!$AB$319</definedName>
    <definedName name="UAcct454S">'[13]Func Study'!$AB$318</definedName>
    <definedName name="UAcct454Sg">'[13]Func Study'!$AB$320</definedName>
    <definedName name="UAcct454So">'[13]Func Study'!$AB$321</definedName>
    <definedName name="UAcct456">'[13]Func Study'!$AB$332</definedName>
    <definedName name="UAcct456CAEW">'[13]Func Study'!$AB$331</definedName>
    <definedName name="UAcct456S">'[13]Func Study'!$AB$325</definedName>
    <definedName name="UAcct456So">'[13]Func Study'!$AB$329</definedName>
    <definedName name="UAcct500">'[13]Func Study'!$AB$416</definedName>
    <definedName name="UAcct500JBG">'[13]Func Study'!$AB$414</definedName>
    <definedName name="UAcct501">'[13]Func Study'!$AB$423</definedName>
    <definedName name="UAcct501CAEW">'[13]Func Study'!$AB$420</definedName>
    <definedName name="UAcct501JBE">'[13]Func Study'!$AB$421</definedName>
    <definedName name="UACCT501NPCCAEW">'[13]Func Study'!$AB$426</definedName>
    <definedName name="UAcct502">'[13]Func Study'!$AB$433</definedName>
    <definedName name="UAcct502CAGE">'[13]Func Study'!$AB$431</definedName>
    <definedName name="UAcct503">'[13]Func Study'!$AB$437</definedName>
    <definedName name="UACCT503NPC">'[13]Func Study'!$AB$443</definedName>
    <definedName name="UAcct505">'[13]Func Study'!$AB$449</definedName>
    <definedName name="UAcct505CAGE">'[13]Func Study'!$AB$447</definedName>
    <definedName name="UAcct506">'[13]Func Study'!$AB$455</definedName>
    <definedName name="UAcct506CAGE">'[13]Func Study'!$AB$452</definedName>
    <definedName name="UAcct507">'[13]Func Study'!$AB$464</definedName>
    <definedName name="UAcct507CAGE">'[13]Func Study'!$AB$462</definedName>
    <definedName name="UAcct510">'[13]Func Study'!$AB$469</definedName>
    <definedName name="UAcct510CAGE">'[13]Func Study'!$AB$467</definedName>
    <definedName name="UAcct511">'[13]Func Study'!$AB$474</definedName>
    <definedName name="UAcct511CAGE">'[13]Func Study'!$AB$472</definedName>
    <definedName name="UAcct512">'[13]Func Study'!$AB$479</definedName>
    <definedName name="UAcct512CAGE">'[13]Func Study'!$AB$477</definedName>
    <definedName name="UAcct513">'[13]Func Study'!$AB$484</definedName>
    <definedName name="UAcct513CAGE">'[13]Func Study'!$AB$482</definedName>
    <definedName name="UAcct514">'[13]Func Study'!$AB$489</definedName>
    <definedName name="UAcct514CAGE">'[13]Func Study'!$AB$487</definedName>
    <definedName name="UAcct517">'[13]Func Study'!$AB$498</definedName>
    <definedName name="UAcct518">'[13]Func Study'!$AB$502</definedName>
    <definedName name="UAcct519">'[13]Func Study'!$AB$507</definedName>
    <definedName name="UAcct520">'[13]Func Study'!$AB$511</definedName>
    <definedName name="UAcct523">'[13]Func Study'!$AB$515</definedName>
    <definedName name="UAcct524">'[13]Func Study'!$AB$519</definedName>
    <definedName name="UAcct528">'[13]Func Study'!$AB$523</definedName>
    <definedName name="UAcct529">'[13]Func Study'!$AB$527</definedName>
    <definedName name="UAcct530">'[13]Func Study'!$AB$531</definedName>
    <definedName name="UAcct531">'[13]Func Study'!$AB$535</definedName>
    <definedName name="UAcct532">'[13]Func Study'!$AB$539</definedName>
    <definedName name="UAcct535">'[13]Func Study'!$AB$551</definedName>
    <definedName name="UAcct536">'[13]Func Study'!$AB$555</definedName>
    <definedName name="UAcct537">'[13]Func Study'!$AB$559</definedName>
    <definedName name="UAcct538">'[13]Func Study'!$AB$563</definedName>
    <definedName name="UAcct539">'[13]Func Study'!$AB$568</definedName>
    <definedName name="UAcct540">'[13]Func Study'!$AB$572</definedName>
    <definedName name="UAcct541">'[13]Func Study'!$AB$576</definedName>
    <definedName name="UAcct542">'[13]Func Study'!$AB$580</definedName>
    <definedName name="UAcct543">'[13]Func Study'!$AB$584</definedName>
    <definedName name="UAcct544">'[13]Func Study'!$AB$588</definedName>
    <definedName name="UAcct545">'[13]Func Study'!$AB$592</definedName>
    <definedName name="UAcct546">'[13]Func Study'!$AB$606</definedName>
    <definedName name="UAcct546CAGE">'[13]Func Study'!$AB$605</definedName>
    <definedName name="UAcct547CAEW">'[13]Func Study'!$AB$610</definedName>
    <definedName name="UACCT547NPCCAEW">'[13]Func Study'!$AB$613</definedName>
    <definedName name="UAcct547Se">'[13]Func Study'!$AB$609</definedName>
    <definedName name="UAcct548">'[13]Func Study'!$AB$621</definedName>
    <definedName name="UACCT548CAGE">'[13]Func Study'!$AB$620</definedName>
    <definedName name="UAcct549">'[13]Func Study'!$AB$626</definedName>
    <definedName name="Uacct549CAGE">'[13]Func Study'!$AB$625</definedName>
    <definedName name="UAcct551CAGE">'[13]Func Study'!$AB$634</definedName>
    <definedName name="UACCT551SG">'[13]Func Study'!$AB$635</definedName>
    <definedName name="UACCT552CAGE">'[13]Func Study'!$AB$640</definedName>
    <definedName name="UAcct552SG">'[13]Func Study'!$AB$639</definedName>
    <definedName name="UACCT553CAGE">'[13]Func Study'!$AB$646</definedName>
    <definedName name="UAcct553SG">'[13]Func Study'!$AB$645</definedName>
    <definedName name="UACCT554CAGE">'[13]Func Study'!$AB$651</definedName>
    <definedName name="UAcct554SG">'[13]Func Study'!$AB$650</definedName>
    <definedName name="UAcct555CAEW">'[13]Func Study'!$AB$665</definedName>
    <definedName name="UAcct555CAGW">'[13]Func Study'!$AB$664</definedName>
    <definedName name="UACCT555DGP">'[13]Func Study'!$AB$670</definedName>
    <definedName name="UACCT555NPCCAEW">'[13]Func Study'!$AB$669</definedName>
    <definedName name="UACCT555NPCCAGW">'[13]Func Study'!$AB$668</definedName>
    <definedName name="UAcct555S">'[13]Func Study'!$AB$663</definedName>
    <definedName name="UAcct555Se">'[13]Func Study'!$AB$665</definedName>
    <definedName name="UACCT555SG">'[13]Func Study'!$AB$664</definedName>
    <definedName name="UAcct556">'[13]Func Study'!$AB$676</definedName>
    <definedName name="UAcct557">'[13]Func Study'!$AB$685</definedName>
    <definedName name="UAcct560">'[13]Func Study'!$AB$715</definedName>
    <definedName name="UAcct561">'[13]Func Study'!$AB$720</definedName>
    <definedName name="UAcct562">'[13]Func Study'!$AB$726</definedName>
    <definedName name="UAcct563">'[13]Func Study'!$AB$731</definedName>
    <definedName name="UAcct564">'[13]Func Study'!$AB$735</definedName>
    <definedName name="UAcct565">'[13]Func Study'!$AB$739</definedName>
    <definedName name="UACCT565NPC">'[13]Func Study'!$AB$744</definedName>
    <definedName name="UACCT565NPCCAGW">'[13]Func Study'!$AB$742</definedName>
    <definedName name="UAcct566">'[13]Func Study'!$AB$748</definedName>
    <definedName name="UAcct567">'[13]Func Study'!$AB$752</definedName>
    <definedName name="UAcct568">'[13]Func Study'!$AB$756</definedName>
    <definedName name="UAcct569">'[13]Func Study'!$AB$760</definedName>
    <definedName name="UAcct570">'[13]Func Study'!$AB$765</definedName>
    <definedName name="UAcct571">'[13]Func Study'!$AB$770</definedName>
    <definedName name="UAcct572">'[13]Func Study'!$AB$774</definedName>
    <definedName name="UAcct573">'[13]Func Study'!$AB$778</definedName>
    <definedName name="UAcct580">'[13]Func Study'!$AB$791</definedName>
    <definedName name="UAcct581">'[13]Func Study'!$AB$796</definedName>
    <definedName name="UAcct582">'[13]Func Study'!$AB$801</definedName>
    <definedName name="UAcct583">'[13]Func Study'!$AB$806</definedName>
    <definedName name="UAcct584">'[13]Func Study'!$AB$811</definedName>
    <definedName name="UAcct585">'[13]Func Study'!$AB$816</definedName>
    <definedName name="UAcct586">'[13]Func Study'!$AB$821</definedName>
    <definedName name="UAcct587">'[13]Func Study'!$AB$826</definedName>
    <definedName name="UAcct588">'[13]Func Study'!$AB$831</definedName>
    <definedName name="UAcct589">'[13]Func Study'!$AB$836</definedName>
    <definedName name="UAcct590">'[13]Func Study'!$AB$841</definedName>
    <definedName name="UAcct591">'[13]Func Study'!$AB$846</definedName>
    <definedName name="UAcct592">'[13]Func Study'!$AB$851</definedName>
    <definedName name="UAcct593">'[13]Func Study'!$AB$856</definedName>
    <definedName name="UAcct594">'[13]Func Study'!$AB$861</definedName>
    <definedName name="UAcct595">'[13]Func Study'!$AB$866</definedName>
    <definedName name="UAcct596">'[13]Func Study'!$AB$876</definedName>
    <definedName name="UAcct597">'[13]Func Study'!$AB$881</definedName>
    <definedName name="UAcct598">'[13]Func Study'!$AB$886</definedName>
    <definedName name="UAcct901">'[13]Func Study'!$AB$898</definedName>
    <definedName name="UAcct902">'[13]Func Study'!$AB$903</definedName>
    <definedName name="UAcct903">'[13]Func Study'!$AB$908</definedName>
    <definedName name="UAcct904">'[13]Func Study'!$AB$914</definedName>
    <definedName name="UAcct905">'[13]Func Study'!$AB$919</definedName>
    <definedName name="UAcct907">'[13]Func Study'!$AB$933</definedName>
    <definedName name="UAcct908">'[13]Func Study'!$AB$938</definedName>
    <definedName name="UAcct909">'[13]Func Study'!$AB$943</definedName>
    <definedName name="UAcct910">'[13]Func Study'!$AB$948</definedName>
    <definedName name="UAcct911">'[13]Func Study'!$AB$959</definedName>
    <definedName name="UAcct912">'[13]Func Study'!$AB$964</definedName>
    <definedName name="UAcct913">'[13]Func Study'!$AB$969</definedName>
    <definedName name="UAcct916">'[13]Func Study'!$AB$974</definedName>
    <definedName name="UAcct920">'[13]Func Study'!$AB$985</definedName>
    <definedName name="UAcct920Cn">'[13]Func Study'!$AB$983</definedName>
    <definedName name="UAcct921">'[13]Func Study'!$AB$991</definedName>
    <definedName name="UAcct921Cn">'[13]Func Study'!$AB$989</definedName>
    <definedName name="UAcct923">'[13]Func Study'!$AB$997</definedName>
    <definedName name="UAcct923CAGW">'[13]Func Study'!$AB$995</definedName>
    <definedName name="UAcct924">'[13]Func Study'!$AB$1001</definedName>
    <definedName name="UAcct925">'[13]Func Study'!$AB$1005</definedName>
    <definedName name="UAcct926">'[13]Func Study'!$AB$1011</definedName>
    <definedName name="UAcct927">'[13]Func Study'!$AB$1016</definedName>
    <definedName name="UAcct928">'[13]Func Study'!$AB$1023</definedName>
    <definedName name="UAcct929">'[13]Func Study'!$AB$1028</definedName>
    <definedName name="UAcct930">'[13]Func Study'!$AB$1034</definedName>
    <definedName name="UAcct931">'[13]Func Study'!$AB$1039</definedName>
    <definedName name="UAcct935">'[13]Func Study'!$AB$1045</definedName>
    <definedName name="UAcctAGA">'[13]Func Study'!$AB$296</definedName>
    <definedName name="UAcctcwc">'[13]Func Study'!$AB$2136</definedName>
    <definedName name="UAcctd00">'[13]Func Study'!$AB$1786</definedName>
    <definedName name="UAcctds0">'[13]Func Study'!$AB$1790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fit">'[13]Func Study'!$AB$1395</definedName>
    <definedName name="UAcctg00">'[13]Func Study'!$AB$1947</definedName>
    <definedName name="UAccth00">'[13]Func Study'!$AB$1545</definedName>
    <definedName name="UAccti00">'[13]Func Study'!$AB$1993</definedName>
    <definedName name="UAcctn00">'[13]Func Study'!$AB$1496</definedName>
    <definedName name="UAccto00">'[13]Func Study'!$AB$1606</definedName>
    <definedName name="UAcctowc">'[13]Func Study'!$AB$2149</definedName>
    <definedName name="UACCTOWCSSECH">'[13]Func Study'!$AB$2148</definedName>
    <definedName name="UAccts00">'[13]Func Study'!$AB$1455</definedName>
    <definedName name="UAcctsttax">'[13]Func Study'!$AB$1377</definedName>
    <definedName name="UAcctt00">'[13]Func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[17]Variables!$D$25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[17]Variables!$D$29</definedName>
    <definedName name="v" localSheetId="7" hidden="1">{#N/A,#N/A,FALSE,"Coversheet";#N/A,#N/A,FALSE,"QA"}</definedName>
    <definedName name="v" hidden="1">{#N/A,#N/A,FALSE,"Coversheet";#N/A,#N/A,FALSE,"QA"}</definedName>
    <definedName name="ValidAccount">[14]Variables!$AK$43:$AK$369</definedName>
    <definedName name="Value" localSheetId="7" hidden="1">{#N/A,#N/A,FALSE,"Summ";#N/A,#N/A,FALSE,"General"}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OMEsc">[15]Assumptions!$C$21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[15]Assumptions!$I$61</definedName>
    <definedName name="WaRevenueTax">[17]Variables!$D$27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7" hidden="1">{#N/A,#N/A,FALSE,"Coversheet";#N/A,#N/A,FALSE,"QA"}</definedName>
    <definedName name="WH" hidden="1">{#N/A,#N/A,FALSE,"Coversheet";#N/A,#N/A,FALSE,"QA"}</definedName>
    <definedName name="Winter">'[67]Input Tab'!$B$11</definedName>
    <definedName name="WinterPeak">'[68]Load Data'!$D$9:$H$12,'[68]Load Data'!$D$20:$H$22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7" hidden="1">{#N/A,#N/A,FALSE,"Cost Adjustment "}</definedName>
    <definedName name="wrn.Cost._.Adjustment." hidden="1">{#N/A,#N/A,FALSE,"Cost Adjustment 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7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7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'[11]MJS-6'!$F$2</definedName>
    <definedName name="WUTC_FILING_FEE">'[11]MJS-7'!$O$15</definedName>
    <definedName name="www" localSheetId="7" hidden="1">{#N/A,#N/A,FALSE,"schA"}</definedName>
    <definedName name="www" hidden="1">{#N/A,#N/A,FALSE,"schA"}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'[69]Revison Inputs'!$B$6</definedName>
    <definedName name="YEFactors">[14]Factors!$S$3:$AG$99</definedName>
    <definedName name="YTD_Format">[60]YTD!$B$13:$D$13,[60]YTD!$B$36:$D$36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hidden="1">{#N/A,#N/A,FALSE,"Coversheet";#N/A,#N/A,FALSE,"QA"}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I16" i="72" l="1"/>
  <c r="X18" i="70" l="1"/>
  <c r="A38" i="73" l="1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I21" i="73"/>
  <c r="G21" i="1" s="1"/>
  <c r="A21" i="73"/>
  <c r="A20" i="73"/>
  <c r="A19" i="73"/>
  <c r="A18" i="73"/>
  <c r="A17" i="73"/>
  <c r="A16" i="73"/>
  <c r="A15" i="73"/>
  <c r="A14" i="73"/>
  <c r="A13" i="73"/>
  <c r="A12" i="73"/>
  <c r="A11" i="73"/>
  <c r="I10" i="73"/>
  <c r="A10" i="73"/>
  <c r="A9" i="73"/>
  <c r="A8" i="73"/>
  <c r="I11" i="73"/>
  <c r="H11" i="73"/>
  <c r="E11" i="73"/>
  <c r="A7" i="73"/>
  <c r="H10" i="73" l="1"/>
  <c r="H13" i="73"/>
  <c r="I29" i="73"/>
  <c r="F21" i="73"/>
  <c r="H21" i="73"/>
  <c r="J21" i="73" s="1"/>
  <c r="H30" i="73"/>
  <c r="I30" i="73"/>
  <c r="H27" i="73"/>
  <c r="F7" i="73"/>
  <c r="D11" i="73"/>
  <c r="H31" i="73" s="1"/>
  <c r="F12" i="73"/>
  <c r="H12" i="73"/>
  <c r="I12" i="73"/>
  <c r="I15" i="73" s="1"/>
  <c r="I17" i="73" s="1"/>
  <c r="I28" i="73"/>
  <c r="J10" i="73"/>
  <c r="I31" i="73"/>
  <c r="J11" i="73"/>
  <c r="J7" i="73"/>
  <c r="E15" i="73"/>
  <c r="E17" i="73" s="1"/>
  <c r="E20" i="73" s="1"/>
  <c r="F30" i="73"/>
  <c r="F13" i="73"/>
  <c r="I13" i="73"/>
  <c r="F10" i="73"/>
  <c r="H15" i="73" l="1"/>
  <c r="H17" i="73" s="1"/>
  <c r="J17" i="73" s="1"/>
  <c r="J13" i="73"/>
  <c r="J30" i="73"/>
  <c r="J31" i="73"/>
  <c r="F11" i="73"/>
  <c r="D15" i="73"/>
  <c r="I27" i="73"/>
  <c r="F27" i="73"/>
  <c r="E32" i="73"/>
  <c r="E33" i="73" s="1"/>
  <c r="E23" i="73"/>
  <c r="I20" i="73"/>
  <c r="D17" i="73"/>
  <c r="F15" i="73"/>
  <c r="H29" i="73"/>
  <c r="J29" i="73" s="1"/>
  <c r="F29" i="73"/>
  <c r="J12" i="73"/>
  <c r="D32" i="73"/>
  <c r="H28" i="73"/>
  <c r="F28" i="73"/>
  <c r="J15" i="73" l="1"/>
  <c r="D33" i="73"/>
  <c r="I23" i="73"/>
  <c r="F21" i="1"/>
  <c r="F17" i="73"/>
  <c r="D20" i="73"/>
  <c r="F32" i="73"/>
  <c r="F33" i="73" s="1"/>
  <c r="J28" i="73"/>
  <c r="H32" i="73"/>
  <c r="I32" i="73"/>
  <c r="J27" i="73"/>
  <c r="J32" i="73" s="1"/>
  <c r="J33" i="73" l="1"/>
  <c r="I35" i="73"/>
  <c r="I36" i="73" s="1"/>
  <c r="I33" i="73"/>
  <c r="H35" i="73"/>
  <c r="H36" i="73" s="1"/>
  <c r="H33" i="73"/>
  <c r="D23" i="73"/>
  <c r="F23" i="73" s="1"/>
  <c r="F20" i="73"/>
  <c r="H20" i="73"/>
  <c r="H23" i="73" l="1"/>
  <c r="J23" i="73" s="1"/>
  <c r="J20" i="73"/>
  <c r="C8" i="72" l="1"/>
  <c r="G33" i="71"/>
  <c r="E30" i="71"/>
  <c r="G27" i="71"/>
  <c r="G26" i="71"/>
  <c r="G25" i="71"/>
  <c r="G24" i="71"/>
  <c r="G23" i="71"/>
  <c r="D22" i="71"/>
  <c r="G21" i="71"/>
  <c r="G20" i="71"/>
  <c r="G19" i="71"/>
  <c r="E15" i="71"/>
  <c r="D13" i="71"/>
  <c r="B4" i="71"/>
  <c r="B2" i="71"/>
  <c r="T35" i="70"/>
  <c r="Q35" i="70"/>
  <c r="P35" i="70"/>
  <c r="N35" i="70"/>
  <c r="M35" i="70"/>
  <c r="L35" i="70"/>
  <c r="J35" i="70"/>
  <c r="I35" i="70"/>
  <c r="T34" i="70"/>
  <c r="Q34" i="70"/>
  <c r="L34" i="70"/>
  <c r="J34" i="70"/>
  <c r="I34" i="70"/>
  <c r="T33" i="70"/>
  <c r="T31" i="70"/>
  <c r="S35" i="70"/>
  <c r="R35" i="70"/>
  <c r="K35" i="70"/>
  <c r="D35" i="70"/>
  <c r="S34" i="70"/>
  <c r="R34" i="70"/>
  <c r="P34" i="70"/>
  <c r="N34" i="70"/>
  <c r="M34" i="70"/>
  <c r="K34" i="70"/>
  <c r="D34" i="70"/>
  <c r="Q33" i="70"/>
  <c r="P33" i="70"/>
  <c r="L33" i="70"/>
  <c r="J33" i="70"/>
  <c r="I33" i="70"/>
  <c r="D33" i="70"/>
  <c r="Q32" i="70"/>
  <c r="P32" i="70"/>
  <c r="L32" i="70"/>
  <c r="J32" i="70"/>
  <c r="I32" i="70"/>
  <c r="Q31" i="70"/>
  <c r="P31" i="70"/>
  <c r="M31" i="70"/>
  <c r="L31" i="70"/>
  <c r="J31" i="70"/>
  <c r="I31" i="70"/>
  <c r="Q30" i="70"/>
  <c r="P30" i="70"/>
  <c r="L30" i="70"/>
  <c r="J30" i="70"/>
  <c r="I30" i="70"/>
  <c r="Q29" i="70"/>
  <c r="P29" i="70"/>
  <c r="L29" i="70"/>
  <c r="J29" i="70"/>
  <c r="I29" i="70"/>
  <c r="A12" i="70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8" i="70" s="1"/>
  <c r="A29" i="70" s="1"/>
  <c r="A30" i="70" s="1"/>
  <c r="A31" i="70" s="1"/>
  <c r="A32" i="70" s="1"/>
  <c r="A33" i="70" s="1"/>
  <c r="A34" i="70" s="1"/>
  <c r="A35" i="70" s="1"/>
  <c r="A36" i="70" s="1"/>
  <c r="T28" i="70"/>
  <c r="N28" i="70"/>
  <c r="M28" i="70"/>
  <c r="J28" i="70"/>
  <c r="D28" i="70"/>
  <c r="E7" i="70"/>
  <c r="W6" i="70"/>
  <c r="Q28" i="70" l="1"/>
  <c r="M30" i="70"/>
  <c r="N30" i="70"/>
  <c r="K30" i="70"/>
  <c r="K31" i="70"/>
  <c r="K33" i="70"/>
  <c r="K28" i="70"/>
  <c r="L28" i="70"/>
  <c r="L36" i="70" s="1"/>
  <c r="F12" i="70"/>
  <c r="M33" i="70"/>
  <c r="N33" i="70"/>
  <c r="R33" i="70"/>
  <c r="R31" i="70"/>
  <c r="D32" i="70"/>
  <c r="R28" i="70"/>
  <c r="D29" i="70"/>
  <c r="S31" i="70"/>
  <c r="E32" i="70"/>
  <c r="K32" i="70"/>
  <c r="F20" i="70"/>
  <c r="K29" i="70"/>
  <c r="K36" i="70" s="1"/>
  <c r="G12" i="71"/>
  <c r="G13" i="71" s="1"/>
  <c r="F14" i="70"/>
  <c r="R30" i="70"/>
  <c r="S33" i="70"/>
  <c r="F23" i="70"/>
  <c r="S30" i="70"/>
  <c r="J25" i="70"/>
  <c r="N31" i="70"/>
  <c r="F19" i="70"/>
  <c r="F22" i="70"/>
  <c r="D34" i="71"/>
  <c r="E34" i="71" s="1"/>
  <c r="M32" i="70"/>
  <c r="N32" i="70"/>
  <c r="Q25" i="70"/>
  <c r="S29" i="70"/>
  <c r="R32" i="70"/>
  <c r="K25" i="70"/>
  <c r="R25" i="70"/>
  <c r="T29" i="70"/>
  <c r="S32" i="70"/>
  <c r="F24" i="70"/>
  <c r="D28" i="71"/>
  <c r="E34" i="70"/>
  <c r="F34" i="70" s="1"/>
  <c r="M29" i="70"/>
  <c r="N29" i="70"/>
  <c r="P28" i="70"/>
  <c r="P36" i="70" s="1"/>
  <c r="S25" i="70"/>
  <c r="T30" i="70"/>
  <c r="T32" i="70"/>
  <c r="T25" i="70"/>
  <c r="F13" i="70"/>
  <c r="D30" i="70"/>
  <c r="D31" i="70"/>
  <c r="F21" i="70"/>
  <c r="I25" i="70"/>
  <c r="R29" i="70"/>
  <c r="D25" i="70"/>
  <c r="E31" i="70"/>
  <c r="E33" i="70"/>
  <c r="F33" i="70" s="1"/>
  <c r="P25" i="70"/>
  <c r="F11" i="70"/>
  <c r="F15" i="70"/>
  <c r="Q36" i="70"/>
  <c r="J36" i="70"/>
  <c r="F17" i="70"/>
  <c r="L25" i="70"/>
  <c r="G15" i="71"/>
  <c r="H15" i="71" s="1"/>
  <c r="G30" i="71"/>
  <c r="H30" i="71" s="1"/>
  <c r="M25" i="70"/>
  <c r="E28" i="70"/>
  <c r="S28" i="70"/>
  <c r="E35" i="70"/>
  <c r="F35" i="70" s="1"/>
  <c r="N25" i="70"/>
  <c r="E30" i="70"/>
  <c r="G18" i="71"/>
  <c r="G32" i="71"/>
  <c r="G34" i="71" s="1"/>
  <c r="H34" i="71" s="1"/>
  <c r="F16" i="70"/>
  <c r="I28" i="70"/>
  <c r="I36" i="70" s="1"/>
  <c r="E12" i="71"/>
  <c r="E13" i="71" s="1"/>
  <c r="E25" i="70"/>
  <c r="F25" i="70" s="1"/>
  <c r="E29" i="70"/>
  <c r="F32" i="70" l="1"/>
  <c r="M36" i="70"/>
  <c r="R36" i="70"/>
  <c r="T36" i="70"/>
  <c r="D35" i="71"/>
  <c r="N36" i="70"/>
  <c r="F29" i="70"/>
  <c r="D36" i="70"/>
  <c r="E28" i="71"/>
  <c r="E35" i="71" s="1"/>
  <c r="E37" i="71" s="1"/>
  <c r="D41" i="71"/>
  <c r="H12" i="71"/>
  <c r="H13" i="71" s="1"/>
  <c r="F31" i="70"/>
  <c r="S36" i="70"/>
  <c r="F18" i="70"/>
  <c r="F30" i="70"/>
  <c r="E36" i="70"/>
  <c r="F28" i="70"/>
  <c r="F36" i="70" l="1"/>
  <c r="A16" i="34" l="1"/>
  <c r="A17" i="34"/>
  <c r="A18" i="34"/>
  <c r="A16" i="1"/>
  <c r="A17" i="1"/>
  <c r="A18" i="1" s="1"/>
  <c r="A19" i="1" s="1"/>
  <c r="A20" i="1" s="1"/>
  <c r="A21" i="1" s="1"/>
  <c r="N21" i="18" l="1"/>
  <c r="E17" i="1" l="1"/>
  <c r="G23" i="70"/>
  <c r="C21" i="72"/>
  <c r="F21" i="72" s="1"/>
  <c r="O23" i="70" s="1"/>
  <c r="O34" i="70" s="1"/>
  <c r="E8" i="1"/>
  <c r="D7" i="1"/>
  <c r="G34" i="70" l="1"/>
  <c r="H23" i="70"/>
  <c r="A4" i="34"/>
  <c r="A2" i="34"/>
  <c r="U23" i="70" l="1"/>
  <c r="U34" i="70" s="1"/>
  <c r="H34" i="70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E9" i="1" s="1"/>
  <c r="A4" i="18" l="1"/>
  <c r="A2" i="18"/>
  <c r="D18" i="34" l="1"/>
  <c r="E17" i="34" l="1"/>
  <c r="E16" i="34"/>
  <c r="D17" i="1" s="1"/>
  <c r="E10" i="34"/>
  <c r="D11" i="1" s="1"/>
  <c r="E12" i="34"/>
  <c r="D13" i="1" s="1"/>
  <c r="E11" i="34"/>
  <c r="D12" i="1" s="1"/>
  <c r="D18" i="1"/>
  <c r="E14" i="34"/>
  <c r="D15" i="1" s="1"/>
  <c r="E15" i="34"/>
  <c r="D16" i="1" s="1"/>
  <c r="E13" i="34"/>
  <c r="D14" i="1" s="1"/>
  <c r="G17" i="1" l="1"/>
  <c r="J17" i="1" s="1"/>
  <c r="F17" i="1"/>
  <c r="H17" i="1" s="1"/>
  <c r="A11" i="34"/>
  <c r="A12" i="34" s="1"/>
  <c r="A13" i="34" s="1"/>
  <c r="A14" i="34" s="1"/>
  <c r="A15" i="34" s="1"/>
  <c r="D19" i="1"/>
  <c r="I17" i="1" l="1"/>
  <c r="K17" i="1" s="1"/>
  <c r="E21" i="72" s="1"/>
  <c r="G21" i="72" s="1"/>
  <c r="H21" i="72" s="1"/>
  <c r="F11" i="1"/>
  <c r="E18" i="34"/>
  <c r="I21" i="72" l="1"/>
  <c r="V23" i="70"/>
  <c r="G12" i="1"/>
  <c r="G13" i="1"/>
  <c r="G14" i="1"/>
  <c r="G15" i="1"/>
  <c r="G16" i="1"/>
  <c r="G18" i="1"/>
  <c r="G11" i="1"/>
  <c r="V34" i="70" l="1"/>
  <c r="X34" i="70" s="1"/>
  <c r="X23" i="70"/>
  <c r="W23" i="70"/>
  <c r="W34" i="70" s="1"/>
  <c r="G19" i="1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A12" i="1"/>
  <c r="A13" i="1" s="1"/>
  <c r="A14" i="1" s="1"/>
  <c r="A15" i="1" s="1"/>
  <c r="G17" i="70" l="1"/>
  <c r="C15" i="72"/>
  <c r="F15" i="72" s="1"/>
  <c r="O17" i="70" s="1"/>
  <c r="G18" i="70"/>
  <c r="H18" i="70" s="1"/>
  <c r="C16" i="72"/>
  <c r="F16" i="72" s="1"/>
  <c r="G20" i="70"/>
  <c r="H20" i="70" s="1"/>
  <c r="C18" i="72"/>
  <c r="F18" i="72" s="1"/>
  <c r="O20" i="70" s="1"/>
  <c r="G22" i="70"/>
  <c r="H22" i="70" s="1"/>
  <c r="C20" i="72"/>
  <c r="F20" i="72" s="1"/>
  <c r="O22" i="70" s="1"/>
  <c r="G16" i="70"/>
  <c r="C14" i="72"/>
  <c r="F14" i="72" s="1"/>
  <c r="O16" i="70" s="1"/>
  <c r="G21" i="70"/>
  <c r="H21" i="70" s="1"/>
  <c r="C19" i="72"/>
  <c r="F19" i="72" s="1"/>
  <c r="O21" i="70" s="1"/>
  <c r="G12" i="70"/>
  <c r="H12" i="70" s="1"/>
  <c r="C10" i="72"/>
  <c r="F10" i="72" s="1"/>
  <c r="O12" i="70" s="1"/>
  <c r="U12" i="70" s="1"/>
  <c r="G11" i="70"/>
  <c r="C9" i="72"/>
  <c r="G14" i="70"/>
  <c r="C12" i="72"/>
  <c r="F12" i="72" s="1"/>
  <c r="O14" i="70" s="1"/>
  <c r="G19" i="70"/>
  <c r="H19" i="70" s="1"/>
  <c r="C17" i="72"/>
  <c r="F17" i="72" s="1"/>
  <c r="O19" i="70" s="1"/>
  <c r="G24" i="70"/>
  <c r="C22" i="72"/>
  <c r="F22" i="72" s="1"/>
  <c r="O24" i="70" s="1"/>
  <c r="O35" i="70" s="1"/>
  <c r="G13" i="70"/>
  <c r="C11" i="72"/>
  <c r="F11" i="72" s="1"/>
  <c r="O13" i="70" s="1"/>
  <c r="G15" i="70"/>
  <c r="C13" i="72"/>
  <c r="F13" i="72" s="1"/>
  <c r="O15" i="70" s="1"/>
  <c r="E11" i="1"/>
  <c r="E14" i="1"/>
  <c r="N23" i="18"/>
  <c r="E15" i="1"/>
  <c r="E12" i="1"/>
  <c r="E16" i="1"/>
  <c r="E13" i="1"/>
  <c r="E18" i="1"/>
  <c r="O32" i="70" l="1"/>
  <c r="G29" i="70"/>
  <c r="H13" i="70"/>
  <c r="U13" i="70" s="1"/>
  <c r="G35" i="70"/>
  <c r="H24" i="70"/>
  <c r="U22" i="70"/>
  <c r="O18" i="70"/>
  <c r="O29" i="70" s="1"/>
  <c r="G30" i="70"/>
  <c r="H14" i="70"/>
  <c r="G28" i="70"/>
  <c r="G25" i="70"/>
  <c r="G26" i="70" s="1"/>
  <c r="H11" i="70"/>
  <c r="U21" i="70"/>
  <c r="U20" i="70"/>
  <c r="G32" i="70"/>
  <c r="H16" i="70"/>
  <c r="U19" i="70"/>
  <c r="O30" i="70"/>
  <c r="F9" i="72"/>
  <c r="C23" i="72"/>
  <c r="C24" i="72" s="1"/>
  <c r="H29" i="70"/>
  <c r="O31" i="70"/>
  <c r="O33" i="70"/>
  <c r="G31" i="70"/>
  <c r="H15" i="70"/>
  <c r="G33" i="70"/>
  <c r="H17" i="70"/>
  <c r="E19" i="1"/>
  <c r="E20" i="1" s="1"/>
  <c r="F18" i="1"/>
  <c r="H18" i="1" s="1"/>
  <c r="F16" i="1"/>
  <c r="H16" i="1" s="1"/>
  <c r="F15" i="1"/>
  <c r="H15" i="1" s="1"/>
  <c r="F14" i="1"/>
  <c r="H14" i="1" s="1"/>
  <c r="F13" i="1"/>
  <c r="H13" i="1" s="1"/>
  <c r="F12" i="1"/>
  <c r="H11" i="1"/>
  <c r="H21" i="1"/>
  <c r="U14" i="70" l="1"/>
  <c r="U30" i="70" s="1"/>
  <c r="H30" i="70"/>
  <c r="F23" i="72"/>
  <c r="O11" i="70"/>
  <c r="U11" i="70" s="1"/>
  <c r="U16" i="70"/>
  <c r="U32" i="70" s="1"/>
  <c r="H32" i="70"/>
  <c r="H31" i="70"/>
  <c r="U15" i="70"/>
  <c r="U31" i="70" s="1"/>
  <c r="U29" i="70"/>
  <c r="H33" i="70"/>
  <c r="U17" i="70"/>
  <c r="U33" i="70" s="1"/>
  <c r="H35" i="70"/>
  <c r="U24" i="70"/>
  <c r="U35" i="70" s="1"/>
  <c r="H28" i="70"/>
  <c r="H25" i="70"/>
  <c r="U18" i="70"/>
  <c r="G36" i="70"/>
  <c r="H12" i="1"/>
  <c r="F19" i="1"/>
  <c r="U25" i="70" l="1"/>
  <c r="U28" i="70"/>
  <c r="U36" i="70" s="1"/>
  <c r="O25" i="70"/>
  <c r="O28" i="70"/>
  <c r="O36" i="70" s="1"/>
  <c r="H36" i="70"/>
  <c r="J12" i="1"/>
  <c r="J18" i="1"/>
  <c r="I15" i="1"/>
  <c r="J16" i="1"/>
  <c r="I16" i="1"/>
  <c r="I18" i="1" l="1"/>
  <c r="K18" i="1" s="1"/>
  <c r="E22" i="72" s="1"/>
  <c r="G22" i="72" s="1"/>
  <c r="H22" i="72" s="1"/>
  <c r="J15" i="1"/>
  <c r="K15" i="1" s="1"/>
  <c r="I12" i="1"/>
  <c r="K12" i="1" s="1"/>
  <c r="K16" i="1"/>
  <c r="J13" i="1"/>
  <c r="I13" i="1"/>
  <c r="J11" i="1"/>
  <c r="M11" i="1" s="1"/>
  <c r="I11" i="1"/>
  <c r="J14" i="1"/>
  <c r="I14" i="1"/>
  <c r="E15" i="72" l="1"/>
  <c r="G15" i="72" s="1"/>
  <c r="H15" i="72" s="1"/>
  <c r="E20" i="72"/>
  <c r="G20" i="72" s="1"/>
  <c r="H20" i="72" s="1"/>
  <c r="E11" i="72"/>
  <c r="G11" i="72" s="1"/>
  <c r="H11" i="72" s="1"/>
  <c r="E16" i="72"/>
  <c r="G16" i="72" s="1"/>
  <c r="H16" i="72" s="1"/>
  <c r="V18" i="70" s="1"/>
  <c r="W18" i="70" s="1"/>
  <c r="E14" i="72"/>
  <c r="G14" i="72" s="1"/>
  <c r="H14" i="72" s="1"/>
  <c r="E19" i="72"/>
  <c r="G19" i="72" s="1"/>
  <c r="H19" i="72" s="1"/>
  <c r="I22" i="72"/>
  <c r="V24" i="70"/>
  <c r="K14" i="1"/>
  <c r="K13" i="1"/>
  <c r="K11" i="1"/>
  <c r="L11" i="1"/>
  <c r="N11" i="1" s="1"/>
  <c r="E12" i="72" l="1"/>
  <c r="G12" i="72" s="1"/>
  <c r="H12" i="72" s="1"/>
  <c r="E17" i="72"/>
  <c r="G17" i="72" s="1"/>
  <c r="H17" i="72" s="1"/>
  <c r="E10" i="72"/>
  <c r="G10" i="72" s="1"/>
  <c r="H10" i="72" s="1"/>
  <c r="E9" i="72"/>
  <c r="E13" i="72"/>
  <c r="G13" i="72" s="1"/>
  <c r="H13" i="72" s="1"/>
  <c r="E18" i="72"/>
  <c r="G18" i="72" s="1"/>
  <c r="H18" i="72" s="1"/>
  <c r="V35" i="70"/>
  <c r="X35" i="70" s="1"/>
  <c r="W24" i="70"/>
  <c r="W35" i="70" s="1"/>
  <c r="X24" i="70"/>
  <c r="V21" i="70"/>
  <c r="I19" i="72"/>
  <c r="V16" i="70"/>
  <c r="I14" i="72"/>
  <c r="V13" i="70"/>
  <c r="I11" i="72"/>
  <c r="V22" i="70"/>
  <c r="I20" i="72"/>
  <c r="I15" i="72"/>
  <c r="V17" i="70"/>
  <c r="H19" i="1"/>
  <c r="H20" i="1" s="1"/>
  <c r="V15" i="70" l="1"/>
  <c r="I13" i="72"/>
  <c r="V33" i="70"/>
  <c r="X33" i="70" s="1"/>
  <c r="W17" i="70"/>
  <c r="X17" i="70"/>
  <c r="G22" i="71"/>
  <c r="G28" i="71" s="1"/>
  <c r="G9" i="72"/>
  <c r="X21" i="70"/>
  <c r="W21" i="70"/>
  <c r="I10" i="72"/>
  <c r="V12" i="70"/>
  <c r="V19" i="70"/>
  <c r="I17" i="72"/>
  <c r="V32" i="70"/>
  <c r="X32" i="70" s="1"/>
  <c r="X16" i="70"/>
  <c r="W16" i="70"/>
  <c r="I18" i="72"/>
  <c r="V20" i="70"/>
  <c r="W22" i="70"/>
  <c r="W33" i="70" s="1"/>
  <c r="X22" i="70"/>
  <c r="V29" i="70"/>
  <c r="X29" i="70" s="1"/>
  <c r="W13" i="70"/>
  <c r="W29" i="70" s="1"/>
  <c r="X13" i="70"/>
  <c r="I12" i="72"/>
  <c r="V14" i="70"/>
  <c r="X12" i="70" l="1"/>
  <c r="W12" i="70"/>
  <c r="H9" i="72"/>
  <c r="G23" i="72"/>
  <c r="X20" i="70"/>
  <c r="W20" i="70"/>
  <c r="H28" i="71"/>
  <c r="H35" i="71" s="1"/>
  <c r="H37" i="71" s="1"/>
  <c r="H38" i="71" s="1"/>
  <c r="H39" i="71" s="1"/>
  <c r="G41" i="71"/>
  <c r="G35" i="71"/>
  <c r="W32" i="70"/>
  <c r="V30" i="70"/>
  <c r="X30" i="70" s="1"/>
  <c r="W14" i="70"/>
  <c r="W30" i="70" s="1"/>
  <c r="X14" i="70"/>
  <c r="V31" i="70"/>
  <c r="X31" i="70" s="1"/>
  <c r="X15" i="70"/>
  <c r="W15" i="70"/>
  <c r="W19" i="70"/>
  <c r="X19" i="70"/>
  <c r="W31" i="70" l="1"/>
  <c r="V11" i="70"/>
  <c r="I9" i="72"/>
  <c r="H23" i="72"/>
  <c r="I23" i="72" s="1"/>
  <c r="V25" i="70" l="1"/>
  <c r="X25" i="70" s="1"/>
  <c r="V28" i="70"/>
  <c r="W11" i="70"/>
  <c r="X11" i="70"/>
  <c r="W25" i="70" l="1"/>
  <c r="W28" i="70"/>
  <c r="W36" i="70" s="1"/>
  <c r="V36" i="70"/>
  <c r="X36" i="70" s="1"/>
  <c r="X28" i="70"/>
</calcChain>
</file>

<file path=xl/sharedStrings.xml><?xml version="1.0" encoding="utf-8"?>
<sst xmlns="http://schemas.openxmlformats.org/spreadsheetml/2006/main" count="373" uniqueCount="219">
  <si>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</si>
  <si>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</si>
  <si>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</si>
  <si>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</si>
  <si>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</si>
  <si>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</si>
  <si>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</si>
  <si>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</si>
  <si>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</si>
  <si>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</si>
  <si>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</si>
  <si>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</si>
  <si>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</si>
  <si>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</si>
  <si>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</si>
  <si>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</si>
  <si>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</si>
  <si>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</si>
  <si>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</si>
  <si>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</si>
  <si>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</si>
  <si>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</si>
  <si>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</si>
  <si>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</si>
  <si>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</si>
  <si>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</si>
  <si>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</si>
  <si>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</si>
  <si>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</si>
  <si>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</si>
  <si>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</si>
  <si>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</si>
  <si>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</si>
  <si>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</si>
  <si>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</si>
  <si>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</si>
  <si>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</si>
  <si>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</si>
  <si>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</si>
  <si>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</si>
  <si>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</si>
  <si>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</si>
  <si>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 xml:space="preserve">New Revenue Requirement </t>
  </si>
  <si>
    <t>Base Property Tax Revenue Requirement (140A)</t>
  </si>
  <si>
    <t>Add Increment to New Cash Payment</t>
  </si>
  <si>
    <t>Net Change in Load True-Up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</si>
  <si>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</si>
  <si>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</si>
  <si>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</si>
  <si>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</si>
  <si>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</si>
  <si>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</si>
  <si>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</si>
  <si>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</si>
  <si>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</si>
  <si>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</si>
  <si>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</si>
  <si>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</si>
  <si>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</si>
  <si>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</si>
  <si>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(i) = (f) / (d)</t>
  </si>
  <si>
    <t>(l) = (i) * 19</t>
  </si>
  <si>
    <t>TOTAL</t>
  </si>
  <si>
    <t>Forecasted</t>
  </si>
  <si>
    <t>Development of Allocation Factors</t>
  </si>
  <si>
    <t>Allocation</t>
  </si>
  <si>
    <t>Factors</t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</si>
  <si>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</si>
  <si>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</si>
  <si>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Rate Change Impacts by Rate Schedule</t>
  </si>
  <si>
    <t>Therms</t>
  </si>
  <si>
    <t>Sch. 140</t>
  </si>
  <si>
    <t>Rate</t>
  </si>
  <si>
    <t>Volume</t>
  </si>
  <si>
    <t>Sched 140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</si>
  <si>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</si>
  <si>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</si>
  <si>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</si>
  <si>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</si>
  <si>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</si>
  <si>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</si>
  <si>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</si>
  <si>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</si>
  <si>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</si>
  <si>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</si>
  <si>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</si>
  <si>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</si>
  <si>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</si>
  <si>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</si>
  <si>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</si>
  <si>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</si>
  <si>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</si>
  <si>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</si>
  <si>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</si>
  <si>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</si>
  <si>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</si>
  <si>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</si>
  <si>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</si>
  <si>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</si>
  <si>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</si>
  <si>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</si>
  <si>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</si>
  <si>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</si>
  <si>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</si>
  <si>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</si>
  <si>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</si>
  <si>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</si>
  <si>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</si>
  <si>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</si>
  <si>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</si>
  <si>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</si>
  <si>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</si>
  <si>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</si>
  <si>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</si>
  <si>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</si>
  <si>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</si>
  <si>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</si>
  <si>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140</t>
  </si>
  <si>
    <t>Volume (Therms)</t>
  </si>
  <si>
    <t>Proposed Rates</t>
  </si>
  <si>
    <t>(f) = (c) * [Ln. 10]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</si>
  <si>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</si>
  <si>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t>Base Sch.</t>
  </si>
  <si>
    <t>Base Schedule</t>
  </si>
  <si>
    <t>Sch. 101</t>
  </si>
  <si>
    <t>Sch. 106</t>
  </si>
  <si>
    <t>Sch. 120</t>
  </si>
  <si>
    <t>Sch. 129</t>
  </si>
  <si>
    <t>Sch. 142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</si>
  <si>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</si>
  <si>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</si>
  <si>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</si>
  <si>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</si>
  <si>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</si>
  <si>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</si>
  <si>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</si>
  <si>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</si>
  <si>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</si>
  <si>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</si>
  <si>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Rate Change</t>
  </si>
  <si>
    <t>Basic charge (Sch. 23)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</si>
  <si>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</si>
  <si>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</si>
  <si>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</si>
  <si>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</si>
  <si>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</si>
  <si>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Property Tax Tracker</t>
  </si>
  <si>
    <t>Sch. 141D</t>
  </si>
  <si>
    <t>Sch. 141R</t>
  </si>
  <si>
    <t>Q</t>
  </si>
  <si>
    <t>Residential Gas Lights</t>
  </si>
  <si>
    <t>Dist. Pipeline Provisional (Sch. 141D)</t>
  </si>
  <si>
    <t>Rates Subject to Refund (Sch. 141R)</t>
  </si>
  <si>
    <t>check</t>
  </si>
  <si>
    <t>(e) = (c) * [Ln. 10]</t>
  </si>
  <si>
    <t>(g) = (f) + (e)</t>
  </si>
  <si>
    <t>(h) = (e) / (d)</t>
  </si>
  <si>
    <t>(j) = (h) + (i)</t>
  </si>
  <si>
    <t>(k) = (h) * 19</t>
  </si>
  <si>
    <t>(m) = (k) + (l)</t>
  </si>
  <si>
    <t>Sch. 111</t>
  </si>
  <si>
    <t>Sch. 129D</t>
  </si>
  <si>
    <t>R</t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</si>
  <si>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</si>
  <si>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</si>
  <si>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</si>
  <si>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</si>
  <si>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</si>
  <si>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t xml:space="preserve">Property Tax Revenue Requirement </t>
  </si>
  <si>
    <t xml:space="preserve">Deferral Revenue Requirement (140B) </t>
  </si>
  <si>
    <t>= 20 + 21</t>
  </si>
  <si>
    <t>Components of Revenue Requirement Increase / (decrease):</t>
  </si>
  <si>
    <t>Net Change in Tax Payment True-Up</t>
  </si>
  <si>
    <t xml:space="preserve">Change in Revenue Requirement </t>
  </si>
  <si>
    <t>Base</t>
  </si>
  <si>
    <t>2025 Gas Schedule 140 Property Tax Tracker Filing</t>
  </si>
  <si>
    <t>Proposed Effective May 1, 2025</t>
  </si>
  <si>
    <t>88T</t>
  </si>
  <si>
    <t xml:space="preserve">Source: F2024 Load Forecast Calendar Month Therms (5-30-2024)  </t>
  </si>
  <si>
    <t>Exclusive Interruptible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</si>
  <si>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F2024 Load Forecast.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</si>
  <si>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(2024 GRC UG-240005).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</si>
  <si>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(UG-240005).</t>
    </r>
  </si>
  <si>
    <t>Proposed Rates Effective May 1, 2025</t>
  </si>
  <si>
    <t>12ME Apr. 2026</t>
  </si>
  <si>
    <t>UG-240005</t>
  </si>
  <si>
    <t>May 2025 -</t>
  </si>
  <si>
    <t>Sch. 141LNG</t>
  </si>
  <si>
    <t>Sch. 141PFG</t>
  </si>
  <si>
    <t xml:space="preserve">Revenue at </t>
  </si>
  <si>
    <t>Apr. 2026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</si>
  <si>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</si>
  <si>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S</t>
  </si>
  <si>
    <t>T=sum(G:S)</t>
  </si>
  <si>
    <t>U</t>
  </si>
  <si>
    <t>V=T+U</t>
  </si>
  <si>
    <t>W=U/T</t>
  </si>
  <si>
    <t>Exclusive Interruptible Transportation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</si>
  <si>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</si>
  <si>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29, 2025.</t>
    </r>
  </si>
  <si>
    <t>LNG charge (Sch. 141LNG)</t>
  </si>
  <si>
    <t>Participatory Funding (Sch. 141PFG)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</si>
  <si>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29, 2025.</t>
    </r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</si>
  <si>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2025</t>
    </r>
  </si>
  <si>
    <t>2022 GRC Conversion Factor</t>
  </si>
  <si>
    <t>2024 GRC Conversion Factor</t>
  </si>
  <si>
    <t>Revenue Requirement from 2024 Filing</t>
  </si>
  <si>
    <t>Cash Payment expected to be made 2025</t>
  </si>
  <si>
    <t>= 7</t>
  </si>
  <si>
    <t xml:space="preserve">   True-up for 2024 Load Variance</t>
  </si>
  <si>
    <t xml:space="preserve">   True-up for 2024 Tax Payment Variance</t>
  </si>
  <si>
    <t>= 10 - 11 +12 +13</t>
  </si>
  <si>
    <t>= 7 + 15</t>
  </si>
  <si>
    <t>= 17 - 20</t>
  </si>
  <si>
    <t xml:space="preserve">No longer included 141Z transfer (2024 only) </t>
  </si>
  <si>
    <t xml:space="preserve">Impact of Change in Conversion Factor </t>
  </si>
  <si>
    <t>2025 Gas Schedule 140 Property Tax Filing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</si>
  <si>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Forecasted volume and base schedule revenue for the 12 months ending January 28, 2026 from the UG-240005 GRC compliance filing.</t>
    </r>
  </si>
  <si>
    <t>Schedule 140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</si>
</sst>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  <numFmt numFmtId="170" formatCode="0.00000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7500EA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91">
    <xf numFmtId="0" fontId="0" fillId="0" borderId="0" xfId="0"/>
    <xf numFmtId="164" fontId="0" fillId="0" borderId="2" xfId="0" applyNumberFormat="1" applyFont="1" applyFill="1" applyBorder="1"/>
    <xf numFmtId="164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3" fontId="0" fillId="0" borderId="0" xfId="0" applyNumberFormat="1" applyFont="1"/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41" fontId="9" fillId="0" borderId="2" xfId="0" applyNumberFormat="1" applyFont="1" applyFill="1" applyBorder="1"/>
    <xf numFmtId="0" fontId="9" fillId="0" borderId="2" xfId="0" applyFont="1" applyFill="1" applyBorder="1"/>
    <xf numFmtId="0" fontId="11" fillId="0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Alignment="1"/>
    <xf numFmtId="0" fontId="6" fillId="0" borderId="0" xfId="0" applyFont="1" applyFill="1"/>
    <xf numFmtId="0" fontId="2" fillId="0" borderId="0" xfId="0" applyFont="1" applyFill="1"/>
    <xf numFmtId="0" fontId="10" fillId="0" borderId="0" xfId="0" applyFont="1" applyFill="1"/>
    <xf numFmtId="42" fontId="4" fillId="0" borderId="2" xfId="0" applyNumberFormat="1" applyFont="1" applyBorder="1"/>
    <xf numFmtId="0" fontId="16" fillId="0" borderId="0" xfId="0" applyFont="1"/>
    <xf numFmtId="167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Border="1"/>
    <xf numFmtId="167" fontId="16" fillId="0" borderId="2" xfId="0" applyNumberFormat="1" applyFont="1" applyFill="1" applyBorder="1"/>
    <xf numFmtId="44" fontId="1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8" fillId="0" borderId="0" xfId="0" applyFont="1"/>
    <xf numFmtId="168" fontId="4" fillId="0" borderId="0" xfId="0" applyNumberFormat="1" applyFont="1"/>
    <xf numFmtId="0" fontId="18" fillId="0" borderId="0" xfId="0" applyFont="1" applyBorder="1"/>
    <xf numFmtId="44" fontId="18" fillId="0" borderId="0" xfId="0" applyNumberFormat="1" applyFont="1" applyBorder="1"/>
    <xf numFmtId="44" fontId="4" fillId="0" borderId="0" xfId="0" applyNumberFormat="1" applyFont="1"/>
    <xf numFmtId="44" fontId="4" fillId="0" borderId="0" xfId="0" applyNumberFormat="1" applyFont="1" applyBorder="1"/>
    <xf numFmtId="44" fontId="4" fillId="0" borderId="2" xfId="0" applyNumberFormat="1" applyFont="1" applyBorder="1"/>
    <xf numFmtId="0" fontId="4" fillId="0" borderId="0" xfId="0" applyFont="1" applyBorder="1"/>
    <xf numFmtId="169" fontId="18" fillId="0" borderId="0" xfId="0" applyNumberFormat="1" applyFont="1" applyBorder="1"/>
    <xf numFmtId="169" fontId="4" fillId="0" borderId="0" xfId="0" applyNumberFormat="1" applyFont="1"/>
    <xf numFmtId="169" fontId="0" fillId="0" borderId="0" xfId="0" applyNumberFormat="1" applyFont="1"/>
    <xf numFmtId="169" fontId="4" fillId="0" borderId="2" xfId="0" applyNumberFormat="1" applyFont="1" applyBorder="1"/>
    <xf numFmtId="169" fontId="0" fillId="0" borderId="0" xfId="0" applyNumberFormat="1" applyFont="1" applyFill="1"/>
    <xf numFmtId="168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165" fontId="0" fillId="0" borderId="0" xfId="0" applyNumberFormat="1" applyFont="1"/>
    <xf numFmtId="0" fontId="0" fillId="0" borderId="0" xfId="0" quotePrefix="1" applyFont="1"/>
    <xf numFmtId="0" fontId="13" fillId="0" borderId="0" xfId="0" applyFont="1"/>
    <xf numFmtId="0" fontId="4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6" fontId="16" fillId="0" borderId="0" xfId="0" applyNumberFormat="1" applyFont="1" applyFill="1"/>
    <xf numFmtId="166" fontId="16" fillId="0" borderId="2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 indent="1"/>
    </xf>
    <xf numFmtId="42" fontId="0" fillId="0" borderId="3" xfId="0" applyNumberFormat="1" applyFill="1" applyBorder="1"/>
    <xf numFmtId="41" fontId="9" fillId="0" borderId="0" xfId="0" applyNumberFormat="1" applyFont="1" applyFill="1"/>
    <xf numFmtId="0" fontId="9" fillId="0" borderId="0" xfId="0" applyFont="1" applyFill="1"/>
    <xf numFmtId="10" fontId="0" fillId="0" borderId="0" xfId="0" applyNumberFormat="1" applyFont="1" applyFill="1" applyAlignment="1">
      <alignment horizontal="center"/>
    </xf>
    <xf numFmtId="166" fontId="0" fillId="0" borderId="0" xfId="1" applyNumberFormat="1" applyFont="1" applyFill="1"/>
    <xf numFmtId="0" fontId="16" fillId="0" borderId="0" xfId="0" applyFont="1" applyFill="1" applyBorder="1" applyAlignment="1">
      <alignment horizontal="left"/>
    </xf>
    <xf numFmtId="0" fontId="20" fillId="0" borderId="0" xfId="0" applyFont="1" applyFill="1"/>
    <xf numFmtId="0" fontId="4" fillId="0" borderId="0" xfId="0" applyFont="1" applyFill="1"/>
    <xf numFmtId="41" fontId="4" fillId="0" borderId="0" xfId="0" applyNumberFormat="1" applyFont="1" applyFill="1"/>
    <xf numFmtId="10" fontId="4" fillId="0" borderId="0" xfId="0" applyNumberFormat="1" applyFo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3" fontId="0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164" fontId="12" fillId="0" borderId="0" xfId="0" applyNumberFormat="1" applyFont="1" applyFill="1"/>
    <xf numFmtId="0" fontId="0" fillId="0" borderId="0" xfId="0" applyFill="1" applyBorder="1"/>
    <xf numFmtId="44" fontId="0" fillId="0" borderId="0" xfId="0" applyNumberFormat="1" applyFill="1"/>
    <xf numFmtId="166" fontId="0" fillId="0" borderId="0" xfId="0" applyNumberFormat="1" applyFill="1"/>
    <xf numFmtId="43" fontId="1" fillId="0" borderId="0" xfId="1" applyFont="1"/>
    <xf numFmtId="164" fontId="1" fillId="0" borderId="0" xfId="0" applyNumberFormat="1" applyFont="1" applyFill="1"/>
    <xf numFmtId="164" fontId="0" fillId="0" borderId="1" xfId="0" applyNumberFormat="1" applyFont="1" applyBorder="1"/>
    <xf numFmtId="0" fontId="4" fillId="0" borderId="0" xfId="0" applyFont="1" applyFill="1" applyBorder="1" applyAlignment="1">
      <alignment horizontal="center"/>
    </xf>
    <xf numFmtId="44" fontId="4" fillId="0" borderId="2" xfId="0" applyNumberFormat="1" applyFont="1" applyFill="1" applyBorder="1"/>
    <xf numFmtId="44" fontId="4" fillId="0" borderId="0" xfId="0" applyNumberFormat="1" applyFont="1" applyFill="1" applyBorder="1"/>
    <xf numFmtId="44" fontId="0" fillId="0" borderId="0" xfId="0" applyNumberFormat="1" applyFont="1"/>
    <xf numFmtId="44" fontId="18" fillId="0" borderId="0" xfId="0" applyNumberFormat="1" applyFont="1" applyFill="1"/>
    <xf numFmtId="169" fontId="5" fillId="0" borderId="0" xfId="0" applyNumberFormat="1" applyFont="1" applyFill="1"/>
    <xf numFmtId="169" fontId="4" fillId="0" borderId="2" xfId="0" applyNumberFormat="1" applyFont="1" applyFill="1" applyBorder="1"/>
    <xf numFmtId="165" fontId="3" fillId="0" borderId="0" xfId="0" applyNumberFormat="1" applyFont="1"/>
    <xf numFmtId="165" fontId="3" fillId="0" borderId="1" xfId="0" applyNumberFormat="1" applyFont="1" applyBorder="1"/>
    <xf numFmtId="42" fontId="4" fillId="0" borderId="0" xfId="0" applyNumberFormat="1" applyFont="1" applyFill="1" applyBorder="1"/>
    <xf numFmtId="17" fontId="3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43" fontId="1" fillId="0" borderId="0" xfId="1" applyFont="1" applyFill="1"/>
    <xf numFmtId="0" fontId="1" fillId="0" borderId="0" xfId="0" applyFont="1"/>
    <xf numFmtId="0" fontId="0" fillId="0" borderId="0" xfId="0" applyFont="1" applyAlignment="1">
      <alignment horizontal="center"/>
    </xf>
    <xf numFmtId="3" fontId="5" fillId="0" borderId="0" xfId="0" applyNumberFormat="1" applyFont="1"/>
    <xf numFmtId="166" fontId="1" fillId="0" borderId="0" xfId="1" applyNumberFormat="1" applyFont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>
      <alignment horizontal="center"/>
    </xf>
    <xf numFmtId="170" fontId="3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quotePrefix="1" applyFont="1" applyFill="1" applyAlignment="1">
      <alignment horizontal="left"/>
    </xf>
    <xf numFmtId="0" fontId="1" fillId="0" borderId="0" xfId="0" applyFont="1" applyFill="1"/>
    <xf numFmtId="0" fontId="25" fillId="0" borderId="0" xfId="0" applyFont="1" applyFill="1" applyAlignment="1">
      <alignment horizontal="left"/>
    </xf>
    <xf numFmtId="0" fontId="9" fillId="0" borderId="2" xfId="0" applyFont="1" applyFill="1" applyBorder="1" applyAlignment="1"/>
    <xf numFmtId="0" fontId="26" fillId="0" borderId="0" xfId="0" applyFont="1" applyFill="1" applyAlignment="1">
      <alignment horizontal="left"/>
    </xf>
    <xf numFmtId="41" fontId="1" fillId="0" borderId="0" xfId="0" applyNumberFormat="1" applyFont="1" applyFill="1"/>
    <xf numFmtId="42" fontId="19" fillId="0" borderId="4" xfId="0" applyNumberFormat="1" applyFont="1" applyFill="1" applyBorder="1"/>
    <xf numFmtId="0" fontId="19" fillId="0" borderId="0" xfId="0" applyFont="1" applyFill="1"/>
    <xf numFmtId="0" fontId="27" fillId="0" borderId="0" xfId="0" applyFont="1" applyFill="1"/>
    <xf numFmtId="41" fontId="3" fillId="0" borderId="0" xfId="0" applyNumberFormat="1" applyFont="1" applyFill="1"/>
    <xf numFmtId="164" fontId="5" fillId="0" borderId="0" xfId="0" applyNumberFormat="1" applyFont="1" applyFill="1"/>
    <xf numFmtId="42" fontId="0" fillId="0" borderId="0" xfId="0" applyNumberFormat="1" applyFont="1" applyFill="1"/>
    <xf numFmtId="42" fontId="0" fillId="0" borderId="2" xfId="0" applyNumberFormat="1" applyFont="1" applyFill="1" applyBorder="1"/>
    <xf numFmtId="42" fontId="0" fillId="0" borderId="0" xfId="0" applyNumberFormat="1" applyFont="1" applyFill="1" applyBorder="1"/>
    <xf numFmtId="42" fontId="5" fillId="0" borderId="0" xfId="0" applyNumberFormat="1" applyFont="1" applyFill="1"/>
    <xf numFmtId="41" fontId="0" fillId="0" borderId="0" xfId="0" applyNumberFormat="1" applyFont="1" applyFill="1"/>
    <xf numFmtId="167" fontId="12" fillId="0" borderId="2" xfId="0" applyNumberFormat="1" applyFont="1" applyFill="1" applyBorder="1"/>
    <xf numFmtId="0" fontId="0" fillId="0" borderId="0" xfId="0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/>
    <xf numFmtId="10" fontId="0" fillId="0" borderId="0" xfId="0" applyNumberFormat="1" applyFont="1" applyFill="1"/>
    <xf numFmtId="42" fontId="3" fillId="0" borderId="0" xfId="0" applyNumberFormat="1" applyFont="1" applyFill="1"/>
    <xf numFmtId="165" fontId="0" fillId="0" borderId="1" xfId="0" applyNumberFormat="1" applyFill="1" applyBorder="1"/>
    <xf numFmtId="3" fontId="0" fillId="0" borderId="2" xfId="0" applyNumberFormat="1" applyFill="1" applyBorder="1"/>
    <xf numFmtId="42" fontId="0" fillId="0" borderId="2" xfId="0" applyNumberFormat="1" applyFill="1" applyBorder="1"/>
    <xf numFmtId="42" fontId="4" fillId="0" borderId="2" xfId="0" applyNumberFormat="1" applyFont="1" applyFill="1" applyBorder="1"/>
    <xf numFmtId="10" fontId="0" fillId="0" borderId="2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  <xf numFmtId="0" fontId="15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3" fontId="16" fillId="0" borderId="0" xfId="0" applyNumberFormat="1" applyFont="1" applyFill="1" applyBorder="1"/>
    <xf numFmtId="42" fontId="16" fillId="0" borderId="0" xfId="0" applyNumberFormat="1" applyFont="1" applyFill="1" applyBorder="1"/>
    <xf numFmtId="42" fontId="16" fillId="0" borderId="0" xfId="0" applyNumberFormat="1" applyFont="1" applyFill="1"/>
    <xf numFmtId="10" fontId="16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165" fontId="0" fillId="0" borderId="2" xfId="0" applyNumberFormat="1" applyFill="1" applyBorder="1"/>
    <xf numFmtId="165" fontId="5" fillId="0" borderId="0" xfId="0" applyNumberFormat="1" applyFont="1" applyFill="1"/>
    <xf numFmtId="165" fontId="5" fillId="0" borderId="1" xfId="0" applyNumberFormat="1" applyFont="1" applyFill="1" applyBorder="1"/>
    <xf numFmtId="3" fontId="3" fillId="0" borderId="0" xfId="0" applyNumberFormat="1" applyFont="1" applyFill="1"/>
    <xf numFmtId="44" fontId="3" fillId="0" borderId="0" xfId="0" applyNumberFormat="1" applyFont="1" applyFill="1"/>
    <xf numFmtId="169" fontId="3" fillId="0" borderId="0" xfId="0" applyNumberFormat="1" applyFont="1" applyFill="1"/>
    <xf numFmtId="10" fontId="0" fillId="0" borderId="0" xfId="0" applyNumberFormat="1" applyFont="1"/>
    <xf numFmtId="0" fontId="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84FCB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customXml" Target="../customXml/item2.xml"/><Relationship Id="rId16" Type="http://schemas.openxmlformats.org/officeDocument/2006/relationships/externalLink" Target="externalLinks/externalLink7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77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customXml" Target="../customXml/item5.xml"/><Relationship Id="rId61" Type="http://schemas.openxmlformats.org/officeDocument/2006/relationships/externalLink" Target="externalLinks/externalLink52.xml"/><Relationship Id="rId8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141Z residual transfer"/>
    </sheetNames>
    <definedNames>
      <definedName name="Number_of_Payments"/>
      <definedName name="Values_Entered"/>
    </definedNames>
    <sheetDataSet>
      <sheetData sheetId="0" refreshError="1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90" zoomScaleNormal="90" workbookViewId="0">
      <selection activeCell="B27" sqref="B27"/>
    </sheetView>
  </sheetViews>
  <sheetFormatPr defaultColWidth="9.140625" defaultRowHeight="15" x14ac:dyDescent="0.25"/>
  <cols>
    <col min="1" max="1" width="4.42578125" style="4" customWidth="1"/>
    <col min="2" max="2" width="24.140625" style="4" customWidth="1"/>
    <col min="3" max="3" width="10" style="4" bestFit="1" customWidth="1"/>
    <col min="4" max="4" width="11.140625" style="4" bestFit="1" customWidth="1"/>
    <col min="5" max="5" width="15" style="4" bestFit="1" customWidth="1"/>
    <col min="6" max="6" width="14.85546875" style="4" bestFit="1" customWidth="1"/>
    <col min="7" max="7" width="15.140625" style="4" bestFit="1" customWidth="1"/>
    <col min="8" max="8" width="13.42578125" style="4" customWidth="1"/>
    <col min="9" max="11" width="12.42578125" style="4" customWidth="1"/>
    <col min="12" max="12" width="11.7109375" style="4" bestFit="1" customWidth="1"/>
    <col min="13" max="13" width="11.28515625" style="4" bestFit="1" customWidth="1"/>
    <col min="14" max="14" width="11.5703125" style="4" bestFit="1" customWidth="1"/>
    <col min="15" max="16384" width="9.140625" style="4"/>
  </cols>
  <sheetData>
    <row r="1" spans="1:15" s="5" customForma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5" s="5" customFormat="1" x14ac:dyDescent="0.25">
      <c r="A2" s="98" t="s">
        <v>175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5" s="5" customFormat="1" x14ac:dyDescent="0.2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5" s="5" customFormat="1" x14ac:dyDescent="0.25">
      <c r="A4" s="186" t="s">
        <v>176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5" s="5" customFormat="1" x14ac:dyDescent="0.25"/>
    <row r="6" spans="1:15" s="5" customFormat="1" ht="13.5" customHeight="1" x14ac:dyDescent="0.25">
      <c r="E6" s="6" t="s">
        <v>63</v>
      </c>
      <c r="F6" s="6" t="s">
        <v>3</v>
      </c>
      <c r="G6" s="6" t="s">
        <v>3</v>
      </c>
      <c r="H6" s="6" t="s">
        <v>3</v>
      </c>
      <c r="I6" s="6" t="s">
        <v>2</v>
      </c>
      <c r="J6" s="6" t="s">
        <v>2</v>
      </c>
      <c r="K6" s="6" t="s">
        <v>2</v>
      </c>
      <c r="L6" s="133" t="s">
        <v>4</v>
      </c>
      <c r="M6" s="133" t="s">
        <v>4</v>
      </c>
      <c r="N6" s="133" t="s">
        <v>4</v>
      </c>
    </row>
    <row r="7" spans="1:15" s="5" customFormat="1" ht="17.25" x14ac:dyDescent="0.25">
      <c r="B7" s="6"/>
      <c r="C7" s="6"/>
      <c r="D7" s="6" t="str">
        <f>MID('Allocation Factors'!$B$20,80,9)</f>
        <v>UG-240005</v>
      </c>
      <c r="E7" s="6" t="s">
        <v>121</v>
      </c>
      <c r="F7" s="6" t="s">
        <v>6</v>
      </c>
      <c r="G7" s="6" t="s">
        <v>6</v>
      </c>
      <c r="H7" s="6" t="s">
        <v>6</v>
      </c>
      <c r="I7" s="6" t="s">
        <v>7</v>
      </c>
      <c r="J7" s="6" t="s">
        <v>7</v>
      </c>
      <c r="K7" s="6" t="s">
        <v>7</v>
      </c>
      <c r="L7" s="6" t="s">
        <v>7</v>
      </c>
      <c r="M7" s="6" t="s">
        <v>7</v>
      </c>
      <c r="N7" s="6" t="s">
        <v>7</v>
      </c>
    </row>
    <row r="8" spans="1:15" s="5" customFormat="1" ht="13.5" customHeight="1" x14ac:dyDescent="0.25">
      <c r="A8" s="133" t="s">
        <v>56</v>
      </c>
      <c r="B8" s="6"/>
      <c r="C8" s="6"/>
      <c r="D8" s="6" t="s">
        <v>5</v>
      </c>
      <c r="E8" s="133" t="str">
        <f>TEXT('Therm Forecast'!$B$7,"Mmm YYYY -")</f>
        <v>May 2025 -</v>
      </c>
      <c r="F8" s="6" t="s">
        <v>10</v>
      </c>
      <c r="G8" s="6" t="s">
        <v>10</v>
      </c>
      <c r="H8" s="6" t="s">
        <v>10</v>
      </c>
      <c r="I8" s="6" t="s">
        <v>35</v>
      </c>
      <c r="J8" s="6" t="s">
        <v>11</v>
      </c>
      <c r="K8" s="6" t="s">
        <v>11</v>
      </c>
      <c r="L8" s="6" t="s">
        <v>12</v>
      </c>
      <c r="M8" s="6" t="s">
        <v>12</v>
      </c>
      <c r="N8" s="6" t="s">
        <v>12</v>
      </c>
    </row>
    <row r="9" spans="1:15" s="5" customFormat="1" ht="17.25" x14ac:dyDescent="0.25">
      <c r="A9" s="7" t="s">
        <v>57</v>
      </c>
      <c r="B9" s="7" t="s">
        <v>8</v>
      </c>
      <c r="C9" s="7" t="s">
        <v>9</v>
      </c>
      <c r="D9" s="7" t="s">
        <v>67</v>
      </c>
      <c r="E9" s="7" t="str">
        <f>TEXT('Therm Forecast'!$M$7,"Mmmm YYYY")</f>
        <v>April 2026</v>
      </c>
      <c r="F9" s="7" t="s">
        <v>174</v>
      </c>
      <c r="G9" s="7" t="s">
        <v>36</v>
      </c>
      <c r="H9" s="7" t="s">
        <v>62</v>
      </c>
      <c r="I9" s="7" t="s">
        <v>174</v>
      </c>
      <c r="J9" s="7" t="s">
        <v>34</v>
      </c>
      <c r="K9" s="7" t="s">
        <v>62</v>
      </c>
      <c r="L9" s="7" t="s">
        <v>174</v>
      </c>
      <c r="M9" s="7" t="s">
        <v>34</v>
      </c>
      <c r="N9" s="7" t="s">
        <v>62</v>
      </c>
    </row>
    <row r="10" spans="1:15" s="5" customFormat="1" x14ac:dyDescent="0.25">
      <c r="B10" s="133" t="s">
        <v>52</v>
      </c>
      <c r="C10" s="133" t="s">
        <v>53</v>
      </c>
      <c r="D10" s="133" t="s">
        <v>54</v>
      </c>
      <c r="E10" s="6" t="s">
        <v>55</v>
      </c>
      <c r="F10" s="110" t="s">
        <v>154</v>
      </c>
      <c r="G10" s="6" t="s">
        <v>120</v>
      </c>
      <c r="H10" s="6" t="s">
        <v>155</v>
      </c>
      <c r="I10" s="6" t="s">
        <v>156</v>
      </c>
      <c r="J10" s="6" t="s">
        <v>60</v>
      </c>
      <c r="K10" s="6" t="s">
        <v>157</v>
      </c>
      <c r="L10" s="6" t="s">
        <v>158</v>
      </c>
      <c r="M10" s="6" t="s">
        <v>61</v>
      </c>
      <c r="N10" s="6" t="s">
        <v>159</v>
      </c>
      <c r="O10" s="6"/>
    </row>
    <row r="11" spans="1:15" s="5" customFormat="1" x14ac:dyDescent="0.25">
      <c r="A11" s="133">
        <v>1</v>
      </c>
      <c r="B11" s="5" t="s">
        <v>13</v>
      </c>
      <c r="C11" s="5" t="s">
        <v>14</v>
      </c>
      <c r="D11" s="149">
        <f>'Allocation Factors'!E10</f>
        <v>0.6097455144830688</v>
      </c>
      <c r="E11" s="132">
        <f>SUM('Therm Forecast'!N8:N10)</f>
        <v>560224204</v>
      </c>
      <c r="F11" s="150">
        <f t="shared" ref="F11:F18" si="0">F$21*D11</f>
        <v>10186672.85529938</v>
      </c>
      <c r="G11" s="3">
        <f t="shared" ref="G11:G18" si="1">$G$21*D11</f>
        <v>1665538.607180659</v>
      </c>
      <c r="H11" s="150">
        <f t="shared" ref="H11:H18" si="2">SUM(F11:G11)</f>
        <v>11852211.462480038</v>
      </c>
      <c r="I11" s="19">
        <f t="shared" ref="I11:I18" si="3">ROUND(F11/$E11,5)</f>
        <v>1.8180000000000002E-2</v>
      </c>
      <c r="J11" s="19">
        <f>ROUND((+G11)/$E11,5)</f>
        <v>2.97E-3</v>
      </c>
      <c r="K11" s="19">
        <f>SUM(I11:J11)</f>
        <v>2.1150000000000002E-2</v>
      </c>
      <c r="L11" s="9">
        <f>ROUND(I11*19,2)</f>
        <v>0.35</v>
      </c>
      <c r="M11" s="9">
        <f>ROUND(J11*19,2)</f>
        <v>0.06</v>
      </c>
      <c r="N11" s="9">
        <f>SUM(L11:M11)</f>
        <v>0.41</v>
      </c>
    </row>
    <row r="12" spans="1:15" s="5" customFormat="1" x14ac:dyDescent="0.25">
      <c r="A12" s="133">
        <f>A11+1</f>
        <v>2</v>
      </c>
      <c r="B12" s="5" t="s">
        <v>15</v>
      </c>
      <c r="C12" s="5" t="s">
        <v>16</v>
      </c>
      <c r="D12" s="149">
        <f>'Allocation Factors'!E11</f>
        <v>0.30733873567228659</v>
      </c>
      <c r="E12" s="132">
        <f>SUM('Therm Forecast'!N11,'Therm Forecast'!N16)</f>
        <v>229684257</v>
      </c>
      <c r="F12" s="150">
        <f t="shared" si="0"/>
        <v>5134534.1321766237</v>
      </c>
      <c r="G12" s="3">
        <f t="shared" si="1"/>
        <v>839505.19944087055</v>
      </c>
      <c r="H12" s="150">
        <f t="shared" si="2"/>
        <v>5974039.3316174941</v>
      </c>
      <c r="I12" s="19">
        <f t="shared" si="3"/>
        <v>2.2349999999999998E-2</v>
      </c>
      <c r="J12" s="19">
        <f t="shared" ref="J12:J18" si="4">ROUND((+G12)/$E12,5)</f>
        <v>3.6600000000000001E-3</v>
      </c>
      <c r="K12" s="19">
        <f t="shared" ref="K12:K18" si="5">SUM(I12:J12)</f>
        <v>2.6009999999999998E-2</v>
      </c>
      <c r="L12" s="19"/>
      <c r="M12" s="19"/>
    </row>
    <row r="13" spans="1:15" s="5" customFormat="1" x14ac:dyDescent="0.25">
      <c r="A13" s="133">
        <f t="shared" ref="A13:A21" si="6">A12+1</f>
        <v>3</v>
      </c>
      <c r="B13" s="5" t="s">
        <v>17</v>
      </c>
      <c r="C13" s="5" t="s">
        <v>18</v>
      </c>
      <c r="D13" s="149">
        <f>'Allocation Factors'!E12</f>
        <v>4.3022173568158913E-2</v>
      </c>
      <c r="E13" s="132">
        <f>SUM('Therm Forecast'!N12,'Therm Forecast'!N17)</f>
        <v>83603407</v>
      </c>
      <c r="F13" s="150">
        <f t="shared" si="0"/>
        <v>718747.07931928884</v>
      </c>
      <c r="G13" s="3">
        <f t="shared" si="1"/>
        <v>117516.38895342076</v>
      </c>
      <c r="H13" s="150">
        <f t="shared" si="2"/>
        <v>836263.46827270964</v>
      </c>
      <c r="I13" s="19">
        <f t="shared" si="3"/>
        <v>8.6E-3</v>
      </c>
      <c r="J13" s="19">
        <f t="shared" si="4"/>
        <v>1.41E-3</v>
      </c>
      <c r="K13" s="19">
        <f t="shared" si="5"/>
        <v>1.001E-2</v>
      </c>
      <c r="L13" s="19"/>
      <c r="M13" s="19"/>
    </row>
    <row r="14" spans="1:15" s="5" customFormat="1" x14ac:dyDescent="0.25">
      <c r="A14" s="133">
        <f t="shared" si="6"/>
        <v>4</v>
      </c>
      <c r="B14" s="5" t="s">
        <v>19</v>
      </c>
      <c r="C14" s="5" t="s">
        <v>20</v>
      </c>
      <c r="D14" s="149">
        <f>'Allocation Factors'!E13</f>
        <v>1.9304499795744192E-2</v>
      </c>
      <c r="E14" s="132">
        <f>SUM('Therm Forecast'!N13,'Therm Forecast'!N18)</f>
        <v>72974159</v>
      </c>
      <c r="F14" s="150">
        <f t="shared" si="0"/>
        <v>322509.34100131085</v>
      </c>
      <c r="G14" s="3">
        <f t="shared" si="1"/>
        <v>52730.834320907321</v>
      </c>
      <c r="H14" s="150">
        <f t="shared" si="2"/>
        <v>375240.17532221816</v>
      </c>
      <c r="I14" s="19">
        <f t="shared" si="3"/>
        <v>4.4200000000000003E-3</v>
      </c>
      <c r="J14" s="19">
        <f t="shared" si="4"/>
        <v>7.2000000000000005E-4</v>
      </c>
      <c r="K14" s="19">
        <f t="shared" si="5"/>
        <v>5.1400000000000005E-3</v>
      </c>
      <c r="L14" s="19"/>
      <c r="M14" s="19"/>
    </row>
    <row r="15" spans="1:15" s="5" customFormat="1" x14ac:dyDescent="0.25">
      <c r="A15" s="133">
        <f t="shared" si="6"/>
        <v>5</v>
      </c>
      <c r="B15" s="5" t="s">
        <v>21</v>
      </c>
      <c r="C15" s="5" t="s">
        <v>22</v>
      </c>
      <c r="D15" s="149">
        <f>'Allocation Factors'!E14</f>
        <v>1.9353381955729628E-3</v>
      </c>
      <c r="E15" s="132">
        <f>SUM('Therm Forecast'!N14,'Therm Forecast'!N19)</f>
        <v>6336636</v>
      </c>
      <c r="F15" s="150">
        <f t="shared" si="0"/>
        <v>32332.59875536913</v>
      </c>
      <c r="G15" s="3">
        <f t="shared" si="1"/>
        <v>5286.4357442807031</v>
      </c>
      <c r="H15" s="150">
        <f t="shared" si="2"/>
        <v>37619.034499649832</v>
      </c>
      <c r="I15" s="19">
        <f t="shared" si="3"/>
        <v>5.1000000000000004E-3</v>
      </c>
      <c r="J15" s="19">
        <f t="shared" si="4"/>
        <v>8.3000000000000001E-4</v>
      </c>
      <c r="K15" s="19">
        <f t="shared" si="5"/>
        <v>5.9300000000000004E-3</v>
      </c>
      <c r="L15" s="19"/>
      <c r="M15" s="19"/>
    </row>
    <row r="16" spans="1:15" s="5" customFormat="1" x14ac:dyDescent="0.25">
      <c r="A16" s="133">
        <f t="shared" si="6"/>
        <v>6</v>
      </c>
      <c r="B16" s="5" t="s">
        <v>23</v>
      </c>
      <c r="C16" s="5" t="s">
        <v>24</v>
      </c>
      <c r="D16" s="149">
        <f>'Allocation Factors'!E15</f>
        <v>1.5882031116759596E-2</v>
      </c>
      <c r="E16" s="132">
        <f>SUM('Therm Forecast'!N15,'Therm Forecast'!N20)</f>
        <v>91879132</v>
      </c>
      <c r="F16" s="150">
        <f t="shared" si="0"/>
        <v>265332.09580274404</v>
      </c>
      <c r="G16" s="3">
        <f t="shared" si="1"/>
        <v>43382.25596925187</v>
      </c>
      <c r="H16" s="150">
        <f t="shared" si="2"/>
        <v>308714.35177199589</v>
      </c>
      <c r="I16" s="19">
        <f t="shared" si="3"/>
        <v>2.8900000000000002E-3</v>
      </c>
      <c r="J16" s="19">
        <f t="shared" si="4"/>
        <v>4.6999999999999999E-4</v>
      </c>
      <c r="K16" s="19">
        <f t="shared" si="5"/>
        <v>3.3600000000000001E-3</v>
      </c>
      <c r="L16" s="19"/>
      <c r="M16" s="19"/>
    </row>
    <row r="17" spans="1:14" s="5" customFormat="1" x14ac:dyDescent="0.25">
      <c r="A17" s="133">
        <f t="shared" si="6"/>
        <v>7</v>
      </c>
      <c r="B17" s="5" t="s">
        <v>179</v>
      </c>
      <c r="C17" s="5" t="s">
        <v>177</v>
      </c>
      <c r="D17" s="149">
        <f>'Allocation Factors'!E16</f>
        <v>1.6365954723686191E-3</v>
      </c>
      <c r="E17" s="132">
        <f>'Therm Forecast'!N21</f>
        <v>39545056</v>
      </c>
      <c r="F17" s="150">
        <f t="shared" si="0"/>
        <v>27341.673333369316</v>
      </c>
      <c r="G17" s="3">
        <f t="shared" si="1"/>
        <v>4470.4108170076452</v>
      </c>
      <c r="H17" s="150">
        <f t="shared" si="2"/>
        <v>31812.084150376962</v>
      </c>
      <c r="I17" s="19">
        <f t="shared" ref="I17" si="7">ROUND(F17/$E17,5)</f>
        <v>6.8999999999999997E-4</v>
      </c>
      <c r="J17" s="19">
        <f t="shared" ref="J17" si="8">ROUND((+G17)/$E17,5)</f>
        <v>1.1E-4</v>
      </c>
      <c r="K17" s="19">
        <f t="shared" ref="K17" si="9">SUM(I17:J17)</f>
        <v>7.9999999999999993E-4</v>
      </c>
      <c r="L17" s="19"/>
      <c r="M17" s="19"/>
    </row>
    <row r="18" spans="1:14" s="5" customFormat="1" x14ac:dyDescent="0.25">
      <c r="A18" s="133">
        <f t="shared" si="6"/>
        <v>8</v>
      </c>
      <c r="B18" s="5" t="s">
        <v>25</v>
      </c>
      <c r="D18" s="149">
        <f>'Allocation Factors'!E17</f>
        <v>1.1351116960404614E-3</v>
      </c>
      <c r="E18" s="132">
        <f>'Therm Forecast'!N22</f>
        <v>34037220</v>
      </c>
      <c r="F18" s="150">
        <f t="shared" si="0"/>
        <v>18963.668001053062</v>
      </c>
      <c r="G18" s="3">
        <f t="shared" si="1"/>
        <v>3100.59247392824</v>
      </c>
      <c r="H18" s="150">
        <f t="shared" si="2"/>
        <v>22064.260474981304</v>
      </c>
      <c r="I18" s="19">
        <f t="shared" si="3"/>
        <v>5.5999999999999995E-4</v>
      </c>
      <c r="J18" s="19">
        <f t="shared" si="4"/>
        <v>9.0000000000000006E-5</v>
      </c>
      <c r="K18" s="19">
        <f t="shared" si="5"/>
        <v>6.4999999999999997E-4</v>
      </c>
      <c r="L18" s="19"/>
      <c r="M18" s="19"/>
    </row>
    <row r="19" spans="1:14" s="5" customFormat="1" x14ac:dyDescent="0.25">
      <c r="A19" s="133">
        <f t="shared" si="6"/>
        <v>9</v>
      </c>
      <c r="B19" s="5" t="s">
        <v>27</v>
      </c>
      <c r="D19" s="1">
        <f>SUM(D11:D18)</f>
        <v>1.0000000000000002</v>
      </c>
      <c r="E19" s="122">
        <f>SUM(E11:E18)</f>
        <v>1118284071</v>
      </c>
      <c r="F19" s="151">
        <f>SUM(F11:F18)</f>
        <v>16706433.44368914</v>
      </c>
      <c r="G19" s="151">
        <f>SUM(G11:G18)</f>
        <v>2731530.7249003267</v>
      </c>
      <c r="H19" s="151">
        <f>SUM(H11:H18)</f>
        <v>19437964.168589462</v>
      </c>
      <c r="I19" s="152"/>
      <c r="J19" s="152"/>
    </row>
    <row r="20" spans="1:14" s="5" customFormat="1" x14ac:dyDescent="0.25">
      <c r="A20" s="133">
        <f t="shared" si="6"/>
        <v>10</v>
      </c>
      <c r="D20" s="108" t="s">
        <v>153</v>
      </c>
      <c r="E20" s="126">
        <f>'Therm Forecast'!N23-'Sch. 140 Rates'!E19</f>
        <v>0</v>
      </c>
      <c r="H20" s="126">
        <f>H19-'2025 FINAL Rev Req'!I23</f>
        <v>0</v>
      </c>
    </row>
    <row r="21" spans="1:14" s="5" customFormat="1" x14ac:dyDescent="0.25">
      <c r="A21" s="133">
        <f t="shared" si="6"/>
        <v>11</v>
      </c>
      <c r="B21" s="5" t="s">
        <v>28</v>
      </c>
      <c r="F21" s="153">
        <f>'2025 FINAL Rev Req'!I20</f>
        <v>16706433.443689136</v>
      </c>
      <c r="G21" s="153">
        <f>'2025 FINAL Rev Req'!I21</f>
        <v>2731530.7249003258</v>
      </c>
      <c r="H21" s="3">
        <f>SUM(F21:G21)</f>
        <v>19437964.168589462</v>
      </c>
      <c r="I21" s="150"/>
      <c r="J21" s="150"/>
    </row>
    <row r="22" spans="1:14" s="5" customFormat="1" x14ac:dyDescent="0.25">
      <c r="H22" s="126"/>
    </row>
    <row r="23" spans="1:14" s="5" customFormat="1" ht="17.25" x14ac:dyDescent="0.25">
      <c r="B23" s="5" t="s">
        <v>182</v>
      </c>
    </row>
    <row r="24" spans="1:14" s="5" customFormat="1" ht="17.25" x14ac:dyDescent="0.25">
      <c r="B24" s="5" t="s">
        <v>180</v>
      </c>
    </row>
    <row r="25" spans="1:14" s="5" customFormat="1" x14ac:dyDescent="0.25">
      <c r="F25" s="110"/>
      <c r="G25" s="6"/>
      <c r="H25" s="6"/>
      <c r="I25" s="6"/>
      <c r="J25" s="6"/>
      <c r="K25" s="6"/>
      <c r="L25" s="6"/>
      <c r="M25" s="6"/>
      <c r="N25" s="6"/>
    </row>
    <row r="26" spans="1:14" s="5" customFormat="1" x14ac:dyDescent="0.25">
      <c r="B26" s="125"/>
    </row>
    <row r="27" spans="1:14" s="5" customFormat="1" x14ac:dyDescent="0.25"/>
    <row r="28" spans="1:14" s="5" customFormat="1" x14ac:dyDescent="0.25"/>
    <row r="29" spans="1:14" s="5" customFormat="1" x14ac:dyDescent="0.25"/>
    <row r="30" spans="1:14" s="5" customFormat="1" x14ac:dyDescent="0.25"/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1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90" zoomScaleNormal="90" workbookViewId="0">
      <selection activeCell="G26" sqref="G26"/>
    </sheetView>
  </sheetViews>
  <sheetFormatPr defaultColWidth="9.140625" defaultRowHeight="15" x14ac:dyDescent="0.25"/>
  <cols>
    <col min="1" max="1" width="4.42578125" style="23" customWidth="1"/>
    <col min="2" max="2" width="31.5703125" style="23" customWidth="1"/>
    <col min="3" max="3" width="10.42578125" style="23" customWidth="1"/>
    <col min="4" max="4" width="18" style="23" customWidth="1"/>
    <col min="5" max="5" width="14" style="23" customWidth="1"/>
    <col min="6" max="16384" width="9.140625" style="23"/>
  </cols>
  <sheetData>
    <row r="1" spans="1:5" x14ac:dyDescent="0.25">
      <c r="A1" s="187" t="s">
        <v>0</v>
      </c>
      <c r="B1" s="187"/>
      <c r="C1" s="187"/>
      <c r="D1" s="187"/>
      <c r="E1" s="187"/>
    </row>
    <row r="2" spans="1:5" s="5" customFormat="1" x14ac:dyDescent="0.25">
      <c r="A2" s="186" t="str">
        <f>'Sch. 140 Rates'!A2:N2</f>
        <v>2025 Gas Schedule 140 Property Tax Tracker Filing</v>
      </c>
      <c r="B2" s="186"/>
      <c r="C2" s="186"/>
      <c r="D2" s="186"/>
      <c r="E2" s="186"/>
    </row>
    <row r="3" spans="1:5" s="5" customFormat="1" x14ac:dyDescent="0.25">
      <c r="A3" s="186" t="s">
        <v>64</v>
      </c>
      <c r="B3" s="186"/>
      <c r="C3" s="186"/>
      <c r="D3" s="186"/>
      <c r="E3" s="186"/>
    </row>
    <row r="4" spans="1:5" s="5" customFormat="1" x14ac:dyDescent="0.25">
      <c r="A4" s="186" t="str">
        <f>'Sch. 140 Rates'!A4:N4</f>
        <v>Proposed Effective May 1, 2025</v>
      </c>
      <c r="B4" s="186"/>
      <c r="C4" s="186"/>
      <c r="D4" s="186"/>
      <c r="E4" s="186"/>
    </row>
    <row r="5" spans="1:5" s="5" customFormat="1" x14ac:dyDescent="0.25">
      <c r="A5" s="133"/>
      <c r="B5" s="133"/>
      <c r="C5" s="133"/>
      <c r="D5" s="133"/>
      <c r="E5" s="133"/>
    </row>
    <row r="6" spans="1:5" s="28" customFormat="1" x14ac:dyDescent="0.25">
      <c r="B6" s="24"/>
      <c r="C6" s="24"/>
      <c r="D6" s="24"/>
      <c r="E6" s="24" t="s">
        <v>5</v>
      </c>
    </row>
    <row r="7" spans="1:5" s="28" customFormat="1" x14ac:dyDescent="0.25">
      <c r="A7" s="26" t="s">
        <v>56</v>
      </c>
      <c r="B7" s="24"/>
      <c r="C7" s="24"/>
      <c r="D7" s="24" t="s">
        <v>5</v>
      </c>
      <c r="E7" s="24" t="s">
        <v>65</v>
      </c>
    </row>
    <row r="8" spans="1:5" s="28" customFormat="1" ht="17.25" x14ac:dyDescent="0.25">
      <c r="A8" s="25" t="s">
        <v>57</v>
      </c>
      <c r="B8" s="25" t="s">
        <v>8</v>
      </c>
      <c r="C8" s="25" t="s">
        <v>9</v>
      </c>
      <c r="D8" s="25" t="s">
        <v>68</v>
      </c>
      <c r="E8" s="25" t="s">
        <v>66</v>
      </c>
    </row>
    <row r="9" spans="1:5" s="28" customFormat="1" x14ac:dyDescent="0.25">
      <c r="B9" s="26" t="s">
        <v>52</v>
      </c>
      <c r="C9" s="26" t="s">
        <v>53</v>
      </c>
      <c r="D9" s="26" t="s">
        <v>54</v>
      </c>
      <c r="E9" s="26" t="s">
        <v>55</v>
      </c>
    </row>
    <row r="10" spans="1:5" s="28" customFormat="1" x14ac:dyDescent="0.25">
      <c r="A10" s="26">
        <v>1</v>
      </c>
      <c r="B10" s="28" t="s">
        <v>13</v>
      </c>
      <c r="C10" s="28" t="s">
        <v>14</v>
      </c>
      <c r="D10" s="163">
        <v>3324103249.4504299</v>
      </c>
      <c r="E10" s="103">
        <f t="shared" ref="E10:E15" si="0">D10/$D$18</f>
        <v>0.6097455144830688</v>
      </c>
    </row>
    <row r="11" spans="1:5" s="28" customFormat="1" x14ac:dyDescent="0.25">
      <c r="A11" s="26">
        <f>A10+1</f>
        <v>2</v>
      </c>
      <c r="B11" s="28" t="s">
        <v>15</v>
      </c>
      <c r="C11" s="28" t="s">
        <v>16</v>
      </c>
      <c r="D11" s="163">
        <v>1675495211.7956135</v>
      </c>
      <c r="E11" s="103">
        <f t="shared" si="0"/>
        <v>0.30733873567228659</v>
      </c>
    </row>
    <row r="12" spans="1:5" s="28" customFormat="1" x14ac:dyDescent="0.25">
      <c r="A12" s="26">
        <f t="shared" ref="A12:A18" si="1">A11+1</f>
        <v>3</v>
      </c>
      <c r="B12" s="28" t="s">
        <v>17</v>
      </c>
      <c r="C12" s="28" t="s">
        <v>18</v>
      </c>
      <c r="D12" s="163">
        <v>234540711.75509813</v>
      </c>
      <c r="E12" s="103">
        <f t="shared" si="0"/>
        <v>4.3022173568158913E-2</v>
      </c>
    </row>
    <row r="13" spans="1:5" s="28" customFormat="1" x14ac:dyDescent="0.25">
      <c r="A13" s="26">
        <f t="shared" si="1"/>
        <v>4</v>
      </c>
      <c r="B13" s="28" t="s">
        <v>19</v>
      </c>
      <c r="C13" s="28" t="s">
        <v>20</v>
      </c>
      <c r="D13" s="163">
        <v>105240873.40675351</v>
      </c>
      <c r="E13" s="103">
        <f t="shared" si="0"/>
        <v>1.9304499795744192E-2</v>
      </c>
    </row>
    <row r="14" spans="1:5" s="28" customFormat="1" x14ac:dyDescent="0.25">
      <c r="A14" s="26">
        <f t="shared" si="1"/>
        <v>5</v>
      </c>
      <c r="B14" s="28" t="s">
        <v>21</v>
      </c>
      <c r="C14" s="28" t="s">
        <v>22</v>
      </c>
      <c r="D14" s="163">
        <v>10550736.056080088</v>
      </c>
      <c r="E14" s="103">
        <f t="shared" si="0"/>
        <v>1.9353381955729628E-3</v>
      </c>
    </row>
    <row r="15" spans="1:5" s="28" customFormat="1" x14ac:dyDescent="0.25">
      <c r="A15" s="26">
        <f t="shared" si="1"/>
        <v>6</v>
      </c>
      <c r="B15" s="28" t="s">
        <v>23</v>
      </c>
      <c r="C15" s="28" t="s">
        <v>24</v>
      </c>
      <c r="D15" s="163">
        <v>86582861.192264453</v>
      </c>
      <c r="E15" s="103">
        <f t="shared" si="0"/>
        <v>1.5882031116759596E-2</v>
      </c>
    </row>
    <row r="16" spans="1:5" s="28" customFormat="1" x14ac:dyDescent="0.25">
      <c r="A16" s="26">
        <f t="shared" si="1"/>
        <v>7</v>
      </c>
      <c r="B16" s="154" t="s">
        <v>179</v>
      </c>
      <c r="C16" s="5" t="s">
        <v>177</v>
      </c>
      <c r="D16" s="163">
        <v>8922103.0717191938</v>
      </c>
      <c r="E16" s="103">
        <f t="shared" ref="E16:E17" si="2">D16/$D$18</f>
        <v>1.6365954723686191E-3</v>
      </c>
    </row>
    <row r="17" spans="1:5" s="28" customFormat="1" x14ac:dyDescent="0.25">
      <c r="A17" s="26">
        <f t="shared" si="1"/>
        <v>8</v>
      </c>
      <c r="B17" s="28" t="s">
        <v>25</v>
      </c>
      <c r="D17" s="163">
        <v>6188202.1067365482</v>
      </c>
      <c r="E17" s="103">
        <f t="shared" si="2"/>
        <v>1.1351116960404614E-3</v>
      </c>
    </row>
    <row r="18" spans="1:5" s="28" customFormat="1" x14ac:dyDescent="0.25">
      <c r="A18" s="26">
        <f t="shared" si="1"/>
        <v>9</v>
      </c>
      <c r="B18" s="5" t="s">
        <v>27</v>
      </c>
      <c r="D18" s="155">
        <f>SUM(D10:D17)</f>
        <v>5451623948.8346949</v>
      </c>
      <c r="E18" s="27">
        <f>SUM(E10:E17)</f>
        <v>1.0000000000000002</v>
      </c>
    </row>
    <row r="19" spans="1:5" s="28" customFormat="1" x14ac:dyDescent="0.25">
      <c r="D19" s="144">
        <v>0</v>
      </c>
    </row>
    <row r="20" spans="1:5" s="28" customFormat="1" ht="17.25" x14ac:dyDescent="0.25">
      <c r="B20" s="5" t="s">
        <v>181</v>
      </c>
    </row>
    <row r="21" spans="1:5" s="28" customFormat="1" x14ac:dyDescent="0.25">
      <c r="B21" s="5"/>
    </row>
    <row r="22" spans="1:5" x14ac:dyDescent="0.25">
      <c r="B22" s="29"/>
      <c r="E22" s="28"/>
    </row>
    <row r="23" spans="1:5" x14ac:dyDescent="0.25">
      <c r="B23" s="127"/>
      <c r="E23" s="28"/>
    </row>
    <row r="24" spans="1:5" x14ac:dyDescent="0.25">
      <c r="E24" s="28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5" zoomScaleNormal="85" workbookViewId="0">
      <pane xSplit="3" ySplit="9" topLeftCell="I10" activePane="bottomRight" state="frozenSplit"/>
      <selection activeCell="V11" sqref="V11"/>
      <selection pane="topRight" activeCell="V11" sqref="V11"/>
      <selection pane="bottomLeft" activeCell="V11" sqref="V11"/>
      <selection pane="bottomRight" activeCell="L41" sqref="L41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3" width="12.5703125" bestFit="1" customWidth="1"/>
    <col min="14" max="14" width="9.5703125" bestFit="1" customWidth="1"/>
    <col min="15" max="15" width="12.5703125" bestFit="1" customWidth="1"/>
    <col min="16" max="16" width="12.28515625" bestFit="1" customWidth="1"/>
    <col min="17" max="17" width="12.5703125" bestFit="1" customWidth="1"/>
    <col min="18" max="18" width="11.5703125" bestFit="1" customWidth="1"/>
    <col min="19" max="19" width="9.42578125" bestFit="1" customWidth="1"/>
    <col min="20" max="20" width="12.5703125" bestFit="1" customWidth="1"/>
    <col min="21" max="21" width="16.5703125" bestFit="1" customWidth="1"/>
    <col min="22" max="22" width="14.140625" bestFit="1" customWidth="1"/>
    <col min="23" max="23" width="16.5703125" bestFit="1" customWidth="1"/>
    <col min="24" max="24" width="7.85546875" bestFit="1" customWidth="1"/>
  </cols>
  <sheetData>
    <row r="1" spans="1:24" s="15" customFormat="1" x14ac:dyDescent="0.25">
      <c r="A1" s="77" t="s">
        <v>0</v>
      </c>
      <c r="B1" s="15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s="15" customFormat="1" x14ac:dyDescent="0.25">
      <c r="A2" s="77" t="s">
        <v>216</v>
      </c>
      <c r="B2" s="15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s="15" customFormat="1" x14ac:dyDescent="0.25">
      <c r="A3" s="156" t="s">
        <v>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s="15" customFormat="1" x14ac:dyDescent="0.25">
      <c r="A4" s="156" t="s">
        <v>183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1:24" s="15" customFormat="1" x14ac:dyDescent="0.25">
      <c r="F5" s="80"/>
      <c r="P5" s="80"/>
      <c r="Q5" s="80"/>
      <c r="R5" s="80"/>
      <c r="S5" s="80"/>
    </row>
    <row r="6" spans="1:24" s="15" customFormat="1" x14ac:dyDescent="0.25">
      <c r="F6" s="80"/>
      <c r="G6" s="135" t="s">
        <v>63</v>
      </c>
      <c r="P6" s="80"/>
      <c r="Q6" s="80"/>
      <c r="R6" s="80"/>
      <c r="S6" s="80"/>
      <c r="U6" s="157" t="s">
        <v>184</v>
      </c>
      <c r="W6" s="6" t="str">
        <f>U6</f>
        <v>12ME Apr. 2026</v>
      </c>
    </row>
    <row r="7" spans="1:24" s="15" customFormat="1" x14ac:dyDescent="0.25">
      <c r="B7" s="135"/>
      <c r="C7" s="135"/>
      <c r="D7" s="135" t="s">
        <v>185</v>
      </c>
      <c r="E7" s="135" t="str">
        <f>D7</f>
        <v>UG-240005</v>
      </c>
      <c r="F7" s="135" t="s">
        <v>122</v>
      </c>
      <c r="G7" s="135" t="s">
        <v>70</v>
      </c>
      <c r="H7" s="80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6" t="s">
        <v>75</v>
      </c>
      <c r="V7" s="157" t="s">
        <v>71</v>
      </c>
      <c r="W7" s="6" t="s">
        <v>75</v>
      </c>
      <c r="X7" s="135"/>
    </row>
    <row r="8" spans="1:24" s="15" customFormat="1" x14ac:dyDescent="0.25">
      <c r="A8" s="15" t="s">
        <v>56</v>
      </c>
      <c r="B8" s="135"/>
      <c r="C8" s="135" t="s">
        <v>72</v>
      </c>
      <c r="D8" s="135" t="s">
        <v>73</v>
      </c>
      <c r="E8" s="135" t="s">
        <v>123</v>
      </c>
      <c r="F8" s="135" t="s">
        <v>72</v>
      </c>
      <c r="G8" s="157" t="s">
        <v>186</v>
      </c>
      <c r="H8" s="80" t="s">
        <v>123</v>
      </c>
      <c r="I8" s="135" t="s">
        <v>124</v>
      </c>
      <c r="J8" s="135" t="s">
        <v>125</v>
      </c>
      <c r="K8" s="135" t="s">
        <v>160</v>
      </c>
      <c r="L8" s="135" t="s">
        <v>126</v>
      </c>
      <c r="M8" s="135" t="s">
        <v>127</v>
      </c>
      <c r="N8" s="135" t="s">
        <v>161</v>
      </c>
      <c r="O8" s="135" t="s">
        <v>71</v>
      </c>
      <c r="P8" s="135" t="s">
        <v>147</v>
      </c>
      <c r="Q8" s="135" t="s">
        <v>187</v>
      </c>
      <c r="R8" s="135" t="s">
        <v>188</v>
      </c>
      <c r="S8" s="135" t="s">
        <v>148</v>
      </c>
      <c r="T8" s="135" t="s">
        <v>128</v>
      </c>
      <c r="U8" s="135" t="s">
        <v>189</v>
      </c>
      <c r="V8" s="135" t="s">
        <v>6</v>
      </c>
      <c r="W8" s="135" t="s">
        <v>189</v>
      </c>
      <c r="X8" s="135" t="s">
        <v>76</v>
      </c>
    </row>
    <row r="9" spans="1:24" s="15" customFormat="1" ht="17.25" x14ac:dyDescent="0.25">
      <c r="A9" s="15" t="s">
        <v>57</v>
      </c>
      <c r="B9" s="85" t="s">
        <v>8</v>
      </c>
      <c r="C9" s="85" t="s">
        <v>30</v>
      </c>
      <c r="D9" s="85" t="s">
        <v>77</v>
      </c>
      <c r="E9" s="85" t="s">
        <v>78</v>
      </c>
      <c r="F9" s="85" t="s">
        <v>79</v>
      </c>
      <c r="G9" s="74" t="s">
        <v>190</v>
      </c>
      <c r="H9" s="85" t="s">
        <v>6</v>
      </c>
      <c r="I9" s="85" t="s">
        <v>6</v>
      </c>
      <c r="J9" s="85" t="s">
        <v>6</v>
      </c>
      <c r="K9" s="85" t="s">
        <v>6</v>
      </c>
      <c r="L9" s="85" t="s">
        <v>6</v>
      </c>
      <c r="M9" s="85" t="s">
        <v>6</v>
      </c>
      <c r="N9" s="85" t="s">
        <v>6</v>
      </c>
      <c r="O9" s="85" t="s">
        <v>6</v>
      </c>
      <c r="P9" s="85" t="s">
        <v>6</v>
      </c>
      <c r="Q9" s="85" t="s">
        <v>6</v>
      </c>
      <c r="R9" s="85" t="s">
        <v>6</v>
      </c>
      <c r="S9" s="85" t="s">
        <v>6</v>
      </c>
      <c r="T9" s="85" t="s">
        <v>6</v>
      </c>
      <c r="U9" s="135" t="s">
        <v>191</v>
      </c>
      <c r="V9" s="85" t="s">
        <v>80</v>
      </c>
      <c r="W9" s="135" t="s">
        <v>119</v>
      </c>
      <c r="X9" s="85" t="s">
        <v>80</v>
      </c>
    </row>
    <row r="10" spans="1:24" s="15" customFormat="1" x14ac:dyDescent="0.25">
      <c r="B10" s="135" t="s">
        <v>81</v>
      </c>
      <c r="C10" s="135" t="s">
        <v>82</v>
      </c>
      <c r="D10" s="158" t="s">
        <v>83</v>
      </c>
      <c r="E10" s="159" t="s">
        <v>84</v>
      </c>
      <c r="F10" s="135" t="s">
        <v>85</v>
      </c>
      <c r="G10" s="135" t="s">
        <v>86</v>
      </c>
      <c r="H10" s="135" t="s">
        <v>87</v>
      </c>
      <c r="I10" s="135" t="s">
        <v>88</v>
      </c>
      <c r="J10" s="135" t="s">
        <v>89</v>
      </c>
      <c r="K10" s="135" t="s">
        <v>90</v>
      </c>
      <c r="L10" s="135" t="s">
        <v>91</v>
      </c>
      <c r="M10" s="159" t="s">
        <v>92</v>
      </c>
      <c r="N10" s="159" t="s">
        <v>93</v>
      </c>
      <c r="O10" s="159" t="s">
        <v>94</v>
      </c>
      <c r="P10" s="159" t="s">
        <v>95</v>
      </c>
      <c r="Q10" s="159" t="s">
        <v>96</v>
      </c>
      <c r="R10" s="159" t="s">
        <v>149</v>
      </c>
      <c r="S10" s="159" t="s">
        <v>162</v>
      </c>
      <c r="T10" s="159" t="s">
        <v>192</v>
      </c>
      <c r="U10" s="160" t="s">
        <v>193</v>
      </c>
      <c r="V10" s="135" t="s">
        <v>194</v>
      </c>
      <c r="W10" s="135" t="s">
        <v>195</v>
      </c>
      <c r="X10" s="135" t="s">
        <v>196</v>
      </c>
    </row>
    <row r="11" spans="1:24" s="15" customFormat="1" x14ac:dyDescent="0.25">
      <c r="A11" s="80">
        <v>1</v>
      </c>
      <c r="B11" s="15" t="s">
        <v>13</v>
      </c>
      <c r="C11" s="80" t="s">
        <v>97</v>
      </c>
      <c r="D11" s="182">
        <v>539959592</v>
      </c>
      <c r="E11" s="163">
        <v>473120415.12787223</v>
      </c>
      <c r="F11" s="161">
        <f t="shared" ref="F11:F16" si="0">(E11)/D11</f>
        <v>0.8762144837087591</v>
      </c>
      <c r="G11" s="132">
        <f>'Therm Forecast'!N9</f>
        <v>560218048</v>
      </c>
      <c r="H11" s="14">
        <f>F11*G11</f>
        <v>490871167.69264883</v>
      </c>
      <c r="I11" s="163">
        <v>309979850.31999999</v>
      </c>
      <c r="J11" s="163">
        <v>-32957627.760000002</v>
      </c>
      <c r="K11" s="163">
        <v>4363591.6951616537</v>
      </c>
      <c r="L11" s="163">
        <v>20481571.834880002</v>
      </c>
      <c r="M11" s="163">
        <v>7333254.2483199993</v>
      </c>
      <c r="N11" s="163">
        <v>0</v>
      </c>
      <c r="O11" s="153">
        <f>'Sch. 140'!F9</f>
        <v>9383652.3039999995</v>
      </c>
      <c r="P11" s="163">
        <v>-1232479.7055999998</v>
      </c>
      <c r="Q11" s="163">
        <v>26184591.563519999</v>
      </c>
      <c r="R11" s="163">
        <v>50419.624320000003</v>
      </c>
      <c r="S11" s="163">
        <v>0</v>
      </c>
      <c r="T11" s="163">
        <v>24044558.620000001</v>
      </c>
      <c r="U11" s="3">
        <f t="shared" ref="U11:U24" si="1">SUM(H11:T11)</f>
        <v>858502550.43725049</v>
      </c>
      <c r="V11" s="153">
        <f>'Sch. 140'!H9</f>
        <v>2464959.4112000018</v>
      </c>
      <c r="W11" s="150">
        <f>U11+V11</f>
        <v>860967509.84845054</v>
      </c>
      <c r="X11" s="162">
        <f>V11/U11</f>
        <v>2.8712313200986469E-3</v>
      </c>
    </row>
    <row r="12" spans="1:24" s="15" customFormat="1" x14ac:dyDescent="0.25">
      <c r="A12" s="80">
        <f>A11+1</f>
        <v>2</v>
      </c>
      <c r="B12" s="15" t="s">
        <v>150</v>
      </c>
      <c r="C12" s="80">
        <v>16</v>
      </c>
      <c r="D12" s="182">
        <v>6995.9999999999991</v>
      </c>
      <c r="E12" s="163">
        <v>5715.6238899497412</v>
      </c>
      <c r="F12" s="161">
        <f t="shared" si="0"/>
        <v>0.81698454687674982</v>
      </c>
      <c r="G12" s="132">
        <f>'Therm Forecast'!N8</f>
        <v>6156</v>
      </c>
      <c r="H12" s="14">
        <f t="shared" ref="H12:H24" si="2">F12*G12</f>
        <v>5029.3568705732723</v>
      </c>
      <c r="I12" s="163">
        <v>3406.24</v>
      </c>
      <c r="J12" s="163">
        <v>-362.16</v>
      </c>
      <c r="K12" s="163">
        <v>-177.60059999999999</v>
      </c>
      <c r="L12" s="163">
        <v>225.06336000000002</v>
      </c>
      <c r="M12" s="163"/>
      <c r="N12" s="163"/>
      <c r="O12" s="153">
        <f>'Sch. 140'!F10</f>
        <v>103.11299999999999</v>
      </c>
      <c r="P12" s="163">
        <v>-13.543199999999999</v>
      </c>
      <c r="Q12" s="163">
        <v>287.73143999999996</v>
      </c>
      <c r="R12" s="163">
        <v>0.55404000000000009</v>
      </c>
      <c r="S12" s="163">
        <v>0</v>
      </c>
      <c r="T12" s="163"/>
      <c r="U12" s="3">
        <f t="shared" si="1"/>
        <v>8498.7549105732724</v>
      </c>
      <c r="V12" s="153">
        <f>'Sch. 140'!H10</f>
        <v>27.08640000000004</v>
      </c>
      <c r="W12" s="150">
        <f t="shared" ref="W12:W24" si="3">U12+V12</f>
        <v>8525.8413105732725</v>
      </c>
      <c r="X12" s="162">
        <f t="shared" ref="X12:X25" si="4">V12/U12</f>
        <v>3.1871021443743413E-3</v>
      </c>
    </row>
    <row r="13" spans="1:24" s="15" customFormat="1" x14ac:dyDescent="0.25">
      <c r="A13" s="80">
        <f t="shared" ref="A13:A36" si="5">A12+1</f>
        <v>3</v>
      </c>
      <c r="B13" s="15" t="s">
        <v>15</v>
      </c>
      <c r="C13" s="80">
        <v>31</v>
      </c>
      <c r="D13" s="182">
        <v>228527070</v>
      </c>
      <c r="E13" s="163">
        <v>173926777.33942217</v>
      </c>
      <c r="F13" s="161">
        <f t="shared" si="0"/>
        <v>0.76107735219036488</v>
      </c>
      <c r="G13" s="132">
        <f>'Therm Forecast'!N11</f>
        <v>229684257</v>
      </c>
      <c r="H13" s="14">
        <f t="shared" si="2"/>
        <v>174807486.15737128</v>
      </c>
      <c r="I13" s="163">
        <v>125614320.15000001</v>
      </c>
      <c r="J13" s="163">
        <v>-13510028</v>
      </c>
      <c r="K13" s="163">
        <v>-584381.31732458621</v>
      </c>
      <c r="L13" s="163">
        <v>8397256.4359200001</v>
      </c>
      <c r="M13" s="163">
        <v>2542604.72499</v>
      </c>
      <c r="N13" s="163">
        <v>0</v>
      </c>
      <c r="O13" s="153">
        <f>'Sch. 140'!F11</f>
        <v>4109051.3577299998</v>
      </c>
      <c r="P13" s="163">
        <v>-463962.19914000004</v>
      </c>
      <c r="Q13" s="163">
        <v>9113871.31776</v>
      </c>
      <c r="R13" s="163">
        <v>13781.055420000001</v>
      </c>
      <c r="S13" s="163">
        <v>0</v>
      </c>
      <c r="T13" s="163">
        <v>1022094.9500000001</v>
      </c>
      <c r="U13" s="3">
        <f t="shared" si="1"/>
        <v>311062094.63272661</v>
      </c>
      <c r="V13" s="153">
        <f>'Sch. 140'!H11</f>
        <v>1865036.1668399996</v>
      </c>
      <c r="W13" s="150">
        <f t="shared" si="3"/>
        <v>312927130.79956663</v>
      </c>
      <c r="X13" s="162">
        <f t="shared" si="4"/>
        <v>5.9957037486102639E-3</v>
      </c>
    </row>
    <row r="14" spans="1:24" s="15" customFormat="1" x14ac:dyDescent="0.25">
      <c r="A14" s="80">
        <f t="shared" si="5"/>
        <v>4</v>
      </c>
      <c r="B14" s="15" t="s">
        <v>17</v>
      </c>
      <c r="C14" s="80">
        <v>41</v>
      </c>
      <c r="D14" s="182">
        <v>60329188.999999985</v>
      </c>
      <c r="E14" s="163">
        <v>23891172.867297288</v>
      </c>
      <c r="F14" s="161">
        <f t="shared" si="0"/>
        <v>0.39601349302569433</v>
      </c>
      <c r="G14" s="132">
        <f>'Therm Forecast'!N12</f>
        <v>62597683</v>
      </c>
      <c r="H14" s="14">
        <f t="shared" si="2"/>
        <v>24789527.100145124</v>
      </c>
      <c r="I14" s="163">
        <v>33219149.340000004</v>
      </c>
      <c r="J14" s="163">
        <v>-3679491.81</v>
      </c>
      <c r="K14" s="163">
        <v>-1869345.426796779</v>
      </c>
      <c r="L14" s="163">
        <v>2288571.29048</v>
      </c>
      <c r="M14" s="163">
        <v>342409.32601000002</v>
      </c>
      <c r="N14" s="163">
        <v>0</v>
      </c>
      <c r="O14" s="153">
        <f>'Sch. 140'!F12</f>
        <v>460092.97005000006</v>
      </c>
      <c r="P14" s="163">
        <v>-96400.431820000013</v>
      </c>
      <c r="Q14" s="163">
        <v>1736626.0162722105</v>
      </c>
      <c r="R14" s="163">
        <v>4381.83781</v>
      </c>
      <c r="S14" s="163">
        <v>0</v>
      </c>
      <c r="T14" s="163">
        <v>-712874.94000000006</v>
      </c>
      <c r="U14" s="3">
        <f t="shared" si="1"/>
        <v>56482645.272150569</v>
      </c>
      <c r="V14" s="153">
        <f>'Sch. 140'!H12</f>
        <v>166509.83677999995</v>
      </c>
      <c r="W14" s="150">
        <f t="shared" si="3"/>
        <v>56649155.108930565</v>
      </c>
      <c r="X14" s="162">
        <f t="shared" si="4"/>
        <v>2.9479822692033085E-3</v>
      </c>
    </row>
    <row r="15" spans="1:24" s="15" customFormat="1" x14ac:dyDescent="0.25">
      <c r="A15" s="80">
        <f t="shared" si="5"/>
        <v>5</v>
      </c>
      <c r="B15" s="15" t="s">
        <v>19</v>
      </c>
      <c r="C15" s="80">
        <v>85</v>
      </c>
      <c r="D15" s="182">
        <v>16668227</v>
      </c>
      <c r="E15" s="163">
        <v>2837821.1504219277</v>
      </c>
      <c r="F15" s="161">
        <f t="shared" si="0"/>
        <v>0.17025332990856962</v>
      </c>
      <c r="G15" s="132">
        <f>'Therm Forecast'!N13</f>
        <v>17172836</v>
      </c>
      <c r="H15" s="14">
        <f t="shared" si="2"/>
        <v>2923732.5129737612</v>
      </c>
      <c r="I15" s="163">
        <v>8526602.5</v>
      </c>
      <c r="J15" s="163">
        <v>-1007873.74</v>
      </c>
      <c r="K15" s="163">
        <v>-563626.60058325389</v>
      </c>
      <c r="L15" s="163">
        <v>565501.48947999999</v>
      </c>
      <c r="M15" s="163">
        <v>44173.263335510615</v>
      </c>
      <c r="N15" s="163">
        <v>0</v>
      </c>
      <c r="O15" s="153">
        <f>'Sch. 140'!F13</f>
        <v>66287.146960000013</v>
      </c>
      <c r="P15" s="163">
        <v>-22152.958439999999</v>
      </c>
      <c r="Q15" s="163">
        <v>837932.99987853633</v>
      </c>
      <c r="R15" s="163">
        <v>1373.8268800000001</v>
      </c>
      <c r="S15" s="163">
        <v>0</v>
      </c>
      <c r="T15" s="163"/>
      <c r="U15" s="3">
        <f t="shared" si="1"/>
        <v>11371950.440484555</v>
      </c>
      <c r="V15" s="153">
        <f>'Sch. 140'!H13</f>
        <v>21981.230079999994</v>
      </c>
      <c r="W15" s="150">
        <f t="shared" si="3"/>
        <v>11393931.670564555</v>
      </c>
      <c r="X15" s="162">
        <f t="shared" si="4"/>
        <v>1.9329340375724834E-3</v>
      </c>
    </row>
    <row r="16" spans="1:24" s="15" customFormat="1" x14ac:dyDescent="0.25">
      <c r="A16" s="80">
        <f t="shared" si="5"/>
        <v>6</v>
      </c>
      <c r="B16" s="15" t="s">
        <v>21</v>
      </c>
      <c r="C16" s="80">
        <v>86</v>
      </c>
      <c r="D16" s="182">
        <v>4684519.0000000009</v>
      </c>
      <c r="E16" s="163">
        <v>1197487.6867841617</v>
      </c>
      <c r="F16" s="161">
        <f t="shared" si="0"/>
        <v>0.25562660473448001</v>
      </c>
      <c r="G16" s="132">
        <f>'Therm Forecast'!N14</f>
        <v>4967299</v>
      </c>
      <c r="H16" s="14">
        <f t="shared" si="2"/>
        <v>1269773.7780709779</v>
      </c>
      <c r="I16" s="163">
        <v>2502722.5300000003</v>
      </c>
      <c r="J16" s="163">
        <v>-291630.12</v>
      </c>
      <c r="K16" s="163">
        <v>-258884.69173943333</v>
      </c>
      <c r="L16" s="163">
        <v>163573.15607</v>
      </c>
      <c r="M16" s="163">
        <v>20812.982810000001</v>
      </c>
      <c r="N16" s="163">
        <v>0</v>
      </c>
      <c r="O16" s="153">
        <f>'Sch. 140'!F14</f>
        <v>25382.89789</v>
      </c>
      <c r="P16" s="163">
        <v>-1738.5546500000003</v>
      </c>
      <c r="Q16" s="163">
        <v>206132.51311855286</v>
      </c>
      <c r="R16" s="163">
        <v>298.03793999999999</v>
      </c>
      <c r="S16" s="163">
        <v>0</v>
      </c>
      <c r="T16" s="163">
        <v>-40967.54</v>
      </c>
      <c r="U16" s="3">
        <f t="shared" si="1"/>
        <v>3595474.989510098</v>
      </c>
      <c r="V16" s="153">
        <f>'Sch. 140'!H14</f>
        <v>4073.1851800000004</v>
      </c>
      <c r="W16" s="150">
        <f t="shared" si="3"/>
        <v>3599548.174690098</v>
      </c>
      <c r="X16" s="162">
        <f t="shared" si="4"/>
        <v>1.132864278540008E-3</v>
      </c>
    </row>
    <row r="17" spans="1:24" s="15" customFormat="1" x14ac:dyDescent="0.25">
      <c r="A17" s="80">
        <f t="shared" si="5"/>
        <v>7</v>
      </c>
      <c r="B17" s="15" t="s">
        <v>23</v>
      </c>
      <c r="C17" s="80">
        <v>87</v>
      </c>
      <c r="D17" s="182">
        <v>20007657</v>
      </c>
      <c r="E17" s="163">
        <v>1963352.1562075664</v>
      </c>
      <c r="F17" s="161">
        <f>(E17)/D17</f>
        <v>9.8130038725052438E-2</v>
      </c>
      <c r="G17" s="132">
        <f>'Therm Forecast'!N15</f>
        <v>17910859</v>
      </c>
      <c r="H17" s="14">
        <f t="shared" si="2"/>
        <v>1757593.2872689539</v>
      </c>
      <c r="I17" s="163">
        <v>8787246.5299999993</v>
      </c>
      <c r="J17" s="163">
        <v>-1051009.21</v>
      </c>
      <c r="K17" s="163">
        <v>-86797.53685458313</v>
      </c>
      <c r="L17" s="163">
        <v>589804.58687</v>
      </c>
      <c r="M17" s="163">
        <v>18200.172527676525</v>
      </c>
      <c r="N17" s="163">
        <v>0</v>
      </c>
      <c r="O17" s="153">
        <f>'Sch. 140'!F15</f>
        <v>37971.021079999999</v>
      </c>
      <c r="P17" s="163">
        <v>-9652.4729599172788</v>
      </c>
      <c r="Q17" s="163">
        <v>336883.09677627438</v>
      </c>
      <c r="R17" s="163">
        <v>1611.97731</v>
      </c>
      <c r="S17" s="163">
        <v>0</v>
      </c>
      <c r="T17" s="163"/>
      <c r="U17" s="3">
        <f t="shared" si="1"/>
        <v>10381851.452018403</v>
      </c>
      <c r="V17" s="153">
        <f>'Sch. 140'!H15</f>
        <v>22209.465160000007</v>
      </c>
      <c r="W17" s="150">
        <f t="shared" si="3"/>
        <v>10404060.917178402</v>
      </c>
      <c r="X17" s="162">
        <f>V17/U17</f>
        <v>2.1392586151559819E-3</v>
      </c>
    </row>
    <row r="18" spans="1:24" s="15" customFormat="1" x14ac:dyDescent="0.25">
      <c r="A18" s="80">
        <f t="shared" si="5"/>
        <v>8</v>
      </c>
      <c r="B18" s="15" t="s">
        <v>98</v>
      </c>
      <c r="C18" s="80" t="s">
        <v>46</v>
      </c>
      <c r="D18" s="182">
        <v>0</v>
      </c>
      <c r="E18" s="163">
        <v>0</v>
      </c>
      <c r="F18" s="161">
        <f>F13</f>
        <v>0.76107735219036488</v>
      </c>
      <c r="G18" s="132">
        <f>'Therm Forecast'!N16</f>
        <v>0</v>
      </c>
      <c r="H18" s="14">
        <f t="shared" si="2"/>
        <v>0</v>
      </c>
      <c r="I18" s="163"/>
      <c r="J18" s="163"/>
      <c r="K18" s="163">
        <v>0</v>
      </c>
      <c r="L18" s="163"/>
      <c r="M18" s="163">
        <v>0</v>
      </c>
      <c r="N18" s="163">
        <v>0</v>
      </c>
      <c r="O18" s="153">
        <f>'Sch. 140'!F16</f>
        <v>0</v>
      </c>
      <c r="P18" s="163"/>
      <c r="Q18" s="163"/>
      <c r="R18" s="163">
        <v>0</v>
      </c>
      <c r="S18" s="163">
        <v>0</v>
      </c>
      <c r="T18" s="163">
        <v>0</v>
      </c>
      <c r="U18" s="3">
        <f t="shared" si="1"/>
        <v>0</v>
      </c>
      <c r="V18" s="153">
        <f>'Sch. 140'!H16</f>
        <v>0</v>
      </c>
      <c r="W18" s="150">
        <f t="shared" si="3"/>
        <v>0</v>
      </c>
      <c r="X18" s="185">
        <f>V13/(U13-I13-J13-L13-P13-Q13)</f>
        <v>1.0252485496910581E-2</v>
      </c>
    </row>
    <row r="19" spans="1:24" s="15" customFormat="1" x14ac:dyDescent="0.25">
      <c r="A19" s="80">
        <f t="shared" si="5"/>
        <v>9</v>
      </c>
      <c r="B19" s="15" t="s">
        <v>99</v>
      </c>
      <c r="C19" s="80" t="s">
        <v>31</v>
      </c>
      <c r="D19" s="182">
        <v>21757669</v>
      </c>
      <c r="E19" s="163">
        <v>6238567.0116822571</v>
      </c>
      <c r="F19" s="161">
        <f t="shared" ref="F19:F25" si="6">(E19)/D19</f>
        <v>0.28672956701759994</v>
      </c>
      <c r="G19" s="132">
        <f>'Therm Forecast'!N17</f>
        <v>21005724</v>
      </c>
      <c r="H19" s="14">
        <f>F19*G19</f>
        <v>6022962.1474112077</v>
      </c>
      <c r="I19" s="163"/>
      <c r="J19" s="163"/>
      <c r="K19" s="163">
        <v>-835177.48675000062</v>
      </c>
      <c r="L19" s="163"/>
      <c r="M19" s="163">
        <v>114901.31028000001</v>
      </c>
      <c r="N19" s="163">
        <v>0</v>
      </c>
      <c r="O19" s="153">
        <f>'Sch. 140'!F17</f>
        <v>154392.07140000002</v>
      </c>
      <c r="P19" s="163"/>
      <c r="Q19" s="163"/>
      <c r="R19" s="163">
        <v>1470.40068</v>
      </c>
      <c r="S19" s="163">
        <v>0</v>
      </c>
      <c r="T19" s="163">
        <v>-209286.42</v>
      </c>
      <c r="U19" s="3">
        <f t="shared" si="1"/>
        <v>5249262.0230212072</v>
      </c>
      <c r="V19" s="153">
        <f>'Sch. 140'!H17</f>
        <v>55875.22583999997</v>
      </c>
      <c r="W19" s="150">
        <f t="shared" si="3"/>
        <v>5305137.2488612067</v>
      </c>
      <c r="X19" s="162">
        <f t="shared" si="4"/>
        <v>1.0644396411334224E-2</v>
      </c>
    </row>
    <row r="20" spans="1:24" s="15" customFormat="1" x14ac:dyDescent="0.25">
      <c r="A20" s="80">
        <f t="shared" si="5"/>
        <v>10</v>
      </c>
      <c r="B20" s="15" t="s">
        <v>100</v>
      </c>
      <c r="C20" s="80" t="s">
        <v>32</v>
      </c>
      <c r="D20" s="182">
        <v>62744436</v>
      </c>
      <c r="E20" s="163">
        <v>9522385.7939065918</v>
      </c>
      <c r="F20" s="161">
        <f t="shared" si="6"/>
        <v>0.15176462489688475</v>
      </c>
      <c r="G20" s="132">
        <f>'Therm Forecast'!N18</f>
        <v>55801323</v>
      </c>
      <c r="H20" s="14">
        <f t="shared" si="2"/>
        <v>8468666.8538449071</v>
      </c>
      <c r="I20" s="163"/>
      <c r="J20" s="163"/>
      <c r="K20" s="163">
        <v>-1606483.4364500009</v>
      </c>
      <c r="L20" s="163"/>
      <c r="M20" s="163">
        <v>140072.50820179228</v>
      </c>
      <c r="N20" s="163">
        <v>0</v>
      </c>
      <c r="O20" s="153">
        <f>'Sch. 140'!F18</f>
        <v>215393.10678000003</v>
      </c>
      <c r="P20" s="163"/>
      <c r="Q20" s="163"/>
      <c r="R20" s="163">
        <v>4464.1058400000002</v>
      </c>
      <c r="S20" s="163">
        <v>0</v>
      </c>
      <c r="T20" s="163"/>
      <c r="U20" s="3">
        <f t="shared" si="1"/>
        <v>7222113.1382166985</v>
      </c>
      <c r="V20" s="153">
        <f>'Sch. 140'!H18</f>
        <v>71425.693440000003</v>
      </c>
      <c r="W20" s="150">
        <f t="shared" si="3"/>
        <v>7293538.8316566981</v>
      </c>
      <c r="X20" s="162">
        <f t="shared" si="4"/>
        <v>9.8898607752407226E-3</v>
      </c>
    </row>
    <row r="21" spans="1:24" s="15" customFormat="1" x14ac:dyDescent="0.25">
      <c r="A21" s="80">
        <f t="shared" si="5"/>
        <v>11</v>
      </c>
      <c r="B21" s="15" t="s">
        <v>101</v>
      </c>
      <c r="C21" s="80" t="s">
        <v>47</v>
      </c>
      <c r="D21" s="182">
        <v>1176527</v>
      </c>
      <c r="E21" s="163">
        <v>251480.2343800581</v>
      </c>
      <c r="F21" s="161">
        <f t="shared" si="6"/>
        <v>0.21374795000884647</v>
      </c>
      <c r="G21" s="132">
        <f>'Therm Forecast'!N19</f>
        <v>1369337</v>
      </c>
      <c r="H21" s="14">
        <f t="shared" si="2"/>
        <v>292692.97662126378</v>
      </c>
      <c r="I21" s="163"/>
      <c r="J21" s="163"/>
      <c r="K21" s="163">
        <v>-108969.26825000005</v>
      </c>
      <c r="L21" s="163"/>
      <c r="M21" s="163">
        <v>5737.5220300000001</v>
      </c>
      <c r="N21" s="163">
        <v>0</v>
      </c>
      <c r="O21" s="153">
        <f>'Sch. 140'!F19</f>
        <v>6997.3120699999999</v>
      </c>
      <c r="P21" s="163"/>
      <c r="Q21" s="163"/>
      <c r="R21" s="163">
        <v>82.160219999999995</v>
      </c>
      <c r="S21" s="163">
        <v>0</v>
      </c>
      <c r="T21" s="163">
        <v>-10044.429999999998</v>
      </c>
      <c r="U21" s="3">
        <f t="shared" si="1"/>
        <v>186496.27269126373</v>
      </c>
      <c r="V21" s="153">
        <f>'Sch. 140'!H19</f>
        <v>1122.8563400000003</v>
      </c>
      <c r="W21" s="150">
        <f t="shared" si="3"/>
        <v>187619.12903126373</v>
      </c>
      <c r="X21" s="162">
        <f t="shared" si="4"/>
        <v>6.0207977553462366E-3</v>
      </c>
    </row>
    <row r="22" spans="1:24" s="15" customFormat="1" x14ac:dyDescent="0.25">
      <c r="A22" s="80">
        <f t="shared" si="5"/>
        <v>12</v>
      </c>
      <c r="B22" s="15" t="s">
        <v>102</v>
      </c>
      <c r="C22" s="80" t="s">
        <v>33</v>
      </c>
      <c r="D22" s="182">
        <v>66693986.720000006</v>
      </c>
      <c r="E22" s="163">
        <v>5573975.0268660607</v>
      </c>
      <c r="F22" s="161">
        <f>(E22)/D22</f>
        <v>8.3575376146985569E-2</v>
      </c>
      <c r="G22" s="132">
        <f>'Therm Forecast'!N20</f>
        <v>73968273</v>
      </c>
      <c r="H22" s="14">
        <f t="shared" si="2"/>
        <v>6181926.238917917</v>
      </c>
      <c r="I22" s="163"/>
      <c r="J22" s="163"/>
      <c r="K22" s="163">
        <v>-27923.296600499423</v>
      </c>
      <c r="L22" s="163"/>
      <c r="M22" s="163">
        <v>58620.098145493699</v>
      </c>
      <c r="N22" s="163">
        <v>0</v>
      </c>
      <c r="O22" s="153">
        <f>'Sch. 140'!F20</f>
        <v>156812.73876000001</v>
      </c>
      <c r="P22" s="163"/>
      <c r="Q22" s="163"/>
      <c r="R22" s="163">
        <v>6657.1445700000004</v>
      </c>
      <c r="S22" s="163">
        <v>0</v>
      </c>
      <c r="T22" s="163"/>
      <c r="U22" s="3">
        <f t="shared" si="1"/>
        <v>6376092.9237929108</v>
      </c>
      <c r="V22" s="153">
        <f>'Sch. 140'!H20</f>
        <v>91720.658519999997</v>
      </c>
      <c r="W22" s="150">
        <f t="shared" si="3"/>
        <v>6467813.5823129108</v>
      </c>
      <c r="X22" s="162">
        <f t="shared" si="4"/>
        <v>1.4385088112147311E-2</v>
      </c>
    </row>
    <row r="23" spans="1:24" s="15" customFormat="1" x14ac:dyDescent="0.25">
      <c r="A23" s="80">
        <f t="shared" si="5"/>
        <v>13</v>
      </c>
      <c r="B23" s="15" t="s">
        <v>197</v>
      </c>
      <c r="C23" s="80" t="s">
        <v>177</v>
      </c>
      <c r="D23" s="182">
        <v>39295144</v>
      </c>
      <c r="E23" s="163">
        <v>1209312</v>
      </c>
      <c r="F23" s="161">
        <f>(E23)/D23</f>
        <v>3.0775100353366818E-2</v>
      </c>
      <c r="G23" s="132">
        <f>'Therm Forecast'!N21</f>
        <v>39545056</v>
      </c>
      <c r="H23" s="14">
        <f t="shared" si="2"/>
        <v>1217003.0668795106</v>
      </c>
      <c r="I23" s="163"/>
      <c r="J23" s="163"/>
      <c r="K23" s="163">
        <v>47867.806325999962</v>
      </c>
      <c r="L23" s="163"/>
      <c r="M23" s="163">
        <v>21757.725760000001</v>
      </c>
      <c r="N23" s="163">
        <v>0</v>
      </c>
      <c r="O23" s="153">
        <f>'Sch. 140'!F21</f>
        <v>83835.518719999993</v>
      </c>
      <c r="P23" s="163">
        <v>4280007.2163199997</v>
      </c>
      <c r="Q23" s="163"/>
      <c r="R23" s="163">
        <v>3559.0550400000002</v>
      </c>
      <c r="S23" s="163">
        <v>0</v>
      </c>
      <c r="T23" s="163"/>
      <c r="U23" s="3">
        <f t="shared" si="1"/>
        <v>5654030.3890455104</v>
      </c>
      <c r="V23" s="153">
        <f>'Sch. 140'!H21</f>
        <v>-52199.473919999997</v>
      </c>
      <c r="W23" s="150">
        <f t="shared" si="3"/>
        <v>5601830.9151255107</v>
      </c>
      <c r="X23" s="162">
        <f t="shared" si="4"/>
        <v>-9.2322591723480452E-3</v>
      </c>
    </row>
    <row r="24" spans="1:24" s="15" customFormat="1" x14ac:dyDescent="0.25">
      <c r="A24" s="80">
        <f t="shared" si="5"/>
        <v>14</v>
      </c>
      <c r="B24" s="15" t="s">
        <v>25</v>
      </c>
      <c r="D24" s="182">
        <v>32030387</v>
      </c>
      <c r="E24" s="163">
        <v>1689958.6180424246</v>
      </c>
      <c r="F24" s="164">
        <f t="shared" si="6"/>
        <v>5.2761105198086571E-2</v>
      </c>
      <c r="G24" s="132">
        <f>'Therm Forecast'!N22</f>
        <v>34037220</v>
      </c>
      <c r="H24" s="14">
        <f t="shared" si="2"/>
        <v>1795841.3450704161</v>
      </c>
      <c r="I24" s="163"/>
      <c r="J24" s="163"/>
      <c r="K24" s="163">
        <v>-473802.02529700054</v>
      </c>
      <c r="L24" s="163"/>
      <c r="M24" s="163"/>
      <c r="N24" s="163"/>
      <c r="O24" s="153">
        <f>'Sch. 140'!F22</f>
        <v>24847.170600000001</v>
      </c>
      <c r="P24" s="163"/>
      <c r="Q24" s="163"/>
      <c r="R24" s="163">
        <v>3403.7220000000002</v>
      </c>
      <c r="S24" s="163">
        <v>0</v>
      </c>
      <c r="T24" s="163"/>
      <c r="U24" s="3">
        <f t="shared" si="1"/>
        <v>1350290.2123734157</v>
      </c>
      <c r="V24" s="153">
        <f>'Sch. 140'!H22</f>
        <v>-2722.977600000002</v>
      </c>
      <c r="W24" s="150">
        <f t="shared" si="3"/>
        <v>1347567.2347734156</v>
      </c>
      <c r="X24" s="162">
        <f t="shared" si="4"/>
        <v>-2.0165869344589285E-3</v>
      </c>
    </row>
    <row r="25" spans="1:24" s="15" customFormat="1" x14ac:dyDescent="0.25">
      <c r="A25" s="80">
        <f t="shared" si="5"/>
        <v>15</v>
      </c>
      <c r="B25" s="15" t="s">
        <v>27</v>
      </c>
      <c r="D25" s="165">
        <f>SUM(D11:D24)</f>
        <v>1093881399.72</v>
      </c>
      <c r="E25" s="166">
        <f>SUM(E11:E24)</f>
        <v>701428420.63677275</v>
      </c>
      <c r="F25" s="161">
        <f t="shared" si="6"/>
        <v>0.64122894933245678</v>
      </c>
      <c r="G25" s="165">
        <f>SUM(G11:G24)</f>
        <v>1118284071</v>
      </c>
      <c r="H25" s="166">
        <f>SUM(H11:H24)</f>
        <v>720403402.51409471</v>
      </c>
      <c r="I25" s="166">
        <f t="shared" ref="I25:L25" si="7">SUM(I11:I24)</f>
        <v>488633297.61000001</v>
      </c>
      <c r="J25" s="166">
        <f t="shared" si="7"/>
        <v>-52498022.800000004</v>
      </c>
      <c r="K25" s="166">
        <f t="shared" si="7"/>
        <v>-2004109.1857584829</v>
      </c>
      <c r="L25" s="166">
        <f t="shared" si="7"/>
        <v>32486503.85706</v>
      </c>
      <c r="M25" s="166">
        <f>SUM(M11:M24)</f>
        <v>10642543.882410474</v>
      </c>
      <c r="N25" s="166">
        <f>SUM(N11:N24)</f>
        <v>0</v>
      </c>
      <c r="O25" s="166">
        <f>SUM(O11:O24)</f>
        <v>14724818.729039999</v>
      </c>
      <c r="P25" s="166">
        <f>SUM(P11:P24)</f>
        <v>2453607.3505100822</v>
      </c>
      <c r="Q25" s="166">
        <f>SUM(Q11:Q24)</f>
        <v>38416325.238765568</v>
      </c>
      <c r="R25" s="166">
        <f t="shared" ref="R25:U25" si="8">SUM(R11:R24)</f>
        <v>91503.502070000017</v>
      </c>
      <c r="S25" s="166">
        <f t="shared" si="8"/>
        <v>0</v>
      </c>
      <c r="T25" s="166">
        <f t="shared" si="8"/>
        <v>24093480.239999998</v>
      </c>
      <c r="U25" s="167">
        <f t="shared" si="8"/>
        <v>1277443350.9381924</v>
      </c>
      <c r="V25" s="166">
        <f>SUM(V11:V24)</f>
        <v>4710018.3642600011</v>
      </c>
      <c r="W25" s="166">
        <f>SUM(W11:W24)</f>
        <v>1282153369.3024526</v>
      </c>
      <c r="X25" s="168">
        <f t="shared" si="4"/>
        <v>3.6870663272863128E-3</v>
      </c>
    </row>
    <row r="26" spans="1:24" s="15" customFormat="1" x14ac:dyDescent="0.25">
      <c r="A26" s="80"/>
      <c r="D26" s="169"/>
      <c r="E26" s="14"/>
      <c r="G26" s="126">
        <f>'Therm Forecast'!N23-'Rate Impacts Sch 140'!G25</f>
        <v>0</v>
      </c>
      <c r="M26" s="14"/>
      <c r="N26" s="14"/>
      <c r="T26" s="14"/>
      <c r="U26" s="14"/>
      <c r="X26" s="170"/>
    </row>
    <row r="27" spans="1:24" s="36" customFormat="1" x14ac:dyDescent="0.25">
      <c r="A27" s="80"/>
      <c r="B27" s="171" t="s">
        <v>103</v>
      </c>
      <c r="C27" s="172"/>
      <c r="D27" s="173"/>
      <c r="E27" s="174"/>
      <c r="V27" s="175"/>
      <c r="W27" s="175"/>
      <c r="X27" s="176"/>
    </row>
    <row r="28" spans="1:24" s="36" customFormat="1" x14ac:dyDescent="0.25">
      <c r="A28" s="80">
        <f>A25+1</f>
        <v>16</v>
      </c>
      <c r="B28" s="177" t="s">
        <v>13</v>
      </c>
      <c r="C28" s="178" t="s">
        <v>129</v>
      </c>
      <c r="D28" s="75">
        <f>D11+D12</f>
        <v>539966588</v>
      </c>
      <c r="E28" s="35">
        <f>E11+E12</f>
        <v>473126130.75176215</v>
      </c>
      <c r="F28" s="161">
        <f t="shared" ref="F28:F36" si="9">(E28)/D28</f>
        <v>0.87621371630453948</v>
      </c>
      <c r="G28" s="75">
        <f>G11+G12</f>
        <v>560224204</v>
      </c>
      <c r="H28" s="35">
        <f>H11+H12</f>
        <v>490876197.04951942</v>
      </c>
      <c r="I28" s="35">
        <f t="shared" ref="I28:T28" si="10">I11+I12</f>
        <v>309983256.56</v>
      </c>
      <c r="J28" s="35">
        <f t="shared" si="10"/>
        <v>-32957989.920000002</v>
      </c>
      <c r="K28" s="35">
        <f t="shared" si="10"/>
        <v>4363414.0945616541</v>
      </c>
      <c r="L28" s="35">
        <f t="shared" si="10"/>
        <v>20481796.89824</v>
      </c>
      <c r="M28" s="35">
        <f t="shared" si="10"/>
        <v>7333254.2483199993</v>
      </c>
      <c r="N28" s="35">
        <f t="shared" si="10"/>
        <v>0</v>
      </c>
      <c r="O28" s="35">
        <f t="shared" si="10"/>
        <v>9383755.4169999994</v>
      </c>
      <c r="P28" s="35">
        <f t="shared" si="10"/>
        <v>-1232493.2487999997</v>
      </c>
      <c r="Q28" s="35">
        <f t="shared" si="10"/>
        <v>26184879.29496</v>
      </c>
      <c r="R28" s="35">
        <f t="shared" si="10"/>
        <v>50420.178360000005</v>
      </c>
      <c r="S28" s="35">
        <f t="shared" si="10"/>
        <v>0</v>
      </c>
      <c r="T28" s="35">
        <f t="shared" si="10"/>
        <v>24044558.620000001</v>
      </c>
      <c r="U28" s="35">
        <f>U11+U12</f>
        <v>858511049.19216108</v>
      </c>
      <c r="V28" s="14">
        <f>SUM(V11:V12)</f>
        <v>2464986.4976000017</v>
      </c>
      <c r="W28" s="14">
        <f>SUM(W11:W12)</f>
        <v>860976035.68976116</v>
      </c>
      <c r="X28" s="162">
        <f>V28/U28</f>
        <v>2.8712344470341955E-3</v>
      </c>
    </row>
    <row r="29" spans="1:24" s="36" customFormat="1" x14ac:dyDescent="0.25">
      <c r="A29" s="80">
        <f t="shared" si="5"/>
        <v>17</v>
      </c>
      <c r="B29" s="93" t="s">
        <v>130</v>
      </c>
      <c r="C29" s="178" t="s">
        <v>131</v>
      </c>
      <c r="D29" s="75">
        <f t="shared" ref="D29:E33" si="11">D13+D18</f>
        <v>228527070</v>
      </c>
      <c r="E29" s="35">
        <f t="shared" si="11"/>
        <v>173926777.33942217</v>
      </c>
      <c r="F29" s="161">
        <f t="shared" si="9"/>
        <v>0.76107735219036488</v>
      </c>
      <c r="G29" s="75">
        <f t="shared" ref="G29:U33" si="12">G13+G18</f>
        <v>229684257</v>
      </c>
      <c r="H29" s="35">
        <f t="shared" si="12"/>
        <v>174807486.15737128</v>
      </c>
      <c r="I29" s="35">
        <f t="shared" si="12"/>
        <v>125614320.15000001</v>
      </c>
      <c r="J29" s="35">
        <f t="shared" si="12"/>
        <v>-13510028</v>
      </c>
      <c r="K29" s="35">
        <f t="shared" si="12"/>
        <v>-584381.31732458621</v>
      </c>
      <c r="L29" s="35">
        <f t="shared" si="12"/>
        <v>8397256.4359200001</v>
      </c>
      <c r="M29" s="35">
        <f t="shared" si="12"/>
        <v>2542604.72499</v>
      </c>
      <c r="N29" s="35">
        <f t="shared" si="12"/>
        <v>0</v>
      </c>
      <c r="O29" s="35">
        <f t="shared" si="12"/>
        <v>4109051.3577299998</v>
      </c>
      <c r="P29" s="35">
        <f t="shared" si="12"/>
        <v>-463962.19914000004</v>
      </c>
      <c r="Q29" s="35">
        <f t="shared" si="12"/>
        <v>9113871.31776</v>
      </c>
      <c r="R29" s="35">
        <f t="shared" si="12"/>
        <v>13781.055420000001</v>
      </c>
      <c r="S29" s="35">
        <f t="shared" si="12"/>
        <v>0</v>
      </c>
      <c r="T29" s="35">
        <f t="shared" si="12"/>
        <v>1022094.9500000001</v>
      </c>
      <c r="U29" s="35">
        <f t="shared" si="12"/>
        <v>311062094.63272661</v>
      </c>
      <c r="V29" s="14">
        <f t="shared" ref="V29:W33" si="13">SUM(V13,V18)</f>
        <v>1865036.1668399996</v>
      </c>
      <c r="W29" s="14">
        <f t="shared" si="13"/>
        <v>312927130.79956663</v>
      </c>
      <c r="X29" s="162">
        <f t="shared" ref="X29:X36" si="14">V29/U29</f>
        <v>5.9957037486102639E-3</v>
      </c>
    </row>
    <row r="30" spans="1:24" s="36" customFormat="1" x14ac:dyDescent="0.25">
      <c r="A30" s="80">
        <f t="shared" si="5"/>
        <v>18</v>
      </c>
      <c r="B30" s="177" t="s">
        <v>132</v>
      </c>
      <c r="C30" s="178" t="s">
        <v>133</v>
      </c>
      <c r="D30" s="75">
        <f t="shared" si="11"/>
        <v>82086857.999999985</v>
      </c>
      <c r="E30" s="35">
        <f t="shared" si="11"/>
        <v>30129739.878979545</v>
      </c>
      <c r="F30" s="161">
        <f t="shared" si="9"/>
        <v>0.36704705982265212</v>
      </c>
      <c r="G30" s="75">
        <f t="shared" si="12"/>
        <v>83603407</v>
      </c>
      <c r="H30" s="35">
        <f t="shared" si="12"/>
        <v>30812489.247556332</v>
      </c>
      <c r="I30" s="35">
        <f t="shared" si="12"/>
        <v>33219149.340000004</v>
      </c>
      <c r="J30" s="35">
        <f t="shared" si="12"/>
        <v>-3679491.81</v>
      </c>
      <c r="K30" s="35">
        <f t="shared" si="12"/>
        <v>-2704522.9135467797</v>
      </c>
      <c r="L30" s="35">
        <f t="shared" si="12"/>
        <v>2288571.29048</v>
      </c>
      <c r="M30" s="35">
        <f t="shared" si="12"/>
        <v>457310.63629000005</v>
      </c>
      <c r="N30" s="35">
        <f t="shared" si="12"/>
        <v>0</v>
      </c>
      <c r="O30" s="35">
        <f t="shared" si="12"/>
        <v>614485.04145000014</v>
      </c>
      <c r="P30" s="35">
        <f t="shared" si="12"/>
        <v>-96400.431820000013</v>
      </c>
      <c r="Q30" s="35">
        <f t="shared" si="12"/>
        <v>1736626.0162722105</v>
      </c>
      <c r="R30" s="35">
        <f t="shared" si="12"/>
        <v>5852.2384899999997</v>
      </c>
      <c r="S30" s="35">
        <f t="shared" si="12"/>
        <v>0</v>
      </c>
      <c r="T30" s="35">
        <f t="shared" si="12"/>
        <v>-922161.3600000001</v>
      </c>
      <c r="U30" s="35">
        <f t="shared" si="12"/>
        <v>61731907.295171775</v>
      </c>
      <c r="V30" s="14">
        <f t="shared" si="13"/>
        <v>222385.06261999992</v>
      </c>
      <c r="W30" s="14">
        <f t="shared" si="13"/>
        <v>61954292.357791774</v>
      </c>
      <c r="X30" s="162">
        <f t="shared" si="14"/>
        <v>3.6024330425538835E-3</v>
      </c>
    </row>
    <row r="31" spans="1:24" s="36" customFormat="1" x14ac:dyDescent="0.25">
      <c r="A31" s="80">
        <f t="shared" si="5"/>
        <v>19</v>
      </c>
      <c r="B31" s="177" t="s">
        <v>19</v>
      </c>
      <c r="C31" s="178" t="s">
        <v>134</v>
      </c>
      <c r="D31" s="75">
        <f t="shared" si="11"/>
        <v>79412663</v>
      </c>
      <c r="E31" s="35">
        <f t="shared" si="11"/>
        <v>12360206.94432852</v>
      </c>
      <c r="F31" s="161">
        <f t="shared" si="9"/>
        <v>0.15564528977360348</v>
      </c>
      <c r="G31" s="75">
        <f t="shared" si="12"/>
        <v>72974159</v>
      </c>
      <c r="H31" s="35">
        <f t="shared" si="12"/>
        <v>11392399.366818668</v>
      </c>
      <c r="I31" s="35">
        <f t="shared" si="12"/>
        <v>8526602.5</v>
      </c>
      <c r="J31" s="35">
        <f t="shared" si="12"/>
        <v>-1007873.74</v>
      </c>
      <c r="K31" s="35">
        <f t="shared" si="12"/>
        <v>-2170110.0370332547</v>
      </c>
      <c r="L31" s="35">
        <f t="shared" si="12"/>
        <v>565501.48947999999</v>
      </c>
      <c r="M31" s="35">
        <f t="shared" si="12"/>
        <v>184245.77153730291</v>
      </c>
      <c r="N31" s="35">
        <f t="shared" si="12"/>
        <v>0</v>
      </c>
      <c r="O31" s="35">
        <f t="shared" si="12"/>
        <v>281680.25374000007</v>
      </c>
      <c r="P31" s="35">
        <f t="shared" si="12"/>
        <v>-22152.958439999999</v>
      </c>
      <c r="Q31" s="35">
        <f t="shared" si="12"/>
        <v>837932.99987853633</v>
      </c>
      <c r="R31" s="35">
        <f t="shared" si="12"/>
        <v>5837.9327200000007</v>
      </c>
      <c r="S31" s="35">
        <f t="shared" si="12"/>
        <v>0</v>
      </c>
      <c r="T31" s="35">
        <f t="shared" si="12"/>
        <v>0</v>
      </c>
      <c r="U31" s="35">
        <f t="shared" si="12"/>
        <v>18594063.578701254</v>
      </c>
      <c r="V31" s="14">
        <f t="shared" si="13"/>
        <v>93406.923519999997</v>
      </c>
      <c r="W31" s="14">
        <f t="shared" si="13"/>
        <v>18687470.502221253</v>
      </c>
      <c r="X31" s="162">
        <f t="shared" si="14"/>
        <v>5.0234809150052516E-3</v>
      </c>
    </row>
    <row r="32" spans="1:24" s="36" customFormat="1" x14ac:dyDescent="0.25">
      <c r="A32" s="80">
        <f t="shared" si="5"/>
        <v>20</v>
      </c>
      <c r="B32" s="177" t="s">
        <v>135</v>
      </c>
      <c r="C32" s="178" t="s">
        <v>136</v>
      </c>
      <c r="D32" s="75">
        <f t="shared" si="11"/>
        <v>5861046.0000000009</v>
      </c>
      <c r="E32" s="35">
        <f t="shared" si="11"/>
        <v>1448967.9211642197</v>
      </c>
      <c r="F32" s="161">
        <f t="shared" si="9"/>
        <v>0.24722002201726781</v>
      </c>
      <c r="G32" s="75">
        <f t="shared" si="12"/>
        <v>6336636</v>
      </c>
      <c r="H32" s="35">
        <f t="shared" si="12"/>
        <v>1562466.7546922415</v>
      </c>
      <c r="I32" s="35">
        <f t="shared" si="12"/>
        <v>2502722.5300000003</v>
      </c>
      <c r="J32" s="35">
        <f t="shared" si="12"/>
        <v>-291630.12</v>
      </c>
      <c r="K32" s="35">
        <f t="shared" si="12"/>
        <v>-367853.95998943341</v>
      </c>
      <c r="L32" s="35">
        <f t="shared" si="12"/>
        <v>163573.15607</v>
      </c>
      <c r="M32" s="35">
        <f t="shared" si="12"/>
        <v>26550.504840000001</v>
      </c>
      <c r="N32" s="35">
        <f t="shared" si="12"/>
        <v>0</v>
      </c>
      <c r="O32" s="35">
        <f t="shared" si="12"/>
        <v>32380.20996</v>
      </c>
      <c r="P32" s="35">
        <f t="shared" si="12"/>
        <v>-1738.5546500000003</v>
      </c>
      <c r="Q32" s="35">
        <f t="shared" si="12"/>
        <v>206132.51311855286</v>
      </c>
      <c r="R32" s="35">
        <f t="shared" si="12"/>
        <v>380.19815999999997</v>
      </c>
      <c r="S32" s="35">
        <f t="shared" si="12"/>
        <v>0</v>
      </c>
      <c r="T32" s="35">
        <f t="shared" si="12"/>
        <v>-51011.97</v>
      </c>
      <c r="U32" s="35">
        <f t="shared" si="12"/>
        <v>3781971.2622013618</v>
      </c>
      <c r="V32" s="14">
        <f t="shared" si="13"/>
        <v>5196.0415200000007</v>
      </c>
      <c r="W32" s="14">
        <f t="shared" si="13"/>
        <v>3787167.3037213618</v>
      </c>
      <c r="X32" s="162">
        <f t="shared" si="14"/>
        <v>1.3738976739277376E-3</v>
      </c>
    </row>
    <row r="33" spans="1:24" s="36" customFormat="1" x14ac:dyDescent="0.25">
      <c r="A33" s="80">
        <f t="shared" si="5"/>
        <v>21</v>
      </c>
      <c r="B33" s="93" t="s">
        <v>137</v>
      </c>
      <c r="C33" s="178" t="s">
        <v>138</v>
      </c>
      <c r="D33" s="75">
        <f t="shared" si="11"/>
        <v>86701643.719999999</v>
      </c>
      <c r="E33" s="35">
        <f t="shared" si="11"/>
        <v>7537327.1830736268</v>
      </c>
      <c r="F33" s="161">
        <f t="shared" si="9"/>
        <v>8.6934074830405383E-2</v>
      </c>
      <c r="G33" s="75">
        <f t="shared" si="12"/>
        <v>91879132</v>
      </c>
      <c r="H33" s="35">
        <f t="shared" si="12"/>
        <v>7939519.5261868704</v>
      </c>
      <c r="I33" s="35">
        <f t="shared" si="12"/>
        <v>8787246.5299999993</v>
      </c>
      <c r="J33" s="35">
        <f t="shared" si="12"/>
        <v>-1051009.21</v>
      </c>
      <c r="K33" s="35">
        <f t="shared" si="12"/>
        <v>-114720.83345508255</v>
      </c>
      <c r="L33" s="35">
        <f t="shared" si="12"/>
        <v>589804.58687</v>
      </c>
      <c r="M33" s="35">
        <f t="shared" si="12"/>
        <v>76820.27067317022</v>
      </c>
      <c r="N33" s="35">
        <f t="shared" si="12"/>
        <v>0</v>
      </c>
      <c r="O33" s="35">
        <f t="shared" si="12"/>
        <v>194783.75984000001</v>
      </c>
      <c r="P33" s="35">
        <f t="shared" si="12"/>
        <v>-9652.4729599172788</v>
      </c>
      <c r="Q33" s="35">
        <f t="shared" si="12"/>
        <v>336883.09677627438</v>
      </c>
      <c r="R33" s="35">
        <f t="shared" si="12"/>
        <v>8269.1218800000006</v>
      </c>
      <c r="S33" s="35">
        <f t="shared" si="12"/>
        <v>0</v>
      </c>
      <c r="T33" s="35">
        <f t="shared" si="12"/>
        <v>0</v>
      </c>
      <c r="U33" s="35">
        <f t="shared" si="12"/>
        <v>16757944.375811312</v>
      </c>
      <c r="V33" s="14">
        <f t="shared" si="13"/>
        <v>113930.12368</v>
      </c>
      <c r="W33" s="14">
        <f t="shared" si="13"/>
        <v>16871874.499491312</v>
      </c>
      <c r="X33" s="162">
        <f t="shared" si="14"/>
        <v>6.7985739255972582E-3</v>
      </c>
    </row>
    <row r="34" spans="1:24" s="36" customFormat="1" x14ac:dyDescent="0.25">
      <c r="A34" s="80">
        <f t="shared" si="5"/>
        <v>22</v>
      </c>
      <c r="B34" s="93" t="s">
        <v>198</v>
      </c>
      <c r="C34" s="178" t="s">
        <v>177</v>
      </c>
      <c r="D34" s="75">
        <f>D23</f>
        <v>39295144</v>
      </c>
      <c r="E34" s="35">
        <f>E23</f>
        <v>1209312</v>
      </c>
      <c r="F34" s="161">
        <f t="shared" si="9"/>
        <v>3.0775100353366818E-2</v>
      </c>
      <c r="G34" s="75">
        <f>G23</f>
        <v>39545056</v>
      </c>
      <c r="H34" s="35">
        <f>H23</f>
        <v>1217003.0668795106</v>
      </c>
      <c r="I34" s="35">
        <f t="shared" ref="I34:W35" si="15">I23</f>
        <v>0</v>
      </c>
      <c r="J34" s="35">
        <f t="shared" si="15"/>
        <v>0</v>
      </c>
      <c r="K34" s="35">
        <f t="shared" si="15"/>
        <v>47867.806325999962</v>
      </c>
      <c r="L34" s="35">
        <f t="shared" si="15"/>
        <v>0</v>
      </c>
      <c r="M34" s="35">
        <f t="shared" si="15"/>
        <v>21757.725760000001</v>
      </c>
      <c r="N34" s="35">
        <f t="shared" si="15"/>
        <v>0</v>
      </c>
      <c r="O34" s="35">
        <f t="shared" si="15"/>
        <v>83835.518719999993</v>
      </c>
      <c r="P34" s="35">
        <f t="shared" si="15"/>
        <v>4280007.2163199997</v>
      </c>
      <c r="Q34" s="35">
        <f t="shared" si="15"/>
        <v>0</v>
      </c>
      <c r="R34" s="35">
        <f t="shared" si="15"/>
        <v>3559.0550400000002</v>
      </c>
      <c r="S34" s="35">
        <f t="shared" si="15"/>
        <v>0</v>
      </c>
      <c r="T34" s="35">
        <f t="shared" si="15"/>
        <v>0</v>
      </c>
      <c r="U34" s="35">
        <f t="shared" si="15"/>
        <v>5654030.3890455104</v>
      </c>
      <c r="V34" s="14">
        <f t="shared" si="15"/>
        <v>-52199.473919999997</v>
      </c>
      <c r="W34" s="14">
        <f t="shared" si="15"/>
        <v>5601830.9151255107</v>
      </c>
      <c r="X34" s="162">
        <f t="shared" si="14"/>
        <v>-9.2322591723480452E-3</v>
      </c>
    </row>
    <row r="35" spans="1:24" s="36" customFormat="1" x14ac:dyDescent="0.25">
      <c r="A35" s="80">
        <f t="shared" si="5"/>
        <v>23</v>
      </c>
      <c r="B35" s="93" t="s">
        <v>25</v>
      </c>
      <c r="C35" s="177"/>
      <c r="D35" s="75">
        <f>D24</f>
        <v>32030387</v>
      </c>
      <c r="E35" s="35">
        <f>E24</f>
        <v>1689958.6180424246</v>
      </c>
      <c r="F35" s="161">
        <f t="shared" si="9"/>
        <v>5.2761105198086571E-2</v>
      </c>
      <c r="G35" s="75">
        <f>G24</f>
        <v>34037220</v>
      </c>
      <c r="H35" s="35">
        <f>H24</f>
        <v>1795841.3450704161</v>
      </c>
      <c r="I35" s="35">
        <f t="shared" si="15"/>
        <v>0</v>
      </c>
      <c r="J35" s="35">
        <f t="shared" si="15"/>
        <v>0</v>
      </c>
      <c r="K35" s="35">
        <f t="shared" si="15"/>
        <v>-473802.02529700054</v>
      </c>
      <c r="L35" s="35">
        <f t="shared" si="15"/>
        <v>0</v>
      </c>
      <c r="M35" s="35">
        <f t="shared" si="15"/>
        <v>0</v>
      </c>
      <c r="N35" s="35">
        <f t="shared" si="15"/>
        <v>0</v>
      </c>
      <c r="O35" s="35">
        <f t="shared" si="15"/>
        <v>24847.170600000001</v>
      </c>
      <c r="P35" s="35">
        <f t="shared" si="15"/>
        <v>0</v>
      </c>
      <c r="Q35" s="35">
        <f t="shared" si="15"/>
        <v>0</v>
      </c>
      <c r="R35" s="35">
        <f t="shared" si="15"/>
        <v>3403.7220000000002</v>
      </c>
      <c r="S35" s="35">
        <f t="shared" si="15"/>
        <v>0</v>
      </c>
      <c r="T35" s="35">
        <f t="shared" si="15"/>
        <v>0</v>
      </c>
      <c r="U35" s="35">
        <f>U24</f>
        <v>1350290.2123734157</v>
      </c>
      <c r="V35" s="14">
        <f>V24</f>
        <v>-2722.977600000002</v>
      </c>
      <c r="W35" s="14">
        <f>W24</f>
        <v>1347567.2347734156</v>
      </c>
      <c r="X35" s="162">
        <f t="shared" si="14"/>
        <v>-2.0165869344589285E-3</v>
      </c>
    </row>
    <row r="36" spans="1:24" s="36" customFormat="1" x14ac:dyDescent="0.25">
      <c r="A36" s="80">
        <f t="shared" si="5"/>
        <v>24</v>
      </c>
      <c r="B36" s="93" t="s">
        <v>27</v>
      </c>
      <c r="C36" s="93"/>
      <c r="D36" s="76">
        <f>SUM(D28:D35)</f>
        <v>1093881399.72</v>
      </c>
      <c r="E36" s="38">
        <f>SUM(E28:E35)</f>
        <v>701428420.63677287</v>
      </c>
      <c r="F36" s="179">
        <f t="shared" si="9"/>
        <v>0.64122894933245689</v>
      </c>
      <c r="G36" s="76">
        <f>SUM(G28:G35)</f>
        <v>1118284071</v>
      </c>
      <c r="H36" s="38">
        <f>SUM(H28:H35)</f>
        <v>720403402.51409459</v>
      </c>
      <c r="I36" s="38">
        <f t="shared" ref="I36:T36" si="16">SUM(I28:I35)</f>
        <v>488633297.61000001</v>
      </c>
      <c r="J36" s="38">
        <f t="shared" si="16"/>
        <v>-52498022.800000004</v>
      </c>
      <c r="K36" s="38">
        <f t="shared" si="16"/>
        <v>-2004109.1857584829</v>
      </c>
      <c r="L36" s="38">
        <f t="shared" si="16"/>
        <v>32486503.85706</v>
      </c>
      <c r="M36" s="38">
        <f t="shared" si="16"/>
        <v>10642543.882410472</v>
      </c>
      <c r="N36" s="38">
        <f t="shared" si="16"/>
        <v>0</v>
      </c>
      <c r="O36" s="38">
        <f t="shared" si="16"/>
        <v>14724818.729039999</v>
      </c>
      <c r="P36" s="38">
        <f t="shared" si="16"/>
        <v>2453607.3505100822</v>
      </c>
      <c r="Q36" s="38">
        <f t="shared" si="16"/>
        <v>38416325.238765568</v>
      </c>
      <c r="R36" s="38">
        <f t="shared" si="16"/>
        <v>91503.502070000017</v>
      </c>
      <c r="S36" s="38">
        <f t="shared" si="16"/>
        <v>0</v>
      </c>
      <c r="T36" s="38">
        <f t="shared" si="16"/>
        <v>24093480.240000002</v>
      </c>
      <c r="U36" s="38">
        <f>SUM(U28:U35)</f>
        <v>1277443350.9381924</v>
      </c>
      <c r="V36" s="166">
        <f>SUM(V28:V35)</f>
        <v>4710018.364260002</v>
      </c>
      <c r="W36" s="166">
        <f>SUM(W28:W35)</f>
        <v>1282153369.3024526</v>
      </c>
      <c r="X36" s="168">
        <f t="shared" si="14"/>
        <v>3.6870663272863132E-3</v>
      </c>
    </row>
    <row r="37" spans="1:24" s="34" customFormat="1" x14ac:dyDescent="0.25">
      <c r="B37" s="36"/>
      <c r="C37" s="36"/>
      <c r="D37" s="36"/>
      <c r="E37" s="36"/>
      <c r="F37" s="36"/>
      <c r="I37" s="37"/>
      <c r="M37" s="36"/>
      <c r="N37" s="36"/>
      <c r="P37" s="36"/>
      <c r="Q37" s="36"/>
      <c r="R37" s="36"/>
      <c r="S37" s="36"/>
      <c r="T37" s="36"/>
      <c r="U37" s="36"/>
      <c r="V37" s="39"/>
      <c r="W37" s="39"/>
    </row>
    <row r="38" spans="1:24" ht="17.25" x14ac:dyDescent="0.25">
      <c r="B38" t="s">
        <v>217</v>
      </c>
    </row>
    <row r="39" spans="1:24" ht="17.25" x14ac:dyDescent="0.25">
      <c r="B39" t="s">
        <v>199</v>
      </c>
    </row>
    <row r="41" spans="1:24" x14ac:dyDescent="0.25">
      <c r="B41" s="127" t="s">
        <v>153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30">
        <v>8.9406967163085938E-8</v>
      </c>
    </row>
  </sheetData>
  <printOptions horizontalCentered="1"/>
  <pageMargins left="0.45" right="0.45" top="0.75" bottom="0.75" header="0.3" footer="0.3"/>
  <pageSetup paperSize="5" scale="52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85" zoomScaleNormal="85" workbookViewId="0">
      <selection activeCell="K32" sqref="K32"/>
    </sheetView>
  </sheetViews>
  <sheetFormatPr defaultColWidth="9.140625" defaultRowHeight="15" x14ac:dyDescent="0.25"/>
  <cols>
    <col min="1" max="1" width="2.140625" style="40" customWidth="1"/>
    <col min="2" max="2" width="2.42578125" style="40" customWidth="1"/>
    <col min="3" max="3" width="34.85546875" style="40" customWidth="1"/>
    <col min="4" max="5" width="11.85546875" style="40" customWidth="1"/>
    <col min="6" max="6" width="2.7109375" style="52" customWidth="1"/>
    <col min="7" max="8" width="11.85546875" style="40" customWidth="1"/>
    <col min="9" max="16384" width="9.140625" style="40"/>
  </cols>
  <sheetData>
    <row r="1" spans="2:8" x14ac:dyDescent="0.25">
      <c r="B1" s="77" t="s">
        <v>0</v>
      </c>
      <c r="C1" s="77"/>
      <c r="D1" s="77"/>
      <c r="E1" s="77"/>
      <c r="F1" s="77"/>
      <c r="G1" s="77"/>
      <c r="H1" s="77"/>
    </row>
    <row r="2" spans="2:8" x14ac:dyDescent="0.25">
      <c r="B2" s="77" t="str">
        <f>'Rate Impacts Sch 140'!A2</f>
        <v>2025 Gas Schedule 140 Property Tax Filing</v>
      </c>
      <c r="C2" s="77"/>
      <c r="D2" s="77"/>
      <c r="E2" s="77"/>
      <c r="F2" s="77"/>
      <c r="G2" s="77"/>
      <c r="H2" s="77"/>
    </row>
    <row r="3" spans="2:8" x14ac:dyDescent="0.25">
      <c r="B3" s="64" t="s">
        <v>104</v>
      </c>
      <c r="C3" s="64"/>
      <c r="D3" s="64"/>
      <c r="E3" s="64"/>
      <c r="F3" s="64"/>
      <c r="G3" s="64"/>
      <c r="H3" s="64"/>
    </row>
    <row r="4" spans="2:8" x14ac:dyDescent="0.25">
      <c r="B4" s="64" t="str">
        <f>'Rate Impacts Sch 140'!A4</f>
        <v>Proposed Rates Effective May 1, 2025</v>
      </c>
      <c r="C4" s="64"/>
      <c r="D4" s="64"/>
      <c r="E4" s="64"/>
      <c r="F4" s="64"/>
      <c r="G4" s="64"/>
      <c r="H4" s="64"/>
    </row>
    <row r="6" spans="2:8" x14ac:dyDescent="0.25">
      <c r="G6" s="78" t="s">
        <v>218</v>
      </c>
      <c r="H6" s="78"/>
    </row>
    <row r="7" spans="2:8" x14ac:dyDescent="0.25">
      <c r="D7" s="41" t="s">
        <v>105</v>
      </c>
      <c r="E7" s="41"/>
      <c r="F7" s="42"/>
      <c r="G7" s="41" t="s">
        <v>139</v>
      </c>
      <c r="H7" s="41"/>
    </row>
    <row r="8" spans="2:8" ht="17.25" x14ac:dyDescent="0.25">
      <c r="D8" s="43" t="s">
        <v>106</v>
      </c>
      <c r="E8" s="43" t="s">
        <v>107</v>
      </c>
      <c r="F8" s="44"/>
      <c r="G8" s="43" t="s">
        <v>108</v>
      </c>
      <c r="H8" s="43" t="s">
        <v>107</v>
      </c>
    </row>
    <row r="9" spans="2:8" x14ac:dyDescent="0.25">
      <c r="B9" s="40" t="s">
        <v>109</v>
      </c>
      <c r="D9" s="45">
        <v>64</v>
      </c>
      <c r="E9" s="46"/>
      <c r="F9" s="47"/>
      <c r="G9" s="45">
        <v>64</v>
      </c>
      <c r="H9" s="46"/>
    </row>
    <row r="10" spans="2:8" x14ac:dyDescent="0.25">
      <c r="D10" s="45"/>
      <c r="E10" s="46"/>
      <c r="F10" s="47"/>
      <c r="G10" s="45"/>
      <c r="H10" s="46"/>
    </row>
    <row r="11" spans="2:8" x14ac:dyDescent="0.25">
      <c r="B11" s="40" t="s">
        <v>110</v>
      </c>
      <c r="D11" s="45"/>
      <c r="E11" s="46"/>
      <c r="F11" s="47"/>
      <c r="G11" s="45"/>
      <c r="H11" s="46"/>
    </row>
    <row r="12" spans="2:8" x14ac:dyDescent="0.25">
      <c r="C12" s="40" t="s">
        <v>140</v>
      </c>
      <c r="D12" s="183">
        <v>14.000000000000002</v>
      </c>
      <c r="E12" s="46">
        <f>D12</f>
        <v>14.000000000000002</v>
      </c>
      <c r="F12" s="48"/>
      <c r="G12" s="49">
        <f>$D$12</f>
        <v>14.000000000000002</v>
      </c>
      <c r="H12" s="46">
        <f>G12</f>
        <v>14.000000000000002</v>
      </c>
    </row>
    <row r="13" spans="2:8" x14ac:dyDescent="0.25">
      <c r="C13" s="40" t="s">
        <v>26</v>
      </c>
      <c r="D13" s="111">
        <f>SUM(D12:D12)</f>
        <v>14.000000000000002</v>
      </c>
      <c r="E13" s="51">
        <f>SUM(E12:E12)</f>
        <v>14.000000000000002</v>
      </c>
      <c r="F13" s="48"/>
      <c r="G13" s="51">
        <f>SUM(G12:G12)</f>
        <v>14.000000000000002</v>
      </c>
      <c r="H13" s="51">
        <f>SUM(H12:H12)</f>
        <v>14.000000000000002</v>
      </c>
    </row>
    <row r="14" spans="2:8" x14ac:dyDescent="0.25">
      <c r="D14" s="112"/>
      <c r="E14" s="50"/>
      <c r="F14" s="48"/>
      <c r="G14" s="50"/>
      <c r="H14" s="50"/>
    </row>
    <row r="15" spans="2:8" x14ac:dyDescent="0.25">
      <c r="C15" s="40" t="s">
        <v>163</v>
      </c>
      <c r="D15" s="183">
        <v>-8.9499999999999993</v>
      </c>
      <c r="E15" s="46">
        <f>D15</f>
        <v>-8.9499999999999993</v>
      </c>
      <c r="F15" s="48"/>
      <c r="G15" s="113">
        <f>$D$15</f>
        <v>-8.9499999999999993</v>
      </c>
      <c r="H15" s="46">
        <f>G15</f>
        <v>-8.9499999999999993</v>
      </c>
    </row>
    <row r="16" spans="2:8" x14ac:dyDescent="0.25">
      <c r="D16" s="114"/>
      <c r="E16" s="46"/>
      <c r="F16" s="48"/>
      <c r="G16" s="49"/>
      <c r="H16" s="46"/>
    </row>
    <row r="17" spans="2:8" x14ac:dyDescent="0.25">
      <c r="B17" s="40" t="s">
        <v>111</v>
      </c>
      <c r="D17" s="95"/>
      <c r="E17" s="46"/>
      <c r="H17" s="46"/>
    </row>
    <row r="18" spans="2:8" x14ac:dyDescent="0.25">
      <c r="C18" s="40" t="s">
        <v>141</v>
      </c>
      <c r="D18" s="184">
        <v>0.61957776856730451</v>
      </c>
      <c r="E18" s="46"/>
      <c r="F18" s="53"/>
      <c r="G18" s="54">
        <f>$D$18</f>
        <v>0.61957776856730451</v>
      </c>
      <c r="H18" s="46"/>
    </row>
    <row r="19" spans="2:8" x14ac:dyDescent="0.25">
      <c r="C19" s="40" t="s">
        <v>143</v>
      </c>
      <c r="D19" s="184">
        <v>3.6560000000000002E-2</v>
      </c>
      <c r="E19" s="46"/>
      <c r="F19" s="53"/>
      <c r="G19" s="54">
        <f>D19</f>
        <v>3.6560000000000002E-2</v>
      </c>
      <c r="H19" s="46"/>
    </row>
    <row r="20" spans="2:8" x14ac:dyDescent="0.25">
      <c r="C20" s="40" t="s">
        <v>164</v>
      </c>
      <c r="D20" s="184">
        <v>1.3089999999999999E-2</v>
      </c>
      <c r="E20" s="46"/>
      <c r="F20" s="53"/>
      <c r="G20" s="55">
        <f>D20</f>
        <v>1.3089999999999999E-2</v>
      </c>
      <c r="H20" s="46"/>
    </row>
    <row r="21" spans="2:8" x14ac:dyDescent="0.25">
      <c r="C21" s="40" t="s">
        <v>165</v>
      </c>
      <c r="D21" s="184">
        <v>0</v>
      </c>
      <c r="E21" s="46"/>
      <c r="F21" s="53"/>
      <c r="G21" s="55">
        <f>D21</f>
        <v>0</v>
      </c>
      <c r="H21" s="46"/>
    </row>
    <row r="22" spans="2:8" x14ac:dyDescent="0.25">
      <c r="C22" s="40" t="s">
        <v>166</v>
      </c>
      <c r="D22" s="115">
        <f>'Sch. 140'!$D$9</f>
        <v>1.6749999999999998E-2</v>
      </c>
      <c r="E22" s="46"/>
      <c r="F22" s="53"/>
      <c r="G22" s="115">
        <f>'Sch. 140'!E9</f>
        <v>2.1150000000000002E-2</v>
      </c>
      <c r="H22" s="46"/>
    </row>
    <row r="23" spans="2:8" x14ac:dyDescent="0.25">
      <c r="C23" s="40" t="s">
        <v>151</v>
      </c>
      <c r="D23" s="184">
        <v>-2.1999999999999997E-3</v>
      </c>
      <c r="E23" s="46"/>
      <c r="F23" s="53"/>
      <c r="G23" s="55">
        <f>$D$23</f>
        <v>-2.1999999999999997E-3</v>
      </c>
      <c r="H23" s="46"/>
    </row>
    <row r="24" spans="2:8" x14ac:dyDescent="0.25">
      <c r="C24" s="40" t="s">
        <v>200</v>
      </c>
      <c r="D24" s="184">
        <v>4.6739999999999997E-2</v>
      </c>
      <c r="E24" s="46"/>
      <c r="F24" s="53"/>
      <c r="G24" s="55">
        <f>$D$24</f>
        <v>4.6739999999999997E-2</v>
      </c>
      <c r="H24" s="46"/>
    </row>
    <row r="25" spans="2:8" x14ac:dyDescent="0.25">
      <c r="C25" s="40" t="s">
        <v>201</v>
      </c>
      <c r="D25" s="184">
        <v>9.0000000000000006E-5</v>
      </c>
      <c r="E25" s="46"/>
      <c r="F25" s="53"/>
      <c r="G25" s="55">
        <f>$D$25</f>
        <v>9.0000000000000006E-5</v>
      </c>
      <c r="H25" s="46"/>
    </row>
    <row r="26" spans="2:8" x14ac:dyDescent="0.25">
      <c r="C26" s="40" t="s">
        <v>152</v>
      </c>
      <c r="D26" s="184">
        <v>0</v>
      </c>
      <c r="E26" s="46"/>
      <c r="F26" s="53"/>
      <c r="G26" s="55">
        <f>$D$26</f>
        <v>0</v>
      </c>
      <c r="H26" s="46"/>
    </row>
    <row r="27" spans="2:8" x14ac:dyDescent="0.25">
      <c r="C27" s="40" t="s">
        <v>142</v>
      </c>
      <c r="D27" s="184">
        <v>4.292E-2</v>
      </c>
      <c r="E27" s="46"/>
      <c r="F27" s="53"/>
      <c r="G27" s="55">
        <f>$D$27</f>
        <v>4.292E-2</v>
      </c>
      <c r="H27" s="46"/>
    </row>
    <row r="28" spans="2:8" x14ac:dyDescent="0.25">
      <c r="C28" s="40" t="s">
        <v>26</v>
      </c>
      <c r="D28" s="116">
        <f>SUM(D18:D27)</f>
        <v>0.77352776856730465</v>
      </c>
      <c r="E28" s="46">
        <f>ROUND(D28*D$9,2)</f>
        <v>49.51</v>
      </c>
      <c r="F28" s="53"/>
      <c r="G28" s="56">
        <f>SUM(G18:G27)</f>
        <v>0.77792776856730461</v>
      </c>
      <c r="H28" s="46">
        <f>ROUND(G28*G$9,2)</f>
        <v>49.79</v>
      </c>
    </row>
    <row r="29" spans="2:8" x14ac:dyDescent="0.25">
      <c r="D29" s="95"/>
    </row>
    <row r="30" spans="2:8" x14ac:dyDescent="0.25">
      <c r="C30" s="40" t="s">
        <v>167</v>
      </c>
      <c r="D30" s="184">
        <v>0.16114999999999999</v>
      </c>
      <c r="E30" s="46">
        <f>ROUND(D30*D$9,2)</f>
        <v>10.31</v>
      </c>
      <c r="F30" s="53"/>
      <c r="G30" s="57">
        <f>$D$30</f>
        <v>0.16114999999999999</v>
      </c>
      <c r="H30" s="46">
        <f>ROUND(G30*G$9,2)</f>
        <v>10.31</v>
      </c>
    </row>
    <row r="31" spans="2:8" x14ac:dyDescent="0.25">
      <c r="D31" s="184"/>
      <c r="E31" s="46"/>
      <c r="F31" s="53"/>
      <c r="G31" s="54"/>
      <c r="H31" s="46"/>
    </row>
    <row r="32" spans="2:8" x14ac:dyDescent="0.25">
      <c r="C32" s="40" t="s">
        <v>144</v>
      </c>
      <c r="D32" s="184">
        <v>0.55332000000000003</v>
      </c>
      <c r="E32" s="46"/>
      <c r="F32" s="53"/>
      <c r="G32" s="55">
        <f>$D$32</f>
        <v>0.55332000000000003</v>
      </c>
      <c r="H32" s="46"/>
    </row>
    <row r="33" spans="2:8" x14ac:dyDescent="0.25">
      <c r="C33" s="40" t="s">
        <v>145</v>
      </c>
      <c r="D33" s="184">
        <v>-5.883E-2</v>
      </c>
      <c r="E33" s="46"/>
      <c r="F33" s="53"/>
      <c r="G33" s="55">
        <f>$D$33</f>
        <v>-5.883E-2</v>
      </c>
      <c r="H33" s="46"/>
    </row>
    <row r="34" spans="2:8" x14ac:dyDescent="0.25">
      <c r="C34" s="40" t="s">
        <v>26</v>
      </c>
      <c r="D34" s="116">
        <f>SUM(D32:D33)</f>
        <v>0.49449000000000004</v>
      </c>
      <c r="E34" s="46">
        <f>ROUND(D34*D$9,2)</f>
        <v>31.65</v>
      </c>
      <c r="F34" s="53"/>
      <c r="G34" s="56">
        <f>SUM(G32:G33)</f>
        <v>0.49449000000000004</v>
      </c>
      <c r="H34" s="46">
        <f>ROUND(G34*G$9,2)</f>
        <v>31.65</v>
      </c>
    </row>
    <row r="35" spans="2:8" x14ac:dyDescent="0.25">
      <c r="C35" s="40" t="s">
        <v>112</v>
      </c>
      <c r="D35" s="116">
        <f>D28+D30+D34</f>
        <v>1.4291677685673048</v>
      </c>
      <c r="E35" s="58">
        <f>SUM(E28,E30,E34)</f>
        <v>91.47</v>
      </c>
      <c r="F35" s="59"/>
      <c r="G35" s="56">
        <f>G28+G30+G34</f>
        <v>1.4335677685673047</v>
      </c>
      <c r="H35" s="58">
        <f>SUM(H28,H30,H34)</f>
        <v>91.75</v>
      </c>
    </row>
    <row r="36" spans="2:8" x14ac:dyDescent="0.25">
      <c r="E36" s="46"/>
      <c r="H36" s="46"/>
    </row>
    <row r="37" spans="2:8" x14ac:dyDescent="0.25">
      <c r="B37" s="40" t="s">
        <v>113</v>
      </c>
      <c r="D37" s="49"/>
      <c r="E37" s="46">
        <f>E13+E15+E35</f>
        <v>96.52</v>
      </c>
      <c r="F37" s="50"/>
      <c r="G37" s="49"/>
      <c r="H37" s="46">
        <f>H13+H15+H35</f>
        <v>96.8</v>
      </c>
    </row>
    <row r="38" spans="2:8" x14ac:dyDescent="0.25">
      <c r="B38" s="40" t="s">
        <v>114</v>
      </c>
      <c r="D38" s="49"/>
      <c r="E38" s="46"/>
      <c r="F38" s="50"/>
      <c r="G38" s="49"/>
      <c r="H38" s="46">
        <f>H37-$E37</f>
        <v>0.28000000000000114</v>
      </c>
    </row>
    <row r="39" spans="2:8" x14ac:dyDescent="0.25">
      <c r="B39" s="40" t="s">
        <v>115</v>
      </c>
      <c r="D39" s="60"/>
      <c r="E39" s="60"/>
      <c r="F39" s="61"/>
      <c r="G39" s="60"/>
      <c r="H39" s="97">
        <f>H38/$E37</f>
        <v>2.9009531703274053E-3</v>
      </c>
    </row>
    <row r="40" spans="2:8" x14ac:dyDescent="0.25">
      <c r="E40" s="46"/>
    </row>
    <row r="41" spans="2:8" x14ac:dyDescent="0.25">
      <c r="B41" s="40" t="s">
        <v>116</v>
      </c>
      <c r="D41" s="54">
        <f>D28+D30</f>
        <v>0.93467776856730467</v>
      </c>
      <c r="E41" s="46"/>
      <c r="F41" s="59"/>
      <c r="G41" s="54">
        <f>G28+G30</f>
        <v>0.93907776856730463</v>
      </c>
    </row>
    <row r="43" spans="2:8" ht="17.25" x14ac:dyDescent="0.25">
      <c r="B43" s="62" t="s">
        <v>202</v>
      </c>
      <c r="D43" s="62"/>
      <c r="E43" s="62"/>
      <c r="F43" s="63"/>
      <c r="G43" s="63"/>
      <c r="H43" s="63"/>
    </row>
    <row r="48" spans="2:8" ht="14.25" customHeight="1" x14ac:dyDescent="0.25"/>
  </sheetData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90" zoomScaleNormal="90" workbookViewId="0">
      <selection activeCell="D27" sqref="D27"/>
    </sheetView>
  </sheetViews>
  <sheetFormatPr defaultColWidth="8.7109375" defaultRowHeight="15" x14ac:dyDescent="0.25"/>
  <cols>
    <col min="1" max="1" width="37.7109375" style="4" customWidth="1"/>
    <col min="2" max="2" width="9.140625" style="4" bestFit="1" customWidth="1"/>
    <col min="3" max="3" width="18.5703125" style="4" bestFit="1" customWidth="1"/>
    <col min="4" max="5" width="13.7109375" style="4" customWidth="1"/>
    <col min="6" max="8" width="14.42578125" style="4" customWidth="1"/>
    <col min="9" max="9" width="7.85546875" style="4" bestFit="1" customWidth="1"/>
    <col min="10" max="16384" width="8.7109375" style="4"/>
  </cols>
  <sheetData>
    <row r="1" spans="1:21" s="40" customFormat="1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64"/>
    </row>
    <row r="2" spans="1:21" s="40" customFormat="1" x14ac:dyDescent="0.25">
      <c r="A2" s="188" t="s">
        <v>117</v>
      </c>
      <c r="B2" s="189"/>
      <c r="C2" s="189"/>
      <c r="D2" s="189"/>
      <c r="E2" s="189"/>
      <c r="F2" s="189"/>
      <c r="G2" s="189"/>
      <c r="H2" s="189"/>
      <c r="I2" s="189"/>
      <c r="J2" s="65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s="40" customFormat="1" x14ac:dyDescent="0.25">
      <c r="A3" s="188" t="s">
        <v>146</v>
      </c>
      <c r="B3" s="188"/>
      <c r="C3" s="188"/>
      <c r="D3" s="188"/>
      <c r="E3" s="188"/>
      <c r="F3" s="188"/>
      <c r="G3" s="188"/>
      <c r="H3" s="188"/>
      <c r="I3" s="188"/>
      <c r="J3" s="64"/>
    </row>
    <row r="4" spans="1:21" s="40" customFormat="1" x14ac:dyDescent="0.25">
      <c r="A4" s="188" t="s">
        <v>183</v>
      </c>
      <c r="B4" s="188"/>
      <c r="C4" s="188"/>
      <c r="D4" s="188"/>
      <c r="E4" s="188"/>
      <c r="F4" s="188"/>
      <c r="G4" s="188"/>
      <c r="H4" s="188"/>
      <c r="I4" s="188"/>
      <c r="J4" s="64"/>
    </row>
    <row r="5" spans="1:21" x14ac:dyDescent="0.25">
      <c r="D5" s="128"/>
      <c r="E5" s="128"/>
    </row>
    <row r="6" spans="1:21" x14ac:dyDescent="0.25">
      <c r="A6" s="124"/>
      <c r="B6" s="124"/>
      <c r="C6" s="124" t="s">
        <v>63</v>
      </c>
      <c r="D6" s="124" t="s">
        <v>29</v>
      </c>
      <c r="E6" s="124" t="s">
        <v>2</v>
      </c>
      <c r="F6" s="73" t="s">
        <v>63</v>
      </c>
      <c r="G6" s="73" t="s">
        <v>63</v>
      </c>
      <c r="H6" s="124" t="s">
        <v>74</v>
      </c>
      <c r="I6" s="124"/>
      <c r="R6" s="67"/>
      <c r="S6" s="67"/>
      <c r="T6" s="67"/>
    </row>
    <row r="7" spans="1:21" x14ac:dyDescent="0.25">
      <c r="A7" s="124"/>
      <c r="B7" s="124" t="s">
        <v>72</v>
      </c>
      <c r="C7" s="124" t="s">
        <v>118</v>
      </c>
      <c r="D7" s="124" t="s">
        <v>74</v>
      </c>
      <c r="E7" s="124" t="s">
        <v>74</v>
      </c>
      <c r="F7" s="73" t="s">
        <v>6</v>
      </c>
      <c r="G7" s="73" t="s">
        <v>6</v>
      </c>
      <c r="H7" s="124" t="s">
        <v>6</v>
      </c>
      <c r="I7" s="124" t="s">
        <v>76</v>
      </c>
      <c r="R7" s="67"/>
      <c r="S7" s="67"/>
      <c r="T7" s="67"/>
    </row>
    <row r="8" spans="1:21" x14ac:dyDescent="0.25">
      <c r="A8" s="123" t="s">
        <v>8</v>
      </c>
      <c r="B8" s="123" t="s">
        <v>30</v>
      </c>
      <c r="C8" s="131" t="str">
        <f>'Rate Impacts Sch 140'!$U$6</f>
        <v>12ME Apr. 2026</v>
      </c>
      <c r="D8" s="123" t="s">
        <v>108</v>
      </c>
      <c r="E8" s="123" t="s">
        <v>108</v>
      </c>
      <c r="F8" s="43" t="s">
        <v>105</v>
      </c>
      <c r="G8" s="43" t="s">
        <v>119</v>
      </c>
      <c r="H8" s="123" t="s">
        <v>80</v>
      </c>
      <c r="I8" s="123" t="s">
        <v>80</v>
      </c>
      <c r="R8" s="67"/>
      <c r="S8" s="68"/>
      <c r="T8" s="67"/>
    </row>
    <row r="9" spans="1:21" x14ac:dyDescent="0.25">
      <c r="A9" s="4" t="s">
        <v>13</v>
      </c>
      <c r="B9" s="128" t="s">
        <v>97</v>
      </c>
      <c r="C9" s="129">
        <f>'Therm Forecast'!N9</f>
        <v>560218048</v>
      </c>
      <c r="D9" s="117">
        <v>1.6749999999999998E-2</v>
      </c>
      <c r="E9" s="180">
        <f>'Sch. 140 Rates'!K11</f>
        <v>2.1150000000000002E-2</v>
      </c>
      <c r="F9" s="13">
        <f>C9*D9</f>
        <v>9383652.3039999995</v>
      </c>
      <c r="G9" s="13">
        <f>C9*E9</f>
        <v>11848611.715200001</v>
      </c>
      <c r="H9" s="8">
        <f>G9-F9</f>
        <v>2464959.4112000018</v>
      </c>
      <c r="I9" s="2">
        <f>IF(F9=0,0,H9/F9)</f>
        <v>0.26268656716417932</v>
      </c>
      <c r="R9" s="67"/>
      <c r="S9" s="69"/>
      <c r="T9" s="67"/>
    </row>
    <row r="10" spans="1:21" x14ac:dyDescent="0.25">
      <c r="A10" s="4" t="s">
        <v>150</v>
      </c>
      <c r="B10" s="128">
        <v>16</v>
      </c>
      <c r="C10" s="132">
        <f>'Therm Forecast'!N8</f>
        <v>6156</v>
      </c>
      <c r="D10" s="117">
        <v>1.6749999999999998E-2</v>
      </c>
      <c r="E10" s="180">
        <f>'Sch. 140 Rates'!K11</f>
        <v>2.1150000000000002E-2</v>
      </c>
      <c r="F10" s="13">
        <f t="shared" ref="F10:F21" si="0">C10*D10</f>
        <v>103.11299999999999</v>
      </c>
      <c r="G10" s="13">
        <f t="shared" ref="G10:G22" si="1">C10*E10</f>
        <v>130.19940000000003</v>
      </c>
      <c r="H10" s="8">
        <f t="shared" ref="H10:H22" si="2">G10-F10</f>
        <v>27.08640000000004</v>
      </c>
      <c r="I10" s="2">
        <f t="shared" ref="I10:I23" si="3">IF(F10=0,0,H10/F10)</f>
        <v>0.26268656716417954</v>
      </c>
      <c r="R10" s="67"/>
      <c r="S10" s="67"/>
      <c r="T10" s="67"/>
    </row>
    <row r="11" spans="1:21" x14ac:dyDescent="0.25">
      <c r="A11" s="4" t="s">
        <v>15</v>
      </c>
      <c r="B11" s="128">
        <v>31</v>
      </c>
      <c r="C11" s="129">
        <f>'Therm Forecast'!N11</f>
        <v>229684257</v>
      </c>
      <c r="D11" s="117">
        <v>1.789E-2</v>
      </c>
      <c r="E11" s="180">
        <f>'Sch. 140 Rates'!K12</f>
        <v>2.6009999999999998E-2</v>
      </c>
      <c r="F11" s="13">
        <f t="shared" si="0"/>
        <v>4109051.3577299998</v>
      </c>
      <c r="G11" s="13">
        <f t="shared" si="1"/>
        <v>5974087.5245699994</v>
      </c>
      <c r="H11" s="8">
        <f t="shared" si="2"/>
        <v>1865036.1668399996</v>
      </c>
      <c r="I11" s="2">
        <f t="shared" si="3"/>
        <v>0.45388485187255445</v>
      </c>
      <c r="R11" s="67"/>
      <c r="S11" s="67"/>
      <c r="T11" s="67"/>
    </row>
    <row r="12" spans="1:21" x14ac:dyDescent="0.25">
      <c r="A12" s="4" t="s">
        <v>17</v>
      </c>
      <c r="B12" s="128">
        <v>41</v>
      </c>
      <c r="C12" s="129">
        <f>'Therm Forecast'!N12</f>
        <v>62597683</v>
      </c>
      <c r="D12" s="117">
        <v>7.3500000000000006E-3</v>
      </c>
      <c r="E12" s="180">
        <f>'Sch. 140 Rates'!K13</f>
        <v>1.001E-2</v>
      </c>
      <c r="F12" s="13">
        <f t="shared" si="0"/>
        <v>460092.97005000006</v>
      </c>
      <c r="G12" s="13">
        <f t="shared" si="1"/>
        <v>626602.80683000002</v>
      </c>
      <c r="H12" s="8">
        <f t="shared" si="2"/>
        <v>166509.83677999995</v>
      </c>
      <c r="I12" s="2">
        <f t="shared" si="3"/>
        <v>0.36190476190476173</v>
      </c>
    </row>
    <row r="13" spans="1:21" x14ac:dyDescent="0.25">
      <c r="A13" s="4" t="s">
        <v>19</v>
      </c>
      <c r="B13" s="128">
        <v>85</v>
      </c>
      <c r="C13" s="129">
        <f>'Therm Forecast'!N13</f>
        <v>17172836</v>
      </c>
      <c r="D13" s="117">
        <v>3.8600000000000006E-3</v>
      </c>
      <c r="E13" s="180">
        <f>'Sch. 140 Rates'!K14</f>
        <v>5.1400000000000005E-3</v>
      </c>
      <c r="F13" s="13">
        <f t="shared" si="0"/>
        <v>66287.146960000013</v>
      </c>
      <c r="G13" s="13">
        <f t="shared" si="1"/>
        <v>88268.377040000007</v>
      </c>
      <c r="H13" s="8">
        <f t="shared" si="2"/>
        <v>21981.230079999994</v>
      </c>
      <c r="I13" s="2">
        <f t="shared" si="3"/>
        <v>0.33160621761658016</v>
      </c>
    </row>
    <row r="14" spans="1:21" x14ac:dyDescent="0.25">
      <c r="A14" s="4" t="s">
        <v>21</v>
      </c>
      <c r="B14" s="128">
        <v>86</v>
      </c>
      <c r="C14" s="129">
        <f>'Therm Forecast'!N14</f>
        <v>4967299</v>
      </c>
      <c r="D14" s="117">
        <v>5.11E-3</v>
      </c>
      <c r="E14" s="180">
        <f>'Sch. 140 Rates'!K15</f>
        <v>5.9300000000000004E-3</v>
      </c>
      <c r="F14" s="13">
        <f t="shared" si="0"/>
        <v>25382.89789</v>
      </c>
      <c r="G14" s="13">
        <f t="shared" si="1"/>
        <v>29456.083070000001</v>
      </c>
      <c r="H14" s="8">
        <f t="shared" si="2"/>
        <v>4073.1851800000004</v>
      </c>
      <c r="I14" s="2">
        <f t="shared" si="3"/>
        <v>0.16046966731898241</v>
      </c>
    </row>
    <row r="15" spans="1:21" x14ac:dyDescent="0.25">
      <c r="A15" s="4" t="s">
        <v>23</v>
      </c>
      <c r="B15" s="128">
        <v>87</v>
      </c>
      <c r="C15" s="129">
        <f>'Therm Forecast'!N15</f>
        <v>17910859</v>
      </c>
      <c r="D15" s="117">
        <v>2.1199999999999999E-3</v>
      </c>
      <c r="E15" s="180">
        <f>'Sch. 140 Rates'!K16</f>
        <v>3.3600000000000001E-3</v>
      </c>
      <c r="F15" s="13">
        <f t="shared" si="0"/>
        <v>37971.021079999999</v>
      </c>
      <c r="G15" s="13">
        <f t="shared" si="1"/>
        <v>60180.486240000006</v>
      </c>
      <c r="H15" s="8">
        <f t="shared" si="2"/>
        <v>22209.465160000007</v>
      </c>
      <c r="I15" s="2">
        <f t="shared" si="3"/>
        <v>0.58490566037735869</v>
      </c>
    </row>
    <row r="16" spans="1:21" x14ac:dyDescent="0.25">
      <c r="A16" s="4" t="s">
        <v>98</v>
      </c>
      <c r="B16" s="128" t="s">
        <v>46</v>
      </c>
      <c r="C16" s="129">
        <f>'Therm Forecast'!N16</f>
        <v>0</v>
      </c>
      <c r="D16" s="117">
        <v>1.789E-2</v>
      </c>
      <c r="E16" s="180">
        <f>'Sch. 140 Rates'!K12</f>
        <v>2.6009999999999998E-2</v>
      </c>
      <c r="F16" s="13">
        <f t="shared" si="0"/>
        <v>0</v>
      </c>
      <c r="G16" s="13">
        <f t="shared" si="1"/>
        <v>0</v>
      </c>
      <c r="H16" s="8">
        <f t="shared" si="2"/>
        <v>0</v>
      </c>
      <c r="I16" s="2">
        <f>(E16-D16)/D16</f>
        <v>0.45388485187255445</v>
      </c>
    </row>
    <row r="17" spans="1:9" x14ac:dyDescent="0.25">
      <c r="A17" s="4" t="s">
        <v>99</v>
      </c>
      <c r="B17" s="128" t="s">
        <v>31</v>
      </c>
      <c r="C17" s="129">
        <f>'Therm Forecast'!N17</f>
        <v>21005724</v>
      </c>
      <c r="D17" s="117">
        <v>7.3500000000000006E-3</v>
      </c>
      <c r="E17" s="180">
        <f>'Sch. 140 Rates'!K13</f>
        <v>1.001E-2</v>
      </c>
      <c r="F17" s="13">
        <f t="shared" si="0"/>
        <v>154392.07140000002</v>
      </c>
      <c r="G17" s="13">
        <f t="shared" si="1"/>
        <v>210267.29723999999</v>
      </c>
      <c r="H17" s="8">
        <f t="shared" si="2"/>
        <v>55875.22583999997</v>
      </c>
      <c r="I17" s="2">
        <f t="shared" si="3"/>
        <v>0.36190476190476167</v>
      </c>
    </row>
    <row r="18" spans="1:9" x14ac:dyDescent="0.25">
      <c r="A18" s="4" t="s">
        <v>100</v>
      </c>
      <c r="B18" s="128" t="s">
        <v>32</v>
      </c>
      <c r="C18" s="129">
        <f>'Therm Forecast'!N18</f>
        <v>55801323</v>
      </c>
      <c r="D18" s="117">
        <v>3.8600000000000006E-3</v>
      </c>
      <c r="E18" s="180">
        <f>'Sch. 140 Rates'!K14</f>
        <v>5.1400000000000005E-3</v>
      </c>
      <c r="F18" s="13">
        <f t="shared" si="0"/>
        <v>215393.10678000003</v>
      </c>
      <c r="G18" s="13">
        <f t="shared" si="1"/>
        <v>286818.80022000003</v>
      </c>
      <c r="H18" s="8">
        <f t="shared" si="2"/>
        <v>71425.693440000003</v>
      </c>
      <c r="I18" s="2">
        <f t="shared" si="3"/>
        <v>0.33160621761658027</v>
      </c>
    </row>
    <row r="19" spans="1:9" x14ac:dyDescent="0.25">
      <c r="A19" s="4" t="s">
        <v>101</v>
      </c>
      <c r="B19" s="128" t="s">
        <v>47</v>
      </c>
      <c r="C19" s="129">
        <f>'Therm Forecast'!N19</f>
        <v>1369337</v>
      </c>
      <c r="D19" s="117">
        <v>5.11E-3</v>
      </c>
      <c r="E19" s="180">
        <f>'Sch. 140 Rates'!K15</f>
        <v>5.9300000000000004E-3</v>
      </c>
      <c r="F19" s="13">
        <f t="shared" si="0"/>
        <v>6997.3120699999999</v>
      </c>
      <c r="G19" s="13">
        <f t="shared" si="1"/>
        <v>8120.1684100000002</v>
      </c>
      <c r="H19" s="8">
        <f t="shared" si="2"/>
        <v>1122.8563400000003</v>
      </c>
      <c r="I19" s="2">
        <f t="shared" si="3"/>
        <v>0.16046966731898243</v>
      </c>
    </row>
    <row r="20" spans="1:9" x14ac:dyDescent="0.25">
      <c r="A20" s="4" t="s">
        <v>102</v>
      </c>
      <c r="B20" s="128" t="s">
        <v>33</v>
      </c>
      <c r="C20" s="129">
        <f>'Therm Forecast'!N20</f>
        <v>73968273</v>
      </c>
      <c r="D20" s="117">
        <v>2.1199999999999999E-3</v>
      </c>
      <c r="E20" s="180">
        <f>'Sch. 140 Rates'!K16</f>
        <v>3.3600000000000001E-3</v>
      </c>
      <c r="F20" s="13">
        <f t="shared" si="0"/>
        <v>156812.73876000001</v>
      </c>
      <c r="G20" s="13">
        <f t="shared" si="1"/>
        <v>248533.39728</v>
      </c>
      <c r="H20" s="8">
        <f t="shared" si="2"/>
        <v>91720.658519999997</v>
      </c>
      <c r="I20" s="2">
        <f t="shared" si="3"/>
        <v>0.58490566037735847</v>
      </c>
    </row>
    <row r="21" spans="1:9" x14ac:dyDescent="0.25">
      <c r="A21" s="4" t="s">
        <v>197</v>
      </c>
      <c r="B21" s="128" t="s">
        <v>177</v>
      </c>
      <c r="C21" s="129">
        <f>'Therm Forecast'!N21</f>
        <v>39545056</v>
      </c>
      <c r="D21" s="117">
        <v>2.1199999999999999E-3</v>
      </c>
      <c r="E21" s="180">
        <f>'Sch. 140 Rates'!K17</f>
        <v>7.9999999999999993E-4</v>
      </c>
      <c r="F21" s="13">
        <f t="shared" si="0"/>
        <v>83835.518719999993</v>
      </c>
      <c r="G21" s="13">
        <f t="shared" si="1"/>
        <v>31636.044799999996</v>
      </c>
      <c r="H21" s="8">
        <f t="shared" si="2"/>
        <v>-52199.473919999997</v>
      </c>
      <c r="I21" s="2">
        <f t="shared" si="3"/>
        <v>-0.62264150943396224</v>
      </c>
    </row>
    <row r="22" spans="1:9" x14ac:dyDescent="0.25">
      <c r="A22" s="4" t="s">
        <v>25</v>
      </c>
      <c r="B22" s="128"/>
      <c r="C22" s="129">
        <f>'Therm Forecast'!N22</f>
        <v>34037220</v>
      </c>
      <c r="D22" s="118">
        <v>7.3000000000000007E-4</v>
      </c>
      <c r="E22" s="181">
        <f>'Sch. 140 Rates'!K18</f>
        <v>6.4999999999999997E-4</v>
      </c>
      <c r="F22" s="13">
        <f>C22*D22</f>
        <v>24847.170600000001</v>
      </c>
      <c r="G22" s="13">
        <f t="shared" si="1"/>
        <v>22124.192999999999</v>
      </c>
      <c r="H22" s="8">
        <f t="shared" si="2"/>
        <v>-2722.977600000002</v>
      </c>
      <c r="I22" s="109">
        <f t="shared" si="3"/>
        <v>-0.10958904109589049</v>
      </c>
    </row>
    <row r="23" spans="1:9" x14ac:dyDescent="0.25">
      <c r="A23" s="4" t="s">
        <v>27</v>
      </c>
      <c r="C23" s="10">
        <f>SUM(C9:C22)</f>
        <v>1118284071</v>
      </c>
      <c r="D23" s="70"/>
      <c r="E23" s="70"/>
      <c r="F23" s="33">
        <f t="shared" ref="F23:H23" si="4">SUM(F9:F22)</f>
        <v>14724818.729039999</v>
      </c>
      <c r="G23" s="33">
        <f t="shared" si="4"/>
        <v>19434837.0933</v>
      </c>
      <c r="H23" s="11">
        <f t="shared" si="4"/>
        <v>4710018.3642600011</v>
      </c>
      <c r="I23" s="2">
        <f t="shared" si="3"/>
        <v>0.31986936144558409</v>
      </c>
    </row>
    <row r="24" spans="1:9" x14ac:dyDescent="0.25">
      <c r="C24" s="107">
        <f>'Therm Forecast'!N23-'Sch. 140'!C23</f>
        <v>0</v>
      </c>
      <c r="F24" s="8"/>
      <c r="G24" s="8"/>
    </row>
    <row r="25" spans="1:9" x14ac:dyDescent="0.25">
      <c r="C25" s="12"/>
      <c r="F25" s="8"/>
      <c r="G25" s="8"/>
    </row>
    <row r="26" spans="1:9" x14ac:dyDescent="0.25">
      <c r="A26" s="71"/>
      <c r="B26" s="67"/>
      <c r="C26" s="67"/>
      <c r="D26" s="67"/>
      <c r="E26" s="67"/>
      <c r="F26" s="67"/>
      <c r="G26" s="67"/>
      <c r="H26" s="67"/>
    </row>
    <row r="27" spans="1:9" x14ac:dyDescent="0.25">
      <c r="B27" s="67"/>
      <c r="C27" s="67"/>
      <c r="D27" s="67"/>
      <c r="E27" s="67"/>
      <c r="F27" s="67"/>
      <c r="G27" s="67"/>
      <c r="H27" s="67"/>
    </row>
    <row r="42" spans="2:2" ht="17.25" x14ac:dyDescent="0.25">
      <c r="B42" s="7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85" zoomScaleNormal="85" workbookViewId="0">
      <pane xSplit="2" ySplit="4" topLeftCell="C5" activePane="bottomRight" state="frozen"/>
      <selection activeCell="K28" sqref="K28"/>
      <selection pane="topRight" activeCell="K28" sqref="K28"/>
      <selection pane="bottomLeft" activeCell="K28" sqref="K28"/>
      <selection pane="bottomRight" activeCell="I39" sqref="I39"/>
    </sheetView>
  </sheetViews>
  <sheetFormatPr defaultColWidth="9.140625" defaultRowHeight="15" x14ac:dyDescent="0.25"/>
  <cols>
    <col min="1" max="1" width="5.140625" style="80" customWidth="1"/>
    <col min="2" max="2" width="72.140625" style="15" customWidth="1"/>
    <col min="3" max="3" width="12.42578125" style="81" customWidth="1"/>
    <col min="4" max="4" width="14" style="15" bestFit="1" customWidth="1"/>
    <col min="5" max="5" width="13.140625" style="15" bestFit="1" customWidth="1"/>
    <col min="6" max="6" width="14" style="15" customWidth="1"/>
    <col min="7" max="7" width="2.28515625" style="15" customWidth="1"/>
    <col min="8" max="9" width="16.140625" style="15" bestFit="1" customWidth="1"/>
    <col min="10" max="10" width="14.5703125" style="15" bestFit="1" customWidth="1"/>
    <col min="11" max="11" width="13.28515625" style="15" customWidth="1"/>
    <col min="12" max="12" width="17.42578125" style="15" bestFit="1" customWidth="1"/>
    <col min="13" max="14" width="12.140625" style="15" bestFit="1" customWidth="1"/>
    <col min="15" max="15" width="17.140625" style="15" bestFit="1" customWidth="1"/>
    <col min="16" max="16" width="9.140625" style="15"/>
    <col min="17" max="17" width="12.140625" style="15" bestFit="1" customWidth="1"/>
    <col min="18" max="19" width="9.140625" style="15"/>
    <col min="20" max="20" width="16.140625" style="15" bestFit="1" customWidth="1"/>
    <col min="21" max="16384" width="9.140625" style="15"/>
  </cols>
  <sheetData>
    <row r="1" spans="1:12" ht="18.75" x14ac:dyDescent="0.3">
      <c r="A1" s="94" t="s">
        <v>203</v>
      </c>
      <c r="B1" s="95"/>
      <c r="C1" s="79"/>
    </row>
    <row r="2" spans="1:12" ht="18.75" x14ac:dyDescent="0.3">
      <c r="B2" s="30"/>
      <c r="C2" s="79"/>
    </row>
    <row r="3" spans="1:12" x14ac:dyDescent="0.25">
      <c r="D3" s="82" t="s">
        <v>37</v>
      </c>
      <c r="E3" s="83"/>
      <c r="F3" s="84"/>
      <c r="H3" s="82" t="s">
        <v>38</v>
      </c>
      <c r="I3" s="84"/>
      <c r="J3" s="84"/>
    </row>
    <row r="4" spans="1:12" x14ac:dyDescent="0.25">
      <c r="D4" s="85" t="s">
        <v>39</v>
      </c>
      <c r="E4" s="85" t="s">
        <v>40</v>
      </c>
      <c r="F4" s="85" t="s">
        <v>27</v>
      </c>
      <c r="H4" s="85" t="s">
        <v>39</v>
      </c>
      <c r="I4" s="85" t="s">
        <v>40</v>
      </c>
      <c r="J4" s="85" t="s">
        <v>27</v>
      </c>
    </row>
    <row r="5" spans="1:12" x14ac:dyDescent="0.25">
      <c r="B5" s="134" t="s">
        <v>204</v>
      </c>
      <c r="D5" s="135"/>
      <c r="E5" s="135"/>
      <c r="F5" s="135"/>
      <c r="H5" s="134">
        <v>0.95034799999999997</v>
      </c>
      <c r="I5" s="136">
        <v>0.95344399999999996</v>
      </c>
      <c r="J5" s="135"/>
      <c r="K5" s="137"/>
    </row>
    <row r="6" spans="1:12" x14ac:dyDescent="0.25">
      <c r="B6" s="134" t="s">
        <v>205</v>
      </c>
      <c r="H6" s="134">
        <v>0.95002900000000001</v>
      </c>
      <c r="I6" s="136">
        <v>0.95369999999999999</v>
      </c>
      <c r="K6" s="137"/>
    </row>
    <row r="7" spans="1:12" x14ac:dyDescent="0.25">
      <c r="A7" s="80">
        <f>ROW()</f>
        <v>7</v>
      </c>
      <c r="B7" s="15" t="s">
        <v>206</v>
      </c>
      <c r="C7" s="86"/>
      <c r="D7" s="3">
        <v>28163969.869904444</v>
      </c>
      <c r="E7" s="3">
        <v>13825721.87439375</v>
      </c>
      <c r="F7" s="3">
        <f>SUM(D7:E7)</f>
        <v>41989691.74429819</v>
      </c>
      <c r="G7" s="95"/>
      <c r="H7" s="119">
        <v>29635428.148325082</v>
      </c>
      <c r="I7" s="119">
        <v>14500822.15042913</v>
      </c>
      <c r="J7" s="3">
        <f>SUM(H7:I7)</f>
        <v>44136250.298754215</v>
      </c>
    </row>
    <row r="8" spans="1:12" x14ac:dyDescent="0.25">
      <c r="A8" s="80">
        <f>ROW()</f>
        <v>8</v>
      </c>
      <c r="H8" s="104"/>
      <c r="I8" s="104"/>
    </row>
    <row r="9" spans="1:12" x14ac:dyDescent="0.25">
      <c r="A9" s="80">
        <f>ROW()</f>
        <v>9</v>
      </c>
      <c r="B9" s="138" t="s">
        <v>41</v>
      </c>
      <c r="E9" s="22"/>
    </row>
    <row r="10" spans="1:12" x14ac:dyDescent="0.25">
      <c r="A10" s="80">
        <f>ROW()</f>
        <v>10</v>
      </c>
      <c r="B10" s="87" t="s">
        <v>207</v>
      </c>
      <c r="C10" s="22"/>
      <c r="D10" s="16">
        <v>37424535</v>
      </c>
      <c r="E10" s="16">
        <v>18481999</v>
      </c>
      <c r="F10" s="16">
        <f>SUM(D10:E10)</f>
        <v>55906534</v>
      </c>
      <c r="H10" s="14">
        <f>D10/$H$6</f>
        <v>39393044.843894236</v>
      </c>
      <c r="I10" s="14">
        <f>E10/$I$6</f>
        <v>19379258.676732726</v>
      </c>
      <c r="J10" s="16">
        <f>SUM(H10:I10)</f>
        <v>58772303.520626962</v>
      </c>
      <c r="K10" s="137"/>
      <c r="L10" s="16"/>
    </row>
    <row r="11" spans="1:12" x14ac:dyDescent="0.25">
      <c r="A11" s="80">
        <f>ROW()</f>
        <v>11</v>
      </c>
      <c r="B11" s="87" t="s">
        <v>206</v>
      </c>
      <c r="C11" s="139" t="s">
        <v>208</v>
      </c>
      <c r="D11" s="16">
        <f>D7</f>
        <v>28163969.869904444</v>
      </c>
      <c r="E11" s="16">
        <f>E7</f>
        <v>13825721.87439375</v>
      </c>
      <c r="F11" s="16">
        <f>SUM(D11:E11)</f>
        <v>41989691.74429819</v>
      </c>
      <c r="H11" s="14">
        <f>H7</f>
        <v>29635428.148325082</v>
      </c>
      <c r="I11" s="14">
        <f>I7</f>
        <v>14500822.15042913</v>
      </c>
      <c r="J11" s="16">
        <f>SUM(H11:I11)</f>
        <v>44136250.298754215</v>
      </c>
      <c r="K11" s="140"/>
    </row>
    <row r="12" spans="1:12" x14ac:dyDescent="0.25">
      <c r="A12" s="80">
        <f>ROW()</f>
        <v>12</v>
      </c>
      <c r="B12" s="15" t="s">
        <v>209</v>
      </c>
      <c r="C12" s="141"/>
      <c r="D12" s="16">
        <v>-623765.12939357816</v>
      </c>
      <c r="E12" s="96">
        <v>-20158.934784395045</v>
      </c>
      <c r="F12" s="16">
        <f>SUM(D12:E12)</f>
        <v>-643924.0641779732</v>
      </c>
      <c r="H12" s="14">
        <f>D12/$H$6</f>
        <v>-656574.8302352645</v>
      </c>
      <c r="I12" s="14">
        <f>E12/$I$6</f>
        <v>-21137.605939388744</v>
      </c>
      <c r="J12" s="16">
        <f>SUM(H12:I12)</f>
        <v>-677712.43617465324</v>
      </c>
      <c r="K12" s="137"/>
    </row>
    <row r="13" spans="1:12" x14ac:dyDescent="0.25">
      <c r="A13" s="80">
        <f>ROW()</f>
        <v>13</v>
      </c>
      <c r="B13" s="15" t="s">
        <v>210</v>
      </c>
      <c r="C13" s="141"/>
      <c r="D13" s="16">
        <v>1307672.9951471537</v>
      </c>
      <c r="E13" s="96">
        <v>76146.362368162721</v>
      </c>
      <c r="F13" s="16">
        <f t="shared" ref="F13" si="0">SUM(D13:E13)</f>
        <v>1383819.3575153165</v>
      </c>
      <c r="H13" s="14">
        <f>D13/H6</f>
        <v>1376455.8715019792</v>
      </c>
      <c r="I13" s="14">
        <f>E13/I6</f>
        <v>79843.097796123227</v>
      </c>
      <c r="J13" s="16">
        <f t="shared" ref="J13" si="1">SUM(H13:I13)</f>
        <v>1456298.9692981024</v>
      </c>
      <c r="K13" s="137"/>
    </row>
    <row r="14" spans="1:12" x14ac:dyDescent="0.25">
      <c r="A14" s="80">
        <f>ROW()</f>
        <v>14</v>
      </c>
      <c r="C14" s="141"/>
      <c r="D14" s="142"/>
      <c r="E14" s="17"/>
      <c r="F14" s="20"/>
      <c r="H14" s="20"/>
      <c r="I14" s="20"/>
      <c r="J14" s="21"/>
      <c r="K14" s="140"/>
      <c r="L14" s="16"/>
    </row>
    <row r="15" spans="1:12" x14ac:dyDescent="0.25">
      <c r="A15" s="80">
        <f>ROW()</f>
        <v>15</v>
      </c>
      <c r="B15" s="15" t="s">
        <v>59</v>
      </c>
      <c r="C15" s="139" t="s">
        <v>211</v>
      </c>
      <c r="D15" s="16">
        <f>D10-D11+D12+D13</f>
        <v>9944472.9958491325</v>
      </c>
      <c r="E15" s="16">
        <f>E10-E11+E12+E13</f>
        <v>4712264.5531900181</v>
      </c>
      <c r="F15" s="16">
        <f>SUM(D15:E15)</f>
        <v>14656737.549039152</v>
      </c>
      <c r="H15" s="16">
        <f>H10-H11+H12+H13</f>
        <v>10477497.736835867</v>
      </c>
      <c r="I15" s="16">
        <f>I10-I11+I12+I13</f>
        <v>4937142.0181603311</v>
      </c>
      <c r="J15" s="16">
        <f>SUM(H15:I15)</f>
        <v>15414639.754996199</v>
      </c>
      <c r="L15" s="16"/>
    </row>
    <row r="16" spans="1:12" x14ac:dyDescent="0.25">
      <c r="A16" s="80">
        <f>ROW()</f>
        <v>16</v>
      </c>
      <c r="C16" s="141"/>
      <c r="D16" s="17"/>
      <c r="E16" s="17"/>
      <c r="F16" s="17"/>
      <c r="H16" s="17"/>
      <c r="I16" s="17"/>
      <c r="J16" s="17"/>
      <c r="L16" s="16"/>
    </row>
    <row r="17" spans="1:20" ht="15.75" thickBot="1" x14ac:dyDescent="0.3">
      <c r="A17" s="80">
        <f>ROW()</f>
        <v>17</v>
      </c>
      <c r="B17" s="15" t="s">
        <v>168</v>
      </c>
      <c r="C17" s="139" t="s">
        <v>212</v>
      </c>
      <c r="D17" s="18">
        <f>D7+D15</f>
        <v>38108442.865753576</v>
      </c>
      <c r="E17" s="18">
        <f>E7+E15</f>
        <v>18537986.427583769</v>
      </c>
      <c r="F17" s="18">
        <f>SUM(D17:E17)</f>
        <v>56646429.293337345</v>
      </c>
      <c r="H17" s="18">
        <f>H7+H15</f>
        <v>40112925.885160953</v>
      </c>
      <c r="I17" s="18">
        <f>I7+I15</f>
        <v>19437964.168589462</v>
      </c>
      <c r="J17" s="18">
        <f>SUM(H17:I17)</f>
        <v>59550890.053750411</v>
      </c>
    </row>
    <row r="18" spans="1:20" ht="15.75" thickTop="1" x14ac:dyDescent="0.25">
      <c r="A18" s="80">
        <f>ROW()</f>
        <v>18</v>
      </c>
      <c r="C18" s="141"/>
    </row>
    <row r="19" spans="1:20" x14ac:dyDescent="0.25">
      <c r="A19" s="80">
        <f>ROW()</f>
        <v>19</v>
      </c>
      <c r="C19" s="141"/>
    </row>
    <row r="20" spans="1:20" x14ac:dyDescent="0.25">
      <c r="A20" s="80">
        <f>ROW()</f>
        <v>20</v>
      </c>
      <c r="B20" s="15" t="s">
        <v>43</v>
      </c>
      <c r="C20" s="139" t="s">
        <v>213</v>
      </c>
      <c r="D20" s="14">
        <f>D17-D21</f>
        <v>41683789.24103906</v>
      </c>
      <c r="E20" s="14">
        <f>E17-E21</f>
        <v>15932925.575246328</v>
      </c>
      <c r="F20" s="14">
        <f>SUM(D20:E20)</f>
        <v>57616714.816285387</v>
      </c>
      <c r="H20" s="14">
        <f>D20/H6</f>
        <v>43876333.502492093</v>
      </c>
      <c r="I20" s="14">
        <f>E20/I6</f>
        <v>16706433.443689136</v>
      </c>
      <c r="J20" s="14">
        <f>SUM(H20:I20)</f>
        <v>60582766.94618123</v>
      </c>
      <c r="K20" s="137"/>
      <c r="O20" s="105"/>
    </row>
    <row r="21" spans="1:20" x14ac:dyDescent="0.25">
      <c r="A21" s="80">
        <f>ROW()</f>
        <v>21</v>
      </c>
      <c r="B21" s="15" t="s">
        <v>169</v>
      </c>
      <c r="C21" s="143"/>
      <c r="D21" s="16">
        <v>-3575346.3752854825</v>
      </c>
      <c r="E21" s="16">
        <v>2605060.8523374405</v>
      </c>
      <c r="F21" s="16">
        <f>SUM(D21:E21)</f>
        <v>-970285.52294804202</v>
      </c>
      <c r="H21" s="92">
        <f>D21/$H$6</f>
        <v>-3763407.6173311365</v>
      </c>
      <c r="I21" s="92">
        <f>E21/$I$6</f>
        <v>2731530.7249003258</v>
      </c>
      <c r="J21" s="16">
        <f>SUM(H21:I21)</f>
        <v>-1031876.8924308107</v>
      </c>
      <c r="K21" s="137"/>
      <c r="L21" s="144"/>
    </row>
    <row r="22" spans="1:20" x14ac:dyDescent="0.25">
      <c r="A22" s="80">
        <f>ROW()</f>
        <v>22</v>
      </c>
      <c r="C22" s="141"/>
      <c r="D22" s="17"/>
      <c r="E22" s="17"/>
      <c r="F22" s="17"/>
      <c r="H22" s="17"/>
      <c r="I22" s="17"/>
      <c r="J22" s="17"/>
    </row>
    <row r="23" spans="1:20" ht="15.75" thickBot="1" x14ac:dyDescent="0.3">
      <c r="A23" s="80">
        <f>ROW()</f>
        <v>23</v>
      </c>
      <c r="B23" s="138" t="s">
        <v>42</v>
      </c>
      <c r="C23" s="139" t="s">
        <v>170</v>
      </c>
      <c r="D23" s="145">
        <f>SUM(D20:D21)</f>
        <v>38108442.865753576</v>
      </c>
      <c r="E23" s="145">
        <f>SUM(E20:E22)</f>
        <v>18537986.427583769</v>
      </c>
      <c r="F23" s="145">
        <f>SUM(D23:E23)</f>
        <v>56646429.293337345</v>
      </c>
      <c r="G23" s="146"/>
      <c r="H23" s="145">
        <f>SUM(H20:H21)</f>
        <v>40112925.885160953</v>
      </c>
      <c r="I23" s="145">
        <f>SUM(I20:I21)</f>
        <v>19437964.168589462</v>
      </c>
      <c r="J23" s="145">
        <f>SUM(H23:I23)</f>
        <v>59550890.053750411</v>
      </c>
    </row>
    <row r="24" spans="1:20" ht="15.75" thickTop="1" x14ac:dyDescent="0.25">
      <c r="A24" s="80">
        <f>ROW()</f>
        <v>24</v>
      </c>
      <c r="C24" s="141"/>
    </row>
    <row r="25" spans="1:20" x14ac:dyDescent="0.25">
      <c r="A25" s="80">
        <f>ROW()</f>
        <v>25</v>
      </c>
      <c r="C25" s="141"/>
      <c r="D25" s="14"/>
      <c r="E25" s="14"/>
      <c r="F25" s="14"/>
    </row>
    <row r="26" spans="1:20" x14ac:dyDescent="0.25">
      <c r="A26" s="80">
        <f>ROW()</f>
        <v>26</v>
      </c>
      <c r="B26" s="147" t="s">
        <v>171</v>
      </c>
      <c r="C26" s="141"/>
      <c r="D26" s="148"/>
    </row>
    <row r="27" spans="1:20" x14ac:dyDescent="0.25">
      <c r="A27" s="80">
        <f>ROW()</f>
        <v>27</v>
      </c>
      <c r="B27" s="87" t="s">
        <v>44</v>
      </c>
      <c r="C27" s="141"/>
      <c r="D27" s="16">
        <v>2114797.9951471537</v>
      </c>
      <c r="E27" s="16">
        <v>855936.36236816272</v>
      </c>
      <c r="F27" s="16">
        <f>SUM(D27:E27)</f>
        <v>2970734.3575153165</v>
      </c>
      <c r="H27" s="92">
        <f>D27/H6</f>
        <v>2226035.200133</v>
      </c>
      <c r="I27" s="92">
        <f>E27/I6</f>
        <v>897490.15661965264</v>
      </c>
      <c r="J27" s="16">
        <f>SUM(H27:I27)</f>
        <v>3123525.3567526527</v>
      </c>
      <c r="L27" s="16"/>
      <c r="N27" s="14"/>
    </row>
    <row r="28" spans="1:20" x14ac:dyDescent="0.25">
      <c r="A28" s="80">
        <f>ROW()</f>
        <v>28</v>
      </c>
      <c r="B28" s="87" t="s">
        <v>45</v>
      </c>
      <c r="C28" s="141"/>
      <c r="D28" s="16">
        <v>136900.04628765851</v>
      </c>
      <c r="E28" s="16">
        <v>-182565.79195081285</v>
      </c>
      <c r="F28" s="16">
        <f>SUM(D28:E28)</f>
        <v>-45665.745663154346</v>
      </c>
      <c r="H28" s="92">
        <f>D28/H6</f>
        <v>144100.91301176965</v>
      </c>
      <c r="I28" s="92">
        <f>E28/I6</f>
        <v>-191428.95244921133</v>
      </c>
      <c r="J28" s="16">
        <f>SUM(H28:I28)</f>
        <v>-47328.039437441679</v>
      </c>
      <c r="L28" s="16"/>
      <c r="O28" s="105"/>
    </row>
    <row r="29" spans="1:20" x14ac:dyDescent="0.25">
      <c r="A29" s="80">
        <f>ROW()</f>
        <v>29</v>
      </c>
      <c r="B29" s="87" t="s">
        <v>172</v>
      </c>
      <c r="C29" s="141"/>
      <c r="D29" s="16">
        <v>8753526.3351471573</v>
      </c>
      <c r="E29" s="16">
        <v>4083832.5523681641</v>
      </c>
      <c r="F29" s="16">
        <f>SUM(D29:E29)</f>
        <v>12837358.887515321</v>
      </c>
      <c r="H29" s="92">
        <f>D29/H6</f>
        <v>9213956.9793629013</v>
      </c>
      <c r="I29" s="92">
        <f>E29/I6</f>
        <v>4282093.4805160575</v>
      </c>
      <c r="J29" s="16">
        <f>SUM(H29:I29)</f>
        <v>13496050.459878959</v>
      </c>
      <c r="O29" s="105"/>
    </row>
    <row r="30" spans="1:20" x14ac:dyDescent="0.25">
      <c r="A30" s="80">
        <f>ROW()</f>
        <v>30</v>
      </c>
      <c r="B30" s="87" t="s">
        <v>214</v>
      </c>
      <c r="C30" s="141"/>
      <c r="D30" s="16">
        <v>-1060751.3807328399</v>
      </c>
      <c r="E30" s="16">
        <v>-44938.569595496061</v>
      </c>
      <c r="F30" s="16">
        <f>SUM(D30:E30)</f>
        <v>-1105689.9503283361</v>
      </c>
      <c r="H30" s="92">
        <f>D30/H6</f>
        <v>-1116546.3167259526</v>
      </c>
      <c r="I30" s="92">
        <f>E30/I6</f>
        <v>-47120.236547652363</v>
      </c>
      <c r="J30" s="16">
        <f>SUM(H30:I30)</f>
        <v>-1163666.5532736049</v>
      </c>
      <c r="O30" s="105"/>
    </row>
    <row r="31" spans="1:20" x14ac:dyDescent="0.25">
      <c r="A31" s="80">
        <f>ROW()</f>
        <v>31</v>
      </c>
      <c r="B31" s="87" t="s">
        <v>215</v>
      </c>
      <c r="C31" s="141"/>
      <c r="D31" s="16"/>
      <c r="E31" s="16"/>
      <c r="F31" s="16"/>
      <c r="H31" s="106">
        <f>(D11/H6-H11)</f>
        <v>9950.9610541500151</v>
      </c>
      <c r="I31" s="106">
        <f>E11/I6-I11</f>
        <v>-3892.4299785159528</v>
      </c>
      <c r="J31" s="16">
        <f>SUM(H31:I31)</f>
        <v>6058.5310756340623</v>
      </c>
      <c r="O31" s="105"/>
    </row>
    <row r="32" spans="1:20" ht="15.75" thickBot="1" x14ac:dyDescent="0.3">
      <c r="A32" s="80">
        <f>ROW()</f>
        <v>32</v>
      </c>
      <c r="B32" s="15" t="s">
        <v>173</v>
      </c>
      <c r="C32" s="141"/>
      <c r="D32" s="88">
        <f>SUM(D27:D31)</f>
        <v>9944472.9958491307</v>
      </c>
      <c r="E32" s="88">
        <f>SUM(E27:E31)</f>
        <v>4712264.5531900181</v>
      </c>
      <c r="F32" s="88">
        <f>SUM(F27:F31)</f>
        <v>14656737.549039148</v>
      </c>
      <c r="H32" s="88">
        <f>SUM(H27:H31)</f>
        <v>10477497.736835869</v>
      </c>
      <c r="I32" s="88">
        <f>SUM(I27:I31)</f>
        <v>4937142.0181603301</v>
      </c>
      <c r="J32" s="88">
        <f>SUM(J27:J31)</f>
        <v>15414639.754996199</v>
      </c>
      <c r="O32" s="14"/>
      <c r="Q32" s="14"/>
      <c r="T32" s="105"/>
    </row>
    <row r="33" spans="1:20" ht="15.75" thickTop="1" x14ac:dyDescent="0.25">
      <c r="A33" s="80">
        <f>ROW()</f>
        <v>33</v>
      </c>
      <c r="D33" s="89">
        <f>D32-D15</f>
        <v>0</v>
      </c>
      <c r="E33" s="89">
        <f>E32-E15</f>
        <v>0</v>
      </c>
      <c r="F33" s="89">
        <f>F32-F15</f>
        <v>0</v>
      </c>
      <c r="G33" s="90"/>
      <c r="H33" s="89">
        <f>H32-H15</f>
        <v>0</v>
      </c>
      <c r="I33" s="89">
        <f>I32-I15</f>
        <v>0</v>
      </c>
      <c r="J33" s="89">
        <f>J32-J15</f>
        <v>0</v>
      </c>
    </row>
    <row r="34" spans="1:20" x14ac:dyDescent="0.25">
      <c r="A34" s="80">
        <f>ROW()</f>
        <v>34</v>
      </c>
      <c r="D34" s="92"/>
      <c r="E34" s="92"/>
      <c r="H34" s="14"/>
      <c r="I34" s="14"/>
      <c r="J34" s="14"/>
      <c r="T34" s="106"/>
    </row>
    <row r="35" spans="1:20" x14ac:dyDescent="0.25">
      <c r="A35" s="80">
        <f>ROW()</f>
        <v>35</v>
      </c>
      <c r="B35" s="31" t="s">
        <v>48</v>
      </c>
      <c r="C35" s="86"/>
      <c r="H35" s="91">
        <f>H32/H7</f>
        <v>0.35354635959352693</v>
      </c>
      <c r="I35" s="91">
        <f>I32/I7</f>
        <v>0.34047324813332897</v>
      </c>
    </row>
    <row r="36" spans="1:20" x14ac:dyDescent="0.25">
      <c r="A36" s="80">
        <f>ROW()</f>
        <v>36</v>
      </c>
      <c r="B36" s="31" t="s">
        <v>49</v>
      </c>
      <c r="H36" s="80" t="str">
        <f>IF(ABS(H35)&gt;1%,"yes","no")</f>
        <v>yes</v>
      </c>
      <c r="I36" s="80" t="str">
        <f>IF(ABS(I35)&gt;1%,"yes","no")</f>
        <v>yes</v>
      </c>
    </row>
    <row r="37" spans="1:20" x14ac:dyDescent="0.25">
      <c r="A37" s="80">
        <f>ROW()</f>
        <v>37</v>
      </c>
      <c r="B37" s="32" t="s">
        <v>50</v>
      </c>
    </row>
    <row r="38" spans="1:20" x14ac:dyDescent="0.25">
      <c r="A38" s="80">
        <f>ROW()</f>
        <v>38</v>
      </c>
      <c r="B38" s="32" t="s">
        <v>51</v>
      </c>
    </row>
  </sheetData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90" zoomScaleNormal="90" workbookViewId="0">
      <selection activeCell="A29" sqref="A29"/>
    </sheetView>
  </sheetViews>
  <sheetFormatPr defaultColWidth="9.140625" defaultRowHeight="15" x14ac:dyDescent="0.25"/>
  <cols>
    <col min="1" max="1" width="10.7109375" style="4" customWidth="1"/>
    <col min="2" max="2" width="12" style="4" bestFit="1" customWidth="1"/>
    <col min="3" max="7" width="11.28515625" style="4" bestFit="1" customWidth="1"/>
    <col min="8" max="12" width="12.42578125" style="4" bestFit="1" customWidth="1"/>
    <col min="13" max="13" width="12" style="4" bestFit="1" customWidth="1"/>
    <col min="14" max="14" width="13.85546875" style="4" customWidth="1"/>
    <col min="15" max="16384" width="9.140625" style="4"/>
  </cols>
  <sheetData>
    <row r="1" spans="1:14" s="5" customForma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5" customFormat="1" x14ac:dyDescent="0.25">
      <c r="A2" s="186" t="str">
        <f>'Sch. 140 Rates'!A2:N2</f>
        <v>2025 Gas Schedule 140 Property Tax Tracker Filing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5" customFormat="1" x14ac:dyDescent="0.25">
      <c r="A3" s="186" t="s">
        <v>58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5" customFormat="1" x14ac:dyDescent="0.25">
      <c r="A4" s="190" t="str">
        <f>TEXT(B7,"Mmm YYYY - ")&amp;TEXT(M7,"Mmmm YYYY")</f>
        <v>May 2025 - April 2026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s="5" customForma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4" s="5" customFormat="1" x14ac:dyDescent="0.25">
      <c r="A6" s="99" t="s">
        <v>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4" s="5" customFormat="1" x14ac:dyDescent="0.25">
      <c r="A7" s="100" t="s">
        <v>30</v>
      </c>
      <c r="B7" s="120">
        <v>45778</v>
      </c>
      <c r="C7" s="121">
        <f>EDATE(B7,1)</f>
        <v>45809</v>
      </c>
      <c r="D7" s="121">
        <f t="shared" ref="D7:M7" si="0">EDATE(C7,1)</f>
        <v>45839</v>
      </c>
      <c r="E7" s="121">
        <f t="shared" si="0"/>
        <v>45870</v>
      </c>
      <c r="F7" s="121">
        <f t="shared" si="0"/>
        <v>45901</v>
      </c>
      <c r="G7" s="121">
        <f t="shared" si="0"/>
        <v>45931</v>
      </c>
      <c r="H7" s="121">
        <f t="shared" si="0"/>
        <v>45962</v>
      </c>
      <c r="I7" s="121">
        <f t="shared" si="0"/>
        <v>45992</v>
      </c>
      <c r="J7" s="121">
        <f t="shared" si="0"/>
        <v>46023</v>
      </c>
      <c r="K7" s="121">
        <f t="shared" si="0"/>
        <v>46054</v>
      </c>
      <c r="L7" s="121">
        <f t="shared" si="0"/>
        <v>46082</v>
      </c>
      <c r="M7" s="121">
        <f t="shared" si="0"/>
        <v>46113</v>
      </c>
      <c r="N7" s="7" t="s">
        <v>27</v>
      </c>
    </row>
    <row r="8" spans="1:14" s="5" customFormat="1" x14ac:dyDescent="0.25">
      <c r="A8" s="99">
        <v>16</v>
      </c>
      <c r="B8" s="182">
        <v>513</v>
      </c>
      <c r="C8" s="182">
        <v>513</v>
      </c>
      <c r="D8" s="182">
        <v>513</v>
      </c>
      <c r="E8" s="182">
        <v>513</v>
      </c>
      <c r="F8" s="182">
        <v>513</v>
      </c>
      <c r="G8" s="182">
        <v>513</v>
      </c>
      <c r="H8" s="182">
        <v>513</v>
      </c>
      <c r="I8" s="182">
        <v>513</v>
      </c>
      <c r="J8" s="182">
        <v>513</v>
      </c>
      <c r="K8" s="182">
        <v>513</v>
      </c>
      <c r="L8" s="182">
        <v>513</v>
      </c>
      <c r="M8" s="182">
        <v>513</v>
      </c>
      <c r="N8" s="101">
        <f t="shared" ref="N8:N22" si="1">SUM(B8:M8)</f>
        <v>6156</v>
      </c>
    </row>
    <row r="9" spans="1:14" s="5" customFormat="1" x14ac:dyDescent="0.25">
      <c r="A9" s="99">
        <v>23</v>
      </c>
      <c r="B9" s="182">
        <v>27871265</v>
      </c>
      <c r="C9" s="182">
        <v>19273637</v>
      </c>
      <c r="D9" s="182">
        <v>14492879</v>
      </c>
      <c r="E9" s="182">
        <v>14574848</v>
      </c>
      <c r="F9" s="182">
        <v>19979616</v>
      </c>
      <c r="G9" s="182">
        <v>42276981</v>
      </c>
      <c r="H9" s="182">
        <v>67463742</v>
      </c>
      <c r="I9" s="182">
        <v>87179749</v>
      </c>
      <c r="J9" s="182">
        <v>84088299</v>
      </c>
      <c r="K9" s="182">
        <v>72700008</v>
      </c>
      <c r="L9" s="182">
        <v>65210104</v>
      </c>
      <c r="M9" s="182">
        <v>45106920</v>
      </c>
      <c r="N9" s="101">
        <f t="shared" si="1"/>
        <v>560218048</v>
      </c>
    </row>
    <row r="10" spans="1:14" s="5" customFormat="1" x14ac:dyDescent="0.25">
      <c r="A10" s="99">
        <v>53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01">
        <f t="shared" si="1"/>
        <v>0</v>
      </c>
    </row>
    <row r="11" spans="1:14" s="5" customFormat="1" x14ac:dyDescent="0.25">
      <c r="A11" s="99">
        <v>31</v>
      </c>
      <c r="B11" s="182">
        <v>12050268</v>
      </c>
      <c r="C11" s="182">
        <v>9905036</v>
      </c>
      <c r="D11" s="182">
        <v>8713537</v>
      </c>
      <c r="E11" s="182">
        <v>9689232</v>
      </c>
      <c r="F11" s="182">
        <v>11580729</v>
      </c>
      <c r="G11" s="182">
        <v>19315268</v>
      </c>
      <c r="H11" s="182">
        <v>27775687</v>
      </c>
      <c r="I11" s="182">
        <v>34075567</v>
      </c>
      <c r="J11" s="182">
        <v>29791928</v>
      </c>
      <c r="K11" s="182">
        <v>26304426</v>
      </c>
      <c r="L11" s="182">
        <v>23537062</v>
      </c>
      <c r="M11" s="182">
        <v>16945517</v>
      </c>
      <c r="N11" s="101">
        <f t="shared" si="1"/>
        <v>229684257</v>
      </c>
    </row>
    <row r="12" spans="1:14" s="5" customFormat="1" x14ac:dyDescent="0.25">
      <c r="A12" s="99">
        <v>41</v>
      </c>
      <c r="B12" s="182">
        <v>3787419</v>
      </c>
      <c r="C12" s="182">
        <v>3273804</v>
      </c>
      <c r="D12" s="182">
        <v>2790751</v>
      </c>
      <c r="E12" s="182">
        <v>3064107</v>
      </c>
      <c r="F12" s="182">
        <v>3691483</v>
      </c>
      <c r="G12" s="182">
        <v>5652301</v>
      </c>
      <c r="H12" s="182">
        <v>7486386</v>
      </c>
      <c r="I12" s="182">
        <v>8238591</v>
      </c>
      <c r="J12" s="182">
        <v>7101406</v>
      </c>
      <c r="K12" s="182">
        <v>6611232</v>
      </c>
      <c r="L12" s="182">
        <v>6137670</v>
      </c>
      <c r="M12" s="182">
        <v>4762533</v>
      </c>
      <c r="N12" s="101">
        <f t="shared" si="1"/>
        <v>62597683</v>
      </c>
    </row>
    <row r="13" spans="1:14" s="5" customFormat="1" x14ac:dyDescent="0.25">
      <c r="A13" s="99">
        <v>85</v>
      </c>
      <c r="B13" s="182">
        <v>1422984</v>
      </c>
      <c r="C13" s="182">
        <v>1209166</v>
      </c>
      <c r="D13" s="182">
        <v>1112660</v>
      </c>
      <c r="E13" s="182">
        <v>1070071</v>
      </c>
      <c r="F13" s="182">
        <v>1005779</v>
      </c>
      <c r="G13" s="182">
        <v>1463922</v>
      </c>
      <c r="H13" s="182">
        <v>1455079</v>
      </c>
      <c r="I13" s="182">
        <v>1821391</v>
      </c>
      <c r="J13" s="182">
        <v>1848407</v>
      </c>
      <c r="K13" s="182">
        <v>1598249</v>
      </c>
      <c r="L13" s="182">
        <v>1663521</v>
      </c>
      <c r="M13" s="182">
        <v>1501607</v>
      </c>
      <c r="N13" s="101">
        <f t="shared" si="1"/>
        <v>17172836</v>
      </c>
    </row>
    <row r="14" spans="1:14" s="5" customFormat="1" x14ac:dyDescent="0.25">
      <c r="A14" s="99">
        <v>86</v>
      </c>
      <c r="B14" s="182">
        <v>381780</v>
      </c>
      <c r="C14" s="182">
        <v>224267</v>
      </c>
      <c r="D14" s="182">
        <v>109878</v>
      </c>
      <c r="E14" s="182">
        <v>44384</v>
      </c>
      <c r="F14" s="182">
        <v>69259</v>
      </c>
      <c r="G14" s="182">
        <v>294326</v>
      </c>
      <c r="H14" s="182">
        <v>477731</v>
      </c>
      <c r="I14" s="182">
        <v>745018</v>
      </c>
      <c r="J14" s="182">
        <v>791924</v>
      </c>
      <c r="K14" s="182">
        <v>660701</v>
      </c>
      <c r="L14" s="182">
        <v>663439</v>
      </c>
      <c r="M14" s="182">
        <v>504592</v>
      </c>
      <c r="N14" s="101">
        <f t="shared" si="1"/>
        <v>4967299</v>
      </c>
    </row>
    <row r="15" spans="1:14" s="5" customFormat="1" x14ac:dyDescent="0.25">
      <c r="A15" s="99">
        <v>87</v>
      </c>
      <c r="B15" s="182">
        <v>1346088</v>
      </c>
      <c r="C15" s="182">
        <v>1193038</v>
      </c>
      <c r="D15" s="182">
        <v>1170945</v>
      </c>
      <c r="E15" s="182">
        <v>1098169</v>
      </c>
      <c r="F15" s="182">
        <v>1005515</v>
      </c>
      <c r="G15" s="182">
        <v>1783820</v>
      </c>
      <c r="H15" s="182">
        <v>1650516</v>
      </c>
      <c r="I15" s="182">
        <v>2067159</v>
      </c>
      <c r="J15" s="182">
        <v>1964001</v>
      </c>
      <c r="K15" s="182">
        <v>1628246</v>
      </c>
      <c r="L15" s="182">
        <v>1627367</v>
      </c>
      <c r="M15" s="182">
        <v>1375995</v>
      </c>
      <c r="N15" s="101">
        <f t="shared" si="1"/>
        <v>17910859</v>
      </c>
    </row>
    <row r="16" spans="1:14" s="5" customFormat="1" x14ac:dyDescent="0.25">
      <c r="A16" s="99" t="s">
        <v>46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01">
        <f t="shared" si="1"/>
        <v>0</v>
      </c>
    </row>
    <row r="17" spans="1:14" s="5" customFormat="1" x14ac:dyDescent="0.25">
      <c r="A17" s="99" t="s">
        <v>31</v>
      </c>
      <c r="B17" s="182">
        <v>1715751</v>
      </c>
      <c r="C17" s="182">
        <v>1834118</v>
      </c>
      <c r="D17" s="182">
        <v>1639656</v>
      </c>
      <c r="E17" s="182">
        <v>1657073</v>
      </c>
      <c r="F17" s="182">
        <v>1664657</v>
      </c>
      <c r="G17" s="182">
        <v>1620165</v>
      </c>
      <c r="H17" s="182">
        <v>1867820</v>
      </c>
      <c r="I17" s="182">
        <v>1853820</v>
      </c>
      <c r="J17" s="182">
        <v>1760137</v>
      </c>
      <c r="K17" s="182">
        <v>1922524</v>
      </c>
      <c r="L17" s="182">
        <v>1682572</v>
      </c>
      <c r="M17" s="182">
        <v>1787431</v>
      </c>
      <c r="N17" s="101">
        <f t="shared" si="1"/>
        <v>21005724</v>
      </c>
    </row>
    <row r="18" spans="1:14" s="5" customFormat="1" x14ac:dyDescent="0.25">
      <c r="A18" s="99" t="s">
        <v>32</v>
      </c>
      <c r="B18" s="182">
        <v>4556924</v>
      </c>
      <c r="C18" s="182">
        <v>4680219</v>
      </c>
      <c r="D18" s="182">
        <v>4330088</v>
      </c>
      <c r="E18" s="182">
        <v>4365135</v>
      </c>
      <c r="F18" s="182">
        <v>4729457</v>
      </c>
      <c r="G18" s="182">
        <v>4625269</v>
      </c>
      <c r="H18" s="182">
        <v>4807079</v>
      </c>
      <c r="I18" s="182">
        <v>5096644</v>
      </c>
      <c r="J18" s="182">
        <v>4292838</v>
      </c>
      <c r="K18" s="182">
        <v>5036300</v>
      </c>
      <c r="L18" s="182">
        <v>4399159</v>
      </c>
      <c r="M18" s="182">
        <v>4882211</v>
      </c>
      <c r="N18" s="101">
        <f t="shared" si="1"/>
        <v>55801323</v>
      </c>
    </row>
    <row r="19" spans="1:14" s="5" customFormat="1" x14ac:dyDescent="0.25">
      <c r="A19" s="99" t="s">
        <v>47</v>
      </c>
      <c r="B19" s="182">
        <v>113495</v>
      </c>
      <c r="C19" s="182">
        <v>121199</v>
      </c>
      <c r="D19" s="182">
        <v>106268</v>
      </c>
      <c r="E19" s="182">
        <v>102961</v>
      </c>
      <c r="F19" s="182">
        <v>115379</v>
      </c>
      <c r="G19" s="182">
        <v>107961</v>
      </c>
      <c r="H19" s="182">
        <v>120350</v>
      </c>
      <c r="I19" s="182">
        <v>118522</v>
      </c>
      <c r="J19" s="182">
        <v>105353</v>
      </c>
      <c r="K19" s="182">
        <v>123375</v>
      </c>
      <c r="L19" s="182">
        <v>109458</v>
      </c>
      <c r="M19" s="182">
        <v>125016</v>
      </c>
      <c r="N19" s="101">
        <f t="shared" si="1"/>
        <v>1369337</v>
      </c>
    </row>
    <row r="20" spans="1:14" s="5" customFormat="1" x14ac:dyDescent="0.25">
      <c r="A20" s="99" t="s">
        <v>33</v>
      </c>
      <c r="B20" s="182">
        <v>6072939</v>
      </c>
      <c r="C20" s="182">
        <v>6159153</v>
      </c>
      <c r="D20" s="182">
        <v>6412814</v>
      </c>
      <c r="E20" s="182">
        <v>6009451</v>
      </c>
      <c r="F20" s="182">
        <v>6460599</v>
      </c>
      <c r="G20" s="182">
        <v>5693897</v>
      </c>
      <c r="H20" s="182">
        <v>5928224</v>
      </c>
      <c r="I20" s="182">
        <v>6961545</v>
      </c>
      <c r="J20" s="182">
        <v>5317831</v>
      </c>
      <c r="K20" s="182">
        <v>7132693</v>
      </c>
      <c r="L20" s="182">
        <v>5535129</v>
      </c>
      <c r="M20" s="182">
        <v>6283998</v>
      </c>
      <c r="N20" s="101">
        <f t="shared" si="1"/>
        <v>73968273</v>
      </c>
    </row>
    <row r="21" spans="1:14" s="5" customFormat="1" x14ac:dyDescent="0.25">
      <c r="A21" s="99" t="s">
        <v>177</v>
      </c>
      <c r="B21" s="182">
        <v>2799650</v>
      </c>
      <c r="C21" s="182">
        <v>2799650</v>
      </c>
      <c r="D21" s="182">
        <v>2799650</v>
      </c>
      <c r="E21" s="182">
        <v>2799650</v>
      </c>
      <c r="F21" s="182">
        <v>2799650</v>
      </c>
      <c r="G21" s="182">
        <v>2799650</v>
      </c>
      <c r="H21" s="182">
        <v>2799650</v>
      </c>
      <c r="I21" s="182">
        <v>2799650</v>
      </c>
      <c r="J21" s="182">
        <v>4286964</v>
      </c>
      <c r="K21" s="182">
        <v>4286964</v>
      </c>
      <c r="L21" s="182">
        <v>4286964</v>
      </c>
      <c r="M21" s="182">
        <v>4286964</v>
      </c>
      <c r="N21" s="101">
        <f t="shared" si="1"/>
        <v>39545056</v>
      </c>
    </row>
    <row r="22" spans="1:14" s="5" customFormat="1" x14ac:dyDescent="0.25">
      <c r="A22" s="102" t="s">
        <v>25</v>
      </c>
      <c r="B22" s="182">
        <v>2280034</v>
      </c>
      <c r="C22" s="182">
        <v>2083748</v>
      </c>
      <c r="D22" s="182">
        <v>1865291</v>
      </c>
      <c r="E22" s="182">
        <v>1746292</v>
      </c>
      <c r="F22" s="182">
        <v>2093490</v>
      </c>
      <c r="G22" s="182">
        <v>2578594</v>
      </c>
      <c r="H22" s="182">
        <v>3487417</v>
      </c>
      <c r="I22" s="182">
        <v>4215409</v>
      </c>
      <c r="J22" s="182">
        <v>3472600</v>
      </c>
      <c r="K22" s="182">
        <v>4222568</v>
      </c>
      <c r="L22" s="182">
        <v>3027183</v>
      </c>
      <c r="M22" s="182">
        <v>2964594</v>
      </c>
      <c r="N22" s="101">
        <f t="shared" si="1"/>
        <v>34037220</v>
      </c>
    </row>
    <row r="23" spans="1:14" s="5" customFormat="1" x14ac:dyDescent="0.25">
      <c r="A23" s="99" t="s">
        <v>27</v>
      </c>
      <c r="B23" s="122">
        <f>SUM(B8:B22)</f>
        <v>64399110</v>
      </c>
      <c r="C23" s="122">
        <f t="shared" ref="C23:M23" si="2">SUM(C8:C22)</f>
        <v>52757548</v>
      </c>
      <c r="D23" s="122">
        <f t="shared" si="2"/>
        <v>45544930</v>
      </c>
      <c r="E23" s="122">
        <f t="shared" si="2"/>
        <v>46221886</v>
      </c>
      <c r="F23" s="122">
        <f t="shared" si="2"/>
        <v>55196126</v>
      </c>
      <c r="G23" s="122">
        <f t="shared" si="2"/>
        <v>88212667</v>
      </c>
      <c r="H23" s="122">
        <f t="shared" si="2"/>
        <v>125320194</v>
      </c>
      <c r="I23" s="122">
        <f t="shared" si="2"/>
        <v>155173578</v>
      </c>
      <c r="J23" s="122">
        <f t="shared" si="2"/>
        <v>144822201</v>
      </c>
      <c r="K23" s="122">
        <f t="shared" si="2"/>
        <v>132227799</v>
      </c>
      <c r="L23" s="122">
        <f t="shared" si="2"/>
        <v>117880141</v>
      </c>
      <c r="M23" s="122">
        <f t="shared" si="2"/>
        <v>90527891</v>
      </c>
      <c r="N23" s="122">
        <f>SUM(N8:N22)</f>
        <v>1118284071</v>
      </c>
    </row>
    <row r="24" spans="1:14" s="5" customFormat="1" x14ac:dyDescent="0.25">
      <c r="A24" s="99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26">
        <v>0</v>
      </c>
    </row>
    <row r="25" spans="1:14" s="5" customFormat="1" x14ac:dyDescent="0.25"/>
    <row r="26" spans="1:14" s="5" customFormat="1" x14ac:dyDescent="0.25">
      <c r="A26" s="5" t="s">
        <v>178</v>
      </c>
    </row>
    <row r="27" spans="1:14" s="5" customFormat="1" x14ac:dyDescent="0.25"/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51B41F39C32E43BA5933166ED67A78" ma:contentTypeVersion="19" ma:contentTypeDescription="" ma:contentTypeScope="" ma:versionID="36a79d7dbf131dbb8f605d684f0552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60708-16A4-43D3-89F2-5EE802C42DF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2FC7796-727B-4E75-80D5-56A09DF0A664}"/>
</file>

<file path=customXml/itemProps3.xml><?xml version="1.0" encoding="utf-8"?>
<ds:datastoreItem xmlns:ds="http://schemas.openxmlformats.org/officeDocument/2006/customXml" ds:itemID="{9C415B04-CA4C-4F4A-9FB9-5A158A626C5A}"/>
</file>

<file path=customXml/itemProps4.xml><?xml version="1.0" encoding="utf-8"?>
<ds:datastoreItem xmlns:ds="http://schemas.openxmlformats.org/officeDocument/2006/customXml" ds:itemID="{7E8D4281-A021-402D-A3BB-CBED4325190E}"/>
</file>

<file path=customXml/itemProps5.xml><?xml version="1.0" encoding="utf-8"?>
<ds:datastoreItem xmlns:ds="http://schemas.openxmlformats.org/officeDocument/2006/customXml" ds:itemID="{505DC8D4-17B8-47B6-8C5A-A0BD3142F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 140</vt:lpstr>
      <vt:lpstr>Typical Res Bill Sch 140</vt:lpstr>
      <vt:lpstr>Sch. 140</vt:lpstr>
      <vt:lpstr>Workpapers--&gt;</vt:lpstr>
      <vt:lpstr>2025 FINAL Rev Req</vt:lpstr>
      <vt:lpstr>Therm Forecast</vt:lpstr>
      <vt:lpstr>'Allocation Factors'!Print_Area</vt:lpstr>
      <vt:lpstr>'Rate Impacts Sch 140'!Print_Area</vt:lpstr>
      <vt:lpstr>'Sch. 140'!Print_Area</vt:lpstr>
      <vt:lpstr>'Sch. 140 Rates'!Print_Area</vt:lpstr>
      <vt:lpstr>'Therm Forecast'!Print_Area</vt:lpstr>
      <vt:lpstr>'Typical Res Bill Sch 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Schmidt, Paul</cp:lastModifiedBy>
  <cp:lastPrinted>2025-03-10T21:02:01Z</cp:lastPrinted>
  <dcterms:created xsi:type="dcterms:W3CDTF">2012-11-20T18:48:04Z</dcterms:created>
  <dcterms:modified xsi:type="dcterms:W3CDTF">2025-03-27T17:24:54Z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0x0101006E56B4D1795A2E4DB2F0B01679ED314A002E51B41F39C32E43BA5933166ED67A78</vt:lpwstr>
  </property>
</Properties>
</file>